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checkCompatibility="1" defaultThemeVersion="124226"/>
  <bookViews>
    <workbookView xWindow="3180" yWindow="2460" windowWidth="12015" windowHeight="5085" tabRatio="905"/>
  </bookViews>
  <sheets>
    <sheet name="ImportantDisclosures" sheetId="311" r:id="rId1"/>
    <sheet name="Income Statement" sheetId="4" r:id="rId2"/>
    <sheet name="Balance Sheet " sheetId="5" r:id="rId3"/>
    <sheet name="Cashflow" sheetId="6" r:id="rId4"/>
    <sheet name="Valuation" sheetId="293" r:id="rId5"/>
    <sheet name="SOP" sheetId="281" r:id="rId6"/>
    <sheet name="Jakafi - Summary" sheetId="267" r:id="rId7"/>
    <sheet name="Jakafi - MF" sheetId="256" r:id="rId8"/>
    <sheet name="Jakafi - PV" sheetId="266" r:id="rId9"/>
    <sheet name="Epacadostat" sheetId="291" r:id="rId10"/>
    <sheet name="Bari Summary" sheetId="284" r:id="rId11"/>
    <sheet name="Bari Royalties" sheetId="285" r:id="rId12"/>
    <sheet name="RA - US" sheetId="282" r:id="rId13"/>
    <sheet name="RA - EU" sheetId="283" r:id="rId14"/>
    <sheet name="Bari - AD" sheetId="286" r:id="rId15"/>
    <sheet name="GVHD" sheetId="288" r:id="rId16"/>
    <sheet name="B-Cell" sheetId="292" r:id="rId17"/>
    <sheet name="Iclusig" sheetId="300" r:id="rId18"/>
    <sheet name="IndexInformation" sheetId="312" r:id="rId19"/>
    <sheet name="ModPubIndex" sheetId="313" r:id="rId20"/>
    <sheet name="MW-Cache" sheetId="222" state="veryHidden" r:id="rId21"/>
    <sheet name="__FDSCACHE__" sheetId="229" state="veryHidden" r:id="rId22"/>
  </sheets>
  <externalReferences>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s>
  <definedNames>
    <definedName name="__FDS_HYPERLINK_TOGGLE_STATE__" hidden="1">"ON"</definedName>
    <definedName name="__FDS_UNIQUE_RANGE_ID_GENERATOR_COUNTER" hidden="1">148</definedName>
    <definedName name="_1__FDSAUDITLINK__" localSheetId="7"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localSheetId="8"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Billion">'[1]5 yr Sales and Earnings'!$A$103:$AA$103</definedName>
    <definedName name="_10__FDSAUDITLINK__" hidden="1">{"fdsup://directions/FAT Viewer?action=UPDATE&amp;creator=factset&amp;DYN_ARGS=TRUE&amp;DOC_NAME=FAT:FQL_AUDITING_CLIENT_TEMPLATE.FAT&amp;display_string=Audit&amp;VAR:KEY=TCLSBADEBM&amp;VAR:QUERY=RkZfUEFZX09VVF9SQVRJTyhBTk4sTk9XKQ==&amp;WINDOW=FIRST_POPUP&amp;HEIGHT=450&amp;WIDTH=450&amp;START_MA","XIMIZED=FALSE&amp;VAR:CALENDAR=FIVEDAY&amp;VAR:SYMBOL=PRX&amp;VAR:INDEX=0"}</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TCVWVCXSPG&amp;VAR:QUERY=RkZfUEFZX09VVF9SQVRJTyhBTk4sTk9XKQ==&amp;WINDOW=FIRST_POPUP&amp;HEIGHT=450&amp;WIDTH=450&amp;START_MA","XIMIZED=FALSE&amp;VAR:CALENDAR=FIVEDAY&amp;VAR:SYMBOL=PRGO&amp;VAR:INDEX=0"}</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FKRWBWPYJQ&amp;VAR:QUERY=RkZfUEFZX09VVF9SQVRJTyhBTk4sTk9XKQ==&amp;WINDOW=FIRST_POPUP&amp;HEIGHT=450&amp;WIDTH=450&amp;START_MA","XIMIZED=FALSE&amp;VAR:CALENDAR=FIVEDAY&amp;VAR:SYMBOL=MYL&amp;VAR:INDEX=0"}</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FDSAUDITLINK__" hidden="1">{"fdsup://directions/FAT Viewer?action=UPDATE&amp;creator=factset&amp;DYN_ARGS=TRUE&amp;DOC_NAME=FAT:FQL_AUDITING_CLIENT_TEMPLATE.FAT&amp;display_string=Audit&amp;VAR:KEY=BWBYDQBYRG&amp;VAR:QUERY=RkZfUEFZX09VVF9SQVRJTyhBTk4sTk9XKQ==&amp;WINDOW=FIRST_POPUP&amp;HEIGHT=450&amp;WIDTH=450&amp;START_MA","XIMIZED=FALSE&amp;VAR:CALENDAR=FIVEDAY&amp;VAR:SYMBOL=IPXL&amp;VAR:INDEX=0"}</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FDSAUDITLINK__" hidden="1">{"fdsup://directions/FAT Viewer?action=UPDATE&amp;creator=factset&amp;DYN_ARGS=TRUE&amp;DOC_NAME=FAT:FQL_AUDITING_CLIENT_TEMPLATE.FAT&amp;display_string=Audit&amp;VAR:KEY=LINIDUNITC&amp;VAR:QUERY=RkZfUEFZX09VVF9SQVRJTyhBTk4sTk9XKQ==&amp;WINDOW=FIRST_POPUP&amp;HEIGHT=450&amp;WIDTH=450&amp;START_MA","XIMIZED=FALSE&amp;VAR:CALENDAR=FIVEDAY&amp;VAR:SYMBOL=HSP&amp;VAR:INDEX=0"}</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FDSAUDITLINK__" hidden="1">{"fdsup://directions/FAT Viewer?action=UPDATE&amp;creator=factset&amp;DYN_ARGS=TRUE&amp;DOC_NAME=FAT:FQL_AUDITING_CLIENT_TEMPLATE.FAT&amp;display_string=Audit&amp;VAR:KEY=DUDADIPCVA&amp;VAR:QUERY=RkZfUEFZX09VVF9SQVRJTyhBTk4sTk9XKQ==&amp;WINDOW=FIRST_POPUP&amp;HEIGHT=450&amp;WIDTH=450&amp;START_MA","XIMIZED=FALSE&amp;VAR:CALENDAR=FIVEDAY&amp;VAR:SYMBOL=HITK&amp;VAR:INDEX=0"}</definedName>
    <definedName name="_16__FDSAUDITLINK__" hidden="1">{"fdsup://directions/FAT Viewer?action=UPDATE&amp;creator=factset&amp;DYN_ARGS=TRUE&amp;DOC_NAME=FAT:FQL_AUDITING_CLIENT_TEMPLATE.FAT&amp;display_string=Audit&amp;VAR:KEY=HOZMZUDYTG&amp;VAR:QUERY=RkZfUEFZX09VVF9SQVRJTyhBTk4sTk9XKQ==&amp;WINDOW=FIRST_POPUP&amp;HEIGHT=450&amp;WIDTH=450&amp;START_MA","XIMIZED=FALSE&amp;VAR:CALENDAR=FIVEDAY&amp;VAR:SYMBOL=WCRX&amp;VAR:INDEX=0"}</definedName>
    <definedName name="_17__FDSAUDITLINK__" hidden="1">{"fdsup://directions/FAT Viewer?action=UPDATE&amp;creator=factset&amp;DYN_ARGS=TRUE&amp;DOC_NAME=FAT:FQL_AUDITING_CLIENT_TEMPLATE.FAT&amp;display_string=Audit&amp;VAR:KEY=ZOZGRKXKLQ&amp;VAR:QUERY=RkZfUEFZX09VVF9SQVRJTyhBTk4sTk9XKQ==&amp;WINDOW=FIRST_POPUP&amp;HEIGHT=450&amp;WIDTH=450&amp;START_MA","XIMIZED=FALSE&amp;VAR:CALENDAR=FIVEDAY&amp;VAR:SYMBOL=VPHM&amp;VAR:INDEX=0"}</definedName>
    <definedName name="_18__FDSAUDITLINK__" hidden="1">{"fdsup://directions/FAT Viewer?action=UPDATE&amp;creator=factset&amp;DYN_ARGS=TRUE&amp;DOC_NAME=FAT:FQL_AUDITING_CLIENT_TEMPLATE.FAT&amp;display_string=Audit&amp;VAR:KEY=TSVONSRIPQ&amp;VAR:QUERY=RkZfUEFZX09VVF9SQVRJTyhBTk4sTk9XKQ==&amp;WINDOW=FIRST_POPUP&amp;HEIGHT=450&amp;WIDTH=450&amp;START_MA","XIMIZED=FALSE&amp;VAR:CALENDAR=FIVEDAY&amp;VAR:SYMBOL=VRX&amp;VAR:INDEX=0"}</definedName>
    <definedName name="_19__FDSAUDITLINK__" hidden="1">{"fdsup://directions/FAT Viewer?action=UPDATE&amp;creator=factset&amp;DYN_ARGS=TRUE&amp;DOC_NAME=FAT:FQL_AUDITING_CLIENT_TEMPLATE.FAT&amp;display_string=Audit&amp;VAR:KEY=ZKFETWBYZU&amp;VAR:QUERY=RkZfUEFZX09VVF9SQVRJTyhBTk4sTk9XKQ==&amp;WINDOW=FIRST_POPUP&amp;HEIGHT=450&amp;WIDTH=450&amp;START_MA","XIMIZED=FALSE&amp;VAR:CALENDAR=FIVEDAY&amp;VAR:SYMBOL=SLXP&amp;VAR:INDEX=0"}</definedName>
    <definedName name="_2__FDSAUDITLINK__" localSheetId="7"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localSheetId="8"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0__FDSAUDITLINK__" hidden="1">{"fdsup://directions/FAT Viewer?action=UPDATE&amp;creator=factset&amp;DYN_ARGS=TRUE&amp;DOC_NAME=FAT:FQL_AUDITING_CLIENT_TEMPLATE.FAT&amp;display_string=Audit&amp;VAR:KEY=LUTYBGPKXA&amp;VAR:QUERY=RkZfUEFZX09VVF9SQVRJTyhBTk4sTk9XKQ==&amp;WINDOW=FIRST_POPUP&amp;HEIGHT=450&amp;WIDTH=450&amp;START_MA","XIMIZED=FALSE&amp;VAR:CALENDAR=FIVEDAY&amp;VAR:SYMBOL=MRX&amp;VAR:INDEX=0"}</definedName>
    <definedName name="_21__FDSAUDITLINK__" hidden="1">{"fdsup://directions/FAT Viewer?action=UPDATE&amp;creator=factset&amp;DYN_ARGS=TRUE&amp;DOC_NAME=FAT:FQL_AUDITING_CLIENT_TEMPLATE.FAT&amp;display_string=Audit&amp;VAR:KEY=HONQXAZSRM&amp;VAR:QUERY=RkZfUEFZX09VVF9SQVRJTyhBTk4sTk9XKQ==&amp;WINDOW=FIRST_POPUP&amp;HEIGHT=450&amp;WIDTH=450&amp;START_MA","XIMIZED=FALSE&amp;VAR:CALENDAR=FIVEDAY&amp;VAR:SYMBOL=JAZZ&amp;VAR:INDEX=0"}</definedName>
    <definedName name="_22__FDSAUDITLINK__" hidden="1">{"fdsup://directions/FAT Viewer?action=UPDATE&amp;creator=factset&amp;DYN_ARGS=TRUE&amp;DOC_NAME=FAT:FQL_AUDITING_CLIENT_TEMPLATE.FAT&amp;display_string=Audit&amp;VAR:KEY=FSNGJUZGBG&amp;VAR:QUERY=RkZfUEFZX09VVF9SQVRJTyhBTk4sTk9XKQ==&amp;WINDOW=FIRST_POPUP&amp;HEIGHT=450&amp;WIDTH=450&amp;START_MA","XIMIZED=FALSE&amp;VAR:CALENDAR=FIVEDAY&amp;VAR:SYMBOL=FRX&amp;VAR:INDEX=0"}</definedName>
    <definedName name="_23__FDSAUDITLINK__" hidden="1">{"fdsup://directions/FAT Viewer?action=UPDATE&amp;creator=factset&amp;DYN_ARGS=TRUE&amp;DOC_NAME=FAT:FQL_AUDITING_CLIENT_TEMPLATE.FAT&amp;display_string=Audit&amp;VAR:KEY=BUFQRWTMNE&amp;VAR:QUERY=RkZfUEFZX09VVF9SQVRJTyhBTk4sTk9XKQ==&amp;WINDOW=FIRST_POPUP&amp;HEIGHT=450&amp;WIDTH=450&amp;START_MA","XIMIZED=FALSE&amp;VAR:CALENDAR=FIVEDAY&amp;VAR:SYMBOL=ENDP&amp;VAR:INDEX=0"}</definedName>
    <definedName name="_24__FDSAUDITLINK__" hidden="1">{"fdsup://directions/FAT Viewer?action=UPDATE&amp;creator=factset&amp;DYN_ARGS=TRUE&amp;DOC_NAME=FAT:FQL_AUDITING_CLIENT_TEMPLATE.FAT&amp;display_string=Audit&amp;VAR:KEY=FMTMNEHCFI&amp;VAR:QUERY=RkZfUEFZX09VVF9SQVRJTyhBTk4sTk9XKQ==&amp;WINDOW=FIRST_POPUP&amp;HEIGHT=450&amp;WIDTH=450&amp;START_MA","XIMIZED=FALSE&amp;VAR:CALENDAR=FIVEDAY&amp;VAR:SYMBOL=CEPH&amp;VAR:INDEX=0"}</definedName>
    <definedName name="_25__FDSAUDITLINK__" hidden="1">{"fdsup://directions/FAT Viewer?action=UPDATE&amp;creator=factset&amp;DYN_ARGS=TRUE&amp;DOC_NAME=FAT:FQL_AUDITING_CLIENT_TEMPLATE.FAT&amp;display_string=Audit&amp;VAR:KEY=PWDAVAVWLC&amp;VAR:QUERY=RkZfUEFZX09VVF9SQVRJTyhBTk4sTk9XKQ==&amp;WINDOW=FIRST_POPUP&amp;HEIGHT=450&amp;WIDTH=450&amp;START_MA","XIMIZED=FALSE&amp;VAR:CALENDAR=FIVEDAY&amp;VAR:SYMBOL=AGN&amp;VAR:INDEX=0"}</definedName>
    <definedName name="_26__FDSAUDITLINK__" hidden="1">{"fdsup://directions/FAT Viewer?action=UPDATE&amp;creator=factset&amp;DYN_ARGS=TRUE&amp;DOC_NAME=FAT:FQL_AUDITING_CLIENT_TEMPLATE.FAT&amp;display_string=Audit&amp;VAR:KEY=NALIHQZUJE&amp;VAR:QUERY=RkZfUEFZX09VVF9SQVRJTyhBTk4sTk9XKQ==&amp;WINDOW=FIRST_POPUP&amp;HEIGHT=450&amp;WIDTH=450&amp;START_MA","XIMIZED=FALSE&amp;VAR:CALENDAR=FIVEDAY&amp;VAR:SYMBOL=GILD&amp;VAR:INDEX=0"}</definedName>
    <definedName name="_27__FDSAUDITLINK__" hidden="1">{"fdsup://directions/FAT Viewer?action=UPDATE&amp;creator=factset&amp;DYN_ARGS=TRUE&amp;DOC_NAME=FAT:FQL_AUDITING_CLIENT_TEMPLATE.FAT&amp;display_string=Audit&amp;VAR:KEY=FKFOZQBKXW&amp;VAR:QUERY=RkZfUEFZX09VVF9SQVRJTyhBTk4sTk9XKQ==&amp;WINDOW=FIRST_POPUP&amp;HEIGHT=450&amp;WIDTH=450&amp;START_MA","XIMIZED=FALSE&amp;VAR:CALENDAR=FIVEDAY&amp;VAR:SYMBOL=CELG&amp;VAR:INDEX=0"}</definedName>
    <definedName name="_28__FDSAUDITLINK__" hidden="1">{"fdsup://directions/FAT Viewer?action=UPDATE&amp;creator=factset&amp;DYN_ARGS=TRUE&amp;DOC_NAME=FAT:FQL_AUDITING_CLIENT_TEMPLATE.FAT&amp;display_string=Audit&amp;VAR:KEY=ZKRUNWHILQ&amp;VAR:QUERY=RkZfUEFZX09VVF9SQVRJTyhBTk4sTk9XKQ==&amp;WINDOW=FIRST_POPUP&amp;HEIGHT=450&amp;WIDTH=450&amp;START_MA","XIMIZED=FALSE&amp;VAR:CALENDAR=FIVEDAY&amp;VAR:SYMBOL=BIIB&amp;VAR:INDEX=0"}</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FDSAUDITLINK__" localSheetId="7"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localSheetId="8"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FDSAUDITLINK__" hidden="1">{"fdsup://directions/FAT Viewer?action=UPDATE&amp;creator=factset&amp;DYN_ARGS=TRUE&amp;DOC_NAME=FAT:FQL_AUDITING_CLIENT_TEMPLATE.FAT&amp;display_string=Audit&amp;VAR:KEY=NQLUXALAPQ&amp;VAR:QUERY=RkZfUEFZX09VVF9SQVRJTyhBTk4sTk9XKQ==&amp;WINDOW=FIRST_POPUP&amp;HEIGHT=450&amp;WIDTH=450&amp;START_MA","XIMIZED=FALSE&amp;VAR:CALENDAR=FIVEDAY&amp;VAR:SYMBOL=SP565&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FDSAUDITLINK__" hidden="1">{"fdsup://directions/FAT%20Viewer?WINDOW=first_popup&amp;DYN_ARGS=TRUE&amp;START_MAXIMIZED=FALSE&amp;TITLEBAR=FactSet Market Aggregates&amp;ACTION=UPDATE&amp;CREATOR=FACTSET&amp;HEIGHT=450&amp;WIDTH=910&amp;DOC_NAME=FAT:FMA_AUDIT_DETAIL.FAT&amp;VAR:CURRENCY=USD&amp;VAR:AUDIT_ID=00000117&amp;VAR:CALC_","MODE=PORTFOLIO&amp;VAR:CHGPERIOD=NA&amp;DISPLAY_STRING=audit&amp;VAR:FQLFORMULA=FMA_LTG_EPS&amp;VAR:MEASURE=LTG_EPS&amp;VAR:NULL=.HTML&amp;VAR:PED=20071231&amp;VAR:PERIOD=CY&amp;VAR:THRESH=-|-|-|-|-|-&amp;VAR:PCT=N&amp;VAR:V=10.421232&amp;VAR:P=1&amp;VAR:DATE=20110816"}</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00_Million">'[1]5 yr Sales and Earnings'!$A$102:$AA$102</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FDSAUDITLINK__" hidden="1">{"fdsup://directions/FAT Viewer?action=UPDATE&amp;creator=factset&amp;DYN_ARGS=TRUE&amp;DOC_NAME=FAT:FQL_AUDITING_CLIENT_TEMPLATE.FAT&amp;display_string=Audit&amp;VAR:KEY=NCPODUVUTY&amp;VAR:QUERY=RkZfUEFZX09VVF9SQVRJTyhBTk4sTk9XKQ==&amp;WINDOW=FIRST_POPUP&amp;HEIGHT=450&amp;WIDTH=450&amp;START_MA","XIMIZED=FALSE&amp;VAR:CALENDAR=FIVEDAY&amp;VAR:SYMBOL=SP50&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FDSAUDITLINK__" hidden="1">{"fdsup://directions/FAT Viewer?action=UPDATE&amp;creator=factset&amp;DYN_ARGS=TRUE&amp;DOC_NAME=FAT:FQL_AUDITING_CLIENT_TEMPLATE.FAT&amp;display_string=Audit&amp;VAR:KEY=RIVODUVABY&amp;VAR:QUERY=RkZfUEFZX09VVF9SQVRJTyhBTk4sTk9XKQ==&amp;WINDOW=FIRST_POPUP&amp;HEIGHT=450&amp;WIDTH=450&amp;START_MA","XIMIZED=FALSE&amp;VAR:CALENDAR=FIVEDAY&amp;VAR:SYMBOL=WPI&amp;VAR:INDEX=0"}</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FDSAUDITLINK__" hidden="1">{"fdsup://directions/FAT Viewer?action=UPDATE&amp;creator=factset&amp;DYN_ARGS=TRUE&amp;DOC_NAME=FAT:FQL_AUDITING_CLIENT_TEMPLATE.FAT&amp;display_string=Audit&amp;VAR:KEY=NOROXQDYDA&amp;VAR:QUERY=RkZfUEFZX09VVF9SQVRJTyhBTk4sTk9XKQ==&amp;WINDOW=FIRST_POPUP&amp;HEIGHT=450&amp;WIDTH=450&amp;START_MA","XIMIZED=FALSE&amp;VAR:CALENDAR=FIVEDAY&amp;VAR:SYMBOL=TEVA&amp;VAR:INDEX=0"}</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FDSAUDITLINK__" hidden="1">{"fdsup://directions/FAT Viewer?action=UPDATE&amp;creator=factset&amp;DYN_ARGS=TRUE&amp;DOC_NAME=FAT:FQL_AUDITING_CLIENT_TEMPLATE.FAT&amp;display_string=Audit&amp;VAR:KEY=TQLCLGJUJU&amp;VAR:QUERY=RkZfUEFZX09VVF9SQVRJTyhBTk4sTk9XKQ==&amp;WINDOW=FIRST_POPUP&amp;HEIGHT=450&amp;WIDTH=450&amp;START_MA","XIMIZED=FALSE&amp;VAR:CALENDAR=FIVEDAY&amp;VAR:SYMBOL=SGNT&amp;VAR:INDEX=0"}</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B1">[2]Annual!$G$18</definedName>
    <definedName name="_bdm.02E29E7B1053433EA3CCCBE4E5141596.edm" hidden="1">[3]Sheet1!$A:$IV</definedName>
    <definedName name="_bdm.0465D0F8BD2C4E888AB9C11EA0CBE52C.edm" hidden="1">'[4]rev change analysis'!$A:$IV</definedName>
    <definedName name="_bdm.04C23357C5A8490BAF6A30221A706371.edm" localSheetId="1" hidden="1">'Income Statement'!$B$3:$H$68</definedName>
    <definedName name="_bdm.095F107A54034B8582CD80AA2570113C.edm" localSheetId="2" hidden="1">'Balance Sheet '!$C$3:$K$48</definedName>
    <definedName name="_bdm.09BC54A901694450A0FEE479AF314D26.edm" localSheetId="1" hidden="1">'Income Statement'!$B$3:$J$68</definedName>
    <definedName name="_bdm.0E1751ED0FC84558B3F8F6F144B22B54.edm" hidden="1">'[5]Balance Sheet '!$A:$IV</definedName>
    <definedName name="_bdm.128C70409FB64468BFEA526A6E1EF0FE.edm" hidden="1">[6]NPV_Summary!$A:$IV</definedName>
    <definedName name="_bdm.130B5B53B3474AB6866350F7A006456F.edm" localSheetId="3" hidden="1">Cashflow!$C$3:$P$46</definedName>
    <definedName name="_bdm.1371D2DCB6704F49BCDC1D54A7F66521.edm" localSheetId="3" hidden="1">Cashflow!$C$3:$L$54</definedName>
    <definedName name="_bdm.13F491AB268D4F0594C553156C9A8633.edm" localSheetId="2" hidden="1">'Balance Sheet '!$C$5:$P$48</definedName>
    <definedName name="_bdm.14200C51F23343DBA038D22B6303B8CC.edm" hidden="1">[7]Cashflow!$A:$IV</definedName>
    <definedName name="_bdm.1943620BBD02415A85A574695354714F.edm" hidden="1">'[5]Changes to Model'!$A:$IV</definedName>
    <definedName name="_bdm.1A52463761884FE297F280951FB21C59.edm" localSheetId="3" hidden="1">Cashflow!$C$3:$J$54</definedName>
    <definedName name="_bdm.1D419FC462B94BA5A22ECDB13A48EC9D.edm" hidden="1">Cashflow!$1:$1048576</definedName>
    <definedName name="_bdm.2094C36C117A4066AFB63C43814D9A2A.edm" hidden="1">'[6]Balance Sheet '!$A:$IV</definedName>
    <definedName name="_bdm.214CB663644C469F8ECDCDD002ED0493.edm" localSheetId="3" hidden="1">Cashflow!$C$3:$K$46</definedName>
    <definedName name="_bdm.22794A4B010A4A8692E496303EA793DB.edm" hidden="1">[8]Cashflow!$A:$IV</definedName>
    <definedName name="_bdm.253899CF0E044C2982BA9D9DD90B558E.edm" hidden="1">[6]Cashflow!$A:$IV</definedName>
    <definedName name="_bdm.2910EF8094A040D099A3025477B71EBA.edm" localSheetId="1" hidden="1">'Income Statement'!$B$3:$I$68</definedName>
    <definedName name="_bdm.2C0F1542E6B94ABEA10AA926A80F6D6D.edm" localSheetId="3" hidden="1">Cashflow!$C$3:$I$54</definedName>
    <definedName name="_bdm.2DD2C96D34A94119897BA9F9064DA371.edm" hidden="1">'[9]rev change analysis'!$A:$IV</definedName>
    <definedName name="_bdm.2E656537E1FB4423AC14F34A1A80849D.edm" hidden="1">[6]Annual!$A:$IV</definedName>
    <definedName name="_bdm.3031FEC8208F4AF4A8767B3E0C4690B6.edm" localSheetId="1" hidden="1">'Income Statement'!$B$5:$AF$68</definedName>
    <definedName name="_bdm.31B38A4456914D13B036C519BB497D92.edm" hidden="1">'[10]rev change analysis'!$A:$IV</definedName>
    <definedName name="_bdm.324D53C82F8D478AA4269D3A520A6972.edm" hidden="1">[8]Figures!$A:$IV</definedName>
    <definedName name="_bdm.37E6BDDA51D64107AEC413E364833DAE.edm" hidden="1">'[7]Avastin-Patient Ramp'!$A:$IV</definedName>
    <definedName name="_bdm.384BFCED33ED4B149016C877E23F998D.edm" hidden="1">'[10]short IS'!$A:$IV</definedName>
    <definedName name="_bdm.3A31E62E5D474146BF596689CE56A0F9.edm" localSheetId="1" hidden="1">'Income Statement'!$B$3:$V$68</definedName>
    <definedName name="_bdm.3AE51B349CB64710914C57BF7EAD0F08.edm" hidden="1">[8]Marketing!$A:$IV</definedName>
    <definedName name="_bdm.3B50EB37B52849C880B6F53A1089C822.edm" localSheetId="2" hidden="1">'Balance Sheet '!$C$3:$K$48</definedName>
    <definedName name="_bdm.3E92CD457E7842F989431D87FAA9CA39.edm" localSheetId="3" hidden="1">Cashflow!$C$3:$H$54</definedName>
    <definedName name="_bdm.3EBEE1D0D7F9459BB02657BE2BC4948B.edm" localSheetId="3" hidden="1">Cashflow!$C$3:$K$54</definedName>
    <definedName name="_bdm.3F0426519AAC43C8802854673F2CB0D2.edm" localSheetId="3" hidden="1">Cashflow!$C$3:$I$54</definedName>
    <definedName name="_bdm.43FDE756CFAC4D07AB05FECB90D67589.edm" hidden="1">[5]Annual!$A:$IV</definedName>
    <definedName name="_bdm.473DF40B630C4DD09E58EDD02F6E99F0.edm" localSheetId="1" hidden="1">'Income Statement'!$B$3:$K$69</definedName>
    <definedName name="_bdm.497A1A126E6748E1861B2C215835FDC3.edm" localSheetId="3" hidden="1">Cashflow!$C$3:$H$54</definedName>
    <definedName name="_bdm.4E8770D6D1A24C69A9431C65EBAB80BF.edm" localSheetId="2" hidden="1">'Balance Sheet '!$C$3:$J$48</definedName>
    <definedName name="_bdm.535A5B640B48499BA87E07FB7CCC9095.edm" localSheetId="1" hidden="1">'Income Statement'!$B$3:$K$68</definedName>
    <definedName name="_bdm.54D6F70A0AFA4243A7C0D064A2D8A7EE.edm" localSheetId="1" hidden="1">'Income Statement'!$B$3:$K$68</definedName>
    <definedName name="_bdm.5F1885707D3344F0A4139CF01D1D1F5E.edm" hidden="1">[7]Annual!$A:$IV</definedName>
    <definedName name="_bdm.6262518CDCEC4113AC4AFCABE0394668.edm" hidden="1">'[6]Changes to Model'!$A:$IV</definedName>
    <definedName name="_bdm.652AB1BFA1CA478E843E736C245311F4.edm" hidden="1">'Balance Sheet '!$1:$1048576</definedName>
    <definedName name="_bdm.657A307A78784094A533CD06781014BB.edm" localSheetId="2" hidden="1">'Balance Sheet '!$C$3:$I$48</definedName>
    <definedName name="_bdm.65F9EB696FC746649BC61AD8D778200B.edm" hidden="1">[8]Annual!$A:$IV</definedName>
    <definedName name="_bdm.6D4E3210E8194E1886E9129B7EA5E521.edm" localSheetId="3" hidden="1">Cashflow!$B$3:$I$54</definedName>
    <definedName name="_bdm.728F11F0AFCA412FB7ED10EC5A6B0D96.edm" hidden="1">'[7]Balance Sheet '!$A:$IV</definedName>
    <definedName name="_bdm.72DEA641117C458FB001A8023143E740.edm" hidden="1">'[11]pipeline-handout'!$A:$IV</definedName>
    <definedName name="_bdm.72F0DC6683C240C4948E9AECFCB781DA.edm" localSheetId="3" hidden="1">Cashflow!$C$3:$I$54</definedName>
    <definedName name="_bdm.7317521E367C4A50896524C70180A68C.edm" hidden="1">'[10]2015 rev change'!$A:$IV</definedName>
    <definedName name="_bdm.73A95A9CFC014EFAA89FADA015F55346.edm" hidden="1">[6]Differences!$A:$IV</definedName>
    <definedName name="_bdm.76074D17ADD044A287D271B1AAFC4036.edm" hidden="1">'[10]Product Mix 100%'!$A:$IV</definedName>
    <definedName name="_bdm.77192A69936D48368D0A13E908672759.edm" hidden="1">'[10]cost savings'!$A:$IV</definedName>
    <definedName name="_bdm.77453DAF91854373A25ACDB8F1877D47.edm" hidden="1">'[8]Balance Sheet '!$A:$IV</definedName>
    <definedName name="_bdm.7757076A173D4402BD533DE2F5EDA064.edm" hidden="1">[7]Manufacturing!$A:$IV</definedName>
    <definedName name="_bdm.7B7943CE86414ADB8B6F268E475827E0.edm" hidden="1">[5]Cashflow!$A:$IV</definedName>
    <definedName name="_bdm.7ECC9A435331476F9CA62136B3FB8E50.edm" localSheetId="2" hidden="1">'Balance Sheet '!$C$3:$L$48</definedName>
    <definedName name="_bdm.84819E521CAC4D009FF83703C798D2E5.edm" hidden="1">'[12]RSV Market'!$A:$IV</definedName>
    <definedName name="_bdm.84F38A9759994A80A6CF34B5BBEB633C.edm" hidden="1">'[13]rev change analysis'!$A:$IV</definedName>
    <definedName name="_bdm.928F9B6D27BA4F5D8EAF68ECFF78D546.edm" hidden="1">[5]Differences!$A:$IV</definedName>
    <definedName name="_bdm.9301DDFC67D846248C16E96B86458D94.edm" hidden="1">'[4]rev contribution analysis'!$A:$IV</definedName>
    <definedName name="_bdm.95B3BB646EED4CCE80790D8D8638B047.edm" hidden="1">'[8]MS Est. Vs Actual'!$A:$IV</definedName>
    <definedName name="_bdm.9638F7CDA0E24D9A864572F4377E2CCB.edm" localSheetId="1" hidden="1">'Income Statement'!$B$3:$K$66</definedName>
    <definedName name="_bdm.965469BE46A54D858A5A9107E36F0C62.edm" hidden="1">[12]Quarterly!$A:$IV</definedName>
    <definedName name="_bdm.982B4A4D96C04D0098810CBDBDA1E9E9.edm" localSheetId="1" hidden="1">'Income Statement'!$B$3:$K$68</definedName>
    <definedName name="_bdm.9A8489AC183C4702A31F966B44A57A05.edm" localSheetId="8" hidden="1">'Jakafi - PV'!$B$2:$M$114</definedName>
    <definedName name="_bdm.9E876F5114D24D5FB2AEA142F94379E1.edm" localSheetId="7" hidden="1">'Jakafi - MF'!$B$2:$L$89</definedName>
    <definedName name="_bdm.A14504C4685843CABFA70BDB420D1B49.edm" hidden="1">[8]ProcritAranesp!$A:$IV</definedName>
    <definedName name="_bdm.A544D8C1F8314FC5B3175DC260C173E7.edm" localSheetId="8" hidden="1">'Jakafi - PV'!$B$2:$M$115</definedName>
    <definedName name="_bdm.A61FAF7EA4F34B3C88140B2D0BD4429C.edm" localSheetId="1" hidden="1">'Income Statement'!$AF$35:$AF$35</definedName>
    <definedName name="_bdm.ABB35B0D8C6A49BF96E3505251F041E0.edm" localSheetId="3" hidden="1">Cashflow!$C$3:$I$46</definedName>
    <definedName name="_bdm.AFA08B30539E4070B37F3C7C591C2C4C.edm" localSheetId="3" hidden="1">Cashflow!$C$4:$AC$46</definedName>
    <definedName name="_bdm.B0493B65E3E24280BE113B173E8A24B1.edm" localSheetId="1" hidden="1">'Income Statement'!$B$3:$H$126</definedName>
    <definedName name="_bdm.B11532AAD18B4C8FA5CC7342DD8BC115.edm" localSheetId="1" hidden="1">'Income Statement'!$B$3:$AF$68</definedName>
    <definedName name="_bdm.B21B9DDD275E448CBEA15C84DEF8CA9D.edm" hidden="1">'[7]MS Est vs. Rpt'!$A:$IV</definedName>
    <definedName name="_bdm.B2D5D8E860794AB98ACE143D33354B52.edm" hidden="1">'Jakafi - MF'!$1:$1048576</definedName>
    <definedName name="_bdm.B66DF108AFBB444E931760EF5F17EBB4.edm" hidden="1">'[12]Balance Sheet'!$A:$IV</definedName>
    <definedName name="_bdm.B85DE454E8F64CF3B78CAA357CAB813D.edm" localSheetId="2" hidden="1">'Balance Sheet '!$C$3:$H$48</definedName>
    <definedName name="_bdm.BC1EC85B6B40494C82E569FBA6910794.edm" localSheetId="1" hidden="1">'Income Statement'!$B$3:$I$126</definedName>
    <definedName name="_bdm.BC4C14DF36B3478AB5610C3F6401F9AC.edm" localSheetId="3" hidden="1">Cashflow!$C$3:$K$54</definedName>
    <definedName name="_bdm.C143B498FEE343158C5059FD7AD9D747.edm" hidden="1">'[7]Changes to the Model'!$A:$IV</definedName>
    <definedName name="_bdm.C309130C7BFC414888F62978EECE7E57.edm" localSheetId="2" hidden="1">'Balance Sheet '!$C$3:$I$48</definedName>
    <definedName name="_bdm.CA0B0CAC6522419B8221BEA627D1C086.edm" hidden="1">'[7]Clinical data'!$A:$IV</definedName>
    <definedName name="_bdm.CA0B3AD6743A4F68B0D719ED6EBECAA8.edm" hidden="1">[7]Marketing!$A:$IV</definedName>
    <definedName name="_bdm.CC371B00A82A4F00A568EE3A3290CDC3.edm" hidden="1">'Income Statement'!$1:$1048576</definedName>
    <definedName name="_bdm.CCD0A8B7A103483195C43DF0E916BE36.edm" localSheetId="2" hidden="1">'Balance Sheet '!$C$3:$M$48</definedName>
    <definedName name="_bdm.CD8FC199C2FB4347AC0A8DBB75966227.edm" localSheetId="3" hidden="1">Cashflow!$C$3:$AC$46</definedName>
    <definedName name="_bdm.D2903ABEDD6D479E90E9F78DE31D7B00.edm" localSheetId="1" hidden="1">'Income Statement'!$B$3:$I$126</definedName>
    <definedName name="_bdm.D45CFA4CBC40461DB4000820BE235132.edm" localSheetId="1" hidden="1">'Income Statement'!$B$3:$K$126</definedName>
    <definedName name="_bdm.D5B31E3813644349B8040CF9F24374C6.edm" localSheetId="3" hidden="1">Cashflow!$C$4:$P$54</definedName>
    <definedName name="_bdm.D62C56D71D29461BA9F07EA1ECBE8A98.edm" localSheetId="7" hidden="1">'Jakafi - MF'!$B$2:$L$95</definedName>
    <definedName name="_bdm.D75CE2CA31F04139B4873F60BA408A44.edm" hidden="1">'[12]Changes to Model'!$A:$IV</definedName>
    <definedName name="_bdm.D772239D78A548C79FF55D1B7FC05E71.edm" hidden="1">[6]Quarterly!$A:$IV</definedName>
    <definedName name="_bdm.DA3D26E750D24936AEE5B87A52DD73E7.edm" hidden="1">[8]Quarterly!$A:$IV</definedName>
    <definedName name="_bdm.DB783C6C95634E04B8945F98F5E8BD56.edm" localSheetId="1" hidden="1">'Income Statement'!$B$3:$L$68</definedName>
    <definedName name="_bdm.DB9598F2B05B4D9BB1687D457D7F0697.edm" hidden="1">[6]Variance!$A:$IV</definedName>
    <definedName name="_bdm.DC2BB0DF6DCE4BDEBEBA89716CF248FA.edm" hidden="1">[12]Marketing!$A:$IV</definedName>
    <definedName name="_bdm.DE71922D4AC7406E9E3FAA38F822DEBD.edm" hidden="1">'Jakafi - PV'!$1:$1048576</definedName>
    <definedName name="_bdm.E190A36DF1B948738FA1A1C49C5CFDA2.edm" hidden="1">[5]Quarterly!$A:$IV</definedName>
    <definedName name="_bdm.E1A7199F0C69455AA4E7EAC0FE9D2F95.edm" localSheetId="2" hidden="1">'Balance Sheet '!$C$3:$P$48</definedName>
    <definedName name="_bdm.E21E382C69DA4447AFEB970D63072EC7.edm" hidden="1">[7]Quarterly!$A:$IV</definedName>
    <definedName name="_bdm.E2B991B7B5454C4CBE252B2B73D6513B.edm" hidden="1">[14]Margins!$A:$IV</definedName>
    <definedName name="_bdm.E740C0FDA4514EE4A13531D2644E24FE.edm" hidden="1">'[8]Changes to Model'!$A:$IV</definedName>
    <definedName name="_bdm.E93CF733CE1D4A5A94E3C95B0A7E783E.edm" hidden="1">[7]Model_Template!$A:$IV</definedName>
    <definedName name="_bdm.EC0DC432166447C695E0311AC83C205B.edm" hidden="1">'[5]MS Est vs Rep'!$A:$IV</definedName>
    <definedName name="_bdm.ECCA4ED6A0FF4A47A92424808183115A.edm" hidden="1">[6]INCY.O!$A:$IV</definedName>
    <definedName name="_bdm.F0D73515AC3D4919BC3602806970DE2D.edm" hidden="1">'[10]Per Pharma Traditional &amp; Biolog'!$A:$IV</definedName>
    <definedName name="_bdm.F503F160FFA641EDB1AD757205401861.edm" hidden="1">'[14]rev change analysis'!$A:$IV</definedName>
    <definedName name="_bdm.F9A36C1ECB354CD5A0195568EC57D28D.edm" localSheetId="8" hidden="1">'Jakafi - PV'!$B$2:$M$115</definedName>
    <definedName name="_D1">[2]Annual!$I$18</definedName>
    <definedName name="_differences">[6]Differences!$A$1:$F$46</definedName>
    <definedName name="_F1">[2]Annual!$K$18</definedName>
    <definedName name="_fy2001">'[1]5 yr Sales and Earnings'!$C$1:$C$170</definedName>
    <definedName name="_Inc01">[15]IS!$AP$7:$AQ$38</definedName>
    <definedName name="_Inc02">[15]IS!$AW$7:$AX$38</definedName>
    <definedName name="_Inc96">[15]IS!$I$7:$J$38</definedName>
    <definedName name="_Inc97">[15]IS!$O$7:$P$38</definedName>
    <definedName name="_Inc98">[15]IS!$U$7:$W$38</definedName>
    <definedName name="_Inc99">[15]IS!$AB$7:$AB$38</definedName>
    <definedName name="_new1"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Order1" hidden="1">255</definedName>
    <definedName name="_RD01">[16]Annual!$E$21</definedName>
    <definedName name="_RD02">[16]Annual!$F$21</definedName>
    <definedName name="_RD03">[16]Annual!$G$21</definedName>
    <definedName name="_RD04">[16]Annual!$I$21</definedName>
    <definedName name="_RD05">[16]Annual!$K$21</definedName>
    <definedName name="_RD06">[16]Annual!$M$21</definedName>
    <definedName name="_RD07">[17]Annual!$O$16</definedName>
    <definedName name="_rev1">[18]Sheet1!$A$8:$G$103</definedName>
    <definedName name="_rev2">[18]Sheet1!$A$105:$G$155</definedName>
    <definedName name="_rev3">[18]Sheet1!$A$157:$G$197</definedName>
    <definedName name="_scenchg_count">1</definedName>
    <definedName name="abc" localSheetId="7" hidden="1">{"cover a","1q",FALSE,"Cover";"Op Earn Mgd Q1",#N/A,FALSE,"Op-Earn (Mng)";"Op Earn Rpt Q1",#N/A,FALSE,"Op-Earn (Rpt)";"Loans",#N/A,FALSE,"Loans";"Credit Costs",#N/A,FALSE,"CCosts";"Net Interest Margin",#N/A,FALSE,"Margin";"Nonint Income",#N/A,FALSE,"NonII";"Nonint Exp",#N/A,FALSE,"NonIE";"Valuation",#N/A,FALSE,"Valuation"}</definedName>
    <definedName name="abc" localSheetId="8" hidden="1">{"cover a","1q",FALSE,"Cover";"Op Earn Mgd Q1",#N/A,FALSE,"Op-Earn (Mng)";"Op Earn Rpt Q1",#N/A,FALSE,"Op-Earn (Rpt)";"Loans",#N/A,FALSE,"Loans";"Credit Costs",#N/A,FALSE,"CCosts";"Net Interest Margin",#N/A,FALSE,"Margin";"Nonint Income",#N/A,FALSE,"NonII";"Nonint Exp",#N/A,FALSE,"NonIE";"Valuation",#N/A,FALSE,"Valuation"}</definedName>
    <definedName name="abc" hidden="1">{"cover a","1q",FALSE,"Cover";"Op Earn Mgd Q1",#N/A,FALSE,"Op-Earn (Mng)";"Op Earn Rpt Q1",#N/A,FALSE,"Op-Earn (Rpt)";"Loans",#N/A,FALSE,"Loans";"Credit Costs",#N/A,FALSE,"CCosts";"Net Interest Margin",#N/A,FALSE,"Margin";"Nonint Income",#N/A,FALSE,"NonII";"Nonint Exp",#N/A,FALSE,"NonIE";"Valuation",#N/A,FALSE,"Valuation"}</definedName>
    <definedName name="AboutCompGraph" localSheetId="11">'Bari Royalties'!AboutCompGraph</definedName>
    <definedName name="AboutCompGraph" localSheetId="10">'Bari Summary'!AboutCompGraph</definedName>
    <definedName name="AboutCompGraph" localSheetId="13">'RA - EU'!AboutCompGraph</definedName>
    <definedName name="AboutCompGraph" localSheetId="12">'RA - US'!AboutCompGraph</definedName>
    <definedName name="AboutCompGraph">[0]!AboutCompGraph</definedName>
    <definedName name="Accupril">'[1]5 yr Sales and Earnings'!$A$9:$AA$9</definedName>
    <definedName name="AdditionalInstructions">IndexInformation!$B$42</definedName>
    <definedName name="Address" localSheetId="0">ImportantDisclosures!$A$2:$A$2</definedName>
    <definedName name="adsf">'[19]Qtr Sales'!$BS$2:$CT$127</definedName>
    <definedName name="AHC_CAPEX">[20]BalanceSheet!$A$75:$IV$75</definedName>
    <definedName name="AHC_CAPEX_2004">[20]BalanceSheet!$S$75</definedName>
    <definedName name="AHC_CAPEX_2005">[20]BalanceSheet!$T$75</definedName>
    <definedName name="AHC_CAPEX_2006">[20]BalanceSheet!$U$75</definedName>
    <definedName name="AHC_CAPEX_2007">[20]BalanceSheet!$V$75</definedName>
    <definedName name="AHC_CAPEX_Chems">[20]BalanceSheet!$A$82:$IV$82</definedName>
    <definedName name="AHC_CAPEX_EP">[20]BalanceSheet!$A$76:$IV$76</definedName>
    <definedName name="AHC_CAPEX_EP_2004">[20]BalanceSheet!$S$76</definedName>
    <definedName name="AHC_CAPEX_EP_2005">[20]BalanceSheet!$T$76</definedName>
    <definedName name="AHC_CAPEX_EP_2006">[20]BalanceSheet!$U$76</definedName>
    <definedName name="AHC_CAPEX_EP_2007">[20]BalanceSheet!$V$76</definedName>
    <definedName name="AHC_CAPEX_Other">[20]BalanceSheet!$A$85:$IV$85</definedName>
    <definedName name="AHC_CAPEX_Other_2004">[20]BalanceSheet!$S$85</definedName>
    <definedName name="AHC_CAPEX_Other_2005">[20]BalanceSheet!$T$85</definedName>
    <definedName name="AHC_CAPEX_Other_2006">[20]BalanceSheet!$U$85</definedName>
    <definedName name="AHC_CAPEX_Other_2007">[20]BalanceSheet!$V$85</definedName>
    <definedName name="AHC_CAPEX_RM">[20]BalanceSheet!$A$79:$IV$79</definedName>
    <definedName name="AHC_CAPEX_RM_2004">[20]BalanceSheet!$S$79</definedName>
    <definedName name="AHC_CAPEX_RM_2005">[20]BalanceSheet!$T$79</definedName>
    <definedName name="AHC_CAPEX_RM_2006">[20]BalanceSheet!$U$79</definedName>
    <definedName name="AHC_CAPEX_RM_2007">[20]BalanceSheet!$V$79</definedName>
    <definedName name="ALXN">'[21]P&amp;L'!$A$1:$AF$64</definedName>
    <definedName name="Amortization_expense">'[1]5 yr Sales and Earnings'!$A$69:$AA$69</definedName>
    <definedName name="ANA" localSheetId="19">ModPubIndex!$A$7</definedName>
    <definedName name="ANDROGEN">[22]Sheet1!$A$1:$J$53</definedName>
    <definedName name="Annotate_Area">[18]Sheet1!$AL$3</definedName>
    <definedName name="AnnotateClearSet">[18]Sheet1!$AF$7</definedName>
    <definedName name="AnnotateNoteClear">[18]Sheet1!$G$3</definedName>
    <definedName name="AnnotateNoteReturn">[18]Sheet1!$F$3</definedName>
    <definedName name="AnnotateNoteSet">[18]Sheet1!$AE$7</definedName>
    <definedName name="AnnotateStart">[18]Sheet1!$AH$3</definedName>
    <definedName name="anscount" localSheetId="11" hidden="1">1</definedName>
    <definedName name="anscount" localSheetId="10" hidden="1">1</definedName>
    <definedName name="anscount" localSheetId="13" hidden="1">1</definedName>
    <definedName name="anscount" localSheetId="12" hidden="1">1</definedName>
    <definedName name="anscount" hidden="1">2</definedName>
    <definedName name="Aricept">'[1]5 yr Sales and Earnings'!$A$17:$AA$17</definedName>
    <definedName name="Aricept__Int_l_revenues">'[1]5 yr Sales and Earnings'!$A$17:$AA$17</definedName>
    <definedName name="AROYAL2">'[23]FEES-R&amp;D'!$A$62:$L$124</definedName>
    <definedName name="asd" localSheetId="7"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localSheetId="8"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f" localSheetId="7" hidden="1">{"Salesass",#N/A,FALSE,"assumpt"}</definedName>
    <definedName name="asdf" localSheetId="8" hidden="1">{"Salesass",#N/A,FALSE,"assumpt"}</definedName>
    <definedName name="asdf">'[19]Qtr Sales'!$DR$2:$EK$127</definedName>
    <definedName name="asfd">'[19]Qtr Sales'!$EM$2:$FJ$127</definedName>
    <definedName name="ATEMPSALES">'[23]ANN-SALES'!$A$47:$Y$75</definedName>
    <definedName name="Authors" localSheetId="0">ImportantDisclosures!$A$7</definedName>
    <definedName name="Authors" localSheetId="18">IndexInformation!$B$18</definedName>
    <definedName name="AvgPrice">[18]Sheet1!$Z$4</definedName>
    <definedName name="AxesFormat" localSheetId="11">'Bari Royalties'!AxesFormat</definedName>
    <definedName name="AxesFormat" localSheetId="10">'Bari Summary'!AxesFormat</definedName>
    <definedName name="AxesFormat" localSheetId="13">'RA - EU'!AxesFormat</definedName>
    <definedName name="AxesFormat" localSheetId="12">'RA - US'!AxesFormat</definedName>
    <definedName name="AxesFormat">[0]!AxesFormat</definedName>
    <definedName name="b">'[24]Qtr Margin'!$A$1:$O$77</definedName>
    <definedName name="BackFromCompanySelector" localSheetId="11">'Bari Royalties'!BackFromCompanySelector</definedName>
    <definedName name="BackFromCompanySelector" localSheetId="10">'Bari Summary'!BackFromCompanySelector</definedName>
    <definedName name="BackFromCompanySelector" localSheetId="13">'RA - EU'!BackFromCompanySelector</definedName>
    <definedName name="BackFromCompanySelector" localSheetId="12">'RA - US'!BackFromCompanySelector</definedName>
    <definedName name="BackFromCompanySelector">[0]!BackFromCompanySelector</definedName>
    <definedName name="BackFromItemSelect" localSheetId="11">'Bari Royalties'!BackFromItemSelect</definedName>
    <definedName name="BackFromItemSelect" localSheetId="10">'Bari Summary'!BackFromItemSelect</definedName>
    <definedName name="BackFromItemSelect" localSheetId="13">'RA - EU'!BackFromItemSelect</definedName>
    <definedName name="BackFromItemSelect" localSheetId="12">'RA - US'!BackFromItemSelect</definedName>
    <definedName name="BackFromItemSelect">[0]!BackFromItemSelect</definedName>
    <definedName name="Bad">{"Client Name or Project Name"}</definedName>
    <definedName name="BasicEPS02">[25]Annual!$F$27</definedName>
    <definedName name="BasicEPS03">[25]Annual!$H$27</definedName>
    <definedName name="BasicEPS04">[25]Annual!$J$27</definedName>
    <definedName name="BasicEPS2002">[26]Annual!$F$51</definedName>
    <definedName name="BasicEPS2004">[27]Annual!$J$38</definedName>
    <definedName name="BasicEPS2006">[27]Annual!$N$38</definedName>
    <definedName name="bDown" localSheetId="11">'Bari Royalties'!bDown</definedName>
    <definedName name="bDown" localSheetId="10">'Bari Summary'!bDown</definedName>
    <definedName name="bDown" localSheetId="13">'RA - EU'!bDown</definedName>
    <definedName name="bDown" localSheetId="12">'RA - US'!bDown</definedName>
    <definedName name="bDown">[0]!bDown</definedName>
    <definedName name="BeginDate">[18]Sheet1!$S$4</definedName>
    <definedName name="BeginDateSet">[18]Sheet1!$AJ$6</definedName>
    <definedName name="BeginReturn">[18]Sheet1!$Q$4:$S$4</definedName>
    <definedName name="Bextra">'[1]5 yr Sales and Earnings'!$A$21:$AA$21</definedName>
    <definedName name="BlackWhiteNote">[18]Sheet1!$I$9</definedName>
    <definedName name="BlackWhiteSet">[18]Sheet1!$AF$1</definedName>
    <definedName name="bLeft" localSheetId="11">'Bari Royalties'!bLeft</definedName>
    <definedName name="bLeft" localSheetId="10">'Bari Summary'!bLeft</definedName>
    <definedName name="bLeft" localSheetId="13">'RA - EU'!bLeft</definedName>
    <definedName name="bLeft" localSheetId="12">'RA - US'!bLeft</definedName>
    <definedName name="bLeft">[0]!bLeft</definedName>
    <definedName name="bRight" localSheetId="11">'Bari Royalties'!bRight</definedName>
    <definedName name="bRight" localSheetId="10">'Bari Summary'!bRight</definedName>
    <definedName name="bRight" localSheetId="13">'RA - EU'!bRight</definedName>
    <definedName name="bRight" localSheetId="12">'RA - US'!bRight</definedName>
    <definedName name="bRight">[0]!bRight</definedName>
    <definedName name="BRO" localSheetId="19">ModPubIndex!$A$1</definedName>
    <definedName name="bUp" localSheetId="11">'Bari Royalties'!bUp</definedName>
    <definedName name="bUp" localSheetId="10">'Bari Summary'!bUp</definedName>
    <definedName name="bUp" localSheetId="13">'RA - EU'!bUp</definedName>
    <definedName name="bUp" localSheetId="12">'RA - US'!bUp</definedName>
    <definedName name="bUp">[0]!bUp</definedName>
    <definedName name="Caduet">'[1]5 yr Sales and Earnings'!$A$12:$AA$12</definedName>
    <definedName name="Camptosar">'[1]5 yr Sales and Earnings'!$A$31:$AA$31</definedName>
    <definedName name="Capravirine">'[1]5 yr Sales and Earnings'!$A$40:$AA$40</definedName>
    <definedName name="Cardura">'[1]5 yr Sales and Earnings'!$A$8:$AA$8</definedName>
    <definedName name="Cash2001">'[28]Balance Sheet'!$K$7</definedName>
    <definedName name="Cash2002">'[28]Balance Sheet'!$L$7</definedName>
    <definedName name="Cash2003">'[28]Balance Sheet'!$M$7</definedName>
    <definedName name="Cash2004">'[28]Balance Sheet'!$N$7</definedName>
    <definedName name="Cash2005">'[28]Balance Sheet'!$O$7</definedName>
    <definedName name="cd">'[24]Qtr Income'!$A$1:$V$156</definedName>
    <definedName name="Celebrex">'[1]5 yr Sales and Earnings'!$A$20:$AA$20</definedName>
    <definedName name="Cellsdown">[18]Sheet1!$X$5</definedName>
    <definedName name="CETP_Inhibitor">'[1]5 yr Sales and Earnings'!$A$41:$AA$41</definedName>
    <definedName name="CF_BOE_1998">'[20]E&amp;P'!$J$379</definedName>
    <definedName name="CF_BOE_1999">'[20]E&amp;P'!$K$379</definedName>
    <definedName name="CF_BOE_2000">'[20]E&amp;P'!$L$379</definedName>
    <definedName name="CF_BOE_2001">'[20]E&amp;P'!$M$379</definedName>
    <definedName name="CF_BOE_2002">'[20]E&amp;P'!$N$379</definedName>
    <definedName name="CF_BOE_2003">'[20]E&amp;P'!$O$379</definedName>
    <definedName name="CF_BOE_2004">'[20]E&amp;P'!$P$379</definedName>
    <definedName name="CF_BOE_2005">'[20]E&amp;P'!$Q$379</definedName>
    <definedName name="CF_BOE_2006">'[20]E&amp;P'!$R$379</definedName>
    <definedName name="CF_BOE_2007">'[20]E&amp;P'!$S$379</definedName>
    <definedName name="CF_BOE_2008">'[20]E&amp;P'!$T$379</definedName>
    <definedName name="ChangeSize" localSheetId="11">'Bari Royalties'!ChangeSize</definedName>
    <definedName name="ChangeSize" localSheetId="10">'Bari Summary'!ChangeSize</definedName>
    <definedName name="ChangeSize" localSheetId="13">'RA - EU'!ChangeSize</definedName>
    <definedName name="ChangeSize" localSheetId="12">'RA - US'!ChangeSize</definedName>
    <definedName name="ChangeSize">[0]!ChangeSize</definedName>
    <definedName name="Chart6b">[18]Sheet1!$K$71:$S$98</definedName>
    <definedName name="ChartOptions" localSheetId="11">'Bari Royalties'!ChartOptions</definedName>
    <definedName name="ChartOptions" localSheetId="10">'Bari Summary'!ChartOptions</definedName>
    <definedName name="ChartOptions" localSheetId="13">'RA - EU'!ChartOptions</definedName>
    <definedName name="ChartOptions" localSheetId="12">'RA - US'!ChartOptions</definedName>
    <definedName name="ChartOptions">[0]!ChartOptions</definedName>
    <definedName name="ChartType">[18]Sheet1!$F$5</definedName>
    <definedName name="ChartTypeChange" localSheetId="11">'Bari Royalties'!ChartTypeChange</definedName>
    <definedName name="ChartTypeChange" localSheetId="10">'Bari Summary'!ChartTypeChange</definedName>
    <definedName name="ChartTypeChange" localSheetId="13">'RA - EU'!ChartTypeChange</definedName>
    <definedName name="ChartTypeChange" localSheetId="12">'RA - US'!ChartTypeChange</definedName>
    <definedName name="ChartTypeChange">[0]!ChartTypeChange</definedName>
    <definedName name="ClearCompList" localSheetId="11">'Bari Royalties'!ClearCompList</definedName>
    <definedName name="ClearCompList" localSheetId="10">'Bari Summary'!ClearCompList</definedName>
    <definedName name="ClearCompList" localSheetId="13">'RA - EU'!ClearCompList</definedName>
    <definedName name="ClearCompList" localSheetId="12">'RA - US'!ClearCompList</definedName>
    <definedName name="ClearCompList">[0]!ClearCompList</definedName>
    <definedName name="ClipBoardRange">[18]Sheet1!$C$19:$O$33</definedName>
    <definedName name="co_acc_curr">[29]Info!$E$16</definedName>
    <definedName name="co_acc_currm">[29]Info!$F$16</definedName>
    <definedName name="co_name">[29]Info!$E$11</definedName>
    <definedName name="co_year_end">[29]Info!$E$13</definedName>
    <definedName name="COGS_ex._cost_savings">'[1]5 yr Sales and Earnings'!$A$122:$AA$122</definedName>
    <definedName name="ColorNoteReturn">[18]Sheet1!$H$9</definedName>
    <definedName name="ColorNoteSet">[18]Sheet1!$AE$1</definedName>
    <definedName name="Company1">[18]Sheet1!$X$22:$X$275</definedName>
    <definedName name="Company2">[18]Sheet1!$Y$22:$Y$275</definedName>
    <definedName name="Company3">[18]Sheet1!$Z$22:$Z$275</definedName>
    <definedName name="Company4">[18]Sheet1!$AA$22:$AA$276</definedName>
    <definedName name="CompanyChangeSize" localSheetId="11">'Bari Royalties'!CompanyChangeSize</definedName>
    <definedName name="CompanyChangeSize" localSheetId="10">'Bari Summary'!CompanyChangeSize</definedName>
    <definedName name="CompanyChangeSize" localSheetId="13">'RA - EU'!CompanyChangeSize</definedName>
    <definedName name="CompanyChangeSize" localSheetId="12">'RA - US'!CompanyChangeSize</definedName>
    <definedName name="CompanyChangeSize">[0]!CompanyChangeSize</definedName>
    <definedName name="CompanyLookup" localSheetId="11">'Bari Royalties'!CompanyLookup</definedName>
    <definedName name="CompanyLookup" localSheetId="10">'Bari Summary'!CompanyLookup</definedName>
    <definedName name="CompanyLookup" localSheetId="13">'RA - EU'!CompanyLookup</definedName>
    <definedName name="CompanyLookup" localSheetId="12">'RA - US'!CompanyLookup</definedName>
    <definedName name="CompanyLookup">[0]!CompanyLookup</definedName>
    <definedName name="CompanyName">[11]summary!$J$7</definedName>
    <definedName name="CompanyName1">[18]Sheet1!$AF$3</definedName>
    <definedName name="CompanyName2">[18]Sheet1!$AF$4</definedName>
    <definedName name="CompanyName3">[18]Sheet1!$AF$5</definedName>
    <definedName name="CompanyName4">[18]Sheet1!$AF$6</definedName>
    <definedName name="Competition">[30]Tables!$A$1:$D$13</definedName>
    <definedName name="CompgraphHelp" localSheetId="11">'Bari Royalties'!CompgraphHelp</definedName>
    <definedName name="CompgraphHelp" localSheetId="10">'Bari Summary'!CompgraphHelp</definedName>
    <definedName name="CompgraphHelp" localSheetId="13">'RA - EU'!CompgraphHelp</definedName>
    <definedName name="CompgraphHelp" localSheetId="12">'RA - US'!CompgraphHelp</definedName>
    <definedName name="CompgraphHelp">[0]!CompgraphHelp</definedName>
    <definedName name="complookup" localSheetId="11">'Bari Royalties'!complookup</definedName>
    <definedName name="complookup" localSheetId="10">'Bari Summary'!complookup</definedName>
    <definedName name="complookup" localSheetId="13">'RA - EU'!complookup</definedName>
    <definedName name="complookup" localSheetId="12">'RA - US'!complookup</definedName>
    <definedName name="complookup">[0]!complookup</definedName>
    <definedName name="CompositeBuilder" localSheetId="11">'Bari Royalties'!CompositeBuilder</definedName>
    <definedName name="CompositeBuilder" localSheetId="10">'Bari Summary'!CompositeBuilder</definedName>
    <definedName name="CompositeBuilder" localSheetId="13">'RA - EU'!CompositeBuilder</definedName>
    <definedName name="CompositeBuilder" localSheetId="12">'RA - US'!CompositeBuilder</definedName>
    <definedName name="CompositeBuilder">[0]!CompositeBuilder</definedName>
    <definedName name="Concentration_of_Pharmaceutical_Revenues">'[1]5 yr Sales and Earnings'!$A$105:$AA$105</definedName>
    <definedName name="Confectionery">'[1]5 yr Sales and Earnings'!$A$92:$AA$92</definedName>
    <definedName name="Consolidated_Sales">'[1]5 yr Sales and Earnings'!$A$93:$AA$93</definedName>
    <definedName name="Consumer_Health">'[1]5 yr Sales and Earnings'!$A$91:$AA$91</definedName>
    <definedName name="COP_BS_EP_2004">[31]BalanceSheet!$Q$68</definedName>
    <definedName name="COP_BS_EP_2005">[31]BalanceSheet!$R$68</definedName>
    <definedName name="COP_BS_EP_2006">[31]BalanceSheet!$S$68</definedName>
    <definedName name="CopyrightStamp">ImportantDisclosures!$A$27</definedName>
    <definedName name="CoSelectorOutputs" localSheetId="11">'Bari Royalties'!CoSelectorOutputs</definedName>
    <definedName name="CoSelectorOutputs" localSheetId="10">'Bari Summary'!CoSelectorOutputs</definedName>
    <definedName name="CoSelectorOutputs" localSheetId="13">'RA - EU'!CoSelectorOutputs</definedName>
    <definedName name="CoSelectorOutputs" localSheetId="12">'RA - US'!CoSelectorOutputs</definedName>
    <definedName name="CoSelectorOutputs">[0]!CoSelectorOutputs</definedName>
    <definedName name="Cost_Savings">'[1]5 yr Sales and Earnings'!$A$123:$AA$123</definedName>
    <definedName name="Costs_as_a___of_Sales">'[1]5 yr Sales and Earnings'!$A$120:$AA$120</definedName>
    <definedName name="COU" localSheetId="19">ModPubIndex!$A$5</definedName>
    <definedName name="CQEnd" localSheetId="18">IndexInformation!$B$31</definedName>
    <definedName name="Currency" localSheetId="18">IndexInformation!$B$24</definedName>
    <definedName name="CurrencyCell">[18]Sheet1!$X$4</definedName>
    <definedName name="CurrencySymbol">[18]Sheet1!$Y$4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rsorSet">[18]Sheet1!$A$15</definedName>
    <definedName name="CUSIP" localSheetId="18">IndexInformation!$B$20</definedName>
    <definedName name="CustomChart" localSheetId="11">'Bari Royalties'!CustomChart</definedName>
    <definedName name="CustomChart" localSheetId="10">'Bari Summary'!CustomChart</definedName>
    <definedName name="CustomChart" localSheetId="13">'RA - EU'!CustomChart</definedName>
    <definedName name="CustomChart" localSheetId="12">'RA - US'!CustomChart</definedName>
    <definedName name="CustomChart">[0]!CustomChart</definedName>
    <definedName name="CYEnd" localSheetId="18">IndexInformation!$B$30</definedName>
    <definedName name="d" localSheetId="11">[32]Financial!$A$175:$K$190</definedName>
    <definedName name="d" localSheetId="10">[32]Financial!$A$175:$K$190</definedName>
    <definedName name="d" localSheetId="13">[32]Financial!$A$175:$K$190</definedName>
    <definedName name="d" localSheetId="12">[32]Financial!$A$175:$K$190</definedName>
    <definedName name="d">'[24]Qrt Sales'!$A$3:$AM$133</definedName>
    <definedName name="daf">'[19]Qtr Sales'!$AH$2:$BQ$127</definedName>
    <definedName name="DAN">[33]APCCMP!$A$2:$W$72</definedName>
    <definedName name="DataAdjust">[18]Sheet1!$W$21</definedName>
    <definedName name="DataOptions">[18]Sheet1!$V$1</definedName>
    <definedName name="DataRange">[18]Sheet1!$W$21:$Z$275</definedName>
    <definedName name="dataseries4">OFFSET([34]c1!$G$12,0,0,COUNTA([34]c1!$G$12:$G$31),1)</definedName>
    <definedName name="Date" localSheetId="0">ImportantDisclosures!$A$8</definedName>
    <definedName name="DateChange">[18]Sheet1!$Q$3</definedName>
    <definedName name="DateColumn">[18]Sheet1!$W$22:$W$275</definedName>
    <definedName name="DateReturn">[18]Sheet1!$S$3</definedName>
    <definedName name="DateSet">[18]Sheet1!$AJ$1</definedName>
    <definedName name="dDownEnd">[18]Sheet1!$N$9</definedName>
    <definedName name="ddownNames">[18]Sheet1!$L$3:$O$10</definedName>
    <definedName name="DDownStart">[18]Sheet1!$K$3</definedName>
    <definedName name="Deleted" localSheetId="18">IndexInformation!$B$27</definedName>
    <definedName name="Description" localSheetId="18">IndexInformation!$B$7</definedName>
    <definedName name="Detail1">[32]Financial!$A$141:$K$174</definedName>
    <definedName name="Detrol">'[1]5 yr Sales and Earnings'!$A$29:$AA$29</definedName>
    <definedName name="DEVELOPMENT">5</definedName>
    <definedName name="df">'[24]Qrt Sales'!$A$3:$AM$133</definedName>
    <definedName name="dfa">'[24]Qrt Sales'!$BV$3:$DA$133</definedName>
    <definedName name="dfsa">'[19]Qtr Sales'!$A$2:$AF$127</definedName>
    <definedName name="Did" localSheetId="7" hidden="1">{"Salesass",#N/A,FALSE,"assumpt"}</definedName>
    <definedName name="Did" localSheetId="8" hidden="1">{"Salesass",#N/A,FALSE,"assumpt"}</definedName>
    <definedName name="Did" hidden="1">{"Salesass",#N/A,FALSE,"assumpt"}</definedName>
    <definedName name="Diflucan">'[1]5 yr Sales and Earnings'!$A$24:$AA$24</definedName>
    <definedName name="dil">[35]Annual!$I$31</definedName>
    <definedName name="DilEPS01">[25]Annual!$D$28</definedName>
    <definedName name="DilEPS04">[36]Annual!$I$27</definedName>
    <definedName name="DilEPS05">[25]Annual!$L$28</definedName>
    <definedName name="DilutedEPS2003">[27]Annual!$H$37</definedName>
    <definedName name="DilutedEPS2004">[27]Annual!$J$37</definedName>
    <definedName name="DilutedEPS2005">[27]Annual!$L$37</definedName>
    <definedName name="DilutedEPS2006">[27]Annual!$N$37</definedName>
    <definedName name="DilutedShares2003">[26]Annual!$R$57</definedName>
    <definedName name="DilutedShares2004">[26]Annual!$V$57</definedName>
    <definedName name="DilutedShares2005">[26]Annual!$Y$57</definedName>
    <definedName name="Disc._Operations">'[1]5 yr Sales and Earnings'!$A$73:$AA$73</definedName>
    <definedName name="Discipline" localSheetId="18">IndexInformation!$B$3</definedName>
    <definedName name="DISCIPLINE" localSheetId="19">ModPubIndex!$A$12</definedName>
    <definedName name="DisclosuresText">ImportantDisclosures!$A$22</definedName>
    <definedName name="DismissItemDlog" localSheetId="11">'Bari Royalties'!DismissItemDlog</definedName>
    <definedName name="DismissItemDlog" localSheetId="10">'Bari Summary'!DismissItemDlog</definedName>
    <definedName name="DismissItemDlog" localSheetId="13">'RA - EU'!DismissItemDlog</definedName>
    <definedName name="DismissItemDlog" localSheetId="12">'RA - US'!DismissItemDlog</definedName>
    <definedName name="DismissItemDlog">[0]!DismissItemDlog</definedName>
    <definedName name="Distribution" localSheetId="18">IndexInformation!$B$26</definedName>
    <definedName name="DistTable" localSheetId="0">ImportantDisclosures!#REF!</definedName>
    <definedName name="DistTablePreamble" localSheetId="0">ImportantDisclosures!#REF!</definedName>
    <definedName name="DOCDAT" localSheetId="19">ModPubIndex!$A$2</definedName>
    <definedName name="DOCTIME" localSheetId="19">ModPubIndex!$A$3</definedName>
    <definedName name="DocType" localSheetId="18">IndexInformation!$B$5</definedName>
    <definedName name="Drugs">[0]!Drugs</definedName>
    <definedName name="dsaf">'[19]Qtr Sales'!$CV$2:$DP$127</definedName>
    <definedName name="dsf">'[19]Qtr Margin'!$A$1:$N$75</definedName>
    <definedName name="Dynastat_Parecoxib__US_launch">'[1]5 yr Sales and Earnings'!$A$22:$AA$22</definedName>
    <definedName name="e">'[24]Qrt Sales'!$AO$3:$BT$133</definedName>
    <definedName name="editgraph" localSheetId="11">'Bari Royalties'!editgraph</definedName>
    <definedName name="editgraph" localSheetId="10">'Bari Summary'!editgraph</definedName>
    <definedName name="editgraph" localSheetId="13">'RA - EU'!editgraph</definedName>
    <definedName name="editgraph" localSheetId="12">'RA - US'!editgraph</definedName>
    <definedName name="editgraph">[0]!editgraph</definedName>
    <definedName name="EditReturn">[18]Sheet1!$B$3</definedName>
    <definedName name="Ellence">'[1]5 yr Sales and Earnings'!$A$32:$AA$32</definedName>
    <definedName name="EMAIL_ALERT" localSheetId="19">ModPubIndex!$A$10</definedName>
    <definedName name="EmailAlert" localSheetId="18">IndexInformation!$B$28</definedName>
    <definedName name="enable" localSheetId="11">'Bari Royalties'!enable</definedName>
    <definedName name="enable" localSheetId="10">'Bari Summary'!enable</definedName>
    <definedName name="enable" localSheetId="13">'RA - EU'!enable</definedName>
    <definedName name="enable" localSheetId="12">'RA - US'!enable</definedName>
    <definedName name="enable">[0]!enable</definedName>
    <definedName name="endcell">[18]Sheet1!$Z$275</definedName>
    <definedName name="EndDate">[18]Sheet1!$S$6</definedName>
    <definedName name="EndDateCell">[18]Sheet1!$F$9</definedName>
    <definedName name="EndDateSet">[18]Sheet1!$AJ$8</definedName>
    <definedName name="EndReturn">[18]Sheet1!$Q$6:$S$6</definedName>
    <definedName name="EPS1Q03">[38]Quarterly!$CH$40</definedName>
    <definedName name="ex_CHF_EUR">'[39]Roche Sales (from G.Parry)'!$A$7:$IV$7</definedName>
    <definedName name="ex_CHF_JPY">'[39]Roche Sales (from G.Parry)'!$A$8:$IV$8</definedName>
    <definedName name="ex_CHF_USD">'[39]Roche Sales (from G.Parry)'!$A$6:$IV$6</definedName>
    <definedName name="ex_JPY_CHF">'[39]Roche Sales (from G.Parry)'!$A$10:$IV$10</definedName>
    <definedName name="ex_JPY_USD">'[39]Roche Sales (from G.Parry)'!$A$9:$IV$9</definedName>
    <definedName name="ExitCompanySelector" localSheetId="11">'Bari Royalties'!ExitCompanySelector</definedName>
    <definedName name="ExitCompanySelector" localSheetId="10">'Bari Summary'!ExitCompanySelector</definedName>
    <definedName name="ExitCompanySelector" localSheetId="13">'RA - EU'!ExitCompanySelector</definedName>
    <definedName name="ExitCompanySelector" localSheetId="12">'RA - US'!ExitCompanySelector</definedName>
    <definedName name="ExitCompanySelector">[0]!ExitCompanySelector</definedName>
    <definedName name="ExitFormat" localSheetId="11">'Bari Royalties'!ExitFormat</definedName>
    <definedName name="ExitFormat" localSheetId="10">'Bari Summary'!ExitFormat</definedName>
    <definedName name="ExitFormat" localSheetId="13">'RA - EU'!ExitFormat</definedName>
    <definedName name="ExitFormat" localSheetId="12">'RA - US'!ExitFormat</definedName>
    <definedName name="ExitFormat">[0]!ExitFormat</definedName>
    <definedName name="ExitItemBuilder" localSheetId="11">'Bari Royalties'!ExitItemBuilder</definedName>
    <definedName name="ExitItemBuilder" localSheetId="10">'Bari Summary'!ExitItemBuilder</definedName>
    <definedName name="ExitItemBuilder" localSheetId="13">'RA - EU'!ExitItemBuilder</definedName>
    <definedName name="ExitItemBuilder" localSheetId="12">'RA - US'!ExitItemBuilder</definedName>
    <definedName name="ExitItemBuilder">[0]!ExitItemBuilder</definedName>
    <definedName name="exitMainMenu" localSheetId="11">'Bari Royalties'!exitMainMenu</definedName>
    <definedName name="exitMainMenu" localSheetId="10">'Bari Summary'!exitMainMenu</definedName>
    <definedName name="exitMainMenu" localSheetId="13">'RA - EU'!exitMainMenu</definedName>
    <definedName name="exitMainMenu" localSheetId="12">'RA - US'!exitMainMenu</definedName>
    <definedName name="exitMainMenu">[0]!exitMainMenu</definedName>
    <definedName name="exitmsg" localSheetId="11">'Bari Royalties'!exitmsg</definedName>
    <definedName name="exitmsg" localSheetId="10">'Bari Summary'!exitmsg</definedName>
    <definedName name="exitmsg" localSheetId="13">'RA - EU'!exitmsg</definedName>
    <definedName name="exitmsg" localSheetId="12">'RA - US'!exitmsg</definedName>
    <definedName name="exitmsg">[0]!exitmsg</definedName>
    <definedName name="ExitReturn">[18]Sheet1!$D$3</definedName>
    <definedName name="ExportSpot">[18]Sheet1!$AD$3</definedName>
    <definedName name="Exubera">'[1]5 yr Sales and Earnings'!$A$37:$AA$37</definedName>
    <definedName name="f">'[24]Qrt Sales'!$BV$3:$DA$133</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0_1_aSrv" hidden="1">[40]Comparison!$P$106</definedName>
    <definedName name="FDP_1_1_aDrv" hidden="1">[40]Comparison!$T$18</definedName>
    <definedName name="FDP_10_1_aUrv" hidden="1">[40]Comparison!$AA$21</definedName>
    <definedName name="FDP_100_1_aUrv" hidden="1">[40]Comparison!$E$96</definedName>
    <definedName name="FDP_101_1_aUrv" hidden="1">[40]Comparison!$E$97</definedName>
    <definedName name="FDP_102_1_aSrv" hidden="1">[40]Comparison!$E$98</definedName>
    <definedName name="FDP_103_1_aSrv" hidden="1">[40]Comparison!$E$100</definedName>
    <definedName name="FDP_104_1_aUrv" hidden="1">[40]Comparison!$E$101</definedName>
    <definedName name="FDP_105_1_aUrv" hidden="1">[40]Comparison!$E$102</definedName>
    <definedName name="FDP_106_1_aUrv" hidden="1">[40]Comparison!$E$103</definedName>
    <definedName name="FDP_107_1_aUrv" hidden="1">[40]Comparison!$E$104</definedName>
    <definedName name="FDP_108_1_aUrv" hidden="1">[40]Comparison!$E$105</definedName>
    <definedName name="FDP_109_1_aUrv" hidden="1">[40]Comparison!$E$106</definedName>
    <definedName name="FDP_11_1_aUrv" hidden="1">[40]Comparison!$AA$22</definedName>
    <definedName name="FDP_110_1_aUrv" hidden="1">[40]Comparison!$E$107</definedName>
    <definedName name="FDP_111_1_aUrv" hidden="1">[40]Comparison!$E$108</definedName>
    <definedName name="FDP_112_1_aUrv" hidden="1">[40]Comparison!$E$109</definedName>
    <definedName name="FDP_113_1_aUrv" hidden="1">[40]Comparison!$E$110</definedName>
    <definedName name="FDP_114_1_aUrv" hidden="1">[40]Comparison!$E$111</definedName>
    <definedName name="FDP_115_1_aSrv" hidden="1">[40]Comparison!$E$112</definedName>
    <definedName name="FDP_116_1_aSrv" hidden="1">[40]Comparison!$E$113</definedName>
    <definedName name="FDP_117_1_aUrv" hidden="1">[40]Comparison!$E$118</definedName>
    <definedName name="FDP_118_1_aUrv" hidden="1">[40]Comparison!$E$119</definedName>
    <definedName name="FDP_119_1_aUrv" hidden="1">[40]Comparison!$E$120</definedName>
    <definedName name="FDP_12_1_aUrv" hidden="1">[40]Comparison!$AA$23</definedName>
    <definedName name="FDP_120_1_aUrv" hidden="1">[40]Comparison!$E$121</definedName>
    <definedName name="FDP_121_1_aUrv" hidden="1">[40]Comparison!$E$122</definedName>
    <definedName name="FDP_122_1_aUrv" hidden="1">[40]Comparison!$E$123</definedName>
    <definedName name="FDP_123_1_aUrv" hidden="1">[40]Comparison!$E$124</definedName>
    <definedName name="FDP_124_1_aSrv" hidden="1">[40]Comparison!$E$125</definedName>
    <definedName name="FDP_125_1_aUrv" hidden="1">[40]Comparison!$E$127</definedName>
    <definedName name="FDP_126_1_aUrv" hidden="1">[40]Comparison!$E$128</definedName>
    <definedName name="FDP_127_1_aUrv" hidden="1">[40]Comparison!$E$129</definedName>
    <definedName name="FDP_128_1_aUrv" hidden="1">[40]Comparison!$E$130</definedName>
    <definedName name="FDP_129_1_aUrv" hidden="1">[40]Comparison!$E$131</definedName>
    <definedName name="FDP_13_1_aUrv" hidden="1">[40]Comparison!$AA$24</definedName>
    <definedName name="FDP_130_1_aUrv" hidden="1">[40]Comparison!$E$132</definedName>
    <definedName name="FDP_131_1_aUrv" hidden="1">[40]Comparison!$E$133</definedName>
    <definedName name="FDP_132_1_aSrv" hidden="1">[40]Comparison!$E$134</definedName>
    <definedName name="FDP_133_1_aSrv" hidden="1">[40]Comparison!$E$135</definedName>
    <definedName name="FDP_134_1_aUrv" hidden="1">[40]Comparison!$E$137</definedName>
    <definedName name="FDP_135_1_aUrv" hidden="1">[40]Comparison!$E$140</definedName>
    <definedName name="FDP_136_1_aUrv" hidden="1">[40]Comparison!$E$141</definedName>
    <definedName name="FDP_137_1_aSrv" hidden="1">[40]Comparison!$P$141</definedName>
    <definedName name="FDP_138_1_aSrv" hidden="1">[40]Comparison!$E$142</definedName>
    <definedName name="FDP_139_1_aSrv" hidden="1">[40]Comparison!$E$143</definedName>
    <definedName name="FDP_14_1_aUrv" hidden="1">[40]Comparison!$K$1</definedName>
    <definedName name="FDP_140_1_aSrv" hidden="1">[40]Comparison!$E$153</definedName>
    <definedName name="FDP_141_1_aUrv" hidden="1">[40]Comparison!$E$154</definedName>
    <definedName name="FDP_142_1_aUrv" hidden="1">[40]Comparison!$E$155</definedName>
    <definedName name="FDP_143_1_aUrv" hidden="1">[40]Comparison!$E$156</definedName>
    <definedName name="FDP_144_1_aUrv" hidden="1">[40]Comparison!$E$157</definedName>
    <definedName name="FDP_145_1_aUrv" hidden="1">[40]Comparison!$E$160</definedName>
    <definedName name="FDP_146_1_aUrv" hidden="1">[40]Comparison!$E$161</definedName>
    <definedName name="FDP_147_1_aUrv" hidden="1">[40]Comparison!$E$162</definedName>
    <definedName name="FDP_148_1_aUrv" hidden="1">[40]Comparison!$E$163</definedName>
    <definedName name="FDP_149_1_aUrv" hidden="1">[40]Comparison!$E$164</definedName>
    <definedName name="FDP_15_1_aUrv" hidden="1">[40]Comparison!$F$1</definedName>
    <definedName name="FDP_150_1_aUrv" hidden="1">[40]Comparison!$E$165</definedName>
    <definedName name="FDP_151_1_aUrv" hidden="1">[40]Comparison!$E$166</definedName>
    <definedName name="FDP_152_1_aUrv" hidden="1">[40]Comparison!$E$167</definedName>
    <definedName name="FDP_153_1_aUrv" hidden="1">[40]Comparison!$E$168</definedName>
    <definedName name="FDP_154_1_aUrv" hidden="1">[40]Comparison!$E$169</definedName>
    <definedName name="FDP_155_1_aUrv" hidden="1">[40]Comparison!$E$170</definedName>
    <definedName name="FDP_156_1_aUrv" hidden="1">[40]Comparison!$E$171</definedName>
    <definedName name="FDP_157_1_aUrv" hidden="1">[40]Comparison!$E$172</definedName>
    <definedName name="FDP_158_1_aUrv" hidden="1">[40]Comparison!$E$173</definedName>
    <definedName name="FDP_159_1_aSrv" hidden="1">[40]Comparison!$E$174</definedName>
    <definedName name="FDP_16_1_aUrv" hidden="1">[40]Comparison!$K$3</definedName>
    <definedName name="FDP_160_1_aUrv" hidden="1">[40]Comparison!$E$175</definedName>
    <definedName name="FDP_161_1_aSrv" hidden="1">[40]Comparison!$E$176</definedName>
    <definedName name="FDP_162_1_aUrv" hidden="1">[40]Comparison!$E$178</definedName>
    <definedName name="FDP_163_1_aUrv" hidden="1">[40]Comparison!$E$180</definedName>
    <definedName name="FDP_164_1_aUrv" hidden="1">[40]Comparison!$E$179</definedName>
    <definedName name="FDP_165_1_aUrv" localSheetId="7" hidden="1">[40]Comparison!$E$181</definedName>
    <definedName name="FDP_165_1_aUrv" localSheetId="8" hidden="1">[40]Comparison!$E$181</definedName>
    <definedName name="FDP_166_1_aUrv" localSheetId="7" hidden="1">[40]Comparison!$E$183</definedName>
    <definedName name="FDP_166_1_aUrv" localSheetId="8" hidden="1">[40]Comparison!$E$183</definedName>
    <definedName name="FDP_167_1_aUrv" localSheetId="7" hidden="1">[40]Comparison!$E$184</definedName>
    <definedName name="FDP_167_1_aUrv" localSheetId="8" hidden="1">[40]Comparison!$E$184</definedName>
    <definedName name="FDP_168_1_aSrv" localSheetId="7" hidden="1">[40]Comparison!$E$182</definedName>
    <definedName name="FDP_168_1_aSrv" localSheetId="8" hidden="1">[40]Comparison!$E$182</definedName>
    <definedName name="FDP_169_1_aSrv" hidden="1">[40]Comparison!$E$185</definedName>
    <definedName name="FDP_17_1_aUrv" hidden="1">[40]Comparison!$R$3</definedName>
    <definedName name="FDP_170_1_aUrv" hidden="1">[40]Comparison!$E$186</definedName>
    <definedName name="FDP_171_1_aSrv" hidden="1">[40]Comparison!$E$187</definedName>
    <definedName name="FDP_172_1_aUrv" localSheetId="7" hidden="1">[40]Comparison!$E$189</definedName>
    <definedName name="FDP_172_1_aUrv" localSheetId="8" hidden="1">[40]Comparison!$E$189</definedName>
    <definedName name="FDP_173_1_aUrv" localSheetId="7" hidden="1">[40]Comparison!$E$190</definedName>
    <definedName name="FDP_173_1_aUrv" localSheetId="8" hidden="1">[40]Comparison!$E$190</definedName>
    <definedName name="FDP_174_1_aSrv" localSheetId="7" hidden="1">[40]Comparison!$E$191</definedName>
    <definedName name="FDP_174_1_aSrv" localSheetId="8" hidden="1">[40]Comparison!$E$191</definedName>
    <definedName name="FDP_175_1_aUrv" localSheetId="7" hidden="1">[40]Comparison!$E$192</definedName>
    <definedName name="FDP_175_1_aUrv" localSheetId="8" hidden="1">[40]Comparison!$E$192</definedName>
    <definedName name="FDP_176_1_aUrv" localSheetId="7" hidden="1">[40]Comparison!$E$193</definedName>
    <definedName name="FDP_176_1_aUrv" localSheetId="8" hidden="1">[40]Comparison!$E$193</definedName>
    <definedName name="FDP_177_1_aSrv" localSheetId="7" hidden="1">[40]Comparison!$E$194</definedName>
    <definedName name="FDP_177_1_aSrv" localSheetId="8" hidden="1">[40]Comparison!$E$194</definedName>
    <definedName name="FDP_178_1_aUrv" hidden="1">[40]Comparison!$E$195</definedName>
    <definedName name="FDP_179_1_aUrv" hidden="1">[40]Comparison!$E$196</definedName>
    <definedName name="FDP_18_1_aUrv" hidden="1">[40]Comparison!$E$6</definedName>
    <definedName name="FDP_18_1_rUrv" hidden="1">[40]Comparison!$E$5</definedName>
    <definedName name="FDP_180_1_aSrv" localSheetId="7" hidden="1">[40]Comparison!$E$197</definedName>
    <definedName name="FDP_180_1_aSrv" localSheetId="8" hidden="1">[40]Comparison!$E$197</definedName>
    <definedName name="FDP_181_1_aUrv" localSheetId="7" hidden="1">[40]Comparison!$E$198</definedName>
    <definedName name="FDP_181_1_aUrv" localSheetId="8" hidden="1">[40]Comparison!$E$198</definedName>
    <definedName name="FDP_182_1_aSrv" localSheetId="7" hidden="1">[40]Comparison!$E$199</definedName>
    <definedName name="FDP_182_1_aSrv" localSheetId="8" hidden="1">[40]Comparison!$E$199</definedName>
    <definedName name="FDP_183_1_aUrv" hidden="1">[40]Comparison!$E$200</definedName>
    <definedName name="FDP_184_1_aUrv" localSheetId="7" hidden="1">[40]Comparison!$E$205</definedName>
    <definedName name="FDP_184_1_aUrv" localSheetId="8" hidden="1">[40]Comparison!$E$205</definedName>
    <definedName name="FDP_185_1_aSrv" localSheetId="7" hidden="1">[40]Comparison!$E$206</definedName>
    <definedName name="FDP_185_1_aSrv" localSheetId="8" hidden="1">[40]Comparison!$E$206</definedName>
    <definedName name="FDP_186_1_aUrv" localSheetId="7" hidden="1">[40]Comparison!$E$207</definedName>
    <definedName name="FDP_186_1_aUrv" localSheetId="8" hidden="1">[40]Comparison!$E$207</definedName>
    <definedName name="FDP_187_1_aUrv" hidden="1">[40]Comparison!$E$208</definedName>
    <definedName name="FDP_188_1_aUrv" localSheetId="7" hidden="1">[40]Comparison!$E$209</definedName>
    <definedName name="FDP_188_1_aUrv" localSheetId="8" hidden="1">[40]Comparison!$E$209</definedName>
    <definedName name="FDP_189_1_aUrv" localSheetId="7" hidden="1">[40]Comparison!$E$210</definedName>
    <definedName name="FDP_189_1_aUrv" localSheetId="8" hidden="1">[40]Comparison!$E$210</definedName>
    <definedName name="FDP_19_1_aUrv" hidden="1">[40]Comparison!$E$8</definedName>
    <definedName name="FDP_190_1_aUrv" localSheetId="7" hidden="1">[40]Comparison!$E$211</definedName>
    <definedName name="FDP_190_1_aUrv" localSheetId="8" hidden="1">[40]Comparison!$E$211</definedName>
    <definedName name="FDP_191_1_aUrv" localSheetId="7" hidden="1">[40]Comparison!$E$212</definedName>
    <definedName name="FDP_191_1_aUrv" localSheetId="8" hidden="1">[40]Comparison!$E$212</definedName>
    <definedName name="FDP_192_1_aUrv" hidden="1">[40]Comparison!$E$213</definedName>
    <definedName name="FDP_193_1_aUrv" localSheetId="7" hidden="1">[40]Comparison!$E$214</definedName>
    <definedName name="FDP_193_1_aUrv" localSheetId="8" hidden="1">[40]Comparison!$E$214</definedName>
    <definedName name="FDP_194_1_aUrv" localSheetId="7" hidden="1">[40]Comparison!$E$215</definedName>
    <definedName name="FDP_194_1_aUrv" localSheetId="8" hidden="1">[40]Comparison!$E$215</definedName>
    <definedName name="FDP_195_1_aUrv" localSheetId="7" hidden="1">[40]Comparison!$E$216</definedName>
    <definedName name="FDP_195_1_aUrv" localSheetId="8" hidden="1">[40]Comparison!$E$216</definedName>
    <definedName name="FDP_196_1_aUrv" hidden="1">[40]Comparison!$E$217</definedName>
    <definedName name="FDP_197_1_aSrv" hidden="1">[40]Comparison!$E$218</definedName>
    <definedName name="FDP_198_1_aUrv" hidden="1">[40]Comparison!$E$219</definedName>
    <definedName name="FDP_199_1_aUrv" localSheetId="7" hidden="1">[40]Comparison!$E$221</definedName>
    <definedName name="FDP_199_1_aUrv" localSheetId="8" hidden="1">[40]Comparison!$E$221</definedName>
    <definedName name="FDP_2_1_aUrv" hidden="1">[40]Comparison!$V$21</definedName>
    <definedName name="FDP_20_1_aUrv" hidden="1">[40]Comparison!$E$9</definedName>
    <definedName name="FDP_200_1_aUrv" localSheetId="7" hidden="1">[40]Comparison!$E$222</definedName>
    <definedName name="FDP_200_1_aUrv" localSheetId="8" hidden="1">[40]Comparison!$E$222</definedName>
    <definedName name="FDP_201_1_aUrv" localSheetId="7" hidden="1">[40]Comparison!$E$223</definedName>
    <definedName name="FDP_201_1_aUrv" localSheetId="8" hidden="1">[40]Comparison!$E$223</definedName>
    <definedName name="FDP_202_1_aUrv" localSheetId="7" hidden="1">[40]Comparison!$E$224</definedName>
    <definedName name="FDP_202_1_aUrv" localSheetId="8" hidden="1">[40]Comparison!$E$224</definedName>
    <definedName name="FDP_203_1_aUrv" hidden="1">[40]Comparison!$E$225</definedName>
    <definedName name="FDP_204_1_aUrv" localSheetId="7" hidden="1">[40]Comparison!$E$226</definedName>
    <definedName name="FDP_204_1_aUrv" localSheetId="8" hidden="1">[40]Comparison!$E$226</definedName>
    <definedName name="FDP_205_1_aUrv" localSheetId="7" hidden="1">[40]Comparison!$E$227</definedName>
    <definedName name="FDP_205_1_aUrv" localSheetId="8" hidden="1">[40]Comparison!$E$227</definedName>
    <definedName name="FDP_206_1_aUrv" localSheetId="7" hidden="1">[40]Comparison!$E$228</definedName>
    <definedName name="FDP_206_1_aUrv" localSheetId="8" hidden="1">[40]Comparison!$E$228</definedName>
    <definedName name="FDP_207_1_aUrv" localSheetId="7" hidden="1">[40]Comparison!$E$233</definedName>
    <definedName name="FDP_207_1_aUrv" localSheetId="8" hidden="1">[40]Comparison!$E$233</definedName>
    <definedName name="FDP_208_1_aUrv" hidden="1">[40]Comparison!$E$234</definedName>
    <definedName name="FDP_209_1_aUrv" localSheetId="7" hidden="1">[40]Comparison!$E$235</definedName>
    <definedName name="FDP_209_1_aUrv" localSheetId="8" hidden="1">[40]Comparison!$E$235</definedName>
    <definedName name="FDP_21_1_aUrv" hidden="1">[40]Comparison!$E$10</definedName>
    <definedName name="FDP_210_1_aUrv" localSheetId="7" hidden="1">[40]Comparison!$E$236</definedName>
    <definedName name="FDP_210_1_aUrv" localSheetId="8" hidden="1">[40]Comparison!$E$236</definedName>
    <definedName name="FDP_211_1_aUrv" localSheetId="7" hidden="1">[40]Comparison!$E$237</definedName>
    <definedName name="FDP_211_1_aUrv" localSheetId="8" hidden="1">[40]Comparison!$E$237</definedName>
    <definedName name="FDP_212_1_aUrv" localSheetId="7" hidden="1">[40]Comparison!$E$239</definedName>
    <definedName name="FDP_212_1_aUrv" localSheetId="8" hidden="1">[40]Comparison!$E$239</definedName>
    <definedName name="FDP_213_1_aUrv" hidden="1">[40]Comparison!$E$240</definedName>
    <definedName name="FDP_214_1_aUrv" localSheetId="7" hidden="1">[40]Comparison!$E$241</definedName>
    <definedName name="FDP_214_1_aUrv" localSheetId="8" hidden="1">[40]Comparison!$E$241</definedName>
    <definedName name="FDP_215_1_aUrv" localSheetId="7" hidden="1">[40]Comparison!$E$242</definedName>
    <definedName name="FDP_215_1_aUrv" localSheetId="8" hidden="1">[40]Comparison!$E$242</definedName>
    <definedName name="FDP_216_1_aSrv" hidden="1">[40]Comparison!$E$238</definedName>
    <definedName name="FDP_217_1_aUrv" localSheetId="7" hidden="1">[40]Comparison!$E$243</definedName>
    <definedName name="FDP_217_1_aUrv" localSheetId="8" hidden="1">[40]Comparison!$E$243</definedName>
    <definedName name="FDP_218_1_aUrv" hidden="1">[40]Comparison!$E$244</definedName>
    <definedName name="FDP_219_1_aUrv" hidden="1">[40]Comparison!$E$245</definedName>
    <definedName name="FDP_22_1_aUrv" hidden="1">[40]Comparison!$E$11</definedName>
    <definedName name="FDP_220_1_aUrv" hidden="1">[40]Comparison!$E$246</definedName>
    <definedName name="FDP_221_1_aUrv" hidden="1">[40]Comparison!$E$247</definedName>
    <definedName name="FDP_222_1_aUrv" hidden="1">[40]Comparison!$E$248</definedName>
    <definedName name="FDP_223_1_aUrv" hidden="1">[40]Comparison!$E$250</definedName>
    <definedName name="FDP_224_1_aSrv" hidden="1">[40]Comparison!$E$258</definedName>
    <definedName name="FDP_225_1_aSrv" hidden="1">[40]Comparison!$E$261</definedName>
    <definedName name="FDP_226_1_aSrv" hidden="1">[40]Comparison!$E$262</definedName>
    <definedName name="FDP_227_1_aSrv" hidden="1">[40]Comparison!$E$264</definedName>
    <definedName name="FDP_228_1_aSrv" localSheetId="7" hidden="1">[40]Comparison!$E$265</definedName>
    <definedName name="FDP_228_1_aSrv" localSheetId="8" hidden="1">[40]Comparison!$E$265</definedName>
    <definedName name="FDP_229_1_aSrv" localSheetId="7" hidden="1">[40]Comparison!$E$266</definedName>
    <definedName name="FDP_229_1_aSrv" localSheetId="8" hidden="1">[40]Comparison!$E$266</definedName>
    <definedName name="FDP_23_1_aUrv" hidden="1">[40]Comparison!$E$12</definedName>
    <definedName name="FDP_230_1_aSrv" localSheetId="7" hidden="1">[40]Comparison!$E$269</definedName>
    <definedName name="FDP_230_1_aSrv" localSheetId="8" hidden="1">[40]Comparison!$E$269</definedName>
    <definedName name="FDP_231_1_aSrv" localSheetId="7" hidden="1">[40]Comparison!$E$270</definedName>
    <definedName name="FDP_231_1_aSrv" localSheetId="8" hidden="1">[40]Comparison!$E$270</definedName>
    <definedName name="FDP_232_1_aSrv" localSheetId="7" hidden="1">[40]Comparison!$E$273</definedName>
    <definedName name="FDP_232_1_aSrv" localSheetId="8" hidden="1">[40]Comparison!$E$273</definedName>
    <definedName name="FDP_233_1_aSrv" localSheetId="7" hidden="1">[40]Comparison!$E$274</definedName>
    <definedName name="FDP_233_1_aSrv" localSheetId="8" hidden="1">[40]Comparison!$E$274</definedName>
    <definedName name="FDP_234_1_aSrv" hidden="1">[40]Comparison!$E$275</definedName>
    <definedName name="FDP_235_1_aSrv" hidden="1">[40]Comparison!$E$280</definedName>
    <definedName name="FDP_236_1_aSrv" hidden="1">[40]Comparison!$E$289</definedName>
    <definedName name="FDP_237_1_aSrv" hidden="1">[40]Comparison!$E$290</definedName>
    <definedName name="FDP_238_1_aSrv" localSheetId="7" hidden="1">[40]Comparison!$E$291</definedName>
    <definedName name="FDP_238_1_aSrv" localSheetId="8" hidden="1">[40]Comparison!$E$291</definedName>
    <definedName name="FDP_239_1_aSrv" hidden="1">[40]Comparison!$E$292</definedName>
    <definedName name="FDP_24_1_aSrv" hidden="1">[40]Comparison!$E$13</definedName>
    <definedName name="FDP_240_1_aSrv" hidden="1">[40]Comparison!$E$303</definedName>
    <definedName name="FDP_241_1_aSrv" hidden="1">[40]Comparison!$E$304</definedName>
    <definedName name="FDP_242_1_aSrv" hidden="1">[40]Comparison!$E$305</definedName>
    <definedName name="FDP_243_1_aSrv" localSheetId="7" hidden="1">[40]Comparison!$E$306</definedName>
    <definedName name="FDP_243_1_aSrv" localSheetId="8" hidden="1">[40]Comparison!$E$306</definedName>
    <definedName name="FDP_244_1_aSrv" localSheetId="7" hidden="1">[40]Comparison!$E$307</definedName>
    <definedName name="FDP_244_1_aSrv" localSheetId="8" hidden="1">[40]Comparison!$E$307</definedName>
    <definedName name="FDP_245_1_aSrv" localSheetId="7" hidden="1">[40]Comparison!$E$308</definedName>
    <definedName name="FDP_245_1_aSrv" localSheetId="8" hidden="1">[40]Comparison!$E$308</definedName>
    <definedName name="FDP_246_1_aSrv" localSheetId="7" hidden="1">[40]Comparison!$E$309</definedName>
    <definedName name="FDP_246_1_aSrv" localSheetId="8" hidden="1">[40]Comparison!$E$309</definedName>
    <definedName name="FDP_247_1_aSrv" localSheetId="7" hidden="1">[40]Comparison!$E$310</definedName>
    <definedName name="FDP_247_1_aSrv" localSheetId="8" hidden="1">[40]Comparison!$E$310</definedName>
    <definedName name="FDP_248_1_aSrv" localSheetId="7" hidden="1">[40]Comparison!$E$311</definedName>
    <definedName name="FDP_248_1_aSrv" localSheetId="8" hidden="1">[40]Comparison!$E$311</definedName>
    <definedName name="FDP_249_1_aSrv" localSheetId="7" hidden="1">[40]Comparison!$E$312</definedName>
    <definedName name="FDP_249_1_aSrv" localSheetId="8" hidden="1">[40]Comparison!$E$312</definedName>
    <definedName name="FDP_25_1_aUrv" hidden="1">[40]Comparison!$E$14</definedName>
    <definedName name="FDP_250_1_aSrv" localSheetId="7" hidden="1">[40]Comparison!$E$313</definedName>
    <definedName name="FDP_250_1_aSrv" localSheetId="8" hidden="1">[40]Comparison!$E$313</definedName>
    <definedName name="FDP_251_1_aSrv" localSheetId="7" hidden="1">[40]Comparison!$E$314</definedName>
    <definedName name="FDP_251_1_aSrv" localSheetId="8" hidden="1">[40]Comparison!$E$314</definedName>
    <definedName name="FDP_252_1_aSrv" localSheetId="7" hidden="1">[40]Comparison!$E$315</definedName>
    <definedName name="FDP_252_1_aSrv" localSheetId="8" hidden="1">[40]Comparison!$E$315</definedName>
    <definedName name="FDP_253_1_aSrv" localSheetId="7" hidden="1">[40]Comparison!$E$316</definedName>
    <definedName name="FDP_253_1_aSrv" localSheetId="8" hidden="1">[40]Comparison!$E$316</definedName>
    <definedName name="FDP_254_1_aSrv" localSheetId="7" hidden="1">[40]Comparison!$E$317</definedName>
    <definedName name="FDP_254_1_aSrv" localSheetId="8" hidden="1">[40]Comparison!$E$317</definedName>
    <definedName name="FDP_255_1_aSrv" localSheetId="7" hidden="1">[40]Comparison!$E$318</definedName>
    <definedName name="FDP_255_1_aSrv" localSheetId="8" hidden="1">[40]Comparison!$E$318</definedName>
    <definedName name="FDP_256_1_aSrv" localSheetId="7" hidden="1">[40]Comparison!$E$319</definedName>
    <definedName name="FDP_256_1_aSrv" localSheetId="8" hidden="1">[40]Comparison!$E$319</definedName>
    <definedName name="FDP_257_1_aSrv" localSheetId="7" hidden="1">[40]Comparison!$E$320</definedName>
    <definedName name="FDP_257_1_aSrv" localSheetId="8" hidden="1">[40]Comparison!$E$320</definedName>
    <definedName name="FDP_258_1_aSrv" localSheetId="7" hidden="1">[40]Comparison!$E$321</definedName>
    <definedName name="FDP_258_1_aSrv" localSheetId="8" hidden="1">[40]Comparison!$E$321</definedName>
    <definedName name="FDP_259_1_aSrv" localSheetId="7" hidden="1">[40]Comparison!$E$322</definedName>
    <definedName name="FDP_259_1_aSrv" localSheetId="8" hidden="1">[40]Comparison!$E$322</definedName>
    <definedName name="FDP_26_1_aUrv" hidden="1">[40]Comparison!$E$15</definedName>
    <definedName name="FDP_260_1_aSrv" localSheetId="7" hidden="1">[40]Comparison!$E$323</definedName>
    <definedName name="FDP_260_1_aSrv" localSheetId="8" hidden="1">[40]Comparison!$E$323</definedName>
    <definedName name="FDP_261_1_aSrv" localSheetId="7" hidden="1">[40]Comparison!$E$324</definedName>
    <definedName name="FDP_261_1_aSrv" localSheetId="8" hidden="1">[40]Comparison!$E$324</definedName>
    <definedName name="FDP_262_1_aSrv" hidden="1">[40]Comparison!$E$325</definedName>
    <definedName name="FDP_263_1_aSrv" hidden="1">[40]Comparison!$E$326</definedName>
    <definedName name="FDP_264_1_aSrv" hidden="1">[40]Comparison!$E$327</definedName>
    <definedName name="FDP_265_1_aSrv" hidden="1">[40]Comparison!$E$328</definedName>
    <definedName name="FDP_266_1_aSrv" hidden="1">[40]Comparison!$E$329</definedName>
    <definedName name="FDP_267_1_aSrv" hidden="1">[40]Comparison!$E$330</definedName>
    <definedName name="FDP_268_1_aSrv" hidden="1">[40]Comparison!$E$331</definedName>
    <definedName name="FDP_269_1_aSrv" hidden="1">[40]Comparison!$E$332</definedName>
    <definedName name="FDP_27_1_aUrv" hidden="1">[40]Comparison!$E$16</definedName>
    <definedName name="FDP_270_1_aSrv" hidden="1">[40]Comparison!$E$333</definedName>
    <definedName name="FDP_271_1_aSrv" hidden="1">[40]Comparison!$E$334</definedName>
    <definedName name="FDP_272_1_aSrv" hidden="1">[40]Comparison!$E$335</definedName>
    <definedName name="FDP_273_1_aSrv" hidden="1">[40]Comparison!$E$336</definedName>
    <definedName name="FDP_274_1_aSrv" hidden="1">[40]Comparison!$E$23</definedName>
    <definedName name="FDP_275_1_aSrv" hidden="1">[40]Comparison!$E$24</definedName>
    <definedName name="FDP_276_1_aSrv" hidden="1">[40]Comparison!$E$29</definedName>
    <definedName name="FDP_277_1_aSrv" hidden="1">[40]Comparison!$E$28</definedName>
    <definedName name="FDP_278_1_aSrv" hidden="1">[40]Comparison!$E$30</definedName>
    <definedName name="FDP_279_1_aSrv" localSheetId="7" hidden="1">[40]Comparison!$E$31</definedName>
    <definedName name="FDP_279_1_aSrv" localSheetId="8" hidden="1">[40]Comparison!$E$31</definedName>
    <definedName name="FDP_28_1_aUrv" hidden="1">[40]Comparison!$E$17</definedName>
    <definedName name="FDP_280_1_aSrv" localSheetId="7" hidden="1">[40]Comparison!$E$33</definedName>
    <definedName name="FDP_280_1_aSrv" localSheetId="8" hidden="1">[40]Comparison!$E$33</definedName>
    <definedName name="FDP_281_1_aSrv" localSheetId="7" hidden="1">[40]Comparison!$E$35</definedName>
    <definedName name="FDP_281_1_aSrv" localSheetId="8" hidden="1">[40]Comparison!$E$35</definedName>
    <definedName name="FDP_282_1_aSrv" localSheetId="7" hidden="1">[40]Comparison!$F$36</definedName>
    <definedName name="FDP_282_1_aSrv" localSheetId="8" hidden="1">[40]Comparison!$F$36</definedName>
    <definedName name="FDP_283_1_aSrv" localSheetId="7" hidden="1">[40]Comparison!$F$37</definedName>
    <definedName name="FDP_283_1_aSrv" localSheetId="8" hidden="1">[40]Comparison!$F$37</definedName>
    <definedName name="FDP_284_1_aSrv" hidden="1">[40]Comparison!$E$38</definedName>
    <definedName name="FDP_285_1_aSrv" hidden="1">[40]Comparison!$E$39</definedName>
    <definedName name="FDP_286_1_aSrv" hidden="1">[40]Comparison!$E$43</definedName>
    <definedName name="FDP_287_1_aSrv" hidden="1">[40]Comparison!$E$44</definedName>
    <definedName name="FDP_288_1_aSrv" hidden="1">[40]Comparison!$E$45</definedName>
    <definedName name="FDP_289_1_aSrv" hidden="1">[40]Comparison!$E$46</definedName>
    <definedName name="FDP_29_1_aUrv" hidden="1">[40]Comparison!$E$18</definedName>
    <definedName name="FDP_290_1_aSrv" hidden="1">[40]Comparison!$E$47</definedName>
    <definedName name="FDP_291_1_aSrv" hidden="1">[40]Comparison!$E$49</definedName>
    <definedName name="FDP_292_1_aSrv" hidden="1">[40]Comparison!$E$50</definedName>
    <definedName name="FDP_293_1_aSrv" hidden="1">[40]Comparison!$E$51</definedName>
    <definedName name="FDP_294_1_aSrv" hidden="1">[40]Comparison!$E$61</definedName>
    <definedName name="FDP_295_1_aSrv" hidden="1">[40]Comparison!$E$65</definedName>
    <definedName name="FDP_296_1_aSrv" hidden="1">[40]Comparison!$E$85</definedName>
    <definedName name="FDP_297_1_aSrv" hidden="1">[40]Comparison!$E$88</definedName>
    <definedName name="FDP_298_1_aSrv" hidden="1">[40]Comparison!$E$95</definedName>
    <definedName name="FDP_299_1_aSrv" hidden="1">[40]Comparison!$E$96</definedName>
    <definedName name="FDP_3_1_aUrv" hidden="1">[40]Comparison!$V$22</definedName>
    <definedName name="FDP_30_1_aSrv" hidden="1">[40]Comparison!$E$19</definedName>
    <definedName name="FDP_300_1_aSrv" hidden="1">[40]Comparison!$E$104</definedName>
    <definedName name="FDP_301_1_aSrv" hidden="1">[40]Comparison!$E$112</definedName>
    <definedName name="FDP_302_1_aSrv" hidden="1">[40]Comparison!$E$113</definedName>
    <definedName name="FDP_303_1_aSrv" hidden="1">[40]Comparison!$E$131</definedName>
    <definedName name="FDP_304_1_aSrv" hidden="1">[40]Comparison!$E$136</definedName>
    <definedName name="FDP_305_1_aSrv" hidden="1">[40]Comparison!$E$146</definedName>
    <definedName name="FDP_306_1_aSrv" hidden="1">[40]Comparison!$E$165</definedName>
    <definedName name="FDP_307_1_aSrv" hidden="1">[40]Comparison!$E$169</definedName>
    <definedName name="FDP_308_1_aSrv" hidden="1">[40]Comparison!$E$171</definedName>
    <definedName name="FDP_309_1_aSrv" hidden="1">[40]Comparison!$E$172</definedName>
    <definedName name="FDP_31_1_aSrv" hidden="1">[40]Comparison!$E$20</definedName>
    <definedName name="FDP_310_1_aSrv" hidden="1">[40]Comparison!$E$178</definedName>
    <definedName name="FDP_311_1_aSrv" hidden="1">[40]Comparison!$E$179</definedName>
    <definedName name="FDP_312_1_aSrv" hidden="1">[40]Comparison!$E$180</definedName>
    <definedName name="FDP_313_1_aSrv" hidden="1">[40]Comparison!$P$184</definedName>
    <definedName name="FDP_314_1_aSrv" hidden="1">[40]Comparison!$P$186</definedName>
    <definedName name="FDP_315_1_aSrv" hidden="1">[40]Comparison!$P$187</definedName>
    <definedName name="FDP_316_1_aSrv" hidden="1">[40]Comparison!$P$188</definedName>
    <definedName name="FDP_317_1_aSrv" hidden="1">[40]Comparison!$P$189</definedName>
    <definedName name="FDP_32_1_aUrv" hidden="1">[40]Comparison!$E$21</definedName>
    <definedName name="FDP_33_1_aUrv" hidden="1">[40]Comparison!$E$22</definedName>
    <definedName name="FDP_34_1_aUrv" hidden="1">[40]Comparison!$E$23</definedName>
    <definedName name="FDP_35_1_aUrv" hidden="1">[40]Comparison!$E$24</definedName>
    <definedName name="FDP_36_1_aUrv" hidden="1">[40]Comparison!$E$25</definedName>
    <definedName name="FDP_37_1_aSrv" hidden="1">[40]Comparison!$E$26</definedName>
    <definedName name="FDP_38_1_aUrv" hidden="1">[40]Comparison!$E$27</definedName>
    <definedName name="FDP_39_1_aUrv" hidden="1">[40]Comparison!$E$28</definedName>
    <definedName name="FDP_4_1_aUrv" hidden="1">[40]Comparison!$V$23</definedName>
    <definedName name="FDP_40_1_aUrv" hidden="1">[40]Comparison!$E$29</definedName>
    <definedName name="FDP_41_1_aUrv" hidden="1">[40]Comparison!$E$30</definedName>
    <definedName name="FDP_42_1_aUrv" hidden="1">[40]Comparison!$E$31</definedName>
    <definedName name="FDP_43_1_aUrv" hidden="1">[40]Comparison!$E$32</definedName>
    <definedName name="FDP_44_1_aUrv" hidden="1">[40]Comparison!$E$33</definedName>
    <definedName name="FDP_45_1_aUrv" hidden="1">[40]Comparison!$E$34</definedName>
    <definedName name="FDP_455_1_aSrv" hidden="1">[40]Comparison!$E$10</definedName>
    <definedName name="FDP_456_1_aSrv" hidden="1">[40]Comparison!$E$12</definedName>
    <definedName name="FDP_457_1_aSrv" hidden="1">[40]Comparison!$E$19</definedName>
    <definedName name="FDP_458_1_aSrv" hidden="1">[40]Comparison!$E$22</definedName>
    <definedName name="FDP_459_1_aSrv" hidden="1">[40]Comparison!$E$23</definedName>
    <definedName name="FDP_46_1_aUrv" hidden="1">[40]Comparison!$E$35</definedName>
    <definedName name="FDP_460_1_aSrv" hidden="1">[40]Comparison!$E$24</definedName>
    <definedName name="FDP_461_1_aSrv" hidden="1">[40]Comparison!$E$25</definedName>
    <definedName name="FDP_462_1_aSrv" hidden="1">[40]Comparison!$E$26</definedName>
    <definedName name="FDP_463_1_aSrv" hidden="1">[40]Comparison!$E$27</definedName>
    <definedName name="FDP_464_1_aSrv" hidden="1">[40]Comparison!$E$28</definedName>
    <definedName name="FDP_465_1_aSrv" hidden="1">[40]Comparison!$E$29</definedName>
    <definedName name="FDP_466_1_aSrv" hidden="1">[40]Comparison!$E$30</definedName>
    <definedName name="FDP_467_1_aSrv" hidden="1">[40]Comparison!$E$31</definedName>
    <definedName name="FDP_468_1_aSrv" hidden="1">[40]Comparison!$E$34</definedName>
    <definedName name="FDP_469_1_aSrv" hidden="1">[40]Comparison!$E$35</definedName>
    <definedName name="FDP_47_1_aUrv" hidden="1">[40]Comparison!$E$36</definedName>
    <definedName name="FDP_470_1_aSrv" hidden="1">[40]Comparison!$E$36</definedName>
    <definedName name="FDP_471_1_aSrv" hidden="1">[40]Comparison!$E$37</definedName>
    <definedName name="FDP_472_1_aSrv" hidden="1">[40]Comparison!$E$38</definedName>
    <definedName name="FDP_473_1_aSrv" hidden="1">[40]Comparison!$E$39</definedName>
    <definedName name="FDP_474_1_aSrv" hidden="1">[40]Comparison!$E$40</definedName>
    <definedName name="FDP_475_1_aSrv" hidden="1">[40]Comparison!$E$43</definedName>
    <definedName name="FDP_476_1_aSrv" hidden="1">[40]Comparison!$E$44</definedName>
    <definedName name="FDP_477_1_aSrv" hidden="1">[40]Comparison!$E$45</definedName>
    <definedName name="FDP_478_1_aSrv" hidden="1">[40]Comparison!$E$46</definedName>
    <definedName name="FDP_479_1_aSrv" hidden="1">[40]Comparison!$E$47</definedName>
    <definedName name="FDP_48_1_aUrv" hidden="1">[40]Comparison!$E$37</definedName>
    <definedName name="FDP_480_1_aSrv" hidden="1">[40]Comparison!$E$48</definedName>
    <definedName name="FDP_481_1_aSrv" hidden="1">[40]Comparison!$E$49</definedName>
    <definedName name="FDP_482_1_aSrv" hidden="1">[40]Comparison!$E$54</definedName>
    <definedName name="FDP_483_1_aSrv" hidden="1">[40]Comparison!$E$55</definedName>
    <definedName name="FDP_484_1_aSrv" hidden="1">[40]Comparison!$E$56</definedName>
    <definedName name="FDP_485_1_aSrv" hidden="1">[40]Comparison!$E$57</definedName>
    <definedName name="FDP_486_1_aSrv" hidden="1">[40]Comparison!$E$58</definedName>
    <definedName name="FDP_487_1_aSrv" hidden="1">[40]Comparison!$E$59</definedName>
    <definedName name="FDP_488_1_aSrv" hidden="1">[40]Comparison!$E$60</definedName>
    <definedName name="FDP_489_1_aSrv" hidden="1">[40]Comparison!$E$61</definedName>
    <definedName name="FDP_49_1_aUrv" hidden="1">[40]Comparison!$E$38</definedName>
    <definedName name="FDP_490_1_aSrv" hidden="1">[40]Comparison!$E$62</definedName>
    <definedName name="FDP_491_1_aSrv" hidden="1">[40]Comparison!$E$65</definedName>
    <definedName name="FDP_492_1_aSrv" hidden="1">[40]Comparison!$E$66</definedName>
    <definedName name="FDP_493_1_aSrv" hidden="1">[40]Comparison!$E$67</definedName>
    <definedName name="FDP_494_1_aSrv" hidden="1">[40]Comparison!$E$68</definedName>
    <definedName name="FDP_495_1_aSrv" hidden="1">[40]Comparison!$E$69</definedName>
    <definedName name="FDP_496_1_aSrv" hidden="1">[40]Comparison!$E$70</definedName>
    <definedName name="FDP_497_1_aSrv" hidden="1">[40]Comparison!$E$73</definedName>
    <definedName name="FDP_498_1_aSrv" hidden="1">[40]Comparison!$E$74</definedName>
    <definedName name="FDP_499_1_aSrv" hidden="1">[40]Comparison!$E$75</definedName>
    <definedName name="FDP_5_1_aUrv" hidden="1">[40]Comparison!$V$24</definedName>
    <definedName name="FDP_50_1_aSrv" hidden="1">[40]Comparison!$E$39</definedName>
    <definedName name="FDP_500_1_aSrv" hidden="1">[40]Comparison!$E$76</definedName>
    <definedName name="FDP_501_1_aSrv" hidden="1">[40]Comparison!$E$77</definedName>
    <definedName name="FDP_502_1_aSrv" hidden="1">[40]Comparison!$E$81</definedName>
    <definedName name="FDP_503_1_aSrv" hidden="1">[40]Comparison!$E$82</definedName>
    <definedName name="FDP_504_1_aSrv" hidden="1">[40]Comparison!$E$83</definedName>
    <definedName name="FDP_505_1_aSrv" hidden="1">[40]Comparison!$E$84</definedName>
    <definedName name="FDP_506_1_aSrv" hidden="1">[40]Comparison!$E$85</definedName>
    <definedName name="FDP_507_1_aSrv" hidden="1">[40]Comparison!$E$86</definedName>
    <definedName name="FDP_508_1_aSrv" hidden="1">[40]Comparison!$E$87</definedName>
    <definedName name="FDP_509_1_aSrv" hidden="1">[40]Comparison!$E$92</definedName>
    <definedName name="FDP_51_1_aSrv" hidden="1">[40]Comparison!$E$40</definedName>
    <definedName name="FDP_510_1_aSrv" hidden="1">[40]Comparison!$E$93</definedName>
    <definedName name="FDP_511_1_aSrv" hidden="1">[40]Comparison!$E$94</definedName>
    <definedName name="FDP_512_1_aSrv" hidden="1">[40]Comparison!$E$95</definedName>
    <definedName name="FDP_513_1_aSrv" hidden="1">[40]Comparison!$E$96</definedName>
    <definedName name="FDP_514_1_aSrv" hidden="1">[40]Comparison!$E$98</definedName>
    <definedName name="FDP_515_1_aSrv" hidden="1">[40]Comparison!$E$99</definedName>
    <definedName name="FDP_516_1_aSrv" hidden="1">[40]Comparison!$E$100</definedName>
    <definedName name="FDP_517_1_aSrv" hidden="1">[40]Comparison!$E$101</definedName>
    <definedName name="FDP_518_1_aSrv" hidden="1">[40]Comparison!$E$102</definedName>
    <definedName name="FDP_519_1_aSrv" hidden="1">[40]Comparison!$E$103</definedName>
    <definedName name="FDP_52_1_aUrv" hidden="1">[40]Comparison!$E$41</definedName>
    <definedName name="FDP_520_1_aSrv" hidden="1">[40]Comparison!$E$104</definedName>
    <definedName name="FDP_521_1_aSrv" hidden="1">[40]Comparison!$E$107</definedName>
    <definedName name="FDP_522_1_aSrv" hidden="1">[40]Comparison!$E$109</definedName>
    <definedName name="FDP_523_1_aSrv" hidden="1">[40]Comparison!$E$110</definedName>
    <definedName name="FDP_524_1_aSrv" hidden="1">[40]Comparison!$E$111</definedName>
    <definedName name="FDP_525_1_aSrv" hidden="1">[40]Comparison!$E$112</definedName>
    <definedName name="FDP_526_1_aSrv" hidden="1">[40]Comparison!$E$113</definedName>
    <definedName name="FDP_527_1_aSrv" hidden="1">[40]Comparison!$E$114</definedName>
    <definedName name="FDP_528_1_aSrv" hidden="1">[40]Comparison!$E$115</definedName>
    <definedName name="FDP_529_1_aSrv" hidden="1">[40]Comparison!$E$116</definedName>
    <definedName name="FDP_53_1_aUrv" hidden="1">[40]Comparison!$E$42</definedName>
    <definedName name="FDP_530_1_aSrv" hidden="1">[40]Comparison!$E$117</definedName>
    <definedName name="FDP_531_1_aSrv" hidden="1">[40]Comparison!$E$118</definedName>
    <definedName name="FDP_532_1_aSrv" hidden="1">[40]Comparison!$E$119</definedName>
    <definedName name="FDP_533_1_aSrv" hidden="1">[40]Comparison!$E$120</definedName>
    <definedName name="FDP_534_1_aSrv" hidden="1">[40]Comparison!$E$121</definedName>
    <definedName name="FDP_535_1_aSrv" hidden="1">[40]Comparison!$E$122</definedName>
    <definedName name="FDP_536_1_aSrv" hidden="1">[40]Comparison!$E$123</definedName>
    <definedName name="FDP_537_1_aSrv" hidden="1">[40]Comparison!$E$124</definedName>
    <definedName name="FDP_538_1_aSrv" hidden="1">[40]Comparison!$E$128</definedName>
    <definedName name="FDP_539_1_aSrv" hidden="1">[40]Comparison!$E$127</definedName>
    <definedName name="FDP_54_1_aUrv" hidden="1">[40]Comparison!$E$43</definedName>
    <definedName name="FDP_540_1_aSrv" hidden="1">[40]Comparison!$E$129</definedName>
    <definedName name="FDP_541_1_aSrv" hidden="1">[40]Comparison!$E$130</definedName>
    <definedName name="FDP_542_1_aSrv" hidden="1">[40]Comparison!$E$132</definedName>
    <definedName name="FDP_543_1_aSrv" hidden="1">[40]Comparison!$E$133</definedName>
    <definedName name="FDP_544_1_aSrv" hidden="1">[40]Comparison!$E$134</definedName>
    <definedName name="FDP_545_1_aSrv" hidden="1">[40]Comparison!$E$140</definedName>
    <definedName name="FDP_546_1_aSrv" hidden="1">[40]Comparison!$E$141</definedName>
    <definedName name="FDP_547_1_aSrv" hidden="1">[40]Comparison!$E$142</definedName>
    <definedName name="FDP_548_1_aSrv" hidden="1">[40]Comparison!$E$143</definedName>
    <definedName name="FDP_549_1_aUrv" hidden="1">[40]Comparison!$O$1</definedName>
    <definedName name="FDP_55_1_aUrv" hidden="1">[40]Comparison!$E$44</definedName>
    <definedName name="FDP_550_1_aUrv" hidden="1">[40]Comparison!$Q$62</definedName>
    <definedName name="FDP_551_1_aUrv" hidden="1">[40]Comparison!$Q$84</definedName>
    <definedName name="FDP_552_1_aUrv" hidden="1">[40]Comparison!$Q$1</definedName>
    <definedName name="FDP_553_1_aUrv" hidden="1">[40]Comparison!$S$1</definedName>
    <definedName name="FDP_554_1_aUrv" hidden="1">[40]Comparison!$E$249</definedName>
    <definedName name="FDP_56_1_aUrv" hidden="1">[40]Comparison!$E$45</definedName>
    <definedName name="FDP_57_1_aSrv" hidden="1">[40]Comparison!$E$46</definedName>
    <definedName name="FDP_58_1_aUrv" hidden="1">[40]Comparison!$E$47</definedName>
    <definedName name="FDP_59_1_aSrv" hidden="1">[40]Comparison!$E$48</definedName>
    <definedName name="FDP_6_1_aUrv" hidden="1">[40]Comparison!$Y$21</definedName>
    <definedName name="FDP_60_1_aUrv" hidden="1">[40]Comparison!$E$49</definedName>
    <definedName name="FDP_608_1_aUrv" hidden="1">[40]Comparison!$Z$10</definedName>
    <definedName name="FDP_609_1_aSrv" hidden="1">[40]Comparison!$E$48</definedName>
    <definedName name="FDP_61_1_aUrv" hidden="1">[40]Comparison!$E$50</definedName>
    <definedName name="FDP_610_1_aSrv" hidden="1">[40]Comparison!$E$70</definedName>
    <definedName name="FDP_612_1_aSrv" hidden="1">[40]Comparison!$E$339</definedName>
    <definedName name="FDP_613_1_aSrv" hidden="1">[40]Comparison!$E$340</definedName>
    <definedName name="FDP_614_1_aSrv" hidden="1">[40]Comparison!$E$341</definedName>
    <definedName name="FDP_615_1_aSrv" hidden="1">[40]Comparison!$E$342</definedName>
    <definedName name="FDP_616_1_aSrv" hidden="1">[40]Comparison!$E$343</definedName>
    <definedName name="FDP_617_1_aSrv" hidden="1">[40]Comparison!$E$344</definedName>
    <definedName name="FDP_618_1_aSrv" hidden="1">[40]Comparison!$E$345</definedName>
    <definedName name="FDP_619_1_aSrv" hidden="1">[40]Comparison!$E$346</definedName>
    <definedName name="FDP_62_1_aUrv" hidden="1">[40]Comparison!$E$51</definedName>
    <definedName name="FDP_620_1_aSrv" hidden="1">[40]Comparison!$E$347</definedName>
    <definedName name="FDP_63_1_aUrv" hidden="1">[40]Comparison!$E$52</definedName>
    <definedName name="FDP_64_1_aUrv" hidden="1">[40]Comparison!$E$53</definedName>
    <definedName name="FDP_65_1_aSrv" hidden="1">[40]Comparison!$E$54</definedName>
    <definedName name="FDP_66_1_aUrv" hidden="1">[40]Comparison!$E$55</definedName>
    <definedName name="FDP_67_1_aSrv" hidden="1">[40]Comparison!$E$56</definedName>
    <definedName name="FDP_68_1_aUrv" hidden="1">[40]Comparison!$E$57</definedName>
    <definedName name="FDP_69_1_aSrv" hidden="1">[40]Comparison!$E$58</definedName>
    <definedName name="FDP_7_1_aUrv" hidden="1">[40]Comparison!$Y$22</definedName>
    <definedName name="FDP_70_1_aSrv" hidden="1">[40]Comparison!$E$59</definedName>
    <definedName name="FDP_71_1_aUrv" hidden="1">[40]Comparison!$E$60</definedName>
    <definedName name="FDP_72_1_aUrv" hidden="1">[40]Comparison!$E$61</definedName>
    <definedName name="FDP_73_1_aSrv" hidden="1">[40]Comparison!$E$62</definedName>
    <definedName name="FDP_74_1_aSrv" hidden="1">[40]Comparison!$E$63</definedName>
    <definedName name="FDP_75_1_aUrv" hidden="1">[40]Comparison!$F$64</definedName>
    <definedName name="FDP_76_1_aSrv" hidden="1">[40]Comparison!$E$65</definedName>
    <definedName name="FDP_77_1_aSrv" hidden="1">[40]Comparison!$E$66</definedName>
    <definedName name="FDP_78_1_aUrv" hidden="1">[40]Comparison!$E$67</definedName>
    <definedName name="FDP_79_1_aUrv" hidden="1">[40]Comparison!$E$68</definedName>
    <definedName name="FDP_8_1_aUrv" hidden="1">[40]Comparison!$Y$23</definedName>
    <definedName name="FDP_80_1_aUrv" hidden="1">[40]Comparison!$E$69</definedName>
    <definedName name="FDP_81_1_aUrv" hidden="1">[40]Comparison!$E$70</definedName>
    <definedName name="FDP_82_1_aUrv" hidden="1">[40]Comparison!$E$71</definedName>
    <definedName name="FDP_83_1_aUrv" hidden="1">[40]Comparison!$E$72</definedName>
    <definedName name="FDP_84_1_aUrv" hidden="1">[40]Comparison!$E$73</definedName>
    <definedName name="FDP_85_1_aUrv" hidden="1">[40]Comparison!$E$74</definedName>
    <definedName name="FDP_86_1_aUrv" hidden="1">[40]Comparison!$E$75</definedName>
    <definedName name="FDP_87_1_aUrv" hidden="1">[40]Comparison!$E$76</definedName>
    <definedName name="FDP_88_1_aUrv" hidden="1">[40]Comparison!$E$77</definedName>
    <definedName name="FDP_89_1_aUrv" hidden="1">[40]Comparison!$E$78</definedName>
    <definedName name="FDP_9_1_aUrv" hidden="1">[40]Comparison!$Y$24</definedName>
    <definedName name="FDP_90_1_aUrv" hidden="1">[40]Comparison!$E$79</definedName>
    <definedName name="FDP_91_1_aUrv" hidden="1">[40]Comparison!$E$80</definedName>
    <definedName name="FDP_92_1_aUrv" hidden="1">[40]Comparison!$E$81</definedName>
    <definedName name="FDP_93_1_aUrv" hidden="1">[40]Comparison!$E$82</definedName>
    <definedName name="FDP_94_1_aUrv" hidden="1">[40]Comparison!$E$83</definedName>
    <definedName name="FDP_95_1_aUrv" hidden="1">[40]Comparison!$E$84</definedName>
    <definedName name="FDP_96_1_aUrv" hidden="1">[40]Comparison!$E$92</definedName>
    <definedName name="FDP_97_1_aUrv" hidden="1">[40]Comparison!$E$93</definedName>
    <definedName name="FDP_98_1_aUrv" hidden="1">[40]Comparison!$E$94</definedName>
    <definedName name="FDP_99_1_aUrv" hidden="1">[40]Comparison!$E$95</definedName>
    <definedName name="fdsaf">'[24]Qrt Sales'!$DC$3:$DZ$133</definedName>
    <definedName name="fed">'[24]Qrt Sales'!$AO$3:$BT$133</definedName>
    <definedName name="FirstDate">[18]Sheet1!$Z$8</definedName>
    <definedName name="FIVEYEAR">'[41]Five Year Sales &amp; Earnings'!$A$1:$T$72</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Footnote1">[18]Sheet1!$B$54</definedName>
    <definedName name="Footnote2">[18]Sheet1!$B$53</definedName>
    <definedName name="Footnote3">[18]Sheet1!$AD$8</definedName>
    <definedName name="forecast" localSheetId="7"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8"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matMod.FormatMaster" localSheetId="11">'Bari Royalties'!FormatMod.FormatMaster</definedName>
    <definedName name="FormatMod.FormatMaster" localSheetId="10">'Bari Summary'!FormatMod.FormatMaster</definedName>
    <definedName name="FormatMod.FormatMaster" localSheetId="13">'RA - EU'!FormatMod.FormatMaster</definedName>
    <definedName name="FormatMod.FormatMaster" localSheetId="12">'RA - US'!FormatMod.FormatMaster</definedName>
    <definedName name="FormatMod.FormatMaster">[0]!FormatMod.FormatMaster</definedName>
    <definedName name="FreezeCell">[18]Sheet1!$S$14</definedName>
    <definedName name="FreqCell">[18]Sheet1!$F$11</definedName>
    <definedName name="FreqName">[18]Sheet1!$V$10</definedName>
    <definedName name="FreqReturn">[18]Sheet1!$Q$8:$S$8</definedName>
    <definedName name="FreqSet">[18]Sheet1!$AJ$10</definedName>
    <definedName name="Frequency">[18]Sheet1!$S$8</definedName>
    <definedName name="fuck">[42]Model!$FZ$3:$GS$64</definedName>
    <definedName name="fy_00">[15]IS!$AI$7:$AI$39</definedName>
    <definedName name="fy_97">[15]IS!$O$7:$O$38</definedName>
    <definedName name="fy_98">[15]IS!$U$7:$U$38</definedName>
    <definedName name="fy_99">[15]IS!$AB$7:$AB$38</definedName>
    <definedName name="g">'[24]Qrt Sales'!$BV$3:$DA$133</definedName>
    <definedName name="gd">'[24]Qrt Sales'!$DC$3:$DZ$133</definedName>
    <definedName name="Genotropin">'[1]5 yr Sales and Earnings'!$A$33:$AA$33</definedName>
    <definedName name="Geodon">'[1]5 yr Sales and Earnings'!$A$16:$AA$16</definedName>
    <definedName name="GGG" localSheetId="7" hidden="1">{"quartfin",#N/A,FALSE,"quartfin"}</definedName>
    <definedName name="GGG" localSheetId="8" hidden="1">{"quartfin",#N/A,FALSE,"quartfin"}</definedName>
    <definedName name="GGG" hidden="1">{"quartfin",#N/A,FALSE,"quartfin"}</definedName>
    <definedName name="Glucotrol_XL">'[1]5 yr Sales and Earnings'!$A$10:$AA$10</definedName>
    <definedName name="GraphbuildingMod.ChangeTicker" localSheetId="11">'Bari Royalties'!GraphbuildingMod.ChangeTicker</definedName>
    <definedName name="GraphbuildingMod.ChangeTicker" localSheetId="10">'Bari Summary'!GraphbuildingMod.ChangeTicker</definedName>
    <definedName name="GraphbuildingMod.ChangeTicker" localSheetId="13">'RA - EU'!GraphbuildingMod.ChangeTicker</definedName>
    <definedName name="GraphbuildingMod.ChangeTicker" localSheetId="12">'RA - US'!GraphbuildingMod.ChangeTicker</definedName>
    <definedName name="GraphbuildingMod.ChangeTicker">[0]!GraphbuildingMod.ChangeTicker</definedName>
    <definedName name="GraphbuildingMod.editgraph" localSheetId="11">'Bari Royalties'!GraphbuildingMod.editgraph</definedName>
    <definedName name="GraphbuildingMod.editgraph" localSheetId="10">'Bari Summary'!GraphbuildingMod.editgraph</definedName>
    <definedName name="GraphbuildingMod.editgraph" localSheetId="13">'RA - EU'!GraphbuildingMod.editgraph</definedName>
    <definedName name="GraphbuildingMod.editgraph" localSheetId="12">'RA - US'!GraphbuildingMod.editgraph</definedName>
    <definedName name="GraphbuildingMod.editgraph">[0]!GraphbuildingMod.editgraph</definedName>
    <definedName name="GraphbuildingMod.ExportData" localSheetId="11">'Bari Royalties'!GraphbuildingMod.ExportData</definedName>
    <definedName name="GraphbuildingMod.ExportData" localSheetId="10">'Bari Summary'!GraphbuildingMod.ExportData</definedName>
    <definedName name="GraphbuildingMod.ExportData" localSheetId="13">'RA - EU'!GraphbuildingMod.ExportData</definedName>
    <definedName name="GraphbuildingMod.ExportData" localSheetId="12">'RA - US'!GraphbuildingMod.ExportData</definedName>
    <definedName name="GraphbuildingMod.ExportData">[0]!GraphbuildingMod.ExportData</definedName>
    <definedName name="GraphbuildingMod.LayoutSet" localSheetId="11">'Bari Royalties'!GraphbuildingMod.LayoutSet</definedName>
    <definedName name="GraphbuildingMod.LayoutSet" localSheetId="10">'Bari Summary'!GraphbuildingMod.LayoutSet</definedName>
    <definedName name="GraphbuildingMod.LayoutSet" localSheetId="13">'RA - EU'!GraphbuildingMod.LayoutSet</definedName>
    <definedName name="GraphbuildingMod.LayoutSet" localSheetId="12">'RA - US'!GraphbuildingMod.LayoutSet</definedName>
    <definedName name="GraphbuildingMod.LayoutSet">[0]!GraphbuildingMod.LayoutSet</definedName>
    <definedName name="GraphbuildingMod.PasteGraph" localSheetId="11">'Bari Royalties'!GraphbuildingMod.PasteGraph</definedName>
    <definedName name="GraphbuildingMod.PasteGraph" localSheetId="10">'Bari Summary'!GraphbuildingMod.PasteGraph</definedName>
    <definedName name="GraphbuildingMod.PasteGraph" localSheetId="13">'RA - EU'!GraphbuildingMod.PasteGraph</definedName>
    <definedName name="GraphbuildingMod.PasteGraph" localSheetId="12">'RA - US'!GraphbuildingMod.PasteGraph</definedName>
    <definedName name="GraphbuildingMod.PasteGraph">[0]!GraphbuildingMod.PasteGraph</definedName>
    <definedName name="GraphbuildingMod.PrintPreview" localSheetId="11">'Bari Royalties'!GraphbuildingMod.PrintPreview</definedName>
    <definedName name="GraphbuildingMod.PrintPreview" localSheetId="10">'Bari Summary'!GraphbuildingMod.PrintPreview</definedName>
    <definedName name="GraphbuildingMod.PrintPreview" localSheetId="13">'RA - EU'!GraphbuildingMod.PrintPreview</definedName>
    <definedName name="GraphbuildingMod.PrintPreview" localSheetId="12">'RA - US'!GraphbuildingMod.PrintPreview</definedName>
    <definedName name="GraphbuildingMod.PrintPreview">[0]!GraphbuildingMod.PrintPreview</definedName>
    <definedName name="GraphbuildingMod.ShowData" localSheetId="11">'Bari Royalties'!GraphbuildingMod.ShowData</definedName>
    <definedName name="GraphbuildingMod.ShowData" localSheetId="10">'Bari Summary'!GraphbuildingMod.ShowData</definedName>
    <definedName name="GraphbuildingMod.ShowData" localSheetId="13">'RA - EU'!GraphbuildingMod.ShowData</definedName>
    <definedName name="GraphbuildingMod.ShowData" localSheetId="12">'RA - US'!GraphbuildingMod.ShowData</definedName>
    <definedName name="GraphbuildingMod.ShowData">[0]!GraphbuildingMod.ShowData</definedName>
    <definedName name="GraphbuildingMod.ShowGraph" localSheetId="11">'Bari Royalties'!GraphbuildingMod.ShowGraph</definedName>
    <definedName name="GraphbuildingMod.ShowGraph" localSheetId="10">'Bari Summary'!GraphbuildingMod.ShowGraph</definedName>
    <definedName name="GraphbuildingMod.ShowGraph" localSheetId="13">'RA - EU'!GraphbuildingMod.ShowGraph</definedName>
    <definedName name="GraphbuildingMod.ShowGraph" localSheetId="12">'RA - US'!GraphbuildingMod.ShowGraph</definedName>
    <definedName name="GraphbuildingMod.ShowGraph">[0]!GraphbuildingMod.ShowGraph</definedName>
    <definedName name="GraphCompBuild" localSheetId="11">'Bari Royalties'!GraphCompBuild</definedName>
    <definedName name="GraphCompBuild" localSheetId="10">'Bari Summary'!GraphCompBuild</definedName>
    <definedName name="GraphCompBuild" localSheetId="13">'RA - EU'!GraphCompBuild</definedName>
    <definedName name="GraphCompBuild" localSheetId="12">'RA - US'!GraphCompBuild</definedName>
    <definedName name="GraphCompBuild">[0]!GraphCompBuild</definedName>
    <definedName name="Graphexitmsg" localSheetId="11">'Bari Royalties'!Graphexitmsg</definedName>
    <definedName name="Graphexitmsg" localSheetId="10">'Bari Summary'!Graphexitmsg</definedName>
    <definedName name="Graphexitmsg" localSheetId="13">'RA - EU'!Graphexitmsg</definedName>
    <definedName name="Graphexitmsg" localSheetId="12">'RA - US'!Graphexitmsg</definedName>
    <definedName name="Graphexitmsg">[0]!Graphexitmsg</definedName>
    <definedName name="GraphIntroMod.exitmsg" localSheetId="11">'Bari Royalties'!GraphIntroMod.exitmsg</definedName>
    <definedName name="GraphIntroMod.exitmsg" localSheetId="10">'Bari Summary'!GraphIntroMod.exitmsg</definedName>
    <definedName name="GraphIntroMod.exitmsg" localSheetId="13">'RA - EU'!GraphIntroMod.exitmsg</definedName>
    <definedName name="GraphIntroMod.exitmsg" localSheetId="12">'RA - US'!GraphIntroMod.exitmsg</definedName>
    <definedName name="GraphIntroMod.exitmsg">[0]!GraphIntroMod.exitmsg</definedName>
    <definedName name="GraphIntroMod.Graphexitmsg" localSheetId="11">'Bari Royalties'!GraphIntroMod.Graphexitmsg</definedName>
    <definedName name="GraphIntroMod.Graphexitmsg" localSheetId="10">'Bari Summary'!GraphIntroMod.Graphexitmsg</definedName>
    <definedName name="GraphIntroMod.Graphexitmsg" localSheetId="13">'RA - EU'!GraphIntroMod.Graphexitmsg</definedName>
    <definedName name="GraphIntroMod.Graphexitmsg" localSheetId="12">'RA - US'!GraphIntroMod.Graphexitmsg</definedName>
    <definedName name="GraphIntroMod.Graphexitmsg">[0]!GraphIntroMod.Graphexitmsg</definedName>
    <definedName name="Graphprint">[18]Sheet1!$B$14:$T$58</definedName>
    <definedName name="GraphStart">[18]Sheet1!$B$1</definedName>
    <definedName name="Gross_margins">'[1]5 yr Sales and Earnings'!$A$83:$AA$83</definedName>
    <definedName name="Gross_Profit">'[1]5 yr Sales and Earnings'!$A$54:$AA$54</definedName>
    <definedName name="Growth">'[1]5 yr Sales and Earnings'!$A$88:$AA$88</definedName>
    <definedName name="gyy">[18]Sheet1!$A$2:$Q$66</definedName>
    <definedName name="HeaderFormat" localSheetId="11">'Bari Royalties'!HeaderFormat</definedName>
    <definedName name="HeaderFormat" localSheetId="10">'Bari Summary'!HeaderFormat</definedName>
    <definedName name="HeaderFormat" localSheetId="13">'RA - EU'!HeaderFormat</definedName>
    <definedName name="HeaderFormat" localSheetId="12">'RA - US'!HeaderFormat</definedName>
    <definedName name="HeaderFormat">[0]!HeaderFormat</definedName>
    <definedName name="HeaderSpot">[18]Sheet1!$AD$2</definedName>
    <definedName name="HelpTest" localSheetId="11">'Bari Royalties'!HelpTest</definedName>
    <definedName name="HelpTest" localSheetId="10">'Bari Summary'!HelpTest</definedName>
    <definedName name="HelpTest" localSheetId="13">'RA - EU'!HelpTest</definedName>
    <definedName name="HelpTest" localSheetId="12">'RA - US'!HelpTest</definedName>
    <definedName name="HelpTest">[0]!HelpTest</definedName>
    <definedName name="Herceptin">'[39]Roche Sales (from G.Parry)'!$C$68:$IV$68</definedName>
    <definedName name="HHIhs" localSheetId="7" hidden="1">{"short1",#N/A,FALSE,"masmode";"short2",#N/A,FALSE,"masmode";"qtrres",#N/A,FALSE,"QTR. RES.";"sales",#N/A,FALSE,"Sales &amp; Market Share"}</definedName>
    <definedName name="HHIhs" localSheetId="8" hidden="1">{"short1",#N/A,FALSE,"masmode";"short2",#N/A,FALSE,"masmode";"qtrres",#N/A,FALSE,"QTR. RES.";"sales",#N/A,FALSE,"Sales &amp; Market Share"}</definedName>
    <definedName name="HHIhs" hidden="1">{"short1",#N/A,FALSE,"masmode";"short2",#N/A,FALSE,"masmode";"qtrres",#N/A,FALSE,"QTR. RES.";"sales",#N/A,FALSE,"Sales &amp; Market Share"}</definedName>
    <definedName name="Hidden_Sheet">[33]ADK!$A$2:$AW$27</definedName>
    <definedName name="HighPrice">[18]Sheet1!$Z$2</definedName>
    <definedName name="HistoCell">[18]Sheet1!$X$9</definedName>
    <definedName name="HistoDecimalSet">[18]Sheet1!$A$5</definedName>
    <definedName name="HL" localSheetId="19">ModPubIndex!$A$8</definedName>
    <definedName name="Home">[18]Sheet1!$W$21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 hidden="1">'[19]Qtr Income'!$A$1:$W$160</definedName>
    <definedName name="Img_ML_3c7g1a7g" hidden="1">"IMG_3"</definedName>
    <definedName name="Img_ML_7g5e5e2b" localSheetId="11" hidden="1">"IMG_3"</definedName>
    <definedName name="Img_ML_7g5e5e2b" localSheetId="10" hidden="1">"IMG_3"</definedName>
    <definedName name="Img_ML_7g5e5e2b" localSheetId="13" hidden="1">"IMG_3"</definedName>
    <definedName name="Img_ML_7g5e5e2b" localSheetId="12" hidden="1">"IMG_3"</definedName>
    <definedName name="Img_ML_7g5e5e2b" hidden="1">"IMG_12"</definedName>
    <definedName name="Img_ML_8h7g4d4d" hidden="1">"IMG_3"</definedName>
    <definedName name="Img_Production_Breakdown" hidden="1">"IMG_3"</definedName>
    <definedName name="Inc00">[15]IS!$AI$7:$AI$39</definedName>
    <definedName name="Income__Loss__from_Disc._Ops">'[1]5 yr Sales and Earnings'!$A$66:$AA$66</definedName>
    <definedName name="INCOME1">[18]Sheet1!$A$1:$S$39</definedName>
    <definedName name="INCOME2">[18]Sheet1!$U$1:$AK$39</definedName>
    <definedName name="INCOME3">[18]Sheet1!$AM$1:$AP$39</definedName>
    <definedName name="IncrementCustomNote">[18]Sheet1!$M$6</definedName>
    <definedName name="IncrementCustomSet">[18]Sheet1!$AH$7</definedName>
    <definedName name="IncrementNote">[18]Sheet1!$M$3</definedName>
    <definedName name="IncrementSet">[18]Sheet1!$AH$1</definedName>
    <definedName name="incstmt">[18]Sheet1!$A$1:$AP$32</definedName>
    <definedName name="IND" localSheetId="19">ModPubIndex!$A$9</definedName>
    <definedName name="Industry" localSheetId="0">ImportantDisclosures!$A$12</definedName>
    <definedName name="IndustryId">IndexInformation!$B$40</definedName>
    <definedName name="IndustryRating" localSheetId="0">ImportantDisclosures!$A$13</definedName>
    <definedName name="Infgod" localSheetId="7" hidden="1">{"monthlyunits",#N/A,FALSE,"openings"}</definedName>
    <definedName name="Infgod" localSheetId="8" hidden="1">{"monthlyunits",#N/A,FALSE,"openings"}</definedName>
    <definedName name="Infgod" hidden="1">{"monthlyunits",#N/A,FALSE,"openings"}</definedName>
    <definedName name="Infosed" localSheetId="7" hidden="1">{"quartfin",#N/A,FALSE,"quartfin"}</definedName>
    <definedName name="Infosed" localSheetId="8" hidden="1">{"quartfin",#N/A,FALSE,"quartfin"}</definedName>
    <definedName name="Infosed" hidden="1">{"quartfin",#N/A,FALSE,"quartfin"}</definedName>
    <definedName name="Inspra">'[1]5 yr Sales and Earnings'!$A$11:$AA$11</definedName>
    <definedName name="INSTR_ebitda00">'[43]p&amp;leuro'!$J$39</definedName>
    <definedName name="INSTR_ebitda97">'[43]p&amp;leuro'!$J$15</definedName>
    <definedName name="INSTR_ebitda98">'[43]p&amp;leuro'!$J$23</definedName>
    <definedName name="INSTR_ebitda99">'[43]p&amp;leuro'!$J$31</definedName>
    <definedName name="Intl_EP_Depr_2004">'[44]E&amp;P'!$I$588</definedName>
    <definedName name="Intl_EP_NI_2004">'[44]E&amp;P'!$I$597</definedName>
    <definedName name="IntlGasProd_2004">'[44]E&amp;P'!$I$36</definedName>
    <definedName name="IntlOilProd_2004">'[44]E&amp;P'!$I$35</definedName>
    <definedName name="IntlOtherCosts_2004">'[20]E&amp;P'!$P$333</definedName>
    <definedName name="IntlProd_2004">'[44]E&amp;P'!$I$37</definedName>
    <definedName name="IntlProdCosts_2004">'[20]E&amp;P'!$P$331</definedName>
    <definedName name="IPR___D___Product_Licensing_Charges">'[1]5 yr Sales and Earnings'!$A$67:$AA$67</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localSheetId="11" hidden="1">"c2205"</definedName>
    <definedName name="IQ_DIV_PAYMENT_DATE" localSheetId="10" hidden="1">"c2205"</definedName>
    <definedName name="IQ_DIV_PAYMENT_DATE" localSheetId="13" hidden="1">"c2205"</definedName>
    <definedName name="IQ_DIV_PAYMENT_DATE" localSheetId="12" hidden="1">"c2205"</definedName>
    <definedName name="IQ_DIV_PAYMENT_DATE" hidden="1">"c2106"</definedName>
    <definedName name="IQ_DIV_RECORD_DATE" localSheetId="11" hidden="1">"c2204"</definedName>
    <definedName name="IQ_DIV_RECORD_DATE" localSheetId="10" hidden="1">"c2204"</definedName>
    <definedName name="IQ_DIV_RECORD_DATE" localSheetId="13" hidden="1">"c2204"</definedName>
    <definedName name="IQ_DIV_RECORD_DATE" localSheetId="12" hidden="1">"c2204"</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localSheetId="11" hidden="1">"c2203"</definedName>
    <definedName name="IQ_XDIV_DATE" localSheetId="10" hidden="1">"c2203"</definedName>
    <definedName name="IQ_XDIV_DATE" localSheetId="13" hidden="1">"c2203"</definedName>
    <definedName name="IQ_XDIV_DATE" localSheetId="12" hidden="1">"c2203"</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localSheetId="11" hidden="1">"iQShowQuarterlyAnnual"</definedName>
    <definedName name="iQShowHideColumns" localSheetId="10" hidden="1">"iQShowQuarterlyAnnual"</definedName>
    <definedName name="iQShowHideColumns" localSheetId="7" hidden="1">"iQShowAnnual"</definedName>
    <definedName name="iQShowHideColumns" localSheetId="8" hidden="1">"iQShowAnnual"</definedName>
    <definedName name="iQShowHideColumns" localSheetId="13" hidden="1">"iQShowQuarterlyAnnual"</definedName>
    <definedName name="iQShowHideColumns" localSheetId="12" hidden="1">"iQShowQuarterlyAnnual"</definedName>
    <definedName name="iQShowHideColumns" hidden="1">"iQShowAll"</definedName>
    <definedName name="k">'[19]Qtr Margin'!$A$1:$N$75</definedName>
    <definedName name="KeepVersions" localSheetId="18">IndexInformation!$B$8</definedName>
    <definedName name="Kytril">'[39]Roche Sales (from G.Parry)'!$C$118:$IV$118</definedName>
    <definedName name="l">'[19]Qtr Sales'!$A$2:$AF$127</definedName>
    <definedName name="LanguageCode">IndexInformation!$B$38</definedName>
    <definedName name="Lasofoxifene">'[1]5 yr Sales and Earnings'!$A$38:$AA$38</definedName>
    <definedName name="LastCell" localSheetId="0">ImportantDisclosures!$A$22</definedName>
    <definedName name="LastDate">[18]Sheet1!$Z$9</definedName>
    <definedName name="LastListUpdate">0</definedName>
    <definedName name="LatestFiledQ">[11]summary!$J$11</definedName>
    <definedName name="LatestRpQ">[11]summary!$J$10</definedName>
    <definedName name="LaunchFormulaLookup" localSheetId="11">'Bari Royalties'!LaunchFormulaLookup</definedName>
    <definedName name="LaunchFormulaLookup" localSheetId="10">'Bari Summary'!LaunchFormulaLookup</definedName>
    <definedName name="LaunchFormulaLookup" localSheetId="13">'RA - EU'!LaunchFormulaLookup</definedName>
    <definedName name="LaunchFormulaLookup" localSheetId="12">'RA - US'!LaunchFormulaLookup</definedName>
    <definedName name="LaunchFormulaLookup">[0]!LaunchFormulaLookup</definedName>
    <definedName name="limcount" hidden="1">1</definedName>
    <definedName name="Linking_1">Valuation!$B$2:$J$56</definedName>
    <definedName name="Linking_10">Valuation!$B$2:$J$61</definedName>
    <definedName name="Linking_11">#N/A</definedName>
    <definedName name="Linking_2">'Income Statement'!$B$5:$AH$68</definedName>
    <definedName name="Linking_3">'Balance Sheet '!$C$5:$R$48</definedName>
    <definedName name="Linking_4">Cashflow!$C$4:$R$54</definedName>
    <definedName name="Linking_5">'Income Statement'!$B$2:$AG$68</definedName>
    <definedName name="Linking_6">'Balance Sheet '!$C$2:$R$48</definedName>
    <definedName name="Linking_7">Cashflow!$C$2:$R$54</definedName>
    <definedName name="Linking_8">Valuation!$B$2:$J$57</definedName>
    <definedName name="Linking_9">'Income Statement'!$B$2:$AH$68</definedName>
    <definedName name="Linking_Range_24">'Income Statement'!$B$5:$AI$68</definedName>
    <definedName name="Linking_Range_25">'Balance Sheet '!$C$5:$S$48</definedName>
    <definedName name="Linking_Range_26">Cashflow!$C$4:$S$46</definedName>
    <definedName name="Linking_Range_31">Cashflow!$C$4:$S$54</definedName>
    <definedName name="Lipitor">'[1]5 yr Sales and Earnings'!$A$6:$AA$6</definedName>
    <definedName name="LowPrice">[18]Sheet1!$Z$3</definedName>
    <definedName name="m">'[19]Qtr Sales'!$AH$2:$BQ$127</definedName>
    <definedName name="MacroVersion" localSheetId="18">IndexInformation!$B$1</definedName>
    <definedName name="Margins">'[1]5 yr Sales and Earnings'!$A$82:$AA$82</definedName>
    <definedName name="Markets">[18]Sheet1!$A$8:$M$26</definedName>
    <definedName name="MaxCell">[18]Sheet1!$X$7</definedName>
    <definedName name="MaxRange">[18]Sheet1!$AI$2:$AI$5</definedName>
    <definedName name="Medrol">'[1]5 yr Sales and Earnings'!$A$35:$AA$35</definedName>
    <definedName name="Millions_Except_EPS">[23]QTRINC!$A$4:$AA$122</definedName>
    <definedName name="MinCell">[18]Sheet1!$X$6</definedName>
    <definedName name="MinInt_05">[29]Minorities!$I$1:$I$65536</definedName>
    <definedName name="MinInt_06">[29]Minorities!$J$1:$J$65536</definedName>
    <definedName name="MinInt_07">[29]Minorities!$K$1:$K$65536</definedName>
    <definedName name="MinInt_08">[29]Minorities!$L$1:$L$65536</definedName>
    <definedName name="Minority_Interest">'[1]5 yr Sales and Earnings'!$A$62:$AA$62</definedName>
    <definedName name="MinRange">[18]Sheet1!$AH$2:$AH$5</definedName>
    <definedName name="MktSec2001">'[28]Balance Sheet'!$K$8</definedName>
    <definedName name="MktSec2002">'[28]Balance Sheet'!$L$8</definedName>
    <definedName name="ML_8b9j5t1p">'[45]Answer Report 1'!$D$5</definedName>
    <definedName name="model">[20]AHC!$A$1:$Z$27</definedName>
    <definedName name="ModelPrice" localSheetId="0">ImportantDisclosures!$A$14</definedName>
    <definedName name="MonitorCol">1</definedName>
    <definedName name="MonitorRow">1</definedName>
    <definedName name="Monthlies_title">#N/A</definedName>
    <definedName name="Multiplier" localSheetId="18">IndexInformation!$B$35</definedName>
    <definedName name="multSecurities_L">[46]MultipleSecurities!$A$2:$A$17</definedName>
    <definedName name="n">'[19]Qtr Sales'!$BS$2:$CT$127</definedName>
    <definedName name="NameTar">[32]Inputs!$D$13</definedName>
    <definedName name="NeoRecormon">'[39]Roche Sales (from G.Parry)'!$C$44:$IV$44</definedName>
    <definedName name="Net_income_margin">'[1]5 yr Sales and Earnings'!$A$86:$AA$86</definedName>
    <definedName name="NetInc02">[47]Annual!$H$42</definedName>
    <definedName name="NetInc03">[47]Annual!$J$42</definedName>
    <definedName name="NetInc04">[47]Annual!$L$42</definedName>
    <definedName name="NetInc05">[47]Annual!$N$42</definedName>
    <definedName name="NetIncome2001">[26]Annual!$N$49</definedName>
    <definedName name="NetIncome2002">[26]Annual!$P$50</definedName>
    <definedName name="NetIncome2003">[26]Annual!$R$53</definedName>
    <definedName name="NetIncome2004">[26]Annual!$V$53</definedName>
    <definedName name="NetIncome2005">[6]Annual!$AM$49</definedName>
    <definedName name="neupo">[37]quarterly!$BH$1:$CA$66</definedName>
    <definedName name="Neurontin">'[1]5 yr Sales and Earnings'!$A$14:$AA$14</definedName>
    <definedName name="Neutropin">'[39]Roche Sales (from G.Parry)'!$C$109:$IV$109</definedName>
    <definedName name="new"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stone">{"Client Name or Project Name"}</definedName>
    <definedName name="NextYearEPS" localSheetId="18">IndexInformation!$B$13</definedName>
    <definedName name="NextYearTotalRevenue" localSheetId="18">IndexInformation!$B$12</definedName>
    <definedName name="NextYearTotalRevenueActual" localSheetId="18">IndexInformation!$B$33</definedName>
    <definedName name="NI_BOE_1998">'[20]E&amp;P'!$J$378</definedName>
    <definedName name="NI_BOE_1999">'[20]E&amp;P'!$K$378</definedName>
    <definedName name="NI_BOE_2000">'[20]E&amp;P'!$L$378</definedName>
    <definedName name="NI_BOE_2001">'[20]E&amp;P'!$M$378</definedName>
    <definedName name="NI_BOE_2002">'[20]E&amp;P'!$N$378</definedName>
    <definedName name="NI_BOE_2003">'[20]E&amp;P'!$O$378</definedName>
    <definedName name="NI_BOE_2004">'[20]E&amp;P'!$P$378</definedName>
    <definedName name="NI_BOE_2005">'[20]E&amp;P'!$Q$378</definedName>
    <definedName name="NI_BOE_2006">'[20]E&amp;P'!$R$378</definedName>
    <definedName name="NI_BOE_2007">'[20]E&amp;P'!$S$378</definedName>
    <definedName name="NI_BOE_2008">'[20]E&amp;P'!$T$378</definedName>
    <definedName name="NI_Intl_EP_2004">[44]EXXONMOBIL!$BI$10</definedName>
    <definedName name="NI_Total_EP_2004">[44]EXXONMOBIL!$BI$11</definedName>
    <definedName name="NI_US_EP_2004">[44]EXXONMOBIL!$BI$9</definedName>
    <definedName name="Non_Operating_Income">'[1]5 yr Sales and Earnings'!$A$58:$AA$58</definedName>
    <definedName name="Norvasc">'[1]5 yr Sales and Earnings'!$A$7:$AA$7</definedName>
    <definedName name="NOVZ_NtDbt98">'[48]Balance Sheet'!$D$42</definedName>
    <definedName name="NudgeSet">[18]Sheet1!$AI$1</definedName>
    <definedName name="o">'[19]Qtr Sales'!$CV$2:$DP$127</definedName>
    <definedName name="ObjectType">IndexInformation!$B$37</definedName>
    <definedName name="OnShow" localSheetId="11">'Bari Royalties'!OnShow</definedName>
    <definedName name="OnShow" localSheetId="10">'Bari Summary'!OnShow</definedName>
    <definedName name="OnShow" localSheetId="13">'RA - EU'!OnShow</definedName>
    <definedName name="OnShow" localSheetId="12">'RA - US'!OnShow</definedName>
    <definedName name="OnShow">[0]!OnShow</definedName>
    <definedName name="OpDay_printarea">#N/A</definedName>
    <definedName name="Operating_Income">'[1]5 yr Sales and Earnings'!$A$57:$AA$57</definedName>
    <definedName name="Operating_margin">'[1]5 yr Sales and Earnings'!$A$84:$AA$84</definedName>
    <definedName name="Operating_Profit">'[1]5 yr Sales and Earnings'!$A$97:$AA$97</definedName>
    <definedName name="Other_New_Pharmaceuticals">'[1]5 yr Sales and Earnings'!$A$43:$AA$43</definedName>
    <definedName name="Other_Pharmaceuticals">'[1]5 yr Sales and Earnings'!$A$36:$AA$36</definedName>
    <definedName name="over_15_years">0.1</definedName>
    <definedName name="p">'[19]Qtr Sales'!$DR$2:$EK$127</definedName>
    <definedName name="P_L_2003_2005E___millions____Assume__4.0_billion_Cost_Savings_From_PHA_Merger">'[1]5 yr Sales and Earnings'!$A$113:$AA$113</definedName>
    <definedName name="Page_1">[33]ADK!$A$30:$AW$63</definedName>
    <definedName name="Page_2">[33]ADK!$A$65:$AW$113</definedName>
    <definedName name="Page_3">[49]iQ_US_CoreIndustrials!$A$168:$AM$234</definedName>
    <definedName name="Page_4">[49]iQ_US_CoreIndustrials!$A$237:$AM$295</definedName>
    <definedName name="PANA" localSheetId="19">ModPubIndex!$A$11</definedName>
    <definedName name="PasteCell">[18]Sheet1!$Z$275</definedName>
    <definedName name="PasteGraph" localSheetId="11">'Bari Royalties'!PasteGraph</definedName>
    <definedName name="PasteGraph" localSheetId="10">'Bari Summary'!PasteGraph</definedName>
    <definedName name="PasteGraph" localSheetId="13">'RA - EU'!PasteGraph</definedName>
    <definedName name="PasteGraph" localSheetId="12">'RA - US'!PasteGraph</definedName>
    <definedName name="PasteGraph">[0]!PasteGraph</definedName>
    <definedName name="PathName" localSheetId="18">IndexInformation!$B$25</definedName>
    <definedName name="PeerNames">[18]Sheet1!$AD$4</definedName>
    <definedName name="PeerTickers">[18]Sheet1!$AD$5</definedName>
    <definedName name="Penetration">[18]Sheet1!$A$31:$M$104</definedName>
    <definedName name="Pharma_Sales">'[1]5 yr Sales and Earnings'!$A$89:$AA$89</definedName>
    <definedName name="PL">[37]quarterly!$A$1:$BE$50</definedName>
    <definedName name="Pre_Tax_Income">'[1]5 yr Sales and Earnings'!$A$59:$AA$59</definedName>
    <definedName name="Pre_tax_margin">'[1]5 yr Sales and Earnings'!$A$85:$AA$85</definedName>
    <definedName name="Pre_tax_profit">'[1]5 yr Sales and Earnings'!$A$98:$AA$98</definedName>
    <definedName name="Pregabalin">'[1]5 yr Sales and Earnings'!$A$19:$AA$19</definedName>
    <definedName name="PriceMaxCell">[18]Sheet1!$Y$7</definedName>
    <definedName name="PrimaryShares2003">[28]Annual!$X$40</definedName>
    <definedName name="PrimaryShares2004">[28]Annual!$Z$40</definedName>
    <definedName name="PrimaryShares2005">[28]Annual!$AB$40</definedName>
    <definedName name="print">'[50]Old Model'!$BY$3:$CH$61,'[50]Old Model'!$BY$64:$CH$120,'[50]Old Model'!$BO$3:$BX$61,'[50]Old Model'!$BO$64:$BX$120,'[50]Old Model'!$CI$3:$CR$61,'[50]Old Model'!$CI$64:$CR$120,'[50]Old Model'!$L$128:$W$188,'[50]Old Model'!$L$205:$W$256,'[50]Old Model'!$B$263:$K$315,'[50]Old Model'!$B$323:$K$375,'[50]Old Model'!$B$385:$K$438</definedName>
    <definedName name="_xlnm.Print_Area" localSheetId="2">'Balance Sheet '!$C$2:$W$48</definedName>
    <definedName name="_xlnm.Print_Area" localSheetId="1">'Income Statement'!$B$2:$AM$68</definedName>
    <definedName name="_xlnm.Print_Area" localSheetId="12">'RA - US'!$B$2:$N$358</definedName>
    <definedName name="_xlnm.Print_Area">#N/A</definedName>
    <definedName name="Printgraph">[18]Sheet1!$A$14:$S$57</definedName>
    <definedName name="PrintPreview" localSheetId="11">'Bari Royalties'!PrintPreview</definedName>
    <definedName name="PrintPreview" localSheetId="10">'Bari Summary'!PrintPreview</definedName>
    <definedName name="PrintPreview" localSheetId="13">'RA - EU'!PrintPreview</definedName>
    <definedName name="PrintPreview" localSheetId="12">'RA - US'!PrintPreview</definedName>
    <definedName name="PrintPreview">[0]!PrintPreview</definedName>
    <definedName name="PrintTitle1">[18]Sheet1!$V$15</definedName>
    <definedName name="PRODUCT" localSheetId="19">ModPubIndex!$A$6</definedName>
    <definedName name="Progress">[18]Sheet1!$H$13</definedName>
    <definedName name="ProjectName">{"Client Name or Project Name"}</definedName>
    <definedName name="PSYM" localSheetId="19">ModPubIndex!$A$4</definedName>
    <definedName name="PublishDate" localSheetId="18">IndexInformation!$B$2</definedName>
    <definedName name="q" hidden="1">'[19]Qtr Sales'!$EM$2:$FJ$127</definedName>
    <definedName name="Q1_00">[15]IS!$AE$7:$AE$39</definedName>
    <definedName name="Q1_97">[15]IS!$K$7:$K$38</definedName>
    <definedName name="Q1_98">[15]IS!$Q$7:$Q$38</definedName>
    <definedName name="Q1_99">[15]IS!$X$7:$X$38</definedName>
    <definedName name="Q2_00">[15]IS!$AF$7:$AF$39</definedName>
    <definedName name="Q2_97">[15]IS!$L$7:$L$38</definedName>
    <definedName name="Q2_98">[15]IS!$R$7:$R$38</definedName>
    <definedName name="Q2_99">[15]IS!$Y$7:$Y$38</definedName>
    <definedName name="Q3_00">[15]IS!$AG$7:$AG$39</definedName>
    <definedName name="Q3_97">[15]IS!$M$7:$M$38</definedName>
    <definedName name="Q3_98">[15]IS!$S$7:$S$38</definedName>
    <definedName name="Q3_99">[15]IS!$Z$7:$Z$38</definedName>
    <definedName name="Q4_00">[15]IS!$AH$7:$AH$39</definedName>
    <definedName name="Q4_97">[15]IS!$N$7:$N$38</definedName>
    <definedName name="Q4_98">[15]IS!$T$7:$T$38</definedName>
    <definedName name="Q4_99">[15]IS!$AA$7:$AA$38</definedName>
    <definedName name="QINC1">'[41]Qtr Income'!$A$1:$X$214</definedName>
    <definedName name="QMARGIN">'[41] Qtr Margin'!$A$1:$O$110</definedName>
    <definedName name="QSALES1">'[41]Qtr Sales'!$A$1:$AO$179</definedName>
    <definedName name="QSALES2">'[41]Qtr Sales'!$AU$1:$CA$179</definedName>
    <definedName name="QSALES3">'[51]Qrt Sales'!$BZ$3:$DV$113</definedName>
    <definedName name="Qsales3wla">'[52]PFE 2 Qtr Salessolo'!$J$1:$Q$107</definedName>
    <definedName name="QSALES4">'[51]Qrt Sales'!$DX$3:$EL$113</definedName>
    <definedName name="Qsales4wla">'[52]PFE 2 Qtr Salessolo'!$R$1:$T$107</definedName>
    <definedName name="QSALESCHG">'[23]QTR-SALES'!$A$68:$O$126</definedName>
    <definedName name="Qsaleswla">'[52]PFE 2 Qtr Salessolo'!$A$1:$I$107</definedName>
    <definedName name="QtrDate">[18]Sheet1!$Z$6</definedName>
    <definedName name="QtrShares">[18]Sheet1!$Z$7</definedName>
    <definedName name="R_D_ex._Cost_savings">'[1]5 yr Sales and Earnings'!$A$127:$AA$127</definedName>
    <definedName name="Ranking_of_Product_Revenues">'[1]5 yr Sales and Earnings'!$A$130:$AA$130</definedName>
    <definedName name="Rating" localSheetId="18">IndexInformation!$B$9</definedName>
    <definedName name="RatingsDefined" localSheetId="0">ImportantDisclosures!$A$21</definedName>
    <definedName name="RatingsDefs" localSheetId="0">ImportantDisclosures!#REF!</definedName>
    <definedName name="rDataColumns">[18]Sheet1!$W$1:$AK$65536</definedName>
    <definedName name="RefreshNote">[18]Sheet1!$H$3</definedName>
    <definedName name="RefreshSet">[18]Sheet1!$AG$7</definedName>
    <definedName name="RegACDisclosure" localSheetId="0">ImportantDisclosures!#REF!</definedName>
    <definedName name="Regional">[49]iQ_US_CoreIndustrials!$A$21:$AM$157</definedName>
    <definedName name="Relpax">'[1]5 yr Sales and Earnings'!$A$18:$AA$18</definedName>
    <definedName name="rep" localSheetId="7" hidden="1">{#N/A,#N/A,FALSE,"COVER";#N/A,#N/A,FALSE,"VALUATION";#N/A,#N/A,FALSE,"FORECAST";#N/A,#N/A,FALSE,"FY ANALYSIS ";#N/A,#N/A,FALSE," HY ANALYSIS"}</definedName>
    <definedName name="rep" localSheetId="8" hidden="1">{#N/A,#N/A,FALSE,"COVER";#N/A,#N/A,FALSE,"VALUATION";#N/A,#N/A,FALSE,"FORECAST";#N/A,#N/A,FALSE,"FY ANALYSIS ";#N/A,#N/A,FALSE," HY ANALYSIS"}</definedName>
    <definedName name="rep" hidden="1">{#N/A,#N/A,FALSE,"COVER";#N/A,#N/A,FALSE,"VALUATION";#N/A,#N/A,FALSE,"FORECAST";#N/A,#N/A,FALSE,"FY ANALYSIS ";#N/A,#N/A,FALSE," HY ANALYSIS"}</definedName>
    <definedName name="Reported_EPS">'[1]5 yr Sales and Earnings'!$A$78:$AA$78</definedName>
    <definedName name="ResearchTopic" localSheetId="18">IndexInformation!$B$4</definedName>
    <definedName name="ResetItemView" localSheetId="11">'Bari Royalties'!ResetItemView</definedName>
    <definedName name="ResetItemView" localSheetId="10">'Bari Summary'!ResetItemView</definedName>
    <definedName name="ResetItemView" localSheetId="13">'RA - EU'!ResetItemView</definedName>
    <definedName name="ResetItemView" localSheetId="12">'RA - US'!ResetItemView</definedName>
    <definedName name="ResetItemView">[0]!ResetItemView</definedName>
    <definedName name="Restructuirng_Charges">'[1]5 yr Sales and Earnings'!$A$65:$AA$65</definedName>
    <definedName name="reV" localSheetId="11" hidden="1">{"ENBREL",#N/A,FALSE,"Sheet1";"RenaGel",#N/A,FALSE,"Sheet1";"HIV PI",#N/A,FALSE,"Sheet1";"MS",#N/A,FALSE,"Sheet1"}</definedName>
    <definedName name="reV" localSheetId="10" hidden="1">{"ENBREL",#N/A,FALSE,"Sheet1";"RenaGel",#N/A,FALSE,"Sheet1";"HIV PI",#N/A,FALSE,"Sheet1";"MS",#N/A,FALSE,"Sheet1"}</definedName>
    <definedName name="reV" localSheetId="13" hidden="1">{"ENBREL",#N/A,FALSE,"Sheet1";"RenaGel",#N/A,FALSE,"Sheet1";"HIV PI",#N/A,FALSE,"Sheet1";"MS",#N/A,FALSE,"Sheet1"}</definedName>
    <definedName name="reV" localSheetId="12" hidden="1">{"ENBREL",#N/A,FALSE,"Sheet1";"RenaGel",#N/A,FALSE,"Sheet1";"HIV PI",#N/A,FALSE,"Sheet1";"MS",#N/A,FALSE,"Sheet1"}</definedName>
    <definedName name="reV" hidden="1">{"ENBREL",#N/A,FALSE,"Sheet1";"RenaGel",#N/A,FALSE,"Sheet1";"HIV PI",#N/A,FALSE,"Sheet1";"MS",#N/A,FALSE,"Sheet1"}</definedName>
    <definedName name="Revenue">[53]Model!$P$2:$AE$34</definedName>
    <definedName name="REVENUE_WORKSHEET_1">[54]Model!$A$2:$BB$53</definedName>
    <definedName name="REVENUE_WORKSHEET_2">[54]Model!$A$55:$BB$113</definedName>
    <definedName name="Revenue_Worksheet_3">[55]Model!$A$130:$BB$173</definedName>
    <definedName name="Revenue_Worksheet_4">[55]Model!$A$175:$BB$199</definedName>
    <definedName name="Revenue1">[49]iQ_US_CoreIndustrials!$A$21:$AM$183</definedName>
    <definedName name="Revenue2">[49]iQ_US_CoreIndustrials!$A$185:$AM$234</definedName>
    <definedName name="RevlimidRevised" localSheetId="11" hidden="1">{"ENBREL",#N/A,FALSE,"Sheet1";"RenaGel",#N/A,FALSE,"Sheet1";"HIV PI",#N/A,FALSE,"Sheet1";"MS",#N/A,FALSE,"Sheet1"}</definedName>
    <definedName name="RevlimidRevised" localSheetId="10" hidden="1">{"ENBREL",#N/A,FALSE,"Sheet1";"RenaGel",#N/A,FALSE,"Sheet1";"HIV PI",#N/A,FALSE,"Sheet1";"MS",#N/A,FALSE,"Sheet1"}</definedName>
    <definedName name="RevlimidRevised" localSheetId="13" hidden="1">{"ENBREL",#N/A,FALSE,"Sheet1";"RenaGel",#N/A,FALSE,"Sheet1";"HIV PI",#N/A,FALSE,"Sheet1";"MS",#N/A,FALSE,"Sheet1"}</definedName>
    <definedName name="RevlimidRevised" localSheetId="12" hidden="1">{"ENBREL",#N/A,FALSE,"Sheet1";"RenaGel",#N/A,FALSE,"Sheet1";"HIV PI",#N/A,FALSE,"Sheet1";"MS",#N/A,FALSE,"Sheet1"}</definedName>
    <definedName name="RevlimidRevised" hidden="1">{"ENBREL",#N/A,FALSE,"Sheet1";"RenaGel",#N/A,FALSE,"Sheet1";"HIV PI",#N/A,FALSE,"Sheet1";"MS",#N/A,FALSE,"Sheet1"}</definedName>
    <definedName name="revthymitaq">[18]Sheet1!$A$38:$H$46</definedName>
    <definedName name="revtotal">[18]Sheet1!$A$47:$H$70</definedName>
    <definedName name="revviracept">[18]Sheet1!$A$7:$H$37</definedName>
    <definedName name="rGraphInfo">[18]Sheet1!$AD$1</definedName>
    <definedName name="rHistoTitle">[18]Sheet1!$A$4</definedName>
    <definedName name="RIC" localSheetId="18">IndexInformation!$B$21</definedName>
    <definedName name="rIndexTitle">[18]Sheet1!$A$1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M_DDA_2004">[44]BalanceSheet!$S$94</definedName>
    <definedName name="RM_DDA_2005">[44]BalanceSheet!$T$94</definedName>
    <definedName name="RM_DDA_2006">[44]BalanceSheet!$U$94</definedName>
    <definedName name="RM_DDA_2007">[44]BalanceSheet!$V$94</definedName>
    <definedName name="RM_DDA_2008">[44]BalanceSheet!$W$94</definedName>
    <definedName name="ROCC_Intl_2004">'[44]E&amp;P'!$I$617</definedName>
    <definedName name="ROCC_US_2004">'[44]E&amp;P'!$I$413</definedName>
    <definedName name="ROCC_WW_2004">'[44]E&amp;P'!$I$655</definedName>
    <definedName name="Roflumilast">'[1]5 yr Sales and Earnings'!$A$39:$AA$39</definedName>
    <definedName name="ROYAL1">'[23]FEES-R&amp;D'!$A$1:$L$59</definedName>
    <definedName name="ROYAL2">'[23]FEES-R&amp;D'!$A$62:$K$124</definedName>
    <definedName name="rPriceTitle">[18]Sheet1!$A$2</definedName>
    <definedName name="rPVolTitle">[18]Sheet1!$A$3</definedName>
    <definedName name="S_00">'[39]Roche Sales (from G.Parry)'!$AW$1:$AW$65536</definedName>
    <definedName name="S_01">'[39]Roche Sales (from G.Parry)'!$BG$1:$BG$65536</definedName>
    <definedName name="S_02">'[39]Roche Sales (from G.Parry)'!$BU$1:$BU$65536</definedName>
    <definedName name="S_03">'[39]Roche Sales (from G.Parry)'!$CI$1:$CI$65536</definedName>
    <definedName name="S_04">'[39]Roche Sales (from G.Parry)'!$CW$1:$CW$65536</definedName>
    <definedName name="S_05">'[39]Roche Sales (from G.Parry)'!$DK$1:$DK$65536</definedName>
    <definedName name="S_06">'[39]Roche Sales (from G.Parry)'!$DY$1:$DY$65536</definedName>
    <definedName name="S_07">'[39]Roche Sales (from G.Parry)'!$EM$1:$EM$65536</definedName>
    <definedName name="S_08">'[39]Roche Sales (from G.Parry)'!$FA$1:$FA$65536</definedName>
    <definedName name="S_09">'[39]Roche Sales (from G.Parry)'!$FO$1:$FO$65536</definedName>
    <definedName name="S_10">'[39]Roche Sales (from G.Parry)'!$GC$1:$GC$65536</definedName>
    <definedName name="S_1H02">'[39]Roche Sales (from G.Parry)'!$BM$1:$BM$65536</definedName>
    <definedName name="S_1H03">'[39]Roche Sales (from G.Parry)'!$CA$1:$CA$65536</definedName>
    <definedName name="S_1H04">'[39]Roche Sales (from G.Parry)'!$CO$1:$CO$65536</definedName>
    <definedName name="S_1H05">'[39]Roche Sales (from G.Parry)'!$DC$1:$DC$65536</definedName>
    <definedName name="S_1H06">'[39]Roche Sales (from G.Parry)'!$DQ$1:$DQ$65536</definedName>
    <definedName name="S_1H07">'[39]Roche Sales (from G.Parry)'!$EE$1:$EE$65536</definedName>
    <definedName name="S_1H08">'[39]Roche Sales (from G.Parry)'!$ES$1:$ES$65536</definedName>
    <definedName name="S_1H09">'[39]Roche Sales (from G.Parry)'!$FG$1:$FG$65536</definedName>
    <definedName name="S_1H10">'[39]Roche Sales (from G.Parry)'!$FU$1:$FU$65536</definedName>
    <definedName name="S_1H97">'[39]Roche Sales (from G.Parry)'!$O$1:$O$65536</definedName>
    <definedName name="S_1Q00">'[39]Roche Sales (from G.Parry)'!$AO$1:$AO$65536</definedName>
    <definedName name="S_1Q01">'[39]Roche Sales (from G.Parry)'!$AY$1:$AY$65536</definedName>
    <definedName name="S_1Q02">'[39]Roche Sales (from G.Parry)'!$BI$1:$BI$65536</definedName>
    <definedName name="S_1Q03">'[39]Roche Sales (from G.Parry)'!$BW$1:$BW$65536</definedName>
    <definedName name="S_1Q04">'[39]Roche Sales (from G.Parry)'!$CK$1:$CK$65536</definedName>
    <definedName name="S_1Q05">'[39]Roche Sales (from G.Parry)'!$CY$1:$CY$65536</definedName>
    <definedName name="S_1Q06">'[39]Roche Sales (from G.Parry)'!$DM$1:$DM$65536</definedName>
    <definedName name="S_1Q07">'[39]Roche Sales (from G.Parry)'!$EA$1:$EA$65536</definedName>
    <definedName name="S_1Q08">'[39]Roche Sales (from G.Parry)'!$EO$1:$EO$65536</definedName>
    <definedName name="S_1Q09">'[39]Roche Sales (from G.Parry)'!$FC$1:$FC$65536</definedName>
    <definedName name="S_1Q10">'[39]Roche Sales (from G.Parry)'!$FQ$1:$FQ$65536</definedName>
    <definedName name="S_1Q98">'[39]Roche Sales (from G.Parry)'!$U$1:$U$65536</definedName>
    <definedName name="S_1Q99">'[39]Roche Sales (from G.Parry)'!$AE$1:$AE$65536</definedName>
    <definedName name="S_2H97">'[39]Roche Sales (from G.Parry)'!$Q$1:$Q$65536</definedName>
    <definedName name="S_2Q00">'[39]Roche Sales (from G.Parry)'!$AQ$1:$AQ$65536</definedName>
    <definedName name="S_2Q01">'[39]Roche Sales (from G.Parry)'!$BA$1:$BA$65536</definedName>
    <definedName name="S_2Q02">'[39]Roche Sales (from G.Parry)'!$BK$1:$BK$65536</definedName>
    <definedName name="S_2Q03">'[39]Roche Sales (from G.Parry)'!$BY$1:$BY$65536</definedName>
    <definedName name="S_2Q04">'[39]Roche Sales (from G.Parry)'!$CM$1:$CM$65536</definedName>
    <definedName name="S_2Q05">'[39]Roche Sales (from G.Parry)'!$DA$1:$DA$65536</definedName>
    <definedName name="S_2Q06">'[39]Roche Sales (from G.Parry)'!$DO$1:$DO$65536</definedName>
    <definedName name="S_2Q07">'[39]Roche Sales (from G.Parry)'!$EC$1:$EC$65536</definedName>
    <definedName name="S_2Q08">'[39]Roche Sales (from G.Parry)'!$EQ$1:$EQ$65536</definedName>
    <definedName name="S_2Q09">'[39]Roche Sales (from G.Parry)'!$FE$1:$FE$65536</definedName>
    <definedName name="S_2Q10">'[39]Roche Sales (from G.Parry)'!$FS$1:$FS$65536</definedName>
    <definedName name="S_2Q98">'[39]Roche Sales (from G.Parry)'!$W$1:$W$65536</definedName>
    <definedName name="S_2Q99">'[39]Roche Sales (from G.Parry)'!$AG$1:$AG$65536</definedName>
    <definedName name="S_3Q00">'[39]Roche Sales (from G.Parry)'!$AS$1:$AS$65536</definedName>
    <definedName name="S_3Q01">'[39]Roche Sales (from G.Parry)'!$BC$1:$BC$65536</definedName>
    <definedName name="S_3Q02">'[39]Roche Sales (from G.Parry)'!$BO$1:$BO$65536</definedName>
    <definedName name="S_3Q03">'[39]Roche Sales (from G.Parry)'!$CC$1:$CC$65536</definedName>
    <definedName name="S_3Q04">'[39]Roche Sales (from G.Parry)'!$CQ$1:$CQ$65536</definedName>
    <definedName name="S_3Q05">'[39]Roche Sales (from G.Parry)'!$DE$1:$DE$65536</definedName>
    <definedName name="S_3Q06">'[39]Roche Sales (from G.Parry)'!$DS$1:$DS$65536</definedName>
    <definedName name="S_3Q07">'[39]Roche Sales (from G.Parry)'!$EG$1:$EG$65536</definedName>
    <definedName name="S_3Q08">'[39]Roche Sales (from G.Parry)'!$EU$1:$EU$65536</definedName>
    <definedName name="S_3Q09">'[39]Roche Sales (from G.Parry)'!$FI$1:$FI$65536</definedName>
    <definedName name="S_3Q10">'[39]Roche Sales (from G.Parry)'!$FW$1:$FW$65536</definedName>
    <definedName name="S_3Q98">'[39]Roche Sales (from G.Parry)'!$Y$1:$Y$65536</definedName>
    <definedName name="S_3Q99">'[39]Roche Sales (from G.Parry)'!$AI$1:$AI$65536</definedName>
    <definedName name="S_483">'[39]Roche Sales (from G.Parry)'!$A$232:$IV$232</definedName>
    <definedName name="S_4Q00">'[39]Roche Sales (from G.Parry)'!$AU$1:$AU$65536</definedName>
    <definedName name="S_4Q01">'[39]Roche Sales (from G.Parry)'!$BE$1:$BE$65536</definedName>
    <definedName name="S_4Q02">'[39]Roche Sales (from G.Parry)'!$BS$1:$BS$65536</definedName>
    <definedName name="S_4Q03">'[39]Roche Sales (from G.Parry)'!$CG$1:$CG$65536</definedName>
    <definedName name="S_4Q04">'[39]Roche Sales (from G.Parry)'!$CU$1:$CU$65536</definedName>
    <definedName name="S_4Q05">'[39]Roche Sales (from G.Parry)'!$DI$1:$DI$65536</definedName>
    <definedName name="S_4Q06">'[39]Roche Sales (from G.Parry)'!$DW$1:$DW$65536</definedName>
    <definedName name="S_4Q07">'[39]Roche Sales (from G.Parry)'!$EK$1:$EK$65536</definedName>
    <definedName name="S_4Q08">'[39]Roche Sales (from G.Parry)'!$EY$1:$EY$65536</definedName>
    <definedName name="S_4Q09">'[39]Roche Sales (from G.Parry)'!$FM$1:$FM$65536</definedName>
    <definedName name="S_4Q10">'[39]Roche Sales (from G.Parry)'!$GA$1:$GA$65536</definedName>
    <definedName name="S_4Q98">'[39]Roche Sales (from G.Parry)'!$AA$1:$AA$65536</definedName>
    <definedName name="S_4Q99">'[39]Roche Sales (from G.Parry)'!$AK$1:$AK$65536</definedName>
    <definedName name="S_93">'[39]Roche Sales (from G.Parry)'!$G$1:$G$65536</definedName>
    <definedName name="S_94">'[39]Roche Sales (from G.Parry)'!$I$1:$I$65536</definedName>
    <definedName name="S_95">'[39]Roche Sales (from G.Parry)'!$K$1:$K$65536</definedName>
    <definedName name="S_96">'[39]Roche Sales (from G.Parry)'!$M$1:$M$65536</definedName>
    <definedName name="S_97">'[39]Roche Sales (from G.Parry)'!$S$1:$S$65536</definedName>
    <definedName name="S_98">'[39]Roche Sales (from G.Parry)'!$AC$1:$AC$65536</definedName>
    <definedName name="S_99">'[39]Roche Sales (from G.Parry)'!$AM$1:$AM$65536</definedName>
    <definedName name="S_9M02">'[39]Roche Sales (from G.Parry)'!$BQ$1:$BQ$65536</definedName>
    <definedName name="S_9M03">'[39]Roche Sales (from G.Parry)'!$CE$1:$CE$65536</definedName>
    <definedName name="S_9M04">'[39]Roche Sales (from G.Parry)'!$CS$1:$CS$65536</definedName>
    <definedName name="S_9M05">'[39]Roche Sales (from G.Parry)'!$DG$1:$DG$65536</definedName>
    <definedName name="S_9M06">'[39]Roche Sales (from G.Parry)'!$DU$1:$DU$65536</definedName>
    <definedName name="S_9M07">'[39]Roche Sales (from G.Parry)'!$EI$1:$EI$65536</definedName>
    <definedName name="S_9M08">'[39]Roche Sales (from G.Parry)'!$EW$1:$EW$65536</definedName>
    <definedName name="S_9M09">'[39]Roche Sales (from G.Parry)'!$FK$1:$FK$65536</definedName>
    <definedName name="S_9M10">'[39]Roche Sales (from G.Parry)'!$FY$1:$FY$65536</definedName>
    <definedName name="S_Activas">'[39]Roche Sales (from G.Parry)'!$A$167:$IV$167</definedName>
    <definedName name="S_Activas_US">'[39]Roche Sales (from G.Parry)'!$A$168:$IV$168</definedName>
    <definedName name="S_Avastin">'[39]Roche Sales (from G.Parry)'!$A$211:$IV$211</definedName>
    <definedName name="S_Avastin_US">'[39]Roche Sales (from G.Parry)'!$A$212:$IV$212</definedName>
    <definedName name="S_Bonviva">'[39]Roche Sales (from G.Parry)'!$A$204:$IV$204</definedName>
    <definedName name="S_Cellcept">'[39]Roche Sales (from G.Parry)'!$A$60:$IV$60</definedName>
    <definedName name="S_Cellcept_US">'[39]Roche Sales (from G.Parry)'!$A$61:$IV$61</definedName>
    <definedName name="S_CERA">'[39]Roche Sales (from G.Parry)'!$A$230:$IV$230</definedName>
    <definedName name="S_Cymevene">'[39]Roche Sales (from G.Parry)'!$A$159:$IV$159</definedName>
    <definedName name="S_Cymevene_US">'[39]Roche Sales (from G.Parry)'!$A$160:$IV$160</definedName>
    <definedName name="S_DateHeading1">'[39]Roche Sales (from G.Parry)'!$A$33:$IV$33</definedName>
    <definedName name="S_Diagnostics_Sales">'[39]Roche Sales (from G.Parry)'!$A$261:$IV$261</definedName>
    <definedName name="S_Dilatrend">'[39]Roche Sales (from G.Parry)'!$A$134:$IV$134</definedName>
    <definedName name="S_Dilatrend_US">'[39]Roche Sales (from G.Parry)'!$A$135:$IV$135</definedName>
    <definedName name="S_DNA_Sales">'[39]Roche Sales (from G.Parry)'!$A$280:$IV$280</definedName>
    <definedName name="s_DNA_Sales_CHF">'[39]Roche Sales (from G.Parry)'!$A$295:$IV$295</definedName>
    <definedName name="S_Fuzeon">'[39]Roche Sales (from G.Parry)'!$A$205:$IV$205</definedName>
    <definedName name="S_Herceptin">'[39]Roche Sales (from G.Parry)'!$A$68:$IV$68</definedName>
    <definedName name="S_Herceptin_US">'[39]Roche Sales (from G.Parry)'!$A$69:$IV$69</definedName>
    <definedName name="S_Kytril">'[39]Roche Sales (from G.Parry)'!$A$118:$IV$118</definedName>
    <definedName name="S_Kytril_US">'[39]Roche Sales (from G.Parry)'!$A$119:$IV$119</definedName>
    <definedName name="S_Lexotan">'[39]Roche Sales (from G.Parry)'!$A$192:$IV$192</definedName>
    <definedName name="S_Lexotan_US">'[39]Roche Sales (from G.Parry)'!$A$193:$IV$193</definedName>
    <definedName name="S_Madopar">'[39]Roche Sales (from G.Parry)'!$A$184:$IV$184</definedName>
    <definedName name="S_Madopar_US">'[39]Roche Sales (from G.Parry)'!$A$185:$IV$185</definedName>
    <definedName name="S_Name">'[39]Roche Sales (from G.Parry)'!$C$1:$C$65536</definedName>
    <definedName name="S_NeoRecormon">'[39]Roche Sales (from G.Parry)'!$A$44:$IV$44</definedName>
    <definedName name="S_NeoRecormon_US">'[39]Roche Sales (from G.Parry)'!$A$45:$IV$45</definedName>
    <definedName name="S_Neutrogin">'[39]Roche Sales (from G.Parry)'!$A$151:$IV$151</definedName>
    <definedName name="S_Neutrogin_US">'[39]Roche Sales (from G.Parry)'!$A$152:$IV$152</definedName>
    <definedName name="S_Neutropin">'[39]Roche Sales (from G.Parry)'!$A$109:$IV$109</definedName>
    <definedName name="S_Neutropin_US">'[39]Roche Sales (from G.Parry)'!$A$110:$IV$110</definedName>
    <definedName name="S_Pegasys">'[39]Roche Sales (from G.Parry)'!$A$77:$IV$77</definedName>
    <definedName name="S_Pegasys_US">'[39]Roche Sales (from G.Parry)'!$A$78:$IV$78</definedName>
    <definedName name="S_Pharma_Sales">'[39]Roche Sales (from G.Parry)'!$A$256:$IV$256</definedName>
    <definedName name="S_pharmexotc_sales">'[39]Roche Sales (from G.Parry)'!$A$256:$IV$256</definedName>
    <definedName name="S_Pulmozyme">'[39]Roche Sales (from G.Parry)'!$A$142:$IV$142</definedName>
    <definedName name="S_Pulmozyme_US">'[39]Roche Sales (from G.Parry)'!$A$143:$IV$143</definedName>
    <definedName name="S_R1270">'[39]Roche Sales (from G.Parry)'!$A$235:$IV$235</definedName>
    <definedName name="S_R1273">'[39]Roche Sales (from G.Parry)'!$A$234:$IV$234</definedName>
    <definedName name="S_R1549">'[39]Roche Sales (from G.Parry)'!$A$233:$IV$233</definedName>
    <definedName name="S_R450">'[39]Roche Sales (from G.Parry)'!$A$229:$IV$229</definedName>
    <definedName name="S_R483">'[39]Roche Sales (from G.Parry)'!$A$232:$IV$232</definedName>
    <definedName name="S_R673">'[39]Roche Sales (from G.Parry)'!$A$231:$IV$231</definedName>
    <definedName name="S_Raptiva">'[39]Roche Sales (from G.Parry)'!$A$223:$IV$223</definedName>
    <definedName name="S_Raptiva_US">'[39]Roche Sales (from G.Parry)'!$A$224:$IV$224</definedName>
    <definedName name="S_Rituxan">'[39]Roche Sales (from G.Parry)'!$A$35:$IV$35</definedName>
    <definedName name="S_Rituxan_US">'[39]Roche Sales (from G.Parry)'!$A$36:$IV$36</definedName>
    <definedName name="S_Roaccutan">'[39]Roche Sales (from G.Parry)'!$A$93:$IV$93</definedName>
    <definedName name="S_Roaccutan_US">'[39]Roche Sales (from G.Parry)'!$A$94:$IV$94</definedName>
    <definedName name="S_Rocephin">'[39]Roche Sales (from G.Parry)'!$A$52:$IV$52</definedName>
    <definedName name="S_Rocephin_US">'[39]Roche Sales (from G.Parry)'!$A$53:$IV$53</definedName>
    <definedName name="S_RX_Sales">'[39]Roche Sales (from G.Parry)'!$A$242:$IV$242</definedName>
    <definedName name="S_Tamiflu">'[39]Roche Sales (from G.Parry)'!$A$126:$IV$126</definedName>
    <definedName name="S_Tamiflu_US">'[39]Roche Sales (from G.Parry)'!$A$127:$IV$127</definedName>
    <definedName name="S_Tarceva">'[39]Roche Sales (from G.Parry)'!$A$217:$IV$217</definedName>
    <definedName name="S_Tarceva_US">'[39]Roche Sales (from G.Parry)'!$A$218:$IV$218</definedName>
    <definedName name="S_Ticlid">'[39]Roche Sales (from G.Parry)'!$A$203:$IV$203</definedName>
    <definedName name="s_Total_Sales">'[39]Roche Sales (from G.Parry)'!$A$263:$IV$263</definedName>
    <definedName name="S_Viracept">'[39]Roche Sales (from G.Parry)'!$A$176:$IV$176</definedName>
    <definedName name="S_Viracept_US">'[39]Roche Sales (from G.Parry)'!$A$177:$IV$177</definedName>
    <definedName name="S_Xeloda">'[39]Roche Sales (from G.Parry)'!$A$101:$IV$101</definedName>
    <definedName name="S_Xeloda_US">'[39]Roche Sales (from G.Parry)'!$A$102:$IV$102</definedName>
    <definedName name="S_Xenical">'[39]Roche Sales (from G.Parry)'!$A$85:$IV$85</definedName>
    <definedName name="S_Xenical_US">'[39]Roche Sales (from G.Parry)'!$A$86:$IV$86</definedName>
    <definedName name="S_Xolair">'[39]Roche Sales (from G.Parry)'!$A$210:$IV$210</definedName>
    <definedName name="S_Zenapax">'[39]Roche Sales (from G.Parry)'!$A$202:$IV$202</definedName>
    <definedName name="sadf">'[24]Qrt Sales'!$AO$3:$BT$133</definedName>
    <definedName name="Sales">[18]Sheet1!$A$106:$M$179</definedName>
    <definedName name="Sales_of_Products">'[1]5 yr Sales and Earnings'!$A$101:$AA$101</definedName>
    <definedName name="SaveReturn">[18]Sheet1!$C$3</definedName>
    <definedName name="SECSettlement" localSheetId="0">ImportantDisclosures!#REF!</definedName>
    <definedName name="SEDOL" localSheetId="18">IndexInformation!$B$22</definedName>
    <definedName name="sencount" hidden="1">1</definedName>
    <definedName name="SeriesFormat" localSheetId="11">'Bari Royalties'!SeriesFormat</definedName>
    <definedName name="SeriesFormat" localSheetId="10">'Bari Summary'!SeriesFormat</definedName>
    <definedName name="SeriesFormat" localSheetId="13">'RA - EU'!SeriesFormat</definedName>
    <definedName name="SeriesFormat" localSheetId="12">'RA - US'!SeriesFormat</definedName>
    <definedName name="SeriesFormat">[0]!SeriesFormat</definedName>
    <definedName name="sf">'[24]Qtr Margin'!$A$1:$O$77</definedName>
    <definedName name="SG_A_ex._cost_savings">'[1]5 yr Sales and Earnings'!$A$125:$AA$125</definedName>
    <definedName name="Shares">'[1]5 yr Sales and Earnings'!$A$76:$AA$76</definedName>
    <definedName name="ShowData" localSheetId="11">'Bari Royalties'!ShowData</definedName>
    <definedName name="ShowData" localSheetId="10">'Bari Summary'!ShowData</definedName>
    <definedName name="ShowData" localSheetId="13">'RA - EU'!ShowData</definedName>
    <definedName name="ShowData" localSheetId="12">'RA - US'!ShowData</definedName>
    <definedName name="ShowData">[0]!ShowData</definedName>
    <definedName name="ShowDottedLine" localSheetId="11">'Bari Royalties'!ShowDottedLine</definedName>
    <definedName name="ShowDottedLine" localSheetId="10">'Bari Summary'!ShowDottedLine</definedName>
    <definedName name="ShowDottedLine" localSheetId="13">'RA - EU'!ShowDottedLine</definedName>
    <definedName name="ShowDottedLine" localSheetId="12">'RA - US'!ShowDottedLine</definedName>
    <definedName name="ShowDottedLine">[0]!ShowDottedLine</definedName>
    <definedName name="ShowGraph" localSheetId="11">'Bari Royalties'!ShowGraph</definedName>
    <definedName name="ShowGraph" localSheetId="10">'Bari Summary'!ShowGraph</definedName>
    <definedName name="ShowGraph" localSheetId="13">'RA - EU'!ShowGraph</definedName>
    <definedName name="ShowGraph" localSheetId="12">'RA - US'!ShowGraph</definedName>
    <definedName name="ShowGraph">[0]!ShowGraph</definedName>
    <definedName name="Smoking_Cessation_Drug">'[1]5 yr Sales and Earnings'!$A$42:$AA$42</definedName>
    <definedName name="solver_adj" localSheetId="5" hidden="1">SOP!$C$112</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SOP!$D$112</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399</definedName>
    <definedName name="solver_ver" localSheetId="5" hidden="1">3</definedName>
    <definedName name="SourceDefined" localSheetId="0">ImportantDisclosures!$A$19</definedName>
    <definedName name="startcell">[18]Sheet1!$Z$21</definedName>
    <definedName name="StartDateCell">[18]Sheet1!$F$7</definedName>
    <definedName name="StatusSection">[18]Sheet1!$C$2:$H$15</definedName>
    <definedName name="StepCustom">[18]Sheet1!$N$7</definedName>
    <definedName name="StockRating" localSheetId="0">ImportantDisclosures!$A$11</definedName>
    <definedName name="SubjectCode" localSheetId="18">IndexInformation!$B$6</definedName>
    <definedName name="SubmissionData">[56]RAPID2!$C$1:$J$99</definedName>
    <definedName name="SubmitterUserId">IndexInformation!$B$39</definedName>
    <definedName name="Summary_IS"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PPRESSED" localSheetId="19">ModPubIndex!$A$13</definedName>
    <definedName name="Table_10">'[57]SEARLE - SALES'!$B$1:$AJ$82</definedName>
    <definedName name="Table_4">[18]Sheet1!$A$1:$K$66</definedName>
    <definedName name="Table_4b">[18]Sheet1!$M$1:$W$53</definedName>
    <definedName name="Table_5">[18]Sheet1!$A$1:$J$90</definedName>
    <definedName name="Table_6">[18]Sheet1!$A$1:$I$98</definedName>
    <definedName name="Table_7">[18]Sheet1!$A$1:$L$88</definedName>
    <definedName name="Table10">[18]Sheet1!$A$1:$H$60</definedName>
    <definedName name="Table5_Naprosyn">[18]Sheet1!$A$1:$J$62</definedName>
    <definedName name="Table6_Tagamet">[18]Sheet1!$A$1:$I$62</definedName>
    <definedName name="Table6b">[18]Sheet1!$K$1:$S$62</definedName>
    <definedName name="Table8">[18]Sheet1!$A$1:$J$65</definedName>
    <definedName name="Table9">[18]Sheet1!$A$1:$L$57</definedName>
    <definedName name="Tarceva.new">{"Client Name or Project Name"}</definedName>
    <definedName name="TargetPrice" localSheetId="0">ImportantDisclosures!$A$15</definedName>
    <definedName name="taxtar">[32]Inputs!$E$10</definedName>
    <definedName name="taxtar2">[32]Inputs!$E$11</definedName>
    <definedName name="TemplateRegion">IndexInformation!$B$36</definedName>
    <definedName name="TextFormat" localSheetId="11">'Bari Royalties'!TextFormat</definedName>
    <definedName name="TextFormat" localSheetId="10">'Bari Summary'!TextFormat</definedName>
    <definedName name="TextFormat" localSheetId="13">'RA - EU'!TextFormat</definedName>
    <definedName name="TextFormat" localSheetId="12">'RA - US'!TextFormat</definedName>
    <definedName name="TextFormat">[0]!TextFormat</definedName>
    <definedName name="THALREVISED" localSheetId="11" hidden="1">{"ENBREL",#N/A,FALSE,"Sheet1";"RenaGel",#N/A,FALSE,"Sheet1";"HIV PI",#N/A,FALSE,"Sheet1";"MS",#N/A,FALSE,"Sheet1"}</definedName>
    <definedName name="THALREVISED" localSheetId="10" hidden="1">{"ENBREL",#N/A,FALSE,"Sheet1";"RenaGel",#N/A,FALSE,"Sheet1";"HIV PI",#N/A,FALSE,"Sheet1";"MS",#N/A,FALSE,"Sheet1"}</definedName>
    <definedName name="THALREVISED" localSheetId="13" hidden="1">{"ENBREL",#N/A,FALSE,"Sheet1";"RenaGel",#N/A,FALSE,"Sheet1";"HIV PI",#N/A,FALSE,"Sheet1";"MS",#N/A,FALSE,"Sheet1"}</definedName>
    <definedName name="THALREVISED" localSheetId="12" hidden="1">{"ENBREL",#N/A,FALSE,"Sheet1";"RenaGel",#N/A,FALSE,"Sheet1";"HIV PI",#N/A,FALSE,"Sheet1";"MS",#N/A,FALSE,"Sheet1"}</definedName>
    <definedName name="THALREVISED" hidden="1">{"ENBREL",#N/A,FALSE,"Sheet1";"RenaGel",#N/A,FALSE,"Sheet1";"HIV PI",#N/A,FALSE,"Sheet1";"MS",#N/A,FALSE,"Sheet1"}</definedName>
    <definedName name="Ticker" localSheetId="0">ImportantDisclosures!$A$10</definedName>
    <definedName name="TickerCell">[18]Sheet1!$X$3</definedName>
    <definedName name="TickerRegion">IndexInformation!$B$41</definedName>
    <definedName name="Tickers" localSheetId="18">IndexInformation!$B$19</definedName>
    <definedName name="TickerToNameOnEnter" localSheetId="11">'Bari Royalties'!TickerToNameOnEnter</definedName>
    <definedName name="TickerToNameOnEnter" localSheetId="10">'Bari Summary'!TickerToNameOnEnter</definedName>
    <definedName name="TickerToNameOnEnter" localSheetId="13">'RA - EU'!TickerToNameOnEnter</definedName>
    <definedName name="TickerToNameOnEnter" localSheetId="12">'RA - US'!TickerToNameOnEnter</definedName>
    <definedName name="TickerToNameOnEnter">[0]!TickerToNameOnEnter</definedName>
    <definedName name="Title1">[18]Sheet1!$B$16</definedName>
    <definedName name="Title2">[18]Sheet1!$V$11</definedName>
    <definedName name="Title2Spot">[18]Sheet1!$B$17</definedName>
    <definedName name="Total_New_Pharmaceuticals">'[1]5 yr Sales and Earnings'!$A$44:$AA$44</definedName>
    <definedName name="Total_Prescriptions">'[58]MS Week2'!$A$3:$D$4</definedName>
    <definedName name="total_Rx_growth">'[58]MS Week2'!$K$5:$O$15</definedName>
    <definedName name="Totals">[18]Sheet1!$A$181:$M$235</definedName>
    <definedName name="TotalVol">[18]Sheet1!$Z$5</definedName>
    <definedName name="trans" localSheetId="11">'Bari Royalties'!trans</definedName>
    <definedName name="trans" localSheetId="10">'Bari Summary'!trans</definedName>
    <definedName name="trans" localSheetId="13">'RA - EU'!trans</definedName>
    <definedName name="trans" localSheetId="12">'RA - US'!trans</definedName>
    <definedName name="trans">[0]!trans</definedName>
    <definedName name="transx" localSheetId="11">'Bari Royalties'!transx</definedName>
    <definedName name="transx" localSheetId="10">'Bari Summary'!transx</definedName>
    <definedName name="transx" localSheetId="13">'RA - EU'!transx</definedName>
    <definedName name="transx" localSheetId="12">'RA - US'!transx</definedName>
    <definedName name="transx">[0]!transx</definedName>
    <definedName name="trc_XLS_DATASHEET_ProtectDate">35417.7656018519</definedName>
    <definedName name="UpdateReason" localSheetId="18">IndexInformation!$B$17</definedName>
    <definedName name="US_EP_Depr_2003">'[44]E&amp;P'!$H$377</definedName>
    <definedName name="US_EP_Depr_2004">'[20]E&amp;P'!$P$224</definedName>
    <definedName name="US_EP_NI_2004">'[20]E&amp;P'!$P$230</definedName>
    <definedName name="USGasProd_2004">'[20]E&amp;P'!$P$5</definedName>
    <definedName name="USOilProd_2004">'[20]E&amp;P'!$P$4</definedName>
    <definedName name="USOtherCosts_2004">'[20]E&amp;P'!$P$237</definedName>
    <definedName name="USProd_2004">'[20]E&amp;P'!$P$6</definedName>
    <definedName name="USProdCosts_2004">'[20]E&amp;P'!$P$235</definedName>
    <definedName name="USRegDisclosures" localSheetId="0">ImportantDisclosures!#REF!</definedName>
    <definedName name="Vfend">'[1]5 yr Sales and Earnings'!$A$27:$AA$27</definedName>
    <definedName name="Viagra">'[1]5 yr Sales and Earnings'!$A$28:$AA$28</definedName>
    <definedName name="Viracept" localSheetId="11">'[39]Roche Sales (from G.Parry)'!$C$176:$IV$176</definedName>
    <definedName name="Viracept" localSheetId="10">'[39]Roche Sales (from G.Parry)'!$C$176:$IV$176</definedName>
    <definedName name="Viracept" localSheetId="13">'[39]Roche Sales (from G.Parry)'!$C$176:$IV$176</definedName>
    <definedName name="Viracept" localSheetId="12">'[39]Roche Sales (from G.Parry)'!$C$176:$IV$176</definedName>
    <definedName name="Viracept">'[1]5 yr Sales and Earnings'!$A$25:$AA$25</definedName>
    <definedName name="VolumeCell">[18]Sheet1!$X$8</definedName>
    <definedName name="VolumeComplement">[18]Sheet1!$Y$8</definedName>
    <definedName name="WORLDWIDE">[49]iQ_US_CoreIndustrials!$A$161:$AM$183</definedName>
    <definedName name="wrn.AGN._.MODELS." localSheetId="7" hidden="1">{"QTRINC1",#N/A,FALSE,"QTRINC";"QTRINC2",#N/A,FALSE,"QTRINC";"QTRSALES",#N/A,FALSE,"QTRSALES";"ANNSALES",#N/A,FALSE,"ANNSALES";"CASHFLOW",#N/A,FALSE,"CASHFLOW"}</definedName>
    <definedName name="wrn.AGN._.MODELS." localSheetId="8"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7" hidden="1">{"QTRINC",#N/A,FALSE,"QTRINC";"MARGIN",#N/A,FALSE,"MARGIN";"CASHFLOW",#N/A,FALSE,"CASHFLOW"}</definedName>
    <definedName name="wrn.AHP._.MODELS." localSheetId="8" hidden="1">{"QTRINC",#N/A,FALSE,"QTRINC";"MARGIN",#N/A,FALSE,"MARGIN";"CASHFLOW",#N/A,FALSE,"CASHFLOW"}</definedName>
    <definedName name="wrn.AHP._.MODELS." hidden="1">{"QTRINC",#N/A,FALSE,"QTRINC";"MARGIN",#N/A,FALSE,"MARGIN";"CASHFLOW",#N/A,FALSE,"CASHFLOW"}</definedName>
    <definedName name="wrn.allpages." localSheetId="7" hidden="1">{#N/A,#N/A,TRUE,"Historicals";#N/A,#N/A,TRUE,"Charts";#N/A,#N/A,TRUE,"Forecasts"}</definedName>
    <definedName name="wrn.allpages." localSheetId="8" hidden="1">{#N/A,#N/A,TRUE,"Historicals";#N/A,#N/A,TRUE,"Charts";#N/A,#N/A,TRUE,"Forecasts"}</definedName>
    <definedName name="wrn.allpages." hidden="1">{#N/A,#N/A,TRUE,"Historicals";#N/A,#N/A,TRUE,"Charts";#N/A,#N/A,TRUE,"Forecasts"}</definedName>
    <definedName name="wrn.Annual._.Operating._.Earnings." localSheetId="7" hidden="1">{"Annual 1996",#N/A,FALSE,"Ann-Op (Mng)";"Annual 1996",#N/A,FALSE,"Ann-Op (Rep)";"Operating Vs. Reported Earnings",#N/A,FALSE,"Rpt-Op Inc"}</definedName>
    <definedName name="wrn.Annual._.Operating._.Earnings." localSheetId="8"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localSheetId="8"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sicModel." localSheetId="7" hidden="1">{"MacroCo",#N/A,FALSE,"masmode";"IncomeS",#N/A,FALSE,"masmode";"BalanceS",#N/A,FALSE,"masmode";"CashF",#N/A,FALSE,"masmode";"Ratios",#N/A,FALSE,"masmode";"DebtFC",#N/A,FALSE,"masmode"}</definedName>
    <definedName name="wrn.BasicModel." localSheetId="8" hidden="1">{"MacroCo",#N/A,FALSE,"masmode";"IncomeS",#N/A,FALSE,"masmode";"BalanceS",#N/A,FALSE,"masmode";"CashF",#N/A,FALSE,"masmode";"Ratios",#N/A,FALSE,"masmode";"DebtFC",#N/A,FALSE,"masmode"}</definedName>
    <definedName name="wrn.BasicModel." hidden="1">{"MacroCo",#N/A,FALSE,"masmode";"IncomeS",#N/A,FALSE,"masmode";"BalanceS",#N/A,FALSE,"masmode";"CashF",#N/A,FALSE,"masmode";"Ratios",#N/A,FALSE,"masmode";"DebtFC",#N/A,FALSE,"masmode"}</definedName>
    <definedName name="wrn.BGEN." localSheetId="11" hidden="1">{"Revenue",#N/A,FALSE,"Revenue";"QEarn1",#N/A,FALSE,"Qearn";"QEarn2",#N/A,FALSE,"Qearn";"QMargin",#N/A,FALSE,"Margin";"Cashflow",#N/A,FALSE,"Cashflow";"Product Pipeline",#N/A,FALSE,"Product Pipeline";"Comment Model",#N/A,FALSE,"Comment P&amp;L"}</definedName>
    <definedName name="wrn.BGEN." localSheetId="10" hidden="1">{"Revenue",#N/A,FALSE,"Revenue";"QEarn1",#N/A,FALSE,"Qearn";"QEarn2",#N/A,FALSE,"Qearn";"QMargin",#N/A,FALSE,"Margin";"Cashflow",#N/A,FALSE,"Cashflow";"Product Pipeline",#N/A,FALSE,"Product Pipeline";"Comment Model",#N/A,FALSE,"Comment P&amp;L"}</definedName>
    <definedName name="wrn.BGEN." localSheetId="13" hidden="1">{"Revenue",#N/A,FALSE,"Revenue";"QEarn1",#N/A,FALSE,"Qearn";"QEarn2",#N/A,FALSE,"Qearn";"QMargin",#N/A,FALSE,"Margin";"Cashflow",#N/A,FALSE,"Cashflow";"Product Pipeline",#N/A,FALSE,"Product Pipeline";"Comment Model",#N/A,FALSE,"Comment P&amp;L"}</definedName>
    <definedName name="wrn.BGEN." localSheetId="12" hidden="1">{"Revenue",#N/A,FALSE,"Revenue";"QEarn1",#N/A,FALSE,"Qearn";"QEarn2",#N/A,FALSE,"Qearn";"QMargin",#N/A,FALSE,"Margin";"Cashflow",#N/A,FALSE,"Cashflow";"Product Pipeline",#N/A,FALSE,"Product Pipeline";"Comment Model",#N/A,FALSE,"Comment P&amp;L"}</definedName>
    <definedName name="wrn.BGEN." hidden="1">{"Revenue",#N/A,FALSE,"Revenue";"QEarn1",#N/A,FALSE,"Qearn";"QEarn2",#N/A,FALSE,"Qearn";"QMargin",#N/A,FALSE,"Margin";"Cashflow",#N/A,FALSE,"Cashflow";"Product Pipeline",#N/A,FALSE,"Product Pipeline";"Comment Model",#N/A,FALSE,"Comment P&amp;L"}</definedName>
    <definedName name="wrn.BUDGET." localSheetId="11" hidden="1">{#N/A,#N/A,FALSE,"Total REGN by Month";#N/A,#N/A,FALSE,"Total REGN Board Formats ";#N/A,#N/A,FALSE,"Summary By Dept";#N/A,#N/A,FALSE,"Research";#N/A,#N/A,FALSE,"Protein Science";#N/A,#N/A,FALSE,"Development";#N/A,#N/A,FALSE,"Regulatory";#N/A,#N/A,FALSE,"Clinical";#N/A,#N/A,FALSE,"Pilot Plant";#N/A,#N/A,FALSE,"Site Services";#N/A,#N/A,FALSE,"Administration";#N/A,#N/A,FALSE,"Legal";#N/A,#N/A,FALSE,"Corporate";#N/A,#N/A,FALSE,"Rensselaer";#N/A,#N/A,FALSE,"Plug-Tarrytown"}</definedName>
    <definedName name="wrn.BUDGET." localSheetId="10" hidden="1">{#N/A,#N/A,FALSE,"Total REGN by Month";#N/A,#N/A,FALSE,"Total REGN Board Formats ";#N/A,#N/A,FALSE,"Summary By Dept";#N/A,#N/A,FALSE,"Research";#N/A,#N/A,FALSE,"Protein Science";#N/A,#N/A,FALSE,"Development";#N/A,#N/A,FALSE,"Regulatory";#N/A,#N/A,FALSE,"Clinical";#N/A,#N/A,FALSE,"Pilot Plant";#N/A,#N/A,FALSE,"Site Services";#N/A,#N/A,FALSE,"Administration";#N/A,#N/A,FALSE,"Legal";#N/A,#N/A,FALSE,"Corporate";#N/A,#N/A,FALSE,"Rensselaer";#N/A,#N/A,FALSE,"Plug-Tarrytown"}</definedName>
    <definedName name="wrn.BUDGET." localSheetId="13" hidden="1">{#N/A,#N/A,FALSE,"Total REGN by Month";#N/A,#N/A,FALSE,"Total REGN Board Formats ";#N/A,#N/A,FALSE,"Summary By Dept";#N/A,#N/A,FALSE,"Research";#N/A,#N/A,FALSE,"Protein Science";#N/A,#N/A,FALSE,"Development";#N/A,#N/A,FALSE,"Regulatory";#N/A,#N/A,FALSE,"Clinical";#N/A,#N/A,FALSE,"Pilot Plant";#N/A,#N/A,FALSE,"Site Services";#N/A,#N/A,FALSE,"Administration";#N/A,#N/A,FALSE,"Legal";#N/A,#N/A,FALSE,"Corporate";#N/A,#N/A,FALSE,"Rensselaer";#N/A,#N/A,FALSE,"Plug-Tarrytown"}</definedName>
    <definedName name="wrn.BUDGET." localSheetId="12" hidden="1">{#N/A,#N/A,FALSE,"Total REGN by Month";#N/A,#N/A,FALSE,"Total REGN Board Formats ";#N/A,#N/A,FALSE,"Summary By Dept";#N/A,#N/A,FALSE,"Research";#N/A,#N/A,FALSE,"Protein Science";#N/A,#N/A,FALSE,"Development";#N/A,#N/A,FALSE,"Regulatory";#N/A,#N/A,FALSE,"Clinical";#N/A,#N/A,FALSE,"Pilot Plant";#N/A,#N/A,FALSE,"Site Services";#N/A,#N/A,FALSE,"Administration";#N/A,#N/A,FALSE,"Legal";#N/A,#N/A,FALSE,"Corporate";#N/A,#N/A,FALSE,"Rensselaer";#N/A,#N/A,FALSE,"Plug-Tarrytown"}</definedName>
    <definedName name="wrn.BUDGET." hidden="1">{#N/A,#N/A,FALSE,"Total REGN by Month";#N/A,#N/A,FALSE,"Total REGN Board Formats ";#N/A,#N/A,FALSE,"Summary By Dept";#N/A,#N/A,FALSE,"Research";#N/A,#N/A,FALSE,"Protein Science";#N/A,#N/A,FALSE,"Development";#N/A,#N/A,FALSE,"Regulatory";#N/A,#N/A,FALSE,"Clinical";#N/A,#N/A,FALSE,"Pilot Plant";#N/A,#N/A,FALSE,"Site Services";#N/A,#N/A,FALSE,"Administration";#N/A,#N/A,FALSE,"Legal";#N/A,#N/A,FALSE,"Corporate";#N/A,#N/A,FALSE,"Rensselaer";#N/A,#N/A,FALSE,"Plug-Tarrytown"}</definedName>
    <definedName name="wrn.budgetb." localSheetId="11" hidden="1">{#N/A,#N/A,FALSE,"Total REGN by Month";#N/A,#N/A,FALSE,"Total REGN Board Formats ";#N/A,#N/A,FALSE,"Summary By Dept";#N/A,#N/A,FALSE,"Research";#N/A,#N/A,FALSE,"Protein Science";#N/A,#N/A,FALSE,"Development";#N/A,#N/A,FALSE,"Regulatory";#N/A,#N/A,FALSE,"Clinical";#N/A,#N/A,FALSE,"Pilot Plant";#N/A,#N/A,FALSE,"Site Services";#N/A,#N/A,FALSE,"Administration";#N/A,#N/A,FALSE,"Legal";#N/A,#N/A,FALSE,"Rensselaer";#N/A,#N/A,FALSE,"Corporate";#N/A,#N/A,FALSE,"Plug-Tarrytown";#N/A,#N/A,FALSE,"Plug-Rensselaer"}</definedName>
    <definedName name="wrn.budgetb." localSheetId="10" hidden="1">{#N/A,#N/A,FALSE,"Total REGN by Month";#N/A,#N/A,FALSE,"Total REGN Board Formats ";#N/A,#N/A,FALSE,"Summary By Dept";#N/A,#N/A,FALSE,"Research";#N/A,#N/A,FALSE,"Protein Science";#N/A,#N/A,FALSE,"Development";#N/A,#N/A,FALSE,"Regulatory";#N/A,#N/A,FALSE,"Clinical";#N/A,#N/A,FALSE,"Pilot Plant";#N/A,#N/A,FALSE,"Site Services";#N/A,#N/A,FALSE,"Administration";#N/A,#N/A,FALSE,"Legal";#N/A,#N/A,FALSE,"Rensselaer";#N/A,#N/A,FALSE,"Corporate";#N/A,#N/A,FALSE,"Plug-Tarrytown";#N/A,#N/A,FALSE,"Plug-Rensselaer"}</definedName>
    <definedName name="wrn.budgetb." localSheetId="13" hidden="1">{#N/A,#N/A,FALSE,"Total REGN by Month";#N/A,#N/A,FALSE,"Total REGN Board Formats ";#N/A,#N/A,FALSE,"Summary By Dept";#N/A,#N/A,FALSE,"Research";#N/A,#N/A,FALSE,"Protein Science";#N/A,#N/A,FALSE,"Development";#N/A,#N/A,FALSE,"Regulatory";#N/A,#N/A,FALSE,"Clinical";#N/A,#N/A,FALSE,"Pilot Plant";#N/A,#N/A,FALSE,"Site Services";#N/A,#N/A,FALSE,"Administration";#N/A,#N/A,FALSE,"Legal";#N/A,#N/A,FALSE,"Rensselaer";#N/A,#N/A,FALSE,"Corporate";#N/A,#N/A,FALSE,"Plug-Tarrytown";#N/A,#N/A,FALSE,"Plug-Rensselaer"}</definedName>
    <definedName name="wrn.budgetb." localSheetId="12" hidden="1">{#N/A,#N/A,FALSE,"Total REGN by Month";#N/A,#N/A,FALSE,"Total REGN Board Formats ";#N/A,#N/A,FALSE,"Summary By Dept";#N/A,#N/A,FALSE,"Research";#N/A,#N/A,FALSE,"Protein Science";#N/A,#N/A,FALSE,"Development";#N/A,#N/A,FALSE,"Regulatory";#N/A,#N/A,FALSE,"Clinical";#N/A,#N/A,FALSE,"Pilot Plant";#N/A,#N/A,FALSE,"Site Services";#N/A,#N/A,FALSE,"Administration";#N/A,#N/A,FALSE,"Legal";#N/A,#N/A,FALSE,"Rensselaer";#N/A,#N/A,FALSE,"Corporate";#N/A,#N/A,FALSE,"Plug-Tarrytown";#N/A,#N/A,FALSE,"Plug-Rensselaer"}</definedName>
    <definedName name="wrn.budgetb." hidden="1">{#N/A,#N/A,FALSE,"Total REGN by Month";#N/A,#N/A,FALSE,"Total REGN Board Formats ";#N/A,#N/A,FALSE,"Summary By Dept";#N/A,#N/A,FALSE,"Research";#N/A,#N/A,FALSE,"Protein Science";#N/A,#N/A,FALSE,"Development";#N/A,#N/A,FALSE,"Regulatory";#N/A,#N/A,FALSE,"Clinical";#N/A,#N/A,FALSE,"Pilot Plant";#N/A,#N/A,FALSE,"Site Services";#N/A,#N/A,FALSE,"Administration";#N/A,#N/A,FALSE,"Legal";#N/A,#N/A,FALSE,"Rensselaer";#N/A,#N/A,FALSE,"Corporate";#N/A,#N/A,FALSE,"Plug-Tarrytown";#N/A,#N/A,FALSE,"Plug-Rensselaer"}</definedName>
    <definedName name="wrn.CORR." localSheetId="11" hidden="1">{"INCSTMT1",#N/A,FALSE,"COR";"INCSTMT2",#N/A,FALSE,"COR"}</definedName>
    <definedName name="wrn.CORR." localSheetId="10" hidden="1">{"INCSTMT1",#N/A,FALSE,"COR";"INCSTMT2",#N/A,FALSE,"COR"}</definedName>
    <definedName name="wrn.CORR." localSheetId="13" hidden="1">{"INCSTMT1",#N/A,FALSE,"COR";"INCSTMT2",#N/A,FALSE,"COR"}</definedName>
    <definedName name="wrn.CORR." localSheetId="12" hidden="1">{"INCSTMT1",#N/A,FALSE,"COR";"INCSTMT2",#N/A,FALSE,"COR"}</definedName>
    <definedName name="wrn.CORR." hidden="1">{"INCSTMT1",#N/A,FALSE,"COR";"INCSTMT2",#N/A,FALSE,"COR"}</definedName>
    <definedName name="wrn.Earnings._.Model."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stat." localSheetId="7" hidden="1">{"ass",#N/A,FALSE,"finstat";"inc",#N/A,FALSE,"finstat";"bs",#N/A,FALSE,"finstat";"cf",#N/A,FALSE,"finstat";"ratios",#N/A,FALSE,"finstat"}</definedName>
    <definedName name="wrn.finstat." localSheetId="8" hidden="1">{"ass",#N/A,FALSE,"finstat";"inc",#N/A,FALSE,"finstat";"bs",#N/A,FALSE,"finstat";"cf",#N/A,FALSE,"finstat";"ratios",#N/A,FALSE,"finstat"}</definedName>
    <definedName name="wrn.finstat." hidden="1">{"ass",#N/A,FALSE,"finstat";"inc",#N/A,FALSE,"finstat";"bs",#N/A,FALSE,"finstat";"cf",#N/A,FALSE,"finstat";"ratios",#N/A,FALSE,"finstat"}</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8"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8"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7" hidden="1">{#N/A,#N/A,FALSE,"COVER";#N/A,#N/A,FALSE,"VALUATION";#N/A,#N/A,FALSE,"FORECAST";#N/A,#N/A,FALSE,"FY ANALYSIS ";#N/A,#N/A,FALSE," HY ANALYSIS"}</definedName>
    <definedName name="wrn.Full._.Report." localSheetId="8" hidden="1">{#N/A,#N/A,FALSE,"COVER";#N/A,#N/A,FALSE,"VALUATION";#N/A,#N/A,FALSE,"FORECAST";#N/A,#N/A,FALSE,"FY ANALYSIS ";#N/A,#N/A,FALSE," HY ANALYSIS"}</definedName>
    <definedName name="wrn.Full._.Report." hidden="1">{#N/A,#N/A,FALSE,"COVER";#N/A,#N/A,FALSE,"VALUATION";#N/A,#N/A,FALSE,"FORECAST";#N/A,#N/A,FALSE,"FY ANALYSIS ";#N/A,#N/A,FALSE," HY ANALYSIS"}</definedName>
    <definedName name="wrn.GELX." localSheetId="11" hidden="1">{"RenaGel Revenue",#N/A,FALSE,"RenaGel";"QEarn1",#N/A,FALSE,"Qearn";"QEarn2",#N/A,FALSE,"Qearn";"Cashflow",#N/A,FALSE,"Cashflow";"Product Pipeline",#N/A,FALSE,"Product Pipeline";"First Call Tables",#N/A,FALSE,"First Call Table";"Comment P&amp;L",#N/A,FALSE,"Comment P&amp;L"}</definedName>
    <definedName name="wrn.GELX." localSheetId="10" hidden="1">{"RenaGel Revenue",#N/A,FALSE,"RenaGel";"QEarn1",#N/A,FALSE,"Qearn";"QEarn2",#N/A,FALSE,"Qearn";"Cashflow",#N/A,FALSE,"Cashflow";"Product Pipeline",#N/A,FALSE,"Product Pipeline";"First Call Tables",#N/A,FALSE,"First Call Table";"Comment P&amp;L",#N/A,FALSE,"Comment P&amp;L"}</definedName>
    <definedName name="wrn.GELX." localSheetId="13" hidden="1">{"RenaGel Revenue",#N/A,FALSE,"RenaGel";"QEarn1",#N/A,FALSE,"Qearn";"QEarn2",#N/A,FALSE,"Qearn";"Cashflow",#N/A,FALSE,"Cashflow";"Product Pipeline",#N/A,FALSE,"Product Pipeline";"First Call Tables",#N/A,FALSE,"First Call Table";"Comment P&amp;L",#N/A,FALSE,"Comment P&amp;L"}</definedName>
    <definedName name="wrn.GELX." localSheetId="12" hidden="1">{"RenaGel Revenue",#N/A,FALSE,"RenaGel";"QEarn1",#N/A,FALSE,"Qearn";"QEarn2",#N/A,FALSE,"Qearn";"Cashflow",#N/A,FALSE,"Cashflow";"Product Pipeline",#N/A,FALSE,"Product Pipeline";"First Call Tables",#N/A,FALSE,"First Call Table";"Comment P&amp;L",#N/A,FALSE,"Comment P&amp;L"}</definedName>
    <definedName name="wrn.GELX." hidden="1">{"RenaGel Revenue",#N/A,FALSE,"RenaGel";"QEarn1",#N/A,FALSE,"Qearn";"QEarn2",#N/A,FALSE,"Qearn";"Cashflow",#N/A,FALSE,"Cashflow";"Product Pipeline",#N/A,FALSE,"Product Pipeline";"First Call Tables",#N/A,FALSE,"First Call Table";"Comment P&amp;L",#N/A,FALSE,"Comment P&amp;L"}</definedName>
    <definedName name="wrn.Genzyme._.Full._.Report." localSheetId="11" hidden="1">{"revenue",#N/A,FALSE,"Revenue";"qearn1",#N/A,FALSE,"Qearn";"qearn2",#N/A,FALSE,"Qearn";"qmargin",#N/A,FALSE,"Qmargin";"cashflow",#N/A,FALSE,"Cashflow"}</definedName>
    <definedName name="wrn.Genzyme._.Full._.Report." localSheetId="10" hidden="1">{"revenue",#N/A,FALSE,"Revenue";"qearn1",#N/A,FALSE,"Qearn";"qearn2",#N/A,FALSE,"Qearn";"qmargin",#N/A,FALSE,"Qmargin";"cashflow",#N/A,FALSE,"Cashflow"}</definedName>
    <definedName name="wrn.Genzyme._.Full._.Report." localSheetId="13" hidden="1">{"revenue",#N/A,FALSE,"Revenue";"qearn1",#N/A,FALSE,"Qearn";"qearn2",#N/A,FALSE,"Qearn";"qmargin",#N/A,FALSE,"Qmargin";"cashflow",#N/A,FALSE,"Cashflow"}</definedName>
    <definedName name="wrn.Genzyme._.Full._.Report." localSheetId="12" hidden="1">{"revenue",#N/A,FALSE,"Revenue";"qearn1",#N/A,FALSE,"Qearn";"qearn2",#N/A,FALSE,"Qearn";"qmargin",#N/A,FALSE,"Qmargin";"cashflow",#N/A,FALSE,"Cashflow"}</definedName>
    <definedName name="wrn.Genzyme._.Full._.Report." hidden="1">{"revenue",#N/A,FALSE,"Revenue";"qearn1",#N/A,FALSE,"Qearn";"qearn2",#N/A,FALSE,"Qearn";"qmargin",#N/A,FALSE,"Qmargin";"cashflow",#N/A,FALSE,"Cashflow"}</definedName>
    <definedName name="wrn.IDPH." localSheetId="11" hidden="1">{"Rituxan Revenues",#N/A,FALSE,"B cell Revenues";"QEarn1",#N/A,FALSE,"Qearn";"QEarn2",#N/A,FALSE,"Qearn";"QMargin",#N/A,FALSE,"qmargin";"Cashflow",#N/A,FALSE,"cashflow";"Product Pipeline",#N/A,FALSE,"Product Pipeline"}</definedName>
    <definedName name="wrn.IDPH." localSheetId="10" hidden="1">{"Rituxan Revenues",#N/A,FALSE,"B cell Revenues";"QEarn1",#N/A,FALSE,"Qearn";"QEarn2",#N/A,FALSE,"Qearn";"QMargin",#N/A,FALSE,"qmargin";"Cashflow",#N/A,FALSE,"cashflow";"Product Pipeline",#N/A,FALSE,"Product Pipeline"}</definedName>
    <definedName name="wrn.IDPH." localSheetId="13" hidden="1">{"Rituxan Revenues",#N/A,FALSE,"B cell Revenues";"QEarn1",#N/A,FALSE,"Qearn";"QEarn2",#N/A,FALSE,"Qearn";"QMargin",#N/A,FALSE,"qmargin";"Cashflow",#N/A,FALSE,"cashflow";"Product Pipeline",#N/A,FALSE,"Product Pipeline"}</definedName>
    <definedName name="wrn.IDPH." localSheetId="12" hidden="1">{"Rituxan Revenues",#N/A,FALSE,"B cell Revenues";"QEarn1",#N/A,FALSE,"Qearn";"QEarn2",#N/A,FALSE,"Qearn";"QMargin",#N/A,FALSE,"qmargin";"Cashflow",#N/A,FALSE,"cashflow";"Product Pipeline",#N/A,FALSE,"Product Pipeline"}</definedName>
    <definedName name="wrn.IDPH." hidden="1">{"Rituxan Revenues",#N/A,FALSE,"B cell Revenues";"QEarn1",#N/A,FALSE,"Qearn";"QEarn2",#N/A,FALSE,"Qearn";"QMargin",#N/A,FALSE,"qmargin";"Cashflow",#N/A,FALSE,"cashflow";"Product Pipeline",#N/A,FALSE,"Product Pipeline"}</definedName>
    <definedName name="wrn.inc." localSheetId="7" hidden="1">{"inc",#N/A,FALSE,"finstat"}</definedName>
    <definedName name="wrn.inc." localSheetId="8" hidden="1">{"inc",#N/A,FALSE,"finstat"}</definedName>
    <definedName name="wrn.inc." hidden="1">{"inc",#N/A,FALSE,"finstat"}</definedName>
    <definedName name="wrn.MEDI." localSheetId="11" hidden="1">{"Revenues",#N/A,FALSE,"Revenues";"QEarn1",#N/A,FALSE,"Qearn";"QEarn2",#N/A,FALSE,"Qearn";"QMargin",#N/A,FALSE,"Qmargin";"Cashflow",#N/A,FALSE,"Cashflow";"Product Pipeline",#N/A,FALSE,"Product Pipeline";"First Call Tables",#N/A,FALSE,"First Call Tables";"Comment P&amp;L",#N/A,FALSE,"Comment P&amp;L"}</definedName>
    <definedName name="wrn.MEDI." localSheetId="10" hidden="1">{"Revenues",#N/A,FALSE,"Revenues";"QEarn1",#N/A,FALSE,"Qearn";"QEarn2",#N/A,FALSE,"Qearn";"QMargin",#N/A,FALSE,"Qmargin";"Cashflow",#N/A,FALSE,"Cashflow";"Product Pipeline",#N/A,FALSE,"Product Pipeline";"First Call Tables",#N/A,FALSE,"First Call Tables";"Comment P&amp;L",#N/A,FALSE,"Comment P&amp;L"}</definedName>
    <definedName name="wrn.MEDI." localSheetId="13" hidden="1">{"Revenues",#N/A,FALSE,"Revenues";"QEarn1",#N/A,FALSE,"Qearn";"QEarn2",#N/A,FALSE,"Qearn";"QMargin",#N/A,FALSE,"Qmargin";"Cashflow",#N/A,FALSE,"Cashflow";"Product Pipeline",#N/A,FALSE,"Product Pipeline";"First Call Tables",#N/A,FALSE,"First Call Tables";"Comment P&amp;L",#N/A,FALSE,"Comment P&amp;L"}</definedName>
    <definedName name="wrn.MEDI." localSheetId="12" hidden="1">{"Revenues",#N/A,FALSE,"Revenues";"QEarn1",#N/A,FALSE,"Qearn";"QEarn2",#N/A,FALSE,"Qearn";"QMargin",#N/A,FALSE,"Qmargin";"Cashflow",#N/A,FALSE,"Cashflow";"Product Pipeline",#N/A,FALSE,"Product Pipeline";"First Call Tables",#N/A,FALSE,"First Call Tables";"Comment P&amp;L",#N/A,FALSE,"Comment P&amp;L"}</definedName>
    <definedName name="wrn.MEDI." hidden="1">{"Revenues",#N/A,FALSE,"Revenues";"QEarn1",#N/A,FALSE,"Qearn";"QEarn2",#N/A,FALSE,"Qearn";"QMargin",#N/A,FALSE,"Qmargin";"Cashflow",#N/A,FALSE,"Cashflow";"Product Pipeline",#N/A,FALSE,"Product Pipeline";"First Call Tables",#N/A,FALSE,"First Call Tables";"Comment P&amp;L",#N/A,FALSE,"Comment P&amp;L"}</definedName>
    <definedName name="wrn.MODELS." localSheetId="7"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localSheetId="8"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nthlyunits." localSheetId="7" hidden="1">{"monthlyunits",#N/A,FALSE,"openings"}</definedName>
    <definedName name="wrn.monthlyunits." localSheetId="8" hidden="1">{"monthlyunits",#N/A,FALSE,"openings"}</definedName>
    <definedName name="wrn.monthlyunits." hidden="1">{"monthlyunits",#N/A,FALSE,"openings"}</definedName>
    <definedName name="wrn.Qtr._.Op._.Q1." localSheetId="7" hidden="1">{"Qtr Op Mgd Q1",#N/A,FALSE,"Qtr-Op (Mng)";"Qtr Op Rpt Q1",#N/A,FALSE,"Qtr-Op (Rpt)";"Operating Vs Reported",#N/A,FALSE,"Rpt-Op Inc"}</definedName>
    <definedName name="wrn.Qtr._.Op._.Q1." localSheetId="8"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localSheetId="8"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localSheetId="8"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7" hidden="1">{"Qtr Op Mgd Q2",#N/A,FALSE,"Qtr-Op (Mng)";"Qtr Op Rpt Q2",#N/A,FALSE,"Qtr-Op (Rpt)";"Operating Vs Reported",#N/A,FALSE,"Rpt-Op Inc"}</definedName>
    <definedName name="wrn.Qtr._.Op._Q2a." localSheetId="8"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7"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 localSheetId="7" hidden="1">{"quart",#N/A,FALSE,"quartfin"}</definedName>
    <definedName name="wrn.quart." localSheetId="8" hidden="1">{"quart",#N/A,FALSE,"quartfin"}</definedName>
    <definedName name="wrn.quart." hidden="1">{"quart",#N/A,FALSE,"quartfin"}</definedName>
    <definedName name="wrn.quartfin." localSheetId="7" hidden="1">{"quartfin",#N/A,FALSE,"quartfin"}</definedName>
    <definedName name="wrn.quartfin." localSheetId="8" hidden="1">{"quartfin",#N/A,FALSE,"quartfin"}</definedName>
    <definedName name="wrn.quartfin." hidden="1">{"quartfin",#N/A,FALSE,"quartfin"}</definedName>
    <definedName name="wrn.Report." localSheetId="7" hidden="1">{#N/A,#N/A,FALSE,"COVER";#N/A,#N/A,FALSE,"FORECAST";#N/A,#N/A,FALSE,"VALUATION";#N/A,#N/A,FALSE,"FY ANALYSIS ";#N/A,#N/A,FALSE," HY ANALYSIS"}</definedName>
    <definedName name="wrn.Report." localSheetId="8" hidden="1">{#N/A,#N/A,FALSE,"COVER";#N/A,#N/A,FALSE,"FORECAST";#N/A,#N/A,FALSE,"VALUATION";#N/A,#N/A,FALSE,"FY ANALYSIS ";#N/A,#N/A,FALSE," HY ANALYSIS"}</definedName>
    <definedName name="wrn.Report." hidden="1">{#N/A,#N/A,FALSE,"COVER";#N/A,#N/A,FALSE,"FORECAST";#N/A,#N/A,FALSE,"VALUATION";#N/A,#N/A,FALSE,"FY ANALYSIS ";#N/A,#N/A,FALSE," HY ANALYSIS"}</definedName>
    <definedName name="wrn.salesassum." localSheetId="7" hidden="1">{"Salesass",#N/A,FALSE,"assumpt"}</definedName>
    <definedName name="wrn.salesassum." localSheetId="8" hidden="1">{"Salesass",#N/A,FALSE,"assumpt"}</definedName>
    <definedName name="wrn.salesassum." hidden="1">{"Salesass",#N/A,FALSE,"assumpt"}</definedName>
    <definedName name="wrn.Scripts." localSheetId="11" hidden="1">{"ENBREL",#N/A,FALSE,"Sheet1";"RenaGel",#N/A,FALSE,"Sheet1";"HIV PI",#N/A,FALSE,"Sheet1";"MS",#N/A,FALSE,"Sheet1"}</definedName>
    <definedName name="wrn.Scripts." localSheetId="10" hidden="1">{"ENBREL",#N/A,FALSE,"Sheet1";"RenaGel",#N/A,FALSE,"Sheet1";"HIV PI",#N/A,FALSE,"Sheet1";"MS",#N/A,FALSE,"Sheet1"}</definedName>
    <definedName name="wrn.Scripts." localSheetId="13" hidden="1">{"ENBREL",#N/A,FALSE,"Sheet1";"RenaGel",#N/A,FALSE,"Sheet1";"HIV PI",#N/A,FALSE,"Sheet1";"MS",#N/A,FALSE,"Sheet1"}</definedName>
    <definedName name="wrn.Scripts." localSheetId="12" hidden="1">{"ENBREL",#N/A,FALSE,"Sheet1";"RenaGel",#N/A,FALSE,"Sheet1";"HIV PI",#N/A,FALSE,"Sheet1";"MS",#N/A,FALSE,"Sheet1"}</definedName>
    <definedName name="wrn.Scripts." hidden="1">{"ENBREL",#N/A,FALSE,"Sheet1";"RenaGel",#N/A,FALSE,"Sheet1";"HIV PI",#N/A,FALSE,"Sheet1";"MS",#N/A,FALSE,"Sheet1"}</definedName>
    <definedName name="wrn.SGPMODELS." localSheetId="7" hidden="1">{"QTRINC1",#N/A,FALSE,"SGPNEW";"QTRINC2",#N/A,FALSE,"SGPNEW";"USSALES1",#N/A,FALSE,"SGPNEW";"USSALES2",#N/A,FALSE,"SGPNEW";"INTLSALES1",#N/A,FALSE,"SGPNEW";"INTLSALES2",#N/A,FALSE,"SGPNEW";"WWSALES1",#N/A,FALSE,"SGPNEW";"WWSALES2",#N/A,FALSE,"SGPNEW";"NEWPRODS",#N/A,FALSE,"SGPNEW";"CASHFLOW",#N/A,FALSE,"SGPNEW"}</definedName>
    <definedName name="wrn.SGPMODELS." localSheetId="8"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Short._.Report." localSheetId="7" hidden="1">{"short1",#N/A,FALSE,"masmode";"short2",#N/A,FALSE,"masmode";"qtrres",#N/A,FALSE,"QTR. RES.";"sales",#N/A,FALSE,"Sales &amp; Market Share"}</definedName>
    <definedName name="wrn.Short._.Report." localSheetId="8" hidden="1">{"short1",#N/A,FALSE,"masmode";"short2",#N/A,FALSE,"masmode";"qtrres",#N/A,FALSE,"QTR. RES.";"sales",#N/A,FALSE,"Sales &amp; Market Share"}</definedName>
    <definedName name="wrn.Short._.Report." hidden="1">{"short1",#N/A,FALSE,"masmode";"short2",#N/A,FALSE,"masmode";"qtrres",#N/A,FALSE,"QTR. RES.";"sales",#N/A,FALSE,"Sales &amp; Market Share"}</definedName>
    <definedName name="wrn.Variance._.3." localSheetId="7" hidden="1">{"Variance Q3",#N/A,FALSE,"Var"}</definedName>
    <definedName name="wrn.Variance._.3." localSheetId="8" hidden="1">{"Variance Q3",#N/A,FALSE,"Var"}</definedName>
    <definedName name="wrn.Variance._.3." hidden="1">{"Variance Q3",#N/A,FALSE,"Var"}</definedName>
    <definedName name="wrn.Variance._.Q1." localSheetId="7" hidden="1">{"Variance Q1",#N/A,FALSE,"Var"}</definedName>
    <definedName name="wrn.Variance._.Q1." localSheetId="8" hidden="1">{"Variance Q1",#N/A,FALSE,"Var"}</definedName>
    <definedName name="wrn.Variance._.Q1." hidden="1">{"Variance Q1",#N/A,FALSE,"Var"}</definedName>
    <definedName name="wrn.Variance._.Q2." localSheetId="7" hidden="1">{"Variance Q2",#N/A,FALSE,"Var"}</definedName>
    <definedName name="wrn.Variance._.Q2." localSheetId="8" hidden="1">{"Variance Q2",#N/A,FALSE,"Var"}</definedName>
    <definedName name="wrn.Variance._.Q2." hidden="1">{"Variance Q2",#N/A,FALSE,"Var"}</definedName>
    <definedName name="wrn.Variance._.Q3." localSheetId="7" hidden="1">{"Variance Q3",#N/A,FALSE,"Var"}</definedName>
    <definedName name="wrn.Variance._.Q3." localSheetId="8" hidden="1">{"Variance Q3",#N/A,FALSE,"Var"}</definedName>
    <definedName name="wrn.Variance._.Q3." hidden="1">{"Variance Q3",#N/A,FALSE,"Var"}</definedName>
    <definedName name="wrn.Variance._.Q4" localSheetId="7" hidden="1">{"Variance Q4",#N/A,FALSE,"Var"}</definedName>
    <definedName name="wrn.Variance._.Q4" localSheetId="8" hidden="1">{"Variance Q4",#N/A,FALSE,"Var"}</definedName>
    <definedName name="wrn.Variance._.Q4" hidden="1">{"Variance Q4",#N/A,FALSE,"Var"}</definedName>
    <definedName name="wrn.Variance._.Q4." localSheetId="7" hidden="1">{"Variance Q4",#N/A,FALSE,"Var"}</definedName>
    <definedName name="wrn.Variance._.Q4." localSheetId="8" hidden="1">{"Variance Q4",#N/A,FALSE,"Var"}</definedName>
    <definedName name="wrn.Variance._.Q4." hidden="1">{"Variance Q4",#N/A,FALSE,"Var"}</definedName>
    <definedName name="wrn.VRTX." localSheetId="11" hidden="1">{"Revenues",#N/A,FALSE,"Revenue";"qearn1",#N/A,FALSE,"Qearn";"qearn2",#N/A,FALSE,"Qearn";#N/A,#N/A,FALSE,"Qmargin";"cashflow",#N/A,FALSE,"Cashflow";"Product Pipeline",#N/A,FALSE,"Product Pipeline"}</definedName>
    <definedName name="wrn.VRTX." localSheetId="10" hidden="1">{"Revenues",#N/A,FALSE,"Revenue";"qearn1",#N/A,FALSE,"Qearn";"qearn2",#N/A,FALSE,"Qearn";#N/A,#N/A,FALSE,"Qmargin";"cashflow",#N/A,FALSE,"Cashflow";"Product Pipeline",#N/A,FALSE,"Product Pipeline"}</definedName>
    <definedName name="wrn.VRTX." localSheetId="13" hidden="1">{"Revenues",#N/A,FALSE,"Revenue";"qearn1",#N/A,FALSE,"Qearn";"qearn2",#N/A,FALSE,"Qearn";#N/A,#N/A,FALSE,"Qmargin";"cashflow",#N/A,FALSE,"Cashflow";"Product Pipeline",#N/A,FALSE,"Product Pipeline"}</definedName>
    <definedName name="wrn.VRTX." localSheetId="12" hidden="1">{"Revenues",#N/A,FALSE,"Revenue";"qearn1",#N/A,FALSE,"Qearn";"qearn2",#N/A,FALSE,"Qearn";#N/A,#N/A,FALSE,"Qmargin";"cashflow",#N/A,FALSE,"Cashflow";"Product Pipeline",#N/A,FALSE,"Product Pipeline"}</definedName>
    <definedName name="wrn.VRTX." hidden="1">{"Revenues",#N/A,FALSE,"Revenue";"qearn1",#N/A,FALSE,"Qearn";"qearn2",#N/A,FALSE,"Qearn";#N/A,#N/A,FALSE,"Qmargin";"cashflow",#N/A,FALSE,"Cashflow";"Product Pipeline",#N/A,FALSE,"Product Pipeline"}</definedName>
    <definedName name="wrn.WLAVARIANCEANALYSIS." localSheetId="7" hidden="1">{"INCOME STATEMENT",#N/A,FALSE,"IS";"WWSALES",#N/A,FALSE,"WWSALES";"USSALES",#N/A,FALSE,"USSALES";"INTLSALES",#N/A,FALSE,"INTLSALES"}</definedName>
    <definedName name="wrn.WLAVARIANCEANALYSIS." localSheetId="8" hidden="1">{"INCOME STATEMENT",#N/A,FALSE,"IS";"WWSALES",#N/A,FALSE,"WWSALES";"USSALES",#N/A,FALSE,"USSALES";"INTLSALES",#N/A,FALSE,"INTLSALES"}</definedName>
    <definedName name="wrn.WLAVARIANCEANALYSIS." hidden="1">{"INCOME STATEMENT",#N/A,FALSE,"IS";"WWSALES",#N/A,FALSE,"WWSALES";"USSALES",#N/A,FALSE,"USSALES";"INTLSALES",#N/A,FALSE,"INTLSALES"}</definedName>
    <definedName name="WW_EP_Depr_2004">'[20]E&amp;P'!$P$358</definedName>
    <definedName name="WW_EP_NI_2004">'[20]E&amp;P'!$P$364</definedName>
    <definedName name="WW_EP_ROCC_1998">'[20]E&amp;P'!$J$393</definedName>
    <definedName name="WW_EP_ROCC_1999">'[20]E&amp;P'!$K$393</definedName>
    <definedName name="WW_EP_ROCC_2000">'[20]E&amp;P'!$L$393</definedName>
    <definedName name="WW_EP_ROCC_2001">'[20]E&amp;P'!$M$393</definedName>
    <definedName name="WW_EP_ROCC_2002">'[20]E&amp;P'!$N$393</definedName>
    <definedName name="WW_EP_ROCC_2003">'[20]E&amp;P'!$O$393</definedName>
    <definedName name="WW_EP_ROCC_2004">'[20]E&amp;P'!$P$393</definedName>
    <definedName name="WW_EP_ROCC_2005">'[20]E&amp;P'!$Q$393</definedName>
    <definedName name="WW_EP_ROCC_2006">'[20]E&amp;P'!$R$393</definedName>
    <definedName name="WWGasProd_2004">'[20]E&amp;P'!$P$25</definedName>
    <definedName name="WWOilProd_2004">'[20]E&amp;P'!$P$24</definedName>
    <definedName name="WWOtherCosts_2004">'[20]E&amp;P'!$P$371</definedName>
    <definedName name="WWProd_2004">'[20]E&amp;P'!$P$26</definedName>
    <definedName name="WWProdCosts_2004">'[20]E&amp;P'!$P$369</definedName>
    <definedName name="Xalatan">'[1]5 yr Sales and Earnings'!$A$30:$AA$30</definedName>
    <definedName name="Xanax">'[1]5 yr Sales and Earnings'!$A$15:$AA$15</definedName>
    <definedName name="XOM_CAPEX">[44]BalanceSheet!$A$76:$IV$76</definedName>
    <definedName name="XOM_CAPEX_Chems">[44]BalanceSheet!$A$83:$IV$83</definedName>
    <definedName name="XOM_CAPEX_EP">[44]BalanceSheet!$A$77:$IV$77</definedName>
    <definedName name="XOM_CAPEX_Other">[44]BalanceSheet!$A$86:$IV$86</definedName>
    <definedName name="XOM_CAPEX_RM">[44]BalanceSheet!$A$80:$IV$80</definedName>
    <definedName name="YearQtr_title">#N/A</definedName>
    <definedName name="Zithromax">'[1]5 yr Sales and Earnings'!$A$23:$AA$23</definedName>
    <definedName name="Zoloft">'[1]5 yr Sales and Earnings'!$A$13:$AA$13</definedName>
    <definedName name="Zyrtec">'[1]5 yr Sales and Earnings'!$A$34:$AA$34</definedName>
    <definedName name="Zyrtec_Reactine">'[1]5 yr Sales and Earnings'!$A$34:$AA$34</definedName>
    <definedName name="Zyvox">'[1]5 yr Sales and Earnings'!$A$26:$AA$26</definedName>
  </definedNames>
  <calcPr calcId="145621" iterate="1"/>
  <fileRecoveryPr autoRecover="0"/>
</workbook>
</file>

<file path=xl/calcChain.xml><?xml version="1.0" encoding="utf-8"?>
<calcChain xmlns="http://schemas.openxmlformats.org/spreadsheetml/2006/main">
  <c r="C86" i="293" l="1"/>
  <c r="C360" i="281" l="1"/>
  <c r="O21" i="293" l="1"/>
  <c r="M19" i="293"/>
  <c r="K14" i="291" l="1"/>
  <c r="L14" i="291" s="1"/>
  <c r="M14" i="291" s="1"/>
  <c r="N14" i="291" s="1"/>
  <c r="O14" i="291" s="1"/>
  <c r="P14" i="291" s="1"/>
  <c r="Q14" i="291" s="1"/>
  <c r="R14" i="291" s="1"/>
  <c r="S14" i="291" s="1"/>
  <c r="T14" i="291" s="1"/>
  <c r="U14" i="291" s="1"/>
  <c r="J14" i="291"/>
  <c r="I19" i="291"/>
  <c r="AF50" i="4" l="1"/>
  <c r="AF49" i="4"/>
  <c r="AF80" i="4" l="1"/>
  <c r="AF52" i="4"/>
  <c r="S8" i="300"/>
  <c r="R8" i="300"/>
  <c r="P30" i="256"/>
  <c r="AF43" i="4"/>
  <c r="AF41" i="4"/>
  <c r="AG41" i="4" s="1"/>
  <c r="AA39" i="4"/>
  <c r="AA43" i="4"/>
  <c r="AE8" i="4"/>
  <c r="AB8" i="4"/>
  <c r="AB13" i="4"/>
  <c r="AF45" i="4" l="1"/>
  <c r="AE46" i="4"/>
  <c r="AD8" i="4"/>
  <c r="AC8" i="4"/>
  <c r="AF37" i="4"/>
  <c r="AB46" i="4"/>
  <c r="AF39" i="4" l="1"/>
  <c r="AG39" i="4"/>
  <c r="AE13" i="4" l="1"/>
  <c r="AF13" i="4"/>
  <c r="AF8" i="4" l="1"/>
  <c r="AD13" i="4"/>
  <c r="AC13" i="4"/>
  <c r="AD46" i="4" l="1"/>
  <c r="AD47" i="4" s="1"/>
  <c r="AD51" i="4" s="1"/>
  <c r="AD54" i="4" s="1"/>
  <c r="AD73" i="4" s="1"/>
  <c r="AD82" i="4" s="1"/>
  <c r="AE47" i="4"/>
  <c r="AE51" i="4" s="1"/>
  <c r="AE54" i="4" s="1"/>
  <c r="AE73" i="4" s="1"/>
  <c r="AE82" i="4" s="1"/>
  <c r="AB47" i="4"/>
  <c r="AB51" i="4" s="1"/>
  <c r="AB54" i="4" s="1"/>
  <c r="AB73" i="4" s="1"/>
  <c r="AB82" i="4" s="1"/>
  <c r="AC46" i="4" l="1"/>
  <c r="AC47" i="4" s="1"/>
  <c r="AC51" i="4" s="1"/>
  <c r="AC54" i="4" s="1"/>
  <c r="AC73" i="4" s="1"/>
  <c r="AC82" i="4" s="1"/>
  <c r="AF33" i="4"/>
  <c r="U93" i="291" l="1"/>
  <c r="T93" i="291"/>
  <c r="S93" i="291"/>
  <c r="R93" i="291"/>
  <c r="Q93" i="291"/>
  <c r="P93" i="291"/>
  <c r="O93" i="291"/>
  <c r="N93" i="291"/>
  <c r="M93" i="291"/>
  <c r="L93" i="291"/>
  <c r="O117" i="5" l="1"/>
  <c r="I154" i="5"/>
  <c r="H154" i="5"/>
  <c r="O148" i="5"/>
  <c r="N148" i="5"/>
  <c r="N150" i="5" s="1"/>
  <c r="M148" i="5"/>
  <c r="M150" i="5" s="1"/>
  <c r="L148" i="5"/>
  <c r="K148" i="5"/>
  <c r="J148" i="5"/>
  <c r="I148" i="5"/>
  <c r="H148" i="5"/>
  <c r="G148" i="5"/>
  <c r="F148" i="5"/>
  <c r="E148" i="5"/>
  <c r="F144" i="5"/>
  <c r="K142" i="5"/>
  <c r="J142" i="5"/>
  <c r="I142" i="5"/>
  <c r="H142" i="5"/>
  <c r="G142" i="5"/>
  <c r="F142" i="5"/>
  <c r="K140" i="5"/>
  <c r="J140" i="5"/>
  <c r="I140" i="5"/>
  <c r="H140" i="5"/>
  <c r="K138" i="5"/>
  <c r="K137" i="5" s="1"/>
  <c r="K136" i="5"/>
  <c r="R133" i="5"/>
  <c r="P133" i="5"/>
  <c r="K133" i="5"/>
  <c r="K134" i="5" s="1"/>
  <c r="I130" i="5"/>
  <c r="H130" i="5"/>
  <c r="G130" i="5"/>
  <c r="F130" i="5"/>
  <c r="K129" i="5"/>
  <c r="J129" i="5"/>
  <c r="F127" i="5"/>
  <c r="F154" i="5" s="1"/>
  <c r="O125" i="5"/>
  <c r="P125" i="5" s="1"/>
  <c r="Q125" i="5" s="1"/>
  <c r="R125" i="5" s="1"/>
  <c r="S125" i="5" s="1"/>
  <c r="T125" i="5" s="1"/>
  <c r="U125" i="5" s="1"/>
  <c r="V125" i="5" s="1"/>
  <c r="W125" i="5" s="1"/>
  <c r="X125" i="5" s="1"/>
  <c r="Y125" i="5" s="1"/>
  <c r="Z125" i="5" s="1"/>
  <c r="AA125" i="5" s="1"/>
  <c r="AB125" i="5" s="1"/>
  <c r="I124" i="5"/>
  <c r="H124" i="5"/>
  <c r="K123" i="5"/>
  <c r="K154" i="5" s="1"/>
  <c r="J123" i="5"/>
  <c r="J154" i="5" s="1"/>
  <c r="G123" i="5"/>
  <c r="F123" i="5"/>
  <c r="F124" i="5" s="1"/>
  <c r="I122" i="5"/>
  <c r="K121" i="5"/>
  <c r="J121" i="5"/>
  <c r="I121" i="5"/>
  <c r="H121" i="5"/>
  <c r="H122" i="5" s="1"/>
  <c r="G121" i="5"/>
  <c r="G122" i="5" s="1"/>
  <c r="F121" i="5"/>
  <c r="F122" i="5" s="1"/>
  <c r="H120" i="5"/>
  <c r="G120" i="5"/>
  <c r="F120" i="5"/>
  <c r="R124" i="5"/>
  <c r="S124" i="5" s="1"/>
  <c r="R120" i="5"/>
  <c r="S120" i="5" s="1"/>
  <c r="T120" i="5" s="1"/>
  <c r="U120" i="5" s="1"/>
  <c r="V120" i="5" s="1"/>
  <c r="W120" i="5" s="1"/>
  <c r="X120" i="5" s="1"/>
  <c r="Y120" i="5" s="1"/>
  <c r="Z120" i="5" s="1"/>
  <c r="AA120" i="5" s="1"/>
  <c r="AB120" i="5" s="1"/>
  <c r="J118" i="5"/>
  <c r="L140" i="5" l="1"/>
  <c r="L142" i="5"/>
  <c r="L154" i="5"/>
  <c r="M142" i="5"/>
  <c r="M154" i="5"/>
  <c r="M140" i="5"/>
  <c r="N154" i="5"/>
  <c r="N142" i="5"/>
  <c r="N140" i="5"/>
  <c r="T124" i="5"/>
  <c r="K118" i="5"/>
  <c r="J120" i="5" s="1"/>
  <c r="M151" i="5"/>
  <c r="J130" i="5"/>
  <c r="N151" i="5"/>
  <c r="J124" i="5"/>
  <c r="I120" i="5"/>
  <c r="G154" i="5"/>
  <c r="G124" i="5"/>
  <c r="J122" i="5"/>
  <c r="AB116" i="5"/>
  <c r="AA116" i="5"/>
  <c r="Z116" i="5"/>
  <c r="Y116" i="5"/>
  <c r="X116" i="5"/>
  <c r="W116" i="5"/>
  <c r="V116" i="5"/>
  <c r="U116" i="5"/>
  <c r="T116" i="5"/>
  <c r="D116" i="5"/>
  <c r="D110" i="5"/>
  <c r="D111" i="5" s="1"/>
  <c r="H109" i="5"/>
  <c r="G109" i="5"/>
  <c r="F109" i="5"/>
  <c r="E109" i="5"/>
  <c r="M93" i="5"/>
  <c r="N93" i="5" s="1"/>
  <c r="O93" i="5" s="1"/>
  <c r="P93" i="5" s="1"/>
  <c r="Q93" i="5" s="1"/>
  <c r="R93" i="5" s="1"/>
  <c r="S93" i="5" s="1"/>
  <c r="T93" i="5" s="1"/>
  <c r="F85" i="5"/>
  <c r="G85" i="5" s="1"/>
  <c r="H85" i="5" s="1"/>
  <c r="I85" i="5" s="1"/>
  <c r="L81" i="5"/>
  <c r="M77" i="5" s="1"/>
  <c r="K81" i="5"/>
  <c r="L77" i="5" s="1"/>
  <c r="J81" i="5"/>
  <c r="K77" i="5" s="1"/>
  <c r="I81" i="5"/>
  <c r="H81" i="5"/>
  <c r="I77" i="5" s="1"/>
  <c r="G81" i="5"/>
  <c r="G82" i="5" s="1"/>
  <c r="F81" i="5"/>
  <c r="F82" i="5" s="1"/>
  <c r="E81" i="5"/>
  <c r="E82" i="5" s="1"/>
  <c r="J80" i="5"/>
  <c r="I80" i="5"/>
  <c r="H80" i="5"/>
  <c r="G80" i="5"/>
  <c r="F80" i="5"/>
  <c r="E80" i="5"/>
  <c r="N78" i="5"/>
  <c r="N94" i="5" s="1"/>
  <c r="O94" i="5" s="1"/>
  <c r="P94" i="5" s="1"/>
  <c r="Q94" i="5" s="1"/>
  <c r="R94" i="5" s="1"/>
  <c r="S94" i="5" s="1"/>
  <c r="T94" i="5" s="1"/>
  <c r="U94" i="5" s="1"/>
  <c r="M78" i="5"/>
  <c r="L78" i="5"/>
  <c r="L92" i="5" s="1"/>
  <c r="M92" i="5" s="1"/>
  <c r="N92" i="5" s="1"/>
  <c r="O92" i="5" s="1"/>
  <c r="P92" i="5" s="1"/>
  <c r="Q92" i="5" s="1"/>
  <c r="R92" i="5" s="1"/>
  <c r="S92" i="5" s="1"/>
  <c r="K78" i="5"/>
  <c r="J78" i="5"/>
  <c r="I78" i="5"/>
  <c r="I89" i="5" s="1"/>
  <c r="J89" i="5" s="1"/>
  <c r="K89" i="5" s="1"/>
  <c r="L89" i="5" s="1"/>
  <c r="M89" i="5" s="1"/>
  <c r="N89" i="5" s="1"/>
  <c r="O89" i="5" s="1"/>
  <c r="P89" i="5" s="1"/>
  <c r="H78" i="5"/>
  <c r="G78" i="5"/>
  <c r="F78" i="5"/>
  <c r="E78" i="5"/>
  <c r="J77" i="5"/>
  <c r="E77" i="5"/>
  <c r="N72" i="5"/>
  <c r="M72" i="5"/>
  <c r="L72" i="5"/>
  <c r="K72" i="5"/>
  <c r="J72" i="5"/>
  <c r="I72" i="5"/>
  <c r="H72" i="5"/>
  <c r="G72" i="5"/>
  <c r="F72" i="5"/>
  <c r="E72" i="5"/>
  <c r="D72" i="5"/>
  <c r="N70" i="5"/>
  <c r="M70" i="5"/>
  <c r="L70" i="5"/>
  <c r="K70" i="5"/>
  <c r="J70" i="5"/>
  <c r="I70" i="5"/>
  <c r="H70" i="5"/>
  <c r="G70" i="5"/>
  <c r="F70" i="5"/>
  <c r="E70" i="5"/>
  <c r="D70" i="5"/>
  <c r="N68" i="5"/>
  <c r="M68" i="5"/>
  <c r="L68" i="5"/>
  <c r="K68" i="5"/>
  <c r="J68" i="5"/>
  <c r="I68" i="5"/>
  <c r="H68" i="5"/>
  <c r="G68" i="5"/>
  <c r="F68" i="5"/>
  <c r="E68" i="5"/>
  <c r="D68" i="5"/>
  <c r="H66" i="5"/>
  <c r="N66" i="5"/>
  <c r="M66" i="5"/>
  <c r="L66" i="5"/>
  <c r="K66" i="5"/>
  <c r="J66" i="5"/>
  <c r="I66" i="5"/>
  <c r="N64" i="5"/>
  <c r="M64" i="5"/>
  <c r="L64" i="5"/>
  <c r="K64" i="5"/>
  <c r="J64" i="5"/>
  <c r="I64" i="5"/>
  <c r="H64" i="5"/>
  <c r="G64" i="5"/>
  <c r="F64" i="5"/>
  <c r="E64" i="5"/>
  <c r="D64" i="5"/>
  <c r="P73" i="5"/>
  <c r="Q73" i="5" s="1"/>
  <c r="R73" i="5" s="1"/>
  <c r="P71" i="5"/>
  <c r="P69" i="5"/>
  <c r="Q69" i="5" s="1"/>
  <c r="R69" i="5" s="1"/>
  <c r="Q63" i="5"/>
  <c r="N62" i="5"/>
  <c r="M62" i="5"/>
  <c r="L62" i="5"/>
  <c r="K62" i="5"/>
  <c r="J62" i="5"/>
  <c r="I62" i="5"/>
  <c r="H62" i="5"/>
  <c r="G62" i="5"/>
  <c r="F62" i="5"/>
  <c r="E62" i="5"/>
  <c r="D62" i="5"/>
  <c r="G60" i="5"/>
  <c r="E60" i="5"/>
  <c r="D60" i="5"/>
  <c r="AB57" i="5"/>
  <c r="AA57" i="5"/>
  <c r="Z57" i="5"/>
  <c r="Y57" i="5"/>
  <c r="X57" i="5"/>
  <c r="W57" i="5"/>
  <c r="V57" i="5"/>
  <c r="U57" i="5"/>
  <c r="T57" i="5"/>
  <c r="S57" i="5"/>
  <c r="R57" i="5"/>
  <c r="Q57" i="5"/>
  <c r="P57" i="5"/>
  <c r="E57" i="5"/>
  <c r="D57" i="5"/>
  <c r="H56" i="5"/>
  <c r="G56" i="5"/>
  <c r="F56" i="5"/>
  <c r="E56" i="5"/>
  <c r="D56" i="5"/>
  <c r="E55" i="5"/>
  <c r="F55" i="5" s="1"/>
  <c r="G55" i="5" s="1"/>
  <c r="H55" i="5" s="1"/>
  <c r="I55" i="5" s="1"/>
  <c r="J55" i="5" s="1"/>
  <c r="K55" i="5" s="1"/>
  <c r="L55" i="5" s="1"/>
  <c r="M55" i="5" s="1"/>
  <c r="N55" i="5" s="1"/>
  <c r="O55" i="5" s="1"/>
  <c r="P55" i="5" s="1"/>
  <c r="Q55" i="5" s="1"/>
  <c r="R55" i="5" s="1"/>
  <c r="S55" i="5" s="1"/>
  <c r="T55" i="5" s="1"/>
  <c r="U55" i="5" s="1"/>
  <c r="V55" i="5" s="1"/>
  <c r="W55" i="5" s="1"/>
  <c r="X55" i="5" s="1"/>
  <c r="Y55" i="5" s="1"/>
  <c r="Z55" i="5" s="1"/>
  <c r="AA55" i="5" s="1"/>
  <c r="AB55" i="5" s="1"/>
  <c r="K46" i="5"/>
  <c r="G46" i="5"/>
  <c r="D46" i="5"/>
  <c r="O44" i="5"/>
  <c r="P44" i="5" s="1"/>
  <c r="Q44" i="5" s="1"/>
  <c r="R44" i="5" s="1"/>
  <c r="S44" i="5" s="1"/>
  <c r="T44" i="5" s="1"/>
  <c r="U44" i="5" s="1"/>
  <c r="V44" i="5" s="1"/>
  <c r="W44" i="5" s="1"/>
  <c r="X44" i="5" s="1"/>
  <c r="Y44" i="5" s="1"/>
  <c r="Z44" i="5" s="1"/>
  <c r="AA44" i="5" s="1"/>
  <c r="AB44" i="5" s="1"/>
  <c r="N43" i="5"/>
  <c r="M43" i="5"/>
  <c r="L43" i="5"/>
  <c r="K43" i="5"/>
  <c r="J43" i="5"/>
  <c r="I43" i="5"/>
  <c r="H43" i="5"/>
  <c r="G43" i="5"/>
  <c r="F43" i="5"/>
  <c r="E43" i="5"/>
  <c r="D43" i="5"/>
  <c r="O39" i="5"/>
  <c r="P39" i="5" s="1"/>
  <c r="Q39" i="5" s="1"/>
  <c r="R39" i="5" s="1"/>
  <c r="S39" i="5" s="1"/>
  <c r="T39" i="5" s="1"/>
  <c r="U39" i="5" s="1"/>
  <c r="V39" i="5" s="1"/>
  <c r="W39" i="5" s="1"/>
  <c r="X39" i="5" s="1"/>
  <c r="Y39" i="5" s="1"/>
  <c r="Z39" i="5" s="1"/>
  <c r="AA39" i="5" s="1"/>
  <c r="AB39" i="5" s="1"/>
  <c r="N38" i="5"/>
  <c r="O38" i="5" s="1"/>
  <c r="P38" i="5" s="1"/>
  <c r="Q38" i="5" s="1"/>
  <c r="R38" i="5" s="1"/>
  <c r="S38" i="5" s="1"/>
  <c r="T38" i="5" s="1"/>
  <c r="U38" i="5" s="1"/>
  <c r="V38" i="5" s="1"/>
  <c r="W38" i="5" s="1"/>
  <c r="X38" i="5" s="1"/>
  <c r="Y38" i="5" s="1"/>
  <c r="Z38" i="5" s="1"/>
  <c r="AA38" i="5" s="1"/>
  <c r="AB38" i="5" s="1"/>
  <c r="I38" i="5"/>
  <c r="J38" i="5" s="1"/>
  <c r="AB35" i="5"/>
  <c r="AA35" i="5"/>
  <c r="Z35" i="5"/>
  <c r="Y35" i="5"/>
  <c r="X35" i="5"/>
  <c r="W35" i="5"/>
  <c r="V35" i="5"/>
  <c r="U35" i="5"/>
  <c r="T35" i="5"/>
  <c r="S35" i="5"/>
  <c r="N33" i="5"/>
  <c r="N40" i="5" s="1"/>
  <c r="M33" i="5"/>
  <c r="M40" i="5" s="1"/>
  <c r="L33" i="5"/>
  <c r="L40" i="5" s="1"/>
  <c r="K33" i="5"/>
  <c r="K40" i="5" s="1"/>
  <c r="K48" i="5" s="1"/>
  <c r="J33" i="5"/>
  <c r="I33" i="5"/>
  <c r="I40" i="5" s="1"/>
  <c r="H33" i="5"/>
  <c r="H40" i="5" s="1"/>
  <c r="G33" i="5"/>
  <c r="G40" i="5" s="1"/>
  <c r="F33" i="5"/>
  <c r="F40" i="5" s="1"/>
  <c r="E33" i="5"/>
  <c r="E40" i="5" s="1"/>
  <c r="D33" i="5"/>
  <c r="D40" i="5" s="1"/>
  <c r="D48" i="5" s="1"/>
  <c r="O32" i="5"/>
  <c r="P32" i="5" s="1"/>
  <c r="Q32" i="5" s="1"/>
  <c r="R32" i="5" s="1"/>
  <c r="S32" i="5" s="1"/>
  <c r="T32" i="5" s="1"/>
  <c r="U32" i="5" s="1"/>
  <c r="V32" i="5" s="1"/>
  <c r="W32" i="5" s="1"/>
  <c r="X32" i="5" s="1"/>
  <c r="Y32" i="5" s="1"/>
  <c r="Z32" i="5" s="1"/>
  <c r="AA32" i="5" s="1"/>
  <c r="AB32" i="5" s="1"/>
  <c r="O31" i="5"/>
  <c r="P31" i="5" s="1"/>
  <c r="Q31" i="5" s="1"/>
  <c r="R31" i="5" s="1"/>
  <c r="S31" i="5" s="1"/>
  <c r="T31" i="5" s="1"/>
  <c r="U31" i="5" s="1"/>
  <c r="V31" i="5" s="1"/>
  <c r="W31" i="5" s="1"/>
  <c r="X31" i="5" s="1"/>
  <c r="Y31" i="5" s="1"/>
  <c r="Z31" i="5" s="1"/>
  <c r="AA31" i="5" s="1"/>
  <c r="AB31" i="5" s="1"/>
  <c r="I30" i="5"/>
  <c r="U30" i="5"/>
  <c r="V30" i="5" s="1"/>
  <c r="W30" i="5" s="1"/>
  <c r="X30" i="5" s="1"/>
  <c r="Y30" i="5" s="1"/>
  <c r="Z30" i="5" s="1"/>
  <c r="AA30" i="5" s="1"/>
  <c r="AB30" i="5" s="1"/>
  <c r="O27" i="5"/>
  <c r="P27" i="5" s="1"/>
  <c r="Q27" i="5" s="1"/>
  <c r="R27" i="5" s="1"/>
  <c r="S27" i="5" s="1"/>
  <c r="T27" i="5" s="1"/>
  <c r="U27" i="5" s="1"/>
  <c r="V27" i="5" s="1"/>
  <c r="W27" i="5" s="1"/>
  <c r="X27" i="5" s="1"/>
  <c r="Y27" i="5" s="1"/>
  <c r="Z27" i="5" s="1"/>
  <c r="AA27" i="5" s="1"/>
  <c r="AB27" i="5" s="1"/>
  <c r="N22" i="5"/>
  <c r="O19" i="5"/>
  <c r="P19" i="5" s="1"/>
  <c r="Q19" i="5" s="1"/>
  <c r="R19" i="5" s="1"/>
  <c r="S19" i="5" s="1"/>
  <c r="T19" i="5" s="1"/>
  <c r="U19" i="5" s="1"/>
  <c r="V19" i="5" s="1"/>
  <c r="W19" i="5" s="1"/>
  <c r="X19" i="5" s="1"/>
  <c r="Y19" i="5" s="1"/>
  <c r="Z19" i="5" s="1"/>
  <c r="AA19" i="5" s="1"/>
  <c r="AB19" i="5" s="1"/>
  <c r="O18" i="5"/>
  <c r="P18" i="5" s="1"/>
  <c r="Q18" i="5" s="1"/>
  <c r="R18" i="5" s="1"/>
  <c r="S18" i="5" s="1"/>
  <c r="T18" i="5" s="1"/>
  <c r="U18" i="5" s="1"/>
  <c r="V18" i="5" s="1"/>
  <c r="W18" i="5" s="1"/>
  <c r="X18" i="5" s="1"/>
  <c r="Y18" i="5" s="1"/>
  <c r="Z18" i="5" s="1"/>
  <c r="AA18" i="5" s="1"/>
  <c r="AB18" i="5" s="1"/>
  <c r="O17" i="5"/>
  <c r="P17" i="5" s="1"/>
  <c r="Q17" i="5" s="1"/>
  <c r="R17" i="5" s="1"/>
  <c r="S17" i="5" s="1"/>
  <c r="T17" i="5" s="1"/>
  <c r="U17" i="5" s="1"/>
  <c r="V17" i="5" s="1"/>
  <c r="W17" i="5" s="1"/>
  <c r="X17" i="5" s="1"/>
  <c r="Y17" i="5" s="1"/>
  <c r="Z17" i="5" s="1"/>
  <c r="AA17" i="5" s="1"/>
  <c r="AB17" i="5" s="1"/>
  <c r="I14" i="5"/>
  <c r="I23" i="5" s="1"/>
  <c r="G14" i="5"/>
  <c r="F14" i="5"/>
  <c r="F66" i="5" s="1"/>
  <c r="E14" i="5"/>
  <c r="E66" i="5" s="1"/>
  <c r="D14" i="5"/>
  <c r="D66" i="5" s="1"/>
  <c r="O12" i="5"/>
  <c r="P12" i="5" s="1"/>
  <c r="Q12" i="5" s="1"/>
  <c r="R12" i="5" s="1"/>
  <c r="S12" i="5" s="1"/>
  <c r="T12" i="5" s="1"/>
  <c r="U12" i="5" s="1"/>
  <c r="V12" i="5" s="1"/>
  <c r="W12" i="5" s="1"/>
  <c r="X12" i="5" s="1"/>
  <c r="Y12" i="5" s="1"/>
  <c r="Z12" i="5" s="1"/>
  <c r="AA12" i="5" s="1"/>
  <c r="AB12" i="5" s="1"/>
  <c r="O9" i="5"/>
  <c r="P9" i="5" s="1"/>
  <c r="Q9" i="5" s="1"/>
  <c r="R9" i="5" s="1"/>
  <c r="S9" i="5" s="1"/>
  <c r="T9" i="5" s="1"/>
  <c r="U9" i="5" s="1"/>
  <c r="V9" i="5" s="1"/>
  <c r="W9" i="5" s="1"/>
  <c r="X9" i="5" s="1"/>
  <c r="Y9" i="5" s="1"/>
  <c r="Z9" i="5" s="1"/>
  <c r="AA9" i="5" s="1"/>
  <c r="AB9" i="5" s="1"/>
  <c r="O8" i="5"/>
  <c r="P8" i="5" s="1"/>
  <c r="Q8" i="5" s="1"/>
  <c r="R8" i="5" s="1"/>
  <c r="S8" i="5" s="1"/>
  <c r="T8" i="5" s="1"/>
  <c r="U8" i="5" s="1"/>
  <c r="V8" i="5" s="1"/>
  <c r="W8" i="5" s="1"/>
  <c r="X8" i="5" s="1"/>
  <c r="Y8" i="5" s="1"/>
  <c r="Z8" i="5" s="1"/>
  <c r="AA8" i="5" s="1"/>
  <c r="AB8" i="5" s="1"/>
  <c r="O7" i="5"/>
  <c r="P7" i="5" s="1"/>
  <c r="Q7" i="5" s="1"/>
  <c r="R7" i="5" s="1"/>
  <c r="S7" i="5" s="1"/>
  <c r="T7" i="5" s="1"/>
  <c r="U7" i="5" s="1"/>
  <c r="V7" i="5" s="1"/>
  <c r="W7" i="5" s="1"/>
  <c r="X7" i="5" s="1"/>
  <c r="Y7" i="5" s="1"/>
  <c r="Z7" i="5" s="1"/>
  <c r="AA7" i="5" s="1"/>
  <c r="AB7" i="5" s="1"/>
  <c r="E5" i="5"/>
  <c r="E116" i="5" s="1"/>
  <c r="F77" i="5" l="1"/>
  <c r="G77" i="5"/>
  <c r="G48" i="5"/>
  <c r="E23" i="5"/>
  <c r="J40" i="5"/>
  <c r="F5" i="5"/>
  <c r="F116" i="5" s="1"/>
  <c r="F23" i="5"/>
  <c r="H77" i="5"/>
  <c r="F46" i="5"/>
  <c r="F48" i="5" s="1"/>
  <c r="D23" i="5"/>
  <c r="D50" i="5" s="1"/>
  <c r="E46" i="5"/>
  <c r="E48" i="5" s="1"/>
  <c r="I46" i="5"/>
  <c r="I48" i="5" s="1"/>
  <c r="I50" i="5" s="1"/>
  <c r="M156" i="5"/>
  <c r="M46" i="5"/>
  <c r="M48" i="5" s="1"/>
  <c r="L46" i="5"/>
  <c r="L48" i="5" s="1"/>
  <c r="S69" i="5"/>
  <c r="N156" i="5"/>
  <c r="N46" i="5"/>
  <c r="N48" i="5" s="1"/>
  <c r="G66" i="5"/>
  <c r="G23" i="5"/>
  <c r="G50" i="5" s="1"/>
  <c r="J46" i="5"/>
  <c r="S73" i="5"/>
  <c r="M87" i="5"/>
  <c r="L87" i="5"/>
  <c r="N87" i="5"/>
  <c r="J87" i="5"/>
  <c r="G87" i="5"/>
  <c r="I87" i="5"/>
  <c r="H87" i="5"/>
  <c r="K87" i="5"/>
  <c r="Q91" i="5"/>
  <c r="M91" i="5"/>
  <c r="L91" i="5"/>
  <c r="R91" i="5"/>
  <c r="N91" i="5"/>
  <c r="O91" i="5"/>
  <c r="P91" i="5"/>
  <c r="K91" i="5"/>
  <c r="J85" i="5"/>
  <c r="N88" i="5"/>
  <c r="J88" i="5"/>
  <c r="O88" i="5"/>
  <c r="I88" i="5"/>
  <c r="H88" i="5"/>
  <c r="K88" i="5"/>
  <c r="M88" i="5"/>
  <c r="L88" i="5"/>
  <c r="R63" i="5"/>
  <c r="Q71" i="5"/>
  <c r="K86" i="5"/>
  <c r="F86" i="5"/>
  <c r="M86" i="5"/>
  <c r="L86" i="5"/>
  <c r="J86" i="5"/>
  <c r="G86" i="5"/>
  <c r="I86" i="5"/>
  <c r="H86" i="5"/>
  <c r="P90" i="5"/>
  <c r="K90" i="5"/>
  <c r="Q90" i="5"/>
  <c r="M90" i="5"/>
  <c r="L90" i="5"/>
  <c r="N90" i="5"/>
  <c r="J90" i="5"/>
  <c r="O90" i="5"/>
  <c r="O142" i="5"/>
  <c r="P117" i="5"/>
  <c r="U124" i="5"/>
  <c r="K124" i="5"/>
  <c r="K122" i="5"/>
  <c r="K130" i="5"/>
  <c r="L118" i="5"/>
  <c r="K120" i="5" s="1"/>
  <c r="G5" i="5" l="1"/>
  <c r="G116" i="5" s="1"/>
  <c r="E50" i="5"/>
  <c r="J48" i="5"/>
  <c r="I109" i="5"/>
  <c r="F50" i="5"/>
  <c r="R71" i="5"/>
  <c r="T73" i="5"/>
  <c r="L130" i="5"/>
  <c r="M118" i="5"/>
  <c r="L120" i="5" s="1"/>
  <c r="L124" i="5"/>
  <c r="L122" i="5"/>
  <c r="J109" i="5"/>
  <c r="K85" i="5"/>
  <c r="V124" i="5"/>
  <c r="P140" i="5"/>
  <c r="P142" i="5"/>
  <c r="Q117" i="5"/>
  <c r="S63" i="5"/>
  <c r="T69" i="5"/>
  <c r="H5" i="5" l="1"/>
  <c r="L85" i="5"/>
  <c r="K109" i="5"/>
  <c r="U73" i="5"/>
  <c r="S71" i="5"/>
  <c r="T63" i="5"/>
  <c r="Q142" i="5"/>
  <c r="Q140" i="5"/>
  <c r="R117" i="5"/>
  <c r="W124" i="5"/>
  <c r="U69" i="5"/>
  <c r="H116" i="5"/>
  <c r="I5" i="5"/>
  <c r="M130" i="5"/>
  <c r="M124" i="5"/>
  <c r="N118" i="5"/>
  <c r="M120" i="5" s="1"/>
  <c r="M122" i="5"/>
  <c r="V69" i="5" l="1"/>
  <c r="I116" i="5"/>
  <c r="J5" i="5"/>
  <c r="R140" i="5"/>
  <c r="R142" i="5"/>
  <c r="S117" i="5"/>
  <c r="U63" i="5"/>
  <c r="V73" i="5"/>
  <c r="N122" i="5"/>
  <c r="O122" i="5" s="1"/>
  <c r="N124" i="5"/>
  <c r="O118" i="5"/>
  <c r="N120" i="5" s="1"/>
  <c r="N130" i="5"/>
  <c r="O130" i="5" s="1"/>
  <c r="X124" i="5"/>
  <c r="T71" i="5"/>
  <c r="L109" i="5"/>
  <c r="M85" i="5"/>
  <c r="O123" i="5" l="1"/>
  <c r="J116" i="5"/>
  <c r="K5" i="5"/>
  <c r="U71" i="5"/>
  <c r="Y124" i="5"/>
  <c r="W73" i="5"/>
  <c r="S140" i="5"/>
  <c r="S142" i="5"/>
  <c r="T117" i="5"/>
  <c r="W69" i="5"/>
  <c r="V63" i="5"/>
  <c r="N85" i="5"/>
  <c r="M109" i="5"/>
  <c r="P130" i="5"/>
  <c r="O129" i="5"/>
  <c r="O121" i="5"/>
  <c r="P122" i="5"/>
  <c r="P118" i="5" l="1"/>
  <c r="O119" i="5" s="1"/>
  <c r="O127" i="5"/>
  <c r="O154" i="5" s="1"/>
  <c r="O149" i="5"/>
  <c r="Q130" i="5"/>
  <c r="N109" i="5"/>
  <c r="O85" i="5"/>
  <c r="X69" i="5"/>
  <c r="K116" i="5"/>
  <c r="L5" i="5"/>
  <c r="Q122" i="5"/>
  <c r="W63" i="5"/>
  <c r="Z124" i="5"/>
  <c r="T140" i="5"/>
  <c r="T142" i="5"/>
  <c r="U117" i="5"/>
  <c r="X73" i="5"/>
  <c r="V71" i="5"/>
  <c r="P121" i="5" l="1"/>
  <c r="P123" i="5"/>
  <c r="P129" i="5"/>
  <c r="AA124" i="5"/>
  <c r="L116" i="5"/>
  <c r="M5" i="5"/>
  <c r="R130" i="5"/>
  <c r="W71" i="5"/>
  <c r="U142" i="5"/>
  <c r="U140" i="5"/>
  <c r="V117" i="5"/>
  <c r="Y69" i="5"/>
  <c r="P85" i="5"/>
  <c r="P127" i="5"/>
  <c r="P154" i="5" s="1"/>
  <c r="Y73" i="5"/>
  <c r="X63" i="5"/>
  <c r="R122" i="5"/>
  <c r="P148" i="5"/>
  <c r="O150" i="5"/>
  <c r="O151" i="5" s="1"/>
  <c r="Q118" i="5" l="1"/>
  <c r="Q129" i="5" s="1"/>
  <c r="P149" i="5"/>
  <c r="Q148" i="5" s="1"/>
  <c r="Z73" i="5"/>
  <c r="S130" i="5"/>
  <c r="Q85" i="5"/>
  <c r="M116" i="5"/>
  <c r="N5" i="5"/>
  <c r="Y63" i="5"/>
  <c r="V140" i="5"/>
  <c r="V142" i="5"/>
  <c r="W117" i="5"/>
  <c r="AB124" i="5"/>
  <c r="S122" i="5"/>
  <c r="Z69" i="5"/>
  <c r="X71" i="5"/>
  <c r="Q121" i="5" l="1"/>
  <c r="Q123" i="5"/>
  <c r="P119" i="5"/>
  <c r="AA69" i="5"/>
  <c r="W140" i="5"/>
  <c r="W142" i="5"/>
  <c r="X117" i="5"/>
  <c r="AA73" i="5"/>
  <c r="Y71" i="5"/>
  <c r="T122" i="5"/>
  <c r="R85" i="5"/>
  <c r="T130" i="5"/>
  <c r="Q149" i="5"/>
  <c r="R148" i="5" s="1"/>
  <c r="Z63" i="5"/>
  <c r="N116" i="5"/>
  <c r="O5" i="5"/>
  <c r="P150" i="5"/>
  <c r="P151" i="5" l="1"/>
  <c r="Q127" i="5"/>
  <c r="Q154" i="5" s="1"/>
  <c r="R118" i="5"/>
  <c r="AA63" i="5"/>
  <c r="Q150" i="5"/>
  <c r="S85" i="5"/>
  <c r="U122" i="5"/>
  <c r="Z71" i="5"/>
  <c r="AB69" i="5"/>
  <c r="O116" i="5"/>
  <c r="P5" i="5"/>
  <c r="U130" i="5"/>
  <c r="AB73" i="5"/>
  <c r="X140" i="5"/>
  <c r="X142" i="5"/>
  <c r="Y117" i="5"/>
  <c r="Q119" i="5" l="1"/>
  <c r="Q151" i="5" s="1"/>
  <c r="R129" i="5"/>
  <c r="R121" i="5"/>
  <c r="R123" i="5"/>
  <c r="V130" i="5"/>
  <c r="AA71" i="5"/>
  <c r="T85" i="5"/>
  <c r="AB63" i="5"/>
  <c r="P116" i="5"/>
  <c r="Q5" i="5"/>
  <c r="Y142" i="5"/>
  <c r="Y140" i="5"/>
  <c r="Z117" i="5"/>
  <c r="V122" i="5"/>
  <c r="S118" i="5" l="1"/>
  <c r="R127" i="5"/>
  <c r="R154" i="5" s="1"/>
  <c r="R149" i="5"/>
  <c r="Q116" i="5"/>
  <c r="R5" i="5"/>
  <c r="W130" i="5"/>
  <c r="AB71" i="5"/>
  <c r="W122" i="5"/>
  <c r="Z140" i="5"/>
  <c r="Z142" i="5"/>
  <c r="AA117" i="5"/>
  <c r="U85" i="5"/>
  <c r="S148" i="5" l="1"/>
  <c r="R150" i="5"/>
  <c r="R119" i="5"/>
  <c r="S123" i="5"/>
  <c r="S127" i="5" s="1"/>
  <c r="S154" i="5" s="1"/>
  <c r="S121" i="5"/>
  <c r="S129" i="5"/>
  <c r="V85" i="5"/>
  <c r="R116" i="5"/>
  <c r="S5" i="5"/>
  <c r="S116" i="5" s="1"/>
  <c r="AA140" i="5"/>
  <c r="AA142" i="5"/>
  <c r="AB117" i="5"/>
  <c r="X122" i="5"/>
  <c r="X130" i="5"/>
  <c r="T118" i="5" l="1"/>
  <c r="AC118" i="5"/>
  <c r="S119" i="5" s="1"/>
  <c r="R151" i="5"/>
  <c r="S149" i="5"/>
  <c r="T148" i="5" s="1"/>
  <c r="Y122" i="5"/>
  <c r="Y130" i="5"/>
  <c r="AB140" i="5"/>
  <c r="AB142" i="5"/>
  <c r="W85" i="5"/>
  <c r="S150" i="5" l="1"/>
  <c r="S151" i="5" s="1"/>
  <c r="T121" i="5"/>
  <c r="T129" i="5"/>
  <c r="T119" i="5"/>
  <c r="T123" i="5"/>
  <c r="T127" i="5" s="1"/>
  <c r="T154" i="5" s="1"/>
  <c r="X85" i="5"/>
  <c r="Z122" i="5"/>
  <c r="Z130" i="5"/>
  <c r="U118" i="5" l="1"/>
  <c r="T149" i="5"/>
  <c r="Y85" i="5"/>
  <c r="AA122" i="5"/>
  <c r="AA130" i="5"/>
  <c r="U148" i="5" l="1"/>
  <c r="T150" i="5"/>
  <c r="T151" i="5" s="1"/>
  <c r="U129" i="5"/>
  <c r="U119" i="5"/>
  <c r="U121" i="5"/>
  <c r="U123" i="5"/>
  <c r="U127" i="5" s="1"/>
  <c r="U154" i="5" s="1"/>
  <c r="Z85" i="5"/>
  <c r="AB122" i="5"/>
  <c r="AB130" i="5"/>
  <c r="V118" i="5" l="1"/>
  <c r="U149" i="5"/>
  <c r="V148" i="5" s="1"/>
  <c r="AA85" i="5"/>
  <c r="U150" i="5" l="1"/>
  <c r="U151" i="5" s="1"/>
  <c r="V119" i="5"/>
  <c r="V129" i="5"/>
  <c r="V121" i="5"/>
  <c r="V123" i="5"/>
  <c r="V127" i="5" s="1"/>
  <c r="V154" i="5" s="1"/>
  <c r="AB85" i="5"/>
  <c r="V149" i="5" l="1"/>
  <c r="W118" i="5"/>
  <c r="W129" i="5" l="1"/>
  <c r="W121" i="5"/>
  <c r="X118" i="5" s="1"/>
  <c r="W119" i="5"/>
  <c r="W123" i="5"/>
  <c r="W127" i="5" s="1"/>
  <c r="W154" i="5" s="1"/>
  <c r="W148" i="5"/>
  <c r="V150" i="5"/>
  <c r="V151" i="5" s="1"/>
  <c r="X123" i="5" l="1"/>
  <c r="X127" i="5" s="1"/>
  <c r="X154" i="5" s="1"/>
  <c r="X129" i="5"/>
  <c r="X119" i="5"/>
  <c r="X121" i="5"/>
  <c r="W149" i="5"/>
  <c r="X148" i="5" s="1"/>
  <c r="Y118" i="5" l="1"/>
  <c r="Y123" i="5" s="1"/>
  <c r="Y127" i="5" s="1"/>
  <c r="Y154" i="5" s="1"/>
  <c r="W150" i="5"/>
  <c r="W151" i="5" s="1"/>
  <c r="X149" i="5"/>
  <c r="Y148" i="5" s="1"/>
  <c r="Y121" i="5" l="1"/>
  <c r="X150" i="5"/>
  <c r="X151" i="5" s="1"/>
  <c r="Y129" i="5"/>
  <c r="Y119" i="5"/>
  <c r="Z118" i="5"/>
  <c r="Z121" i="5" s="1"/>
  <c r="Z119" i="5"/>
  <c r="Y149" i="5"/>
  <c r="Z148" i="5" s="1"/>
  <c r="Z123" i="5" l="1"/>
  <c r="Z127" i="5" s="1"/>
  <c r="Z154" i="5" s="1"/>
  <c r="Z129" i="5"/>
  <c r="AA118" i="5" s="1"/>
  <c r="Y150" i="5"/>
  <c r="Y151" i="5" s="1"/>
  <c r="Z149" i="5"/>
  <c r="AA148" i="5" s="1"/>
  <c r="AA121" i="5" l="1"/>
  <c r="AA123" i="5"/>
  <c r="AA127" i="5" s="1"/>
  <c r="AA154" i="5" s="1"/>
  <c r="AA129" i="5"/>
  <c r="AB118" i="5" s="1"/>
  <c r="Z150" i="5"/>
  <c r="Z151" i="5" s="1"/>
  <c r="AA119" i="5"/>
  <c r="AA149" i="5"/>
  <c r="AB148" i="5" s="1"/>
  <c r="R3" i="283"/>
  <c r="Q3" i="283"/>
  <c r="P3" i="283"/>
  <c r="O3" i="283"/>
  <c r="N3" i="283"/>
  <c r="M3" i="283"/>
  <c r="L3" i="283"/>
  <c r="K3" i="283"/>
  <c r="J3" i="283"/>
  <c r="I3" i="283"/>
  <c r="H3" i="283"/>
  <c r="G3" i="283"/>
  <c r="D3" i="283"/>
  <c r="C3" i="283"/>
  <c r="D23" i="283"/>
  <c r="C23" i="283"/>
  <c r="AB129" i="5" l="1"/>
  <c r="AB119" i="5"/>
  <c r="AB121" i="5"/>
  <c r="AB123" i="5"/>
  <c r="AB127" i="5" s="1"/>
  <c r="AB154" i="5" s="1"/>
  <c r="AA150" i="5"/>
  <c r="AA151" i="5" s="1"/>
  <c r="AB149" i="5"/>
  <c r="AB150" i="5" s="1"/>
  <c r="AB151" i="5" s="1"/>
  <c r="I10" i="293" l="1"/>
  <c r="F10" i="293"/>
  <c r="S137" i="281"/>
  <c r="R137" i="281"/>
  <c r="Q137" i="281"/>
  <c r="P137" i="281"/>
  <c r="O137" i="281"/>
  <c r="N137" i="281"/>
  <c r="M137" i="281"/>
  <c r="L137" i="281"/>
  <c r="K137" i="281"/>
  <c r="J137" i="281"/>
  <c r="I137" i="281"/>
  <c r="H137" i="281"/>
  <c r="G137" i="281"/>
  <c r="F137" i="281"/>
  <c r="E137" i="281"/>
  <c r="D137" i="281"/>
  <c r="C137" i="281"/>
  <c r="C129" i="281"/>
  <c r="E121" i="281"/>
  <c r="E124" i="281" s="1"/>
  <c r="D121" i="281"/>
  <c r="D123" i="281" s="1"/>
  <c r="C121" i="281"/>
  <c r="C124" i="281" s="1"/>
  <c r="C125" i="281" s="1"/>
  <c r="C127" i="281" s="1"/>
  <c r="G7" i="284"/>
  <c r="D20" i="285"/>
  <c r="C20" i="285"/>
  <c r="D124" i="281" l="1"/>
  <c r="D122" i="281"/>
  <c r="D125" i="281" s="1"/>
  <c r="D127" i="281" s="1"/>
  <c r="E122" i="281"/>
  <c r="E123" i="281"/>
  <c r="E125" i="281" l="1"/>
  <c r="E127" i="281" s="1"/>
  <c r="F15" i="293" l="1"/>
  <c r="G213" i="281"/>
  <c r="F213" i="281"/>
  <c r="E213" i="281"/>
  <c r="D213" i="281"/>
  <c r="C213" i="281"/>
  <c r="H213" i="281"/>
  <c r="S252" i="281"/>
  <c r="R252" i="281"/>
  <c r="Q252" i="281"/>
  <c r="P252" i="281"/>
  <c r="O252" i="281"/>
  <c r="N252" i="281"/>
  <c r="M252" i="281"/>
  <c r="L252" i="281"/>
  <c r="K252" i="281"/>
  <c r="J252" i="281"/>
  <c r="I252" i="281"/>
  <c r="H252" i="281"/>
  <c r="G252" i="281"/>
  <c r="F252" i="281"/>
  <c r="E252" i="281"/>
  <c r="D252" i="281"/>
  <c r="C252" i="281"/>
  <c r="C244" i="281"/>
  <c r="C236" i="281"/>
  <c r="H74" i="291"/>
  <c r="I74" i="291" s="1"/>
  <c r="E74" i="291"/>
  <c r="J74" i="291" l="1"/>
  <c r="F74" i="291"/>
  <c r="K74" i="291" l="1"/>
  <c r="L74" i="291" l="1"/>
  <c r="M74" i="291" l="1"/>
  <c r="N74" i="291" l="1"/>
  <c r="O74" i="291" l="1"/>
  <c r="P74" i="291" l="1"/>
  <c r="Q74" i="291" l="1"/>
  <c r="R74" i="291" l="1"/>
  <c r="S74" i="291" l="1"/>
  <c r="T74" i="291" l="1"/>
  <c r="U74" i="291" l="1"/>
  <c r="L46" i="6" l="1"/>
  <c r="K46" i="6"/>
  <c r="J46" i="6"/>
  <c r="G46" i="6"/>
  <c r="F46" i="6"/>
  <c r="E46" i="6"/>
  <c r="D46" i="6"/>
  <c r="N18" i="6"/>
  <c r="AH37" i="4" l="1"/>
  <c r="AA49" i="4" l="1"/>
  <c r="AA45" i="4"/>
  <c r="AA29" i="4"/>
  <c r="AA52" i="4"/>
  <c r="X46" i="4"/>
  <c r="Z46" i="4"/>
  <c r="Y46" i="4"/>
  <c r="AA28" i="4"/>
  <c r="W46" i="4"/>
  <c r="AA50" i="4"/>
  <c r="AA68" i="4"/>
  <c r="AA67" i="4"/>
  <c r="O57" i="5" l="1"/>
  <c r="AA33" i="4"/>
  <c r="O60" i="5" l="1"/>
  <c r="O144" i="5" l="1"/>
  <c r="Y47" i="4" l="1"/>
  <c r="Y51" i="4" s="1"/>
  <c r="Y54" i="4" s="1"/>
  <c r="Y73" i="4" s="1"/>
  <c r="Y82" i="4" s="1"/>
  <c r="W47" i="4" l="1"/>
  <c r="W51" i="4" s="1"/>
  <c r="W54" i="4" s="1"/>
  <c r="W73" i="4" s="1"/>
  <c r="W82" i="4" s="1"/>
  <c r="Z47" i="4"/>
  <c r="Z51" i="4" s="1"/>
  <c r="Z54" i="4" s="1"/>
  <c r="Z73" i="4" l="1"/>
  <c r="Z82" i="4" s="1"/>
  <c r="M176" i="291"/>
  <c r="G22" i="293" l="1"/>
  <c r="N176" i="291"/>
  <c r="O176" i="291" s="1"/>
  <c r="P176" i="291" s="1"/>
  <c r="Q176" i="291" s="1"/>
  <c r="R176" i="291" s="1"/>
  <c r="S176" i="291" s="1"/>
  <c r="T176" i="291" s="1"/>
  <c r="U176" i="291" s="1"/>
  <c r="C166" i="291"/>
  <c r="C164" i="291"/>
  <c r="D165" i="291"/>
  <c r="E165" i="291" s="1"/>
  <c r="F165" i="291" s="1"/>
  <c r="G165" i="291" s="1"/>
  <c r="H165" i="291" s="1"/>
  <c r="I165" i="291" s="1"/>
  <c r="J165" i="291" s="1"/>
  <c r="K165" i="291" s="1"/>
  <c r="L165" i="291" s="1"/>
  <c r="M165" i="291" s="1"/>
  <c r="N165" i="291" s="1"/>
  <c r="O165" i="291" s="1"/>
  <c r="P165" i="291" s="1"/>
  <c r="Q165" i="291" s="1"/>
  <c r="R165" i="291" s="1"/>
  <c r="S165" i="291" s="1"/>
  <c r="T165" i="291" s="1"/>
  <c r="U165" i="291" s="1"/>
  <c r="D167" i="291"/>
  <c r="E167" i="291" s="1"/>
  <c r="F167" i="291" s="1"/>
  <c r="G167" i="291" s="1"/>
  <c r="H167" i="291" s="1"/>
  <c r="I167" i="291" s="1"/>
  <c r="J167" i="291" s="1"/>
  <c r="K167" i="291" s="1"/>
  <c r="L167" i="291" s="1"/>
  <c r="M167" i="291" s="1"/>
  <c r="N167" i="291" s="1"/>
  <c r="O167" i="291" s="1"/>
  <c r="P167" i="291" s="1"/>
  <c r="Q167" i="291" s="1"/>
  <c r="R167" i="291" s="1"/>
  <c r="S167" i="291" s="1"/>
  <c r="T167" i="291" s="1"/>
  <c r="U167" i="291" s="1"/>
  <c r="P148" i="291" l="1"/>
  <c r="Q148" i="291" s="1"/>
  <c r="R148" i="291" s="1"/>
  <c r="S148" i="291" s="1"/>
  <c r="T148" i="291" s="1"/>
  <c r="U148" i="291" s="1"/>
  <c r="D141" i="291"/>
  <c r="E141" i="291" s="1"/>
  <c r="F141" i="291" s="1"/>
  <c r="G141" i="291" s="1"/>
  <c r="H141" i="291" s="1"/>
  <c r="I141" i="291" s="1"/>
  <c r="J141" i="291" s="1"/>
  <c r="K141" i="291" s="1"/>
  <c r="L141" i="291" s="1"/>
  <c r="M141" i="291" s="1"/>
  <c r="N141" i="291" s="1"/>
  <c r="O141" i="291" s="1"/>
  <c r="P141" i="291" s="1"/>
  <c r="Q141" i="291" s="1"/>
  <c r="R141" i="291" s="1"/>
  <c r="S141" i="291" s="1"/>
  <c r="T141" i="291" s="1"/>
  <c r="U141" i="291" s="1"/>
  <c r="D134" i="291"/>
  <c r="E134" i="291" s="1"/>
  <c r="F134" i="291" s="1"/>
  <c r="G134" i="291" s="1"/>
  <c r="H134" i="291" s="1"/>
  <c r="I134" i="291" s="1"/>
  <c r="J134" i="291" s="1"/>
  <c r="K134" i="291" s="1"/>
  <c r="L134" i="291" s="1"/>
  <c r="M134" i="291" s="1"/>
  <c r="N134" i="291" s="1"/>
  <c r="O134" i="291" s="1"/>
  <c r="P134" i="291" s="1"/>
  <c r="Q134" i="291" s="1"/>
  <c r="R134" i="291" s="1"/>
  <c r="S134" i="291" s="1"/>
  <c r="T134" i="291" s="1"/>
  <c r="U134" i="291" s="1"/>
  <c r="C133" i="291"/>
  <c r="C138" i="291" s="1"/>
  <c r="F18" i="293"/>
  <c r="F17" i="293"/>
  <c r="F305" i="281"/>
  <c r="E305" i="281"/>
  <c r="D305" i="281"/>
  <c r="C305" i="281"/>
  <c r="C313" i="281"/>
  <c r="D282" i="281"/>
  <c r="E282" i="281"/>
  <c r="F282" i="281"/>
  <c r="C282" i="281"/>
  <c r="C290" i="281"/>
  <c r="J11" i="291"/>
  <c r="H282" i="281" s="1"/>
  <c r="J12" i="291"/>
  <c r="H305" i="281" s="1"/>
  <c r="I12" i="291"/>
  <c r="G305" i="281" s="1"/>
  <c r="I11" i="291"/>
  <c r="G282" i="281" s="1"/>
  <c r="D169" i="291"/>
  <c r="E169" i="291" s="1"/>
  <c r="F169" i="291" s="1"/>
  <c r="G169" i="291" s="1"/>
  <c r="H169" i="291" s="1"/>
  <c r="I169" i="291" s="1"/>
  <c r="J169" i="291" s="1"/>
  <c r="K169" i="291" s="1"/>
  <c r="L169" i="291" s="1"/>
  <c r="M169" i="291" s="1"/>
  <c r="N169" i="291" s="1"/>
  <c r="O169" i="291" s="1"/>
  <c r="P169" i="291" s="1"/>
  <c r="Q169" i="291" s="1"/>
  <c r="R169" i="291" s="1"/>
  <c r="S169" i="291" s="1"/>
  <c r="T169" i="291" s="1"/>
  <c r="U169" i="291" s="1"/>
  <c r="C168" i="291"/>
  <c r="C171" i="291" s="1"/>
  <c r="C162" i="291"/>
  <c r="C161" i="291"/>
  <c r="G159" i="291"/>
  <c r="H159" i="291" s="1"/>
  <c r="I159" i="291" s="1"/>
  <c r="J159" i="291" s="1"/>
  <c r="K159" i="291" s="1"/>
  <c r="L159" i="291" s="1"/>
  <c r="M159" i="291" s="1"/>
  <c r="N159" i="291" s="1"/>
  <c r="O159" i="291" s="1"/>
  <c r="P159" i="291" s="1"/>
  <c r="Q159" i="291" s="1"/>
  <c r="R159" i="291" s="1"/>
  <c r="S159" i="291" s="1"/>
  <c r="T159" i="291" s="1"/>
  <c r="U159" i="291" s="1"/>
  <c r="D158" i="291"/>
  <c r="D157" i="291"/>
  <c r="D161" i="291" s="1"/>
  <c r="C135" i="291"/>
  <c r="C140" i="291" s="1"/>
  <c r="D127" i="291"/>
  <c r="E127" i="291" s="1"/>
  <c r="F128" i="291"/>
  <c r="G128" i="291" s="1"/>
  <c r="H128" i="291" s="1"/>
  <c r="I128" i="291" s="1"/>
  <c r="J128" i="291" s="1"/>
  <c r="K128" i="291" s="1"/>
  <c r="L128" i="291" s="1"/>
  <c r="M128" i="291" s="1"/>
  <c r="N128" i="291" s="1"/>
  <c r="O128" i="291" s="1"/>
  <c r="P128" i="291" s="1"/>
  <c r="Q128" i="291" s="1"/>
  <c r="R128" i="291" s="1"/>
  <c r="S128" i="291" s="1"/>
  <c r="T128" i="291" s="1"/>
  <c r="U128" i="291" s="1"/>
  <c r="D139" i="291"/>
  <c r="E139" i="291" s="1"/>
  <c r="F139" i="291" s="1"/>
  <c r="G139" i="291" s="1"/>
  <c r="H139" i="291" s="1"/>
  <c r="I139" i="291" s="1"/>
  <c r="J139" i="291" s="1"/>
  <c r="K139" i="291" s="1"/>
  <c r="L139" i="291" s="1"/>
  <c r="M139" i="291" s="1"/>
  <c r="N139" i="291" s="1"/>
  <c r="O139" i="291" s="1"/>
  <c r="P139" i="291" s="1"/>
  <c r="Q139" i="291" s="1"/>
  <c r="R139" i="291" s="1"/>
  <c r="S139" i="291" s="1"/>
  <c r="T139" i="291" s="1"/>
  <c r="U139" i="291" s="1"/>
  <c r="D136" i="291"/>
  <c r="E136" i="291" s="1"/>
  <c r="F136" i="291" s="1"/>
  <c r="G136" i="291" s="1"/>
  <c r="H136" i="291" s="1"/>
  <c r="I136" i="291" s="1"/>
  <c r="J136" i="291" s="1"/>
  <c r="K136" i="291" s="1"/>
  <c r="L136" i="291" s="1"/>
  <c r="M136" i="291" s="1"/>
  <c r="N136" i="291" s="1"/>
  <c r="O136" i="291" s="1"/>
  <c r="P136" i="291" s="1"/>
  <c r="Q136" i="291" s="1"/>
  <c r="R136" i="291" s="1"/>
  <c r="S136" i="291" s="1"/>
  <c r="T136" i="291" s="1"/>
  <c r="U136" i="291" s="1"/>
  <c r="C131" i="291"/>
  <c r="D126" i="291" s="1"/>
  <c r="C130" i="291"/>
  <c r="C143" i="291" l="1"/>
  <c r="D164" i="291"/>
  <c r="D166" i="291"/>
  <c r="F127" i="291"/>
  <c r="F133" i="291" s="1"/>
  <c r="F138" i="291" s="1"/>
  <c r="D168" i="291"/>
  <c r="D133" i="291"/>
  <c r="D138" i="291" s="1"/>
  <c r="E133" i="291"/>
  <c r="E138" i="291" s="1"/>
  <c r="E158" i="291"/>
  <c r="D162" i="291"/>
  <c r="E157" i="291" s="1"/>
  <c r="D135" i="291"/>
  <c r="D140" i="291" s="1"/>
  <c r="E135" i="291"/>
  <c r="E140" i="291" s="1"/>
  <c r="D130" i="291"/>
  <c r="D131" i="291"/>
  <c r="E126" i="291" s="1"/>
  <c r="F135" i="291" l="1"/>
  <c r="F140" i="291" s="1"/>
  <c r="F143" i="291" s="1"/>
  <c r="G127" i="291"/>
  <c r="G133" i="291" s="1"/>
  <c r="G138" i="291" s="1"/>
  <c r="E164" i="291"/>
  <c r="E166" i="291"/>
  <c r="D171" i="291"/>
  <c r="E143" i="291"/>
  <c r="D143" i="291"/>
  <c r="E161" i="291"/>
  <c r="E162" i="291"/>
  <c r="F157" i="291" s="1"/>
  <c r="E168" i="291"/>
  <c r="F158" i="291"/>
  <c r="H127" i="291"/>
  <c r="H133" i="291" s="1"/>
  <c r="H138" i="291" s="1"/>
  <c r="E130" i="291"/>
  <c r="E131" i="291"/>
  <c r="F126" i="291" s="1"/>
  <c r="G135" i="291" l="1"/>
  <c r="G140" i="291" s="1"/>
  <c r="G143" i="291" s="1"/>
  <c r="E171" i="291"/>
  <c r="F164" i="291"/>
  <c r="F166" i="291"/>
  <c r="F161" i="291"/>
  <c r="F162" i="291"/>
  <c r="G157" i="291" s="1"/>
  <c r="F168" i="291"/>
  <c r="G158" i="291"/>
  <c r="I127" i="291"/>
  <c r="I133" i="291" s="1"/>
  <c r="I138" i="291" s="1"/>
  <c r="H135" i="291"/>
  <c r="H140" i="291" s="1"/>
  <c r="H143" i="291" s="1"/>
  <c r="F131" i="291"/>
  <c r="G126" i="291" s="1"/>
  <c r="F130" i="291"/>
  <c r="F171" i="291" l="1"/>
  <c r="G166" i="291"/>
  <c r="G164" i="291"/>
  <c r="G168" i="291"/>
  <c r="H158" i="291"/>
  <c r="G162" i="291"/>
  <c r="H157" i="291" s="1"/>
  <c r="G161" i="291"/>
  <c r="H161" i="291" s="1"/>
  <c r="I161" i="291" s="1"/>
  <c r="J161" i="291" s="1"/>
  <c r="K161" i="291" s="1"/>
  <c r="L161" i="291" s="1"/>
  <c r="M161" i="291" s="1"/>
  <c r="N161" i="291" s="1"/>
  <c r="O161" i="291" s="1"/>
  <c r="P161" i="291" s="1"/>
  <c r="Q161" i="291" s="1"/>
  <c r="R161" i="291" s="1"/>
  <c r="S161" i="291" s="1"/>
  <c r="T161" i="291" s="1"/>
  <c r="U161" i="291" s="1"/>
  <c r="J127" i="291"/>
  <c r="J133" i="291" s="1"/>
  <c r="J138" i="291" s="1"/>
  <c r="I135" i="291"/>
  <c r="I140" i="291" s="1"/>
  <c r="I143" i="291" s="1"/>
  <c r="G131" i="291"/>
  <c r="H126" i="291" s="1"/>
  <c r="G130" i="291"/>
  <c r="H130" i="291" s="1"/>
  <c r="I130" i="291" s="1"/>
  <c r="J130" i="291" s="1"/>
  <c r="K130" i="291" s="1"/>
  <c r="L130" i="291" s="1"/>
  <c r="M130" i="291" s="1"/>
  <c r="N130" i="291" s="1"/>
  <c r="O130" i="291" s="1"/>
  <c r="P130" i="291" s="1"/>
  <c r="Q130" i="291" s="1"/>
  <c r="R130" i="291" s="1"/>
  <c r="S130" i="291" s="1"/>
  <c r="T130" i="291" s="1"/>
  <c r="U130" i="291" s="1"/>
  <c r="G171" i="291" l="1"/>
  <c r="H164" i="291"/>
  <c r="H166" i="291"/>
  <c r="H160" i="291"/>
  <c r="H162" i="291" s="1"/>
  <c r="I157" i="291" s="1"/>
  <c r="H168" i="291"/>
  <c r="I158" i="291"/>
  <c r="K127" i="291"/>
  <c r="K133" i="291" s="1"/>
  <c r="K138" i="291" s="1"/>
  <c r="J135" i="291"/>
  <c r="J140" i="291" s="1"/>
  <c r="J143" i="291" s="1"/>
  <c r="J145" i="291" s="1"/>
  <c r="H129" i="291"/>
  <c r="H131" i="291" s="1"/>
  <c r="I126" i="291" s="1"/>
  <c r="I164" i="291" l="1"/>
  <c r="I166" i="291"/>
  <c r="H171" i="291"/>
  <c r="I160" i="291"/>
  <c r="I162" i="291" s="1"/>
  <c r="J157" i="291" s="1"/>
  <c r="I168" i="291"/>
  <c r="J158" i="291"/>
  <c r="L127" i="291"/>
  <c r="L133" i="291" s="1"/>
  <c r="L138" i="291" s="1"/>
  <c r="K135" i="291"/>
  <c r="K140" i="291" s="1"/>
  <c r="K143" i="291" s="1"/>
  <c r="K145" i="291" s="1"/>
  <c r="I129" i="291"/>
  <c r="I131" i="291" s="1"/>
  <c r="J126" i="291" s="1"/>
  <c r="I171" i="291" l="1"/>
  <c r="J164" i="291"/>
  <c r="J166" i="291"/>
  <c r="J160" i="291"/>
  <c r="J162" i="291" s="1"/>
  <c r="K157" i="291" s="1"/>
  <c r="J168" i="291"/>
  <c r="K158" i="291"/>
  <c r="M127" i="291"/>
  <c r="M133" i="291" s="1"/>
  <c r="M138" i="291" s="1"/>
  <c r="L135" i="291"/>
  <c r="L140" i="291" s="1"/>
  <c r="L143" i="291" s="1"/>
  <c r="L145" i="291" s="1"/>
  <c r="J129" i="291"/>
  <c r="J131" i="291" s="1"/>
  <c r="K126" i="291" s="1"/>
  <c r="K166" i="291" l="1"/>
  <c r="K164" i="291"/>
  <c r="J171" i="291"/>
  <c r="K160" i="291"/>
  <c r="K162" i="291" s="1"/>
  <c r="L157" i="291" s="1"/>
  <c r="K168" i="291"/>
  <c r="L158" i="291"/>
  <c r="N127" i="291"/>
  <c r="N133" i="291" s="1"/>
  <c r="N138" i="291" s="1"/>
  <c r="M135" i="291"/>
  <c r="M140" i="291" s="1"/>
  <c r="K129" i="291"/>
  <c r="K131" i="291" s="1"/>
  <c r="L126" i="291" s="1"/>
  <c r="L164" i="291" l="1"/>
  <c r="L166" i="291"/>
  <c r="K171" i="291"/>
  <c r="M143" i="291"/>
  <c r="M145" i="291" s="1"/>
  <c r="L160" i="291"/>
  <c r="L162" i="291" s="1"/>
  <c r="M157" i="291" s="1"/>
  <c r="L168" i="291"/>
  <c r="M158" i="291"/>
  <c r="O127" i="291"/>
  <c r="O133" i="291" s="1"/>
  <c r="O138" i="291" s="1"/>
  <c r="N135" i="291"/>
  <c r="N140" i="291" s="1"/>
  <c r="N143" i="291" s="1"/>
  <c r="N145" i="291" s="1"/>
  <c r="L129" i="291"/>
  <c r="L131" i="291" s="1"/>
  <c r="M126" i="291" s="1"/>
  <c r="K173" i="291" l="1"/>
  <c r="K177" i="291" s="1"/>
  <c r="L171" i="291"/>
  <c r="L173" i="291" s="1"/>
  <c r="L177" i="291" s="1"/>
  <c r="M164" i="291"/>
  <c r="M166" i="291"/>
  <c r="M168" i="291"/>
  <c r="N158" i="291"/>
  <c r="M160" i="291"/>
  <c r="M162" i="291" s="1"/>
  <c r="N157" i="291" s="1"/>
  <c r="P127" i="291"/>
  <c r="P133" i="291" s="1"/>
  <c r="P138" i="291" s="1"/>
  <c r="O135" i="291"/>
  <c r="O140" i="291" s="1"/>
  <c r="O143" i="291" s="1"/>
  <c r="O145" i="291" s="1"/>
  <c r="K149" i="291"/>
  <c r="M129" i="291"/>
  <c r="M131" i="291" s="1"/>
  <c r="N126" i="291" s="1"/>
  <c r="M171" i="291" l="1"/>
  <c r="M173" i="291" s="1"/>
  <c r="N164" i="291"/>
  <c r="N166" i="291"/>
  <c r="N160" i="291"/>
  <c r="N162" i="291" s="1"/>
  <c r="O157" i="291" s="1"/>
  <c r="N168" i="291"/>
  <c r="O158" i="291"/>
  <c r="Q127" i="291"/>
  <c r="Q133" i="291" s="1"/>
  <c r="Q138" i="291" s="1"/>
  <c r="P135" i="291"/>
  <c r="P140" i="291" s="1"/>
  <c r="L149" i="291"/>
  <c r="N129" i="291"/>
  <c r="N131" i="291" s="1"/>
  <c r="O126" i="291" s="1"/>
  <c r="O166" i="291" l="1"/>
  <c r="O164" i="291"/>
  <c r="N171" i="291"/>
  <c r="N173" i="291" s="1"/>
  <c r="P143" i="291"/>
  <c r="P145" i="291" s="1"/>
  <c r="M177" i="291"/>
  <c r="O160" i="291"/>
  <c r="O162" i="291" s="1"/>
  <c r="P157" i="291" s="1"/>
  <c r="O168" i="291"/>
  <c r="P158" i="291"/>
  <c r="R127" i="291"/>
  <c r="R133" i="291" s="1"/>
  <c r="R138" i="291" s="1"/>
  <c r="Q135" i="291"/>
  <c r="Q140" i="291" s="1"/>
  <c r="Q143" i="291" s="1"/>
  <c r="Q145" i="291" s="1"/>
  <c r="N149" i="291"/>
  <c r="O129" i="291"/>
  <c r="O131" i="291" s="1"/>
  <c r="P126" i="291" s="1"/>
  <c r="M149" i="291"/>
  <c r="O171" i="291" l="1"/>
  <c r="O173" i="291" s="1"/>
  <c r="P164" i="291"/>
  <c r="P166" i="291"/>
  <c r="N177" i="291"/>
  <c r="P160" i="291"/>
  <c r="P162" i="291" s="1"/>
  <c r="Q157" i="291" s="1"/>
  <c r="P168" i="291"/>
  <c r="Q158" i="291"/>
  <c r="S127" i="291"/>
  <c r="S133" i="291" s="1"/>
  <c r="S138" i="291" s="1"/>
  <c r="R135" i="291"/>
  <c r="R140" i="291" s="1"/>
  <c r="R143" i="291" s="1"/>
  <c r="P129" i="291"/>
  <c r="P131" i="291" s="1"/>
  <c r="Q126" i="291" s="1"/>
  <c r="P171" i="291" l="1"/>
  <c r="P173" i="291" s="1"/>
  <c r="Q164" i="291"/>
  <c r="Q166" i="291"/>
  <c r="R145" i="291"/>
  <c r="O177" i="291"/>
  <c r="Q160" i="291"/>
  <c r="Q162" i="291" s="1"/>
  <c r="R157" i="291" s="1"/>
  <c r="Q168" i="291"/>
  <c r="R158" i="291"/>
  <c r="T127" i="291"/>
  <c r="T133" i="291" s="1"/>
  <c r="T138" i="291" s="1"/>
  <c r="S135" i="291"/>
  <c r="S140" i="291" s="1"/>
  <c r="O149" i="291"/>
  <c r="Q129" i="291"/>
  <c r="Q131" i="291" s="1"/>
  <c r="R126" i="291" s="1"/>
  <c r="R164" i="291" l="1"/>
  <c r="R166" i="291"/>
  <c r="Q171" i="291"/>
  <c r="Q173" i="291" s="1"/>
  <c r="S143" i="291"/>
  <c r="S145" i="291" s="1"/>
  <c r="P177" i="291"/>
  <c r="R160" i="291"/>
  <c r="R162" i="291" s="1"/>
  <c r="S157" i="291" s="1"/>
  <c r="R168" i="291"/>
  <c r="S158" i="291"/>
  <c r="U127" i="291"/>
  <c r="U133" i="291" s="1"/>
  <c r="U138" i="291" s="1"/>
  <c r="T135" i="291"/>
  <c r="T140" i="291" s="1"/>
  <c r="R129" i="291"/>
  <c r="R131" i="291" s="1"/>
  <c r="S126" i="291" s="1"/>
  <c r="P149" i="291"/>
  <c r="S166" i="291" l="1"/>
  <c r="S164" i="291"/>
  <c r="R171" i="291"/>
  <c r="R173" i="291" s="1"/>
  <c r="T143" i="291"/>
  <c r="T145" i="291" s="1"/>
  <c r="Q177" i="291"/>
  <c r="S160" i="291"/>
  <c r="S162" i="291" s="1"/>
  <c r="T157" i="291" s="1"/>
  <c r="S168" i="291"/>
  <c r="T158" i="291"/>
  <c r="U135" i="291"/>
  <c r="U140" i="291" s="1"/>
  <c r="S129" i="291"/>
  <c r="S131" i="291" s="1"/>
  <c r="T126" i="291" s="1"/>
  <c r="Q149" i="291"/>
  <c r="T164" i="291" l="1"/>
  <c r="T166" i="291"/>
  <c r="S171" i="291"/>
  <c r="S173" i="291" s="1"/>
  <c r="U143" i="291"/>
  <c r="U145" i="291" s="1"/>
  <c r="R177" i="291"/>
  <c r="T160" i="291"/>
  <c r="T162" i="291" s="1"/>
  <c r="U157" i="291" s="1"/>
  <c r="T168" i="291"/>
  <c r="U158" i="291"/>
  <c r="T129" i="291"/>
  <c r="T131" i="291" s="1"/>
  <c r="U126" i="291" s="1"/>
  <c r="R149" i="291"/>
  <c r="T171" i="291" l="1"/>
  <c r="T173" i="291" s="1"/>
  <c r="U168" i="291"/>
  <c r="U164" i="291"/>
  <c r="U166" i="291"/>
  <c r="S177" i="291"/>
  <c r="U160" i="291"/>
  <c r="U162" i="291" s="1"/>
  <c r="T149" i="291"/>
  <c r="S149" i="291"/>
  <c r="U129" i="291"/>
  <c r="U131" i="291" s="1"/>
  <c r="U171" i="291" l="1"/>
  <c r="T177" i="291"/>
  <c r="U149" i="291"/>
  <c r="U173" i="291" l="1"/>
  <c r="U177" i="291" s="1"/>
  <c r="H133" i="256" l="1"/>
  <c r="J40" i="291" l="1"/>
  <c r="K40" i="291" s="1"/>
  <c r="L40" i="291" s="1"/>
  <c r="M40" i="291" s="1"/>
  <c r="N40" i="291" s="1"/>
  <c r="O40" i="291" s="1"/>
  <c r="P40" i="291" s="1"/>
  <c r="Q40" i="291" s="1"/>
  <c r="R40" i="291" s="1"/>
  <c r="S40" i="291" s="1"/>
  <c r="T40" i="291" s="1"/>
  <c r="U40" i="291" s="1"/>
  <c r="V52" i="4" l="1"/>
  <c r="Q35" i="288"/>
  <c r="R35" i="288"/>
  <c r="S35" i="288"/>
  <c r="T35" i="288"/>
  <c r="U35" i="288"/>
  <c r="V35" i="288"/>
  <c r="W35" i="288"/>
  <c r="X35" i="288"/>
  <c r="Y35" i="288"/>
  <c r="Z35" i="288"/>
  <c r="AA35" i="288"/>
  <c r="K35" i="6" l="1"/>
  <c r="L35" i="6"/>
  <c r="M35" i="6"/>
  <c r="P34" i="6"/>
  <c r="Q34" i="6" s="1"/>
  <c r="R34" i="6" s="1"/>
  <c r="S34" i="6" s="1"/>
  <c r="T34" i="6" s="1"/>
  <c r="U34" i="6" s="1"/>
  <c r="V34" i="6" s="1"/>
  <c r="W34" i="6" s="1"/>
  <c r="X34" i="6" s="1"/>
  <c r="Y34" i="6" s="1"/>
  <c r="Z34" i="6" s="1"/>
  <c r="AA34" i="6" s="1"/>
  <c r="AB34" i="6" s="1"/>
  <c r="I8" i="293" l="1"/>
  <c r="F92" i="281"/>
  <c r="G92" i="281" s="1"/>
  <c r="H92" i="281" s="1"/>
  <c r="S91" i="281"/>
  <c r="R91" i="281"/>
  <c r="Q91" i="281"/>
  <c r="P91" i="281"/>
  <c r="O91" i="281"/>
  <c r="N91" i="281"/>
  <c r="M91" i="281"/>
  <c r="L91" i="281"/>
  <c r="K91" i="281"/>
  <c r="J91" i="281"/>
  <c r="I91" i="281"/>
  <c r="H91" i="281"/>
  <c r="G91" i="281"/>
  <c r="F91" i="281"/>
  <c r="E91" i="281"/>
  <c r="D91" i="281"/>
  <c r="C91" i="281"/>
  <c r="C83" i="281"/>
  <c r="M8" i="300"/>
  <c r="N8" i="300"/>
  <c r="O8" i="300"/>
  <c r="P8" i="300"/>
  <c r="L8" i="300"/>
  <c r="I8" i="300"/>
  <c r="J8" i="300"/>
  <c r="K8" i="300"/>
  <c r="H8" i="300"/>
  <c r="G5" i="300"/>
  <c r="L5" i="300"/>
  <c r="Q5" i="300"/>
  <c r="Q8" i="300" s="1"/>
  <c r="P6" i="300"/>
  <c r="O6" i="300"/>
  <c r="N6" i="300"/>
  <c r="Q6" i="300" l="1"/>
  <c r="E75" i="281" s="1"/>
  <c r="E76" i="281" s="1"/>
  <c r="V15" i="4"/>
  <c r="S6" i="300" l="1"/>
  <c r="E79" i="281"/>
  <c r="J93" i="281"/>
  <c r="J92" i="281"/>
  <c r="T5" i="300" l="1"/>
  <c r="T6" i="300" s="1"/>
  <c r="G75" i="281"/>
  <c r="K93" i="281"/>
  <c r="K92" i="281"/>
  <c r="U5" i="300" l="1"/>
  <c r="H75" i="281"/>
  <c r="AG15" i="4"/>
  <c r="G77" i="281"/>
  <c r="G78" i="281"/>
  <c r="G76" i="281"/>
  <c r="L93" i="281"/>
  <c r="L92" i="281"/>
  <c r="G79" i="281" l="1"/>
  <c r="U6" i="300"/>
  <c r="V5" i="300"/>
  <c r="H76" i="281"/>
  <c r="H78" i="281"/>
  <c r="H77" i="281"/>
  <c r="AH15" i="4"/>
  <c r="I75" i="281"/>
  <c r="M93" i="281"/>
  <c r="M92" i="281"/>
  <c r="W5" i="300" l="1"/>
  <c r="J75" i="281"/>
  <c r="V6" i="300"/>
  <c r="AI15" i="4"/>
  <c r="H79" i="281"/>
  <c r="I78" i="281"/>
  <c r="I76" i="281"/>
  <c r="I77" i="281"/>
  <c r="N93" i="281"/>
  <c r="Q97" i="266"/>
  <c r="R97" i="266" s="1"/>
  <c r="S97" i="266" s="1"/>
  <c r="T97" i="266" s="1"/>
  <c r="U97" i="266" s="1"/>
  <c r="V97" i="266" s="1"/>
  <c r="W97" i="266" s="1"/>
  <c r="X97" i="266" s="1"/>
  <c r="Y97" i="266" s="1"/>
  <c r="J77" i="281" l="1"/>
  <c r="J78" i="281"/>
  <c r="J76" i="281"/>
  <c r="W6" i="300"/>
  <c r="AJ15" i="4"/>
  <c r="X5" i="300"/>
  <c r="K75" i="281"/>
  <c r="I79" i="281"/>
  <c r="O94" i="281"/>
  <c r="O93" i="281"/>
  <c r="O92" i="281"/>
  <c r="X9" i="293"/>
  <c r="X11" i="293"/>
  <c r="X7" i="293"/>
  <c r="X6" i="293"/>
  <c r="J79" i="281" l="1"/>
  <c r="K78" i="281"/>
  <c r="K76" i="281"/>
  <c r="K77" i="281"/>
  <c r="X6" i="300"/>
  <c r="L75" i="281"/>
  <c r="Y5" i="300"/>
  <c r="AK15" i="4"/>
  <c r="P94" i="281"/>
  <c r="P93" i="281"/>
  <c r="P92" i="281"/>
  <c r="K79" i="281" l="1"/>
  <c r="L77" i="281"/>
  <c r="L78" i="281"/>
  <c r="L76" i="281"/>
  <c r="Y6" i="300"/>
  <c r="Z5" i="300"/>
  <c r="AL15" i="4"/>
  <c r="M75" i="281"/>
  <c r="Q94" i="281"/>
  <c r="Q93" i="281"/>
  <c r="Q92" i="281"/>
  <c r="L79" i="281" l="1"/>
  <c r="Z6" i="300"/>
  <c r="AA5" i="300"/>
  <c r="AM15" i="4"/>
  <c r="N75" i="281"/>
  <c r="M76" i="281"/>
  <c r="M78" i="281"/>
  <c r="M77" i="281"/>
  <c r="R94" i="281"/>
  <c r="R93" i="281"/>
  <c r="R92" i="281"/>
  <c r="V45" i="4"/>
  <c r="V29" i="4"/>
  <c r="U25" i="4"/>
  <c r="T25" i="4"/>
  <c r="S25" i="4"/>
  <c r="R25" i="4"/>
  <c r="U19" i="4"/>
  <c r="T19" i="4"/>
  <c r="S19" i="4"/>
  <c r="R19" i="4"/>
  <c r="V67" i="4" l="1"/>
  <c r="M79" i="281"/>
  <c r="N78" i="281"/>
  <c r="N76" i="281"/>
  <c r="N77" i="281"/>
  <c r="AA6" i="300"/>
  <c r="O75" i="281"/>
  <c r="AN15" i="4"/>
  <c r="AB5" i="300"/>
  <c r="S94" i="281"/>
  <c r="S93" i="281"/>
  <c r="S92" i="281"/>
  <c r="V7" i="4"/>
  <c r="V49" i="4"/>
  <c r="V50" i="4"/>
  <c r="V6" i="4"/>
  <c r="N79" i="281" l="1"/>
  <c r="AB6" i="300"/>
  <c r="P75" i="281"/>
  <c r="AC5" i="300"/>
  <c r="AO15" i="4"/>
  <c r="O78" i="281"/>
  <c r="O76" i="281"/>
  <c r="O77" i="281"/>
  <c r="G12" i="293"/>
  <c r="E12" i="293"/>
  <c r="S183" i="281"/>
  <c r="R183" i="281"/>
  <c r="Q183" i="281"/>
  <c r="P183" i="281"/>
  <c r="O183" i="281"/>
  <c r="N183" i="281"/>
  <c r="M183" i="281"/>
  <c r="L183" i="281"/>
  <c r="K183" i="281"/>
  <c r="J183" i="281"/>
  <c r="I183" i="281"/>
  <c r="H183" i="281"/>
  <c r="G183" i="281"/>
  <c r="F183" i="281"/>
  <c r="E183" i="281"/>
  <c r="D183" i="281"/>
  <c r="C183" i="281"/>
  <c r="S167" i="281"/>
  <c r="R167" i="281"/>
  <c r="Q167" i="281"/>
  <c r="P167" i="281"/>
  <c r="O167" i="281"/>
  <c r="N167" i="281"/>
  <c r="M167" i="281"/>
  <c r="L167" i="281"/>
  <c r="K167" i="281"/>
  <c r="J167" i="281"/>
  <c r="I167" i="281"/>
  <c r="O79" i="281" l="1"/>
  <c r="P76" i="281"/>
  <c r="P77" i="281"/>
  <c r="P78" i="281"/>
  <c r="AC6" i="300"/>
  <c r="AP15" i="4"/>
  <c r="Q75" i="281"/>
  <c r="AD5" i="300"/>
  <c r="P79" i="281" l="1"/>
  <c r="AD6" i="300"/>
  <c r="AE5" i="300"/>
  <c r="AQ15" i="4"/>
  <c r="R75" i="281"/>
  <c r="Q78" i="281"/>
  <c r="Q76" i="281"/>
  <c r="Q77" i="281"/>
  <c r="Q79" i="281" l="1"/>
  <c r="R77" i="281"/>
  <c r="R78" i="281"/>
  <c r="R76" i="281"/>
  <c r="AE6" i="300"/>
  <c r="AR15" i="4"/>
  <c r="S75" i="281"/>
  <c r="R79" i="281" l="1"/>
  <c r="S78" i="281"/>
  <c r="S76" i="281"/>
  <c r="S77" i="281"/>
  <c r="S79" i="281" l="1"/>
  <c r="H8" i="286" l="1"/>
  <c r="I8" i="286" s="1"/>
  <c r="J8" i="286" s="1"/>
  <c r="K8" i="286" s="1"/>
  <c r="L8" i="286" s="1"/>
  <c r="M8" i="286" s="1"/>
  <c r="AJ242" i="4"/>
  <c r="AK242" i="4"/>
  <c r="AL242" i="4"/>
  <c r="AM242" i="4"/>
  <c r="AN242" i="4"/>
  <c r="AO242" i="4"/>
  <c r="AP242" i="4"/>
  <c r="AQ242" i="4"/>
  <c r="AR242" i="4"/>
  <c r="AJ249" i="4"/>
  <c r="AK249" i="4"/>
  <c r="AL249" i="4"/>
  <c r="AM249" i="4"/>
  <c r="AN249" i="4"/>
  <c r="AO249" i="4"/>
  <c r="AP249" i="4"/>
  <c r="AQ249" i="4"/>
  <c r="AR249" i="4"/>
  <c r="AJ160" i="4"/>
  <c r="AK160" i="4"/>
  <c r="AL160" i="4"/>
  <c r="AM160" i="4"/>
  <c r="AN160" i="4"/>
  <c r="AO160" i="4"/>
  <c r="AP160" i="4"/>
  <c r="AQ160" i="4"/>
  <c r="AR160" i="4"/>
  <c r="AJ127" i="4"/>
  <c r="AJ227" i="4" s="1"/>
  <c r="T36" i="5" s="1"/>
  <c r="AK127" i="4"/>
  <c r="AK227" i="4" s="1"/>
  <c r="U36" i="5" s="1"/>
  <c r="AL127" i="4"/>
  <c r="AL227" i="4" s="1"/>
  <c r="V36" i="5" s="1"/>
  <c r="AM127" i="4"/>
  <c r="AM227" i="4" s="1"/>
  <c r="W36" i="5" s="1"/>
  <c r="AN127" i="4"/>
  <c r="AN227" i="4" s="1"/>
  <c r="X36" i="5" s="1"/>
  <c r="AO127" i="4"/>
  <c r="AO227" i="4" s="1"/>
  <c r="Y36" i="5" s="1"/>
  <c r="AP127" i="4"/>
  <c r="AP227" i="4" s="1"/>
  <c r="Z36" i="5" s="1"/>
  <c r="AQ127" i="4"/>
  <c r="AQ227" i="4" s="1"/>
  <c r="AA36" i="5" s="1"/>
  <c r="AR127" i="4"/>
  <c r="AR227" i="4" s="1"/>
  <c r="AB36" i="5" s="1"/>
  <c r="AJ123" i="4"/>
  <c r="AK123" i="4"/>
  <c r="AL123" i="4"/>
  <c r="AM123" i="4"/>
  <c r="AN123" i="4"/>
  <c r="AO123" i="4"/>
  <c r="AP123" i="4"/>
  <c r="AQ123" i="4"/>
  <c r="AR123" i="4"/>
  <c r="AC261" i="282"/>
  <c r="AC370" i="282" s="1"/>
  <c r="AB261" i="282"/>
  <c r="AA261" i="282"/>
  <c r="AA370" i="282" s="1"/>
  <c r="Z261" i="282"/>
  <c r="Y261" i="282"/>
  <c r="Y370" i="282" s="1"/>
  <c r="X261" i="282"/>
  <c r="X370" i="282" s="1"/>
  <c r="W261" i="282"/>
  <c r="V261" i="282"/>
  <c r="U261" i="282"/>
  <c r="U370" i="282" s="1"/>
  <c r="T261" i="282"/>
  <c r="T370" i="282" s="1"/>
  <c r="S261" i="282"/>
  <c r="S370" i="282" s="1"/>
  <c r="R261" i="282"/>
  <c r="Q261" i="282"/>
  <c r="Q370" i="282" s="1"/>
  <c r="P261" i="282"/>
  <c r="P370" i="282" s="1"/>
  <c r="O261" i="282"/>
  <c r="O370" i="282" s="1"/>
  <c r="N261" i="282"/>
  <c r="M261" i="282"/>
  <c r="L261" i="282"/>
  <c r="AC260" i="282"/>
  <c r="AB260" i="282"/>
  <c r="AA260" i="282"/>
  <c r="Z260" i="282"/>
  <c r="Y260" i="282"/>
  <c r="X260" i="282"/>
  <c r="W260" i="282"/>
  <c r="V260" i="282"/>
  <c r="U260" i="282"/>
  <c r="T260" i="282"/>
  <c r="S260" i="282"/>
  <c r="R260" i="282"/>
  <c r="Q260" i="282"/>
  <c r="P260" i="282"/>
  <c r="O260" i="282"/>
  <c r="N260" i="282"/>
  <c r="M260" i="282"/>
  <c r="L260" i="282"/>
  <c r="AC259" i="282"/>
  <c r="AB259" i="282"/>
  <c r="AA259" i="282"/>
  <c r="Z259" i="282"/>
  <c r="Y259" i="282"/>
  <c r="X259" i="282"/>
  <c r="W259" i="282"/>
  <c r="V259" i="282"/>
  <c r="U259" i="282"/>
  <c r="T259" i="282"/>
  <c r="S259" i="282"/>
  <c r="R259" i="282"/>
  <c r="Q259" i="282"/>
  <c r="P259" i="282"/>
  <c r="O259" i="282"/>
  <c r="N259" i="282"/>
  <c r="M259" i="282"/>
  <c r="L259" i="282"/>
  <c r="AC258" i="282"/>
  <c r="AB258" i="282"/>
  <c r="AA258" i="282"/>
  <c r="Z258" i="282"/>
  <c r="Y258" i="282"/>
  <c r="X258" i="282"/>
  <c r="W258" i="282"/>
  <c r="V258" i="282"/>
  <c r="U258" i="282"/>
  <c r="T258" i="282"/>
  <c r="S258" i="282"/>
  <c r="Q258" i="282"/>
  <c r="P258" i="282"/>
  <c r="O258" i="282"/>
  <c r="N258" i="282"/>
  <c r="M258" i="282"/>
  <c r="L258" i="282"/>
  <c r="AC257" i="282"/>
  <c r="AB257" i="282"/>
  <c r="AA257" i="282"/>
  <c r="Z257" i="282"/>
  <c r="Y257" i="282"/>
  <c r="X257" i="282"/>
  <c r="W257" i="282"/>
  <c r="V257" i="282"/>
  <c r="U257" i="282"/>
  <c r="T257" i="282"/>
  <c r="S257" i="282"/>
  <c r="R257" i="282"/>
  <c r="Q257" i="282"/>
  <c r="P257" i="282"/>
  <c r="O257" i="282"/>
  <c r="N257" i="282"/>
  <c r="M257" i="282"/>
  <c r="L257" i="282"/>
  <c r="AC256" i="282"/>
  <c r="AB256" i="282"/>
  <c r="AA256" i="282"/>
  <c r="Z256" i="282"/>
  <c r="Y256" i="282"/>
  <c r="X256" i="282"/>
  <c r="W256" i="282"/>
  <c r="V256" i="282"/>
  <c r="U256" i="282"/>
  <c r="T256" i="282"/>
  <c r="S256" i="282"/>
  <c r="Q256" i="282"/>
  <c r="P256" i="282"/>
  <c r="O256" i="282"/>
  <c r="N256" i="282"/>
  <c r="M256" i="282"/>
  <c r="L256" i="282"/>
  <c r="AC173" i="282"/>
  <c r="AB173" i="282"/>
  <c r="AA173" i="282"/>
  <c r="Z173" i="282"/>
  <c r="Y173" i="282"/>
  <c r="X173" i="282"/>
  <c r="W173" i="282"/>
  <c r="V173" i="282"/>
  <c r="U173" i="282"/>
  <c r="T173" i="282"/>
  <c r="S173" i="282"/>
  <c r="R173" i="282"/>
  <c r="Q173" i="282"/>
  <c r="P173" i="282"/>
  <c r="O173" i="282"/>
  <c r="N173" i="282"/>
  <c r="M173" i="282"/>
  <c r="L173" i="282"/>
  <c r="AC172" i="282"/>
  <c r="AB172" i="282"/>
  <c r="AA172" i="282"/>
  <c r="Z172" i="282"/>
  <c r="Y172" i="282"/>
  <c r="X172" i="282"/>
  <c r="W172" i="282"/>
  <c r="V172" i="282"/>
  <c r="U172" i="282"/>
  <c r="T172" i="282"/>
  <c r="S172" i="282"/>
  <c r="R172" i="282"/>
  <c r="Q172" i="282"/>
  <c r="P172" i="282"/>
  <c r="O172" i="282"/>
  <c r="N172" i="282"/>
  <c r="M172" i="282"/>
  <c r="L172" i="282"/>
  <c r="AC171" i="282"/>
  <c r="AB171" i="282"/>
  <c r="AA171" i="282"/>
  <c r="Z171" i="282"/>
  <c r="Y171" i="282"/>
  <c r="X171" i="282"/>
  <c r="W171" i="282"/>
  <c r="V171" i="282"/>
  <c r="U171" i="282"/>
  <c r="T171" i="282"/>
  <c r="S171" i="282"/>
  <c r="R171" i="282"/>
  <c r="Q171" i="282"/>
  <c r="P171" i="282"/>
  <c r="O171" i="282"/>
  <c r="N171" i="282"/>
  <c r="M171" i="282"/>
  <c r="L171" i="282"/>
  <c r="AC170" i="282"/>
  <c r="AB170" i="282"/>
  <c r="AA170" i="282"/>
  <c r="Z170" i="282"/>
  <c r="Y170" i="282"/>
  <c r="X170" i="282"/>
  <c r="W170" i="282"/>
  <c r="V170" i="282"/>
  <c r="U170" i="282"/>
  <c r="T170" i="282"/>
  <c r="S170" i="282"/>
  <c r="R170" i="282"/>
  <c r="Q170" i="282"/>
  <c r="P170" i="282"/>
  <c r="O170" i="282"/>
  <c r="N170" i="282"/>
  <c r="M170" i="282"/>
  <c r="L170" i="282"/>
  <c r="AC169" i="282"/>
  <c r="AB169" i="282"/>
  <c r="AA169" i="282"/>
  <c r="Z169" i="282"/>
  <c r="Y169" i="282"/>
  <c r="X169" i="282"/>
  <c r="W169" i="282"/>
  <c r="V169" i="282"/>
  <c r="U169" i="282"/>
  <c r="T169" i="282"/>
  <c r="S169" i="282"/>
  <c r="R169" i="282"/>
  <c r="Q169" i="282"/>
  <c r="P169" i="282"/>
  <c r="O169" i="282"/>
  <c r="N169" i="282"/>
  <c r="M169" i="282"/>
  <c r="L169" i="282"/>
  <c r="AC168" i="282"/>
  <c r="AB168" i="282"/>
  <c r="AA168" i="282"/>
  <c r="Z168" i="282"/>
  <c r="Y168" i="282"/>
  <c r="X168" i="282"/>
  <c r="W168" i="282"/>
  <c r="V168" i="282"/>
  <c r="U168" i="282"/>
  <c r="T168" i="282"/>
  <c r="S168" i="282"/>
  <c r="R168" i="282"/>
  <c r="Q168" i="282"/>
  <c r="P168" i="282"/>
  <c r="O168" i="282"/>
  <c r="N168" i="282"/>
  <c r="M168" i="282"/>
  <c r="L168" i="282"/>
  <c r="AC146" i="282"/>
  <c r="AB146" i="282"/>
  <c r="AA146" i="282"/>
  <c r="Z146" i="282"/>
  <c r="Y146" i="282"/>
  <c r="X146" i="282"/>
  <c r="W146" i="282"/>
  <c r="V146" i="282"/>
  <c r="U146" i="282"/>
  <c r="T146" i="282"/>
  <c r="S146" i="282"/>
  <c r="R146" i="282"/>
  <c r="Q146" i="282"/>
  <c r="P146" i="282"/>
  <c r="O146" i="282"/>
  <c r="N146" i="282"/>
  <c r="M146" i="282"/>
  <c r="L146" i="282"/>
  <c r="AC145" i="282"/>
  <c r="AB145" i="282"/>
  <c r="AA145" i="282"/>
  <c r="Z145" i="282"/>
  <c r="Y145" i="282"/>
  <c r="X145" i="282"/>
  <c r="W145" i="282"/>
  <c r="V145" i="282"/>
  <c r="U145" i="282"/>
  <c r="T145" i="282"/>
  <c r="S145" i="282"/>
  <c r="R145" i="282"/>
  <c r="Q145" i="282"/>
  <c r="P145" i="282"/>
  <c r="O145" i="282"/>
  <c r="N145" i="282"/>
  <c r="M145" i="282"/>
  <c r="L145" i="282"/>
  <c r="AC144" i="282"/>
  <c r="AB144" i="282"/>
  <c r="AA144" i="282"/>
  <c r="Z144" i="282"/>
  <c r="Y144" i="282"/>
  <c r="X144" i="282"/>
  <c r="W144" i="282"/>
  <c r="V144" i="282"/>
  <c r="U144" i="282"/>
  <c r="T144" i="282"/>
  <c r="S144" i="282"/>
  <c r="R144" i="282"/>
  <c r="Q144" i="282"/>
  <c r="P144" i="282"/>
  <c r="O144" i="282"/>
  <c r="N144" i="282"/>
  <c r="M144" i="282"/>
  <c r="L144" i="282"/>
  <c r="AC143" i="282"/>
  <c r="AB143" i="282"/>
  <c r="AA143" i="282"/>
  <c r="Z143" i="282"/>
  <c r="Y143" i="282"/>
  <c r="X143" i="282"/>
  <c r="W143" i="282"/>
  <c r="V143" i="282"/>
  <c r="U143" i="282"/>
  <c r="T143" i="282"/>
  <c r="S143" i="282"/>
  <c r="R143" i="282"/>
  <c r="Q143" i="282"/>
  <c r="P143" i="282"/>
  <c r="O143" i="282"/>
  <c r="N143" i="282"/>
  <c r="M143" i="282"/>
  <c r="L143" i="282"/>
  <c r="AC142" i="282"/>
  <c r="AB142" i="282"/>
  <c r="AA142" i="282"/>
  <c r="Z142" i="282"/>
  <c r="Y142" i="282"/>
  <c r="X142" i="282"/>
  <c r="W142" i="282"/>
  <c r="V142" i="282"/>
  <c r="U142" i="282"/>
  <c r="T142" i="282"/>
  <c r="S142" i="282"/>
  <c r="R142" i="282"/>
  <c r="Q142" i="282"/>
  <c r="P142" i="282"/>
  <c r="O142" i="282"/>
  <c r="N142" i="282"/>
  <c r="M142" i="282"/>
  <c r="L142" i="282"/>
  <c r="AC141" i="282"/>
  <c r="AB141" i="282"/>
  <c r="AA141" i="282"/>
  <c r="Z141" i="282"/>
  <c r="Y141" i="282"/>
  <c r="X141" i="282"/>
  <c r="W141" i="282"/>
  <c r="V141" i="282"/>
  <c r="U141" i="282"/>
  <c r="T141" i="282"/>
  <c r="S141" i="282"/>
  <c r="R141" i="282"/>
  <c r="Q141" i="282"/>
  <c r="P141" i="282"/>
  <c r="O141" i="282"/>
  <c r="N141" i="282"/>
  <c r="M141" i="282"/>
  <c r="L141" i="282"/>
  <c r="AC178" i="282"/>
  <c r="AB178" i="282"/>
  <c r="AA178" i="282"/>
  <c r="Z178" i="282"/>
  <c r="Y178" i="282"/>
  <c r="X178" i="282"/>
  <c r="W178" i="282"/>
  <c r="V178" i="282"/>
  <c r="U178" i="282"/>
  <c r="T178" i="282"/>
  <c r="S178" i="282"/>
  <c r="R178" i="282"/>
  <c r="Q178" i="282"/>
  <c r="P178" i="282"/>
  <c r="O178" i="282"/>
  <c r="N178" i="282"/>
  <c r="M178" i="282"/>
  <c r="L178" i="282"/>
  <c r="K178" i="282"/>
  <c r="AC151" i="282"/>
  <c r="AB151" i="282"/>
  <c r="AA151" i="282"/>
  <c r="Z151" i="282"/>
  <c r="Y151" i="282"/>
  <c r="X151" i="282"/>
  <c r="W151" i="282"/>
  <c r="V151" i="282"/>
  <c r="U151" i="282"/>
  <c r="T151" i="282"/>
  <c r="S151" i="282"/>
  <c r="R151" i="282"/>
  <c r="Q151" i="282"/>
  <c r="P151" i="282"/>
  <c r="O151" i="282"/>
  <c r="N151" i="282"/>
  <c r="M151" i="282"/>
  <c r="L151" i="282"/>
  <c r="K151" i="282"/>
  <c r="L123" i="282"/>
  <c r="AC48" i="282"/>
  <c r="AB48" i="282"/>
  <c r="AA48" i="282"/>
  <c r="Z48" i="282"/>
  <c r="Y48" i="282"/>
  <c r="X48" i="282"/>
  <c r="W48" i="282"/>
  <c r="V48" i="282"/>
  <c r="U48" i="282"/>
  <c r="T48" i="282"/>
  <c r="S48" i="282"/>
  <c r="R48" i="282"/>
  <c r="Q48" i="282"/>
  <c r="O48" i="282"/>
  <c r="N48" i="282"/>
  <c r="M48" i="282"/>
  <c r="L48" i="282"/>
  <c r="E23" i="282"/>
  <c r="F23" i="282" s="1"/>
  <c r="G23" i="282" s="1"/>
  <c r="H23" i="282" s="1"/>
  <c r="I23" i="282" s="1"/>
  <c r="J23" i="282" s="1"/>
  <c r="K23" i="282" s="1"/>
  <c r="L23" i="282" s="1"/>
  <c r="M23" i="282" s="1"/>
  <c r="N23" i="282" s="1"/>
  <c r="O23" i="282" s="1"/>
  <c r="P23" i="282" s="1"/>
  <c r="Q23" i="282" s="1"/>
  <c r="R23" i="282" s="1"/>
  <c r="S23" i="282" s="1"/>
  <c r="T23" i="282" s="1"/>
  <c r="U23" i="282" s="1"/>
  <c r="V23" i="282" s="1"/>
  <c r="W23" i="282" s="1"/>
  <c r="X23" i="282" s="1"/>
  <c r="Y23" i="282" s="1"/>
  <c r="Z23" i="282" s="1"/>
  <c r="AA23" i="282" s="1"/>
  <c r="AB23" i="282" s="1"/>
  <c r="AC23" i="282" s="1"/>
  <c r="E29" i="282"/>
  <c r="F29" i="282" s="1"/>
  <c r="G29" i="282" s="1"/>
  <c r="H29" i="282" s="1"/>
  <c r="I29" i="282" s="1"/>
  <c r="J29" i="282" s="1"/>
  <c r="K29" i="282" s="1"/>
  <c r="L29" i="282" s="1"/>
  <c r="M29" i="282" s="1"/>
  <c r="N29" i="282" s="1"/>
  <c r="O29" i="282" s="1"/>
  <c r="P29" i="282" s="1"/>
  <c r="Q29" i="282" s="1"/>
  <c r="R29" i="282" s="1"/>
  <c r="S29" i="282" s="1"/>
  <c r="T29" i="282" s="1"/>
  <c r="U29" i="282" s="1"/>
  <c r="V29" i="282" s="1"/>
  <c r="W29" i="282" s="1"/>
  <c r="X29" i="282" s="1"/>
  <c r="Y29" i="282" s="1"/>
  <c r="Z29" i="282" s="1"/>
  <c r="AA29" i="282" s="1"/>
  <c r="AB29" i="282" s="1"/>
  <c r="M31" i="6"/>
  <c r="T43" i="6"/>
  <c r="U43" i="6"/>
  <c r="V43" i="6"/>
  <c r="W43" i="6"/>
  <c r="X43" i="6"/>
  <c r="Y43" i="6"/>
  <c r="Z43" i="6"/>
  <c r="AA43" i="6"/>
  <c r="AB43" i="6"/>
  <c r="T33" i="6"/>
  <c r="U33" i="6"/>
  <c r="V33" i="6"/>
  <c r="W33" i="6"/>
  <c r="X33" i="6"/>
  <c r="Y33" i="6"/>
  <c r="Z33" i="6"/>
  <c r="AA33" i="6"/>
  <c r="AB33" i="6"/>
  <c r="T26" i="6"/>
  <c r="U26" i="6"/>
  <c r="T17" i="6"/>
  <c r="U17" i="6"/>
  <c r="V17" i="6"/>
  <c r="W17" i="6"/>
  <c r="X17" i="6"/>
  <c r="Y17" i="6"/>
  <c r="Z17" i="6"/>
  <c r="AA17" i="6"/>
  <c r="AB17" i="6"/>
  <c r="T7" i="6"/>
  <c r="H37" i="291"/>
  <c r="AJ120" i="4"/>
  <c r="AK120" i="4"/>
  <c r="AL120" i="4"/>
  <c r="AM120" i="4"/>
  <c r="AN120" i="4"/>
  <c r="AO120" i="4"/>
  <c r="AP120" i="4"/>
  <c r="AQ120" i="4"/>
  <c r="AR120" i="4"/>
  <c r="L23" i="4"/>
  <c r="Q23" i="4"/>
  <c r="V23" i="4"/>
  <c r="N56" i="5" s="1"/>
  <c r="AA23" i="4"/>
  <c r="O56" i="5" s="1"/>
  <c r="L24" i="4"/>
  <c r="Q24" i="4"/>
  <c r="Q25" i="4" s="1"/>
  <c r="V24" i="4"/>
  <c r="AA24" i="4"/>
  <c r="I21" i="293"/>
  <c r="I20" i="293"/>
  <c r="I11" i="293"/>
  <c r="I9" i="293"/>
  <c r="I7" i="293"/>
  <c r="I6" i="293"/>
  <c r="I5" i="293"/>
  <c r="I25" i="293"/>
  <c r="E22" i="293"/>
  <c r="F21" i="293"/>
  <c r="F20" i="293"/>
  <c r="F19" i="293"/>
  <c r="F16" i="293"/>
  <c r="F14" i="293"/>
  <c r="F13" i="293"/>
  <c r="F11" i="293"/>
  <c r="F9" i="293"/>
  <c r="F7" i="293"/>
  <c r="F6" i="293"/>
  <c r="F5" i="293"/>
  <c r="M18" i="6"/>
  <c r="M26" i="6"/>
  <c r="M22" i="6"/>
  <c r="M21" i="6"/>
  <c r="M12" i="6"/>
  <c r="O369" i="281"/>
  <c r="P369" i="281" s="1"/>
  <c r="J374" i="281"/>
  <c r="I374" i="281"/>
  <c r="H374" i="281"/>
  <c r="G374" i="281"/>
  <c r="F374" i="281"/>
  <c r="E374" i="281"/>
  <c r="D374" i="281"/>
  <c r="C374" i="281"/>
  <c r="E62" i="292"/>
  <c r="F60" i="292"/>
  <c r="G60" i="292"/>
  <c r="H57" i="292"/>
  <c r="L53" i="292"/>
  <c r="J57" i="292"/>
  <c r="F57" i="292"/>
  <c r="E57" i="292"/>
  <c r="K46" i="292"/>
  <c r="J46" i="292"/>
  <c r="I46" i="292"/>
  <c r="H46" i="292"/>
  <c r="G46" i="292"/>
  <c r="F46" i="292"/>
  <c r="E46" i="292"/>
  <c r="D46" i="292"/>
  <c r="D73" i="292" s="1"/>
  <c r="L38" i="292"/>
  <c r="L42" i="292" s="1"/>
  <c r="L46" i="292" s="1"/>
  <c r="K57" i="292"/>
  <c r="I57" i="292"/>
  <c r="G57" i="292"/>
  <c r="D57" i="292"/>
  <c r="B38" i="292"/>
  <c r="G30" i="292"/>
  <c r="L22" i="292"/>
  <c r="L21" i="292"/>
  <c r="L31" i="292" s="1"/>
  <c r="M20" i="292"/>
  <c r="M30" i="292" s="1"/>
  <c r="L20" i="292"/>
  <c r="L30" i="292" s="1"/>
  <c r="M12" i="292"/>
  <c r="T10" i="292"/>
  <c r="S10" i="292"/>
  <c r="R10" i="292"/>
  <c r="Q10" i="292"/>
  <c r="P10" i="292"/>
  <c r="O10" i="292"/>
  <c r="N10" i="292"/>
  <c r="M10" i="292"/>
  <c r="L10" i="292"/>
  <c r="K10" i="292"/>
  <c r="K32" i="292"/>
  <c r="J10" i="292"/>
  <c r="J32" i="292"/>
  <c r="I10" i="292"/>
  <c r="I32" i="292" s="1"/>
  <c r="I33" i="292" s="1"/>
  <c r="I73" i="292" s="1"/>
  <c r="H10" i="292"/>
  <c r="H32" i="292" s="1"/>
  <c r="G10" i="292"/>
  <c r="G32" i="292" s="1"/>
  <c r="F10" i="292"/>
  <c r="F32" i="292"/>
  <c r="E10" i="292"/>
  <c r="E32" i="292" s="1"/>
  <c r="D10" i="292"/>
  <c r="D32" i="292"/>
  <c r="C10" i="292"/>
  <c r="T9" i="292"/>
  <c r="S9" i="292"/>
  <c r="R9" i="292"/>
  <c r="Q9" i="292"/>
  <c r="P9" i="292"/>
  <c r="O9" i="292"/>
  <c r="N9" i="292"/>
  <c r="M9" i="292"/>
  <c r="L9" i="292"/>
  <c r="K9" i="292"/>
  <c r="K31" i="292" s="1"/>
  <c r="J9" i="292"/>
  <c r="J31" i="292" s="1"/>
  <c r="I9" i="292"/>
  <c r="I31" i="292"/>
  <c r="H9" i="292"/>
  <c r="H31" i="292"/>
  <c r="G9" i="292"/>
  <c r="G31" i="292" s="1"/>
  <c r="G33" i="292" s="1"/>
  <c r="G73" i="292" s="1"/>
  <c r="F9" i="292"/>
  <c r="F31" i="292" s="1"/>
  <c r="F33" i="292" s="1"/>
  <c r="F73" i="292" s="1"/>
  <c r="E9" i="292"/>
  <c r="E31" i="292"/>
  <c r="D9" i="292"/>
  <c r="D31" i="292"/>
  <c r="D33" i="292" s="1"/>
  <c r="C9" i="292"/>
  <c r="T8" i="292"/>
  <c r="S8" i="292"/>
  <c r="R8" i="292"/>
  <c r="Q8" i="292"/>
  <c r="P8" i="292"/>
  <c r="O8" i="292"/>
  <c r="N8" i="292"/>
  <c r="M8" i="292"/>
  <c r="L8" i="292"/>
  <c r="K8" i="292"/>
  <c r="K30" i="292" s="1"/>
  <c r="J8" i="292"/>
  <c r="J30" i="292" s="1"/>
  <c r="I8" i="292"/>
  <c r="I30" i="292" s="1"/>
  <c r="H8" i="292"/>
  <c r="H30" i="292" s="1"/>
  <c r="G8" i="292"/>
  <c r="F8" i="292"/>
  <c r="F30" i="292"/>
  <c r="E8" i="292"/>
  <c r="D8" i="292"/>
  <c r="C8" i="292"/>
  <c r="L32" i="292"/>
  <c r="L33" i="292"/>
  <c r="H60" i="292"/>
  <c r="G70" i="292"/>
  <c r="G62" i="292"/>
  <c r="F62" i="292"/>
  <c r="F70" i="292"/>
  <c r="H70" i="292"/>
  <c r="H62" i="292"/>
  <c r="I60" i="292"/>
  <c r="J60" i="292"/>
  <c r="K60" i="292" s="1"/>
  <c r="I70" i="292"/>
  <c r="I62" i="292"/>
  <c r="J70" i="292"/>
  <c r="J62" i="292"/>
  <c r="H328" i="281"/>
  <c r="G328" i="281"/>
  <c r="F328" i="281"/>
  <c r="F329" i="281" s="1"/>
  <c r="E328" i="281"/>
  <c r="E330" i="281" s="1"/>
  <c r="D328" i="281"/>
  <c r="D330" i="281" s="1"/>
  <c r="C328" i="281"/>
  <c r="C331" i="281" s="1"/>
  <c r="F259" i="281"/>
  <c r="E259" i="281"/>
  <c r="D259" i="281"/>
  <c r="C259" i="281"/>
  <c r="F190" i="281"/>
  <c r="F191" i="281" s="1"/>
  <c r="E190" i="281"/>
  <c r="E191" i="281" s="1"/>
  <c r="D190" i="281"/>
  <c r="D192" i="281" s="1"/>
  <c r="C190" i="281"/>
  <c r="C191" i="281" s="1"/>
  <c r="N117" i="291"/>
  <c r="O117" i="291" s="1"/>
  <c r="P117" i="291" s="1"/>
  <c r="Q117" i="291" s="1"/>
  <c r="R117" i="291" s="1"/>
  <c r="S117" i="291" s="1"/>
  <c r="T117" i="291" s="1"/>
  <c r="U117" i="291" s="1"/>
  <c r="D110" i="291"/>
  <c r="E110" i="291" s="1"/>
  <c r="F110" i="291" s="1"/>
  <c r="G110" i="291" s="1"/>
  <c r="H110" i="291" s="1"/>
  <c r="I110" i="291" s="1"/>
  <c r="J110" i="291" s="1"/>
  <c r="K110" i="291" s="1"/>
  <c r="L110" i="291" s="1"/>
  <c r="M110" i="291" s="1"/>
  <c r="N110" i="291" s="1"/>
  <c r="O110" i="291" s="1"/>
  <c r="P110" i="291" s="1"/>
  <c r="Q110" i="291" s="1"/>
  <c r="R110" i="291" s="1"/>
  <c r="S110" i="291" s="1"/>
  <c r="T110" i="291" s="1"/>
  <c r="U110" i="291" s="1"/>
  <c r="D108" i="291"/>
  <c r="E108" i="291" s="1"/>
  <c r="F108" i="291" s="1"/>
  <c r="G108" i="291" s="1"/>
  <c r="H108" i="291" s="1"/>
  <c r="I108" i="291" s="1"/>
  <c r="J108" i="291" s="1"/>
  <c r="K108" i="291" s="1"/>
  <c r="L108" i="291" s="1"/>
  <c r="M108" i="291" s="1"/>
  <c r="N108" i="291" s="1"/>
  <c r="O108" i="291" s="1"/>
  <c r="P108" i="291" s="1"/>
  <c r="Q108" i="291" s="1"/>
  <c r="R108" i="291" s="1"/>
  <c r="S108" i="291" s="1"/>
  <c r="T108" i="291" s="1"/>
  <c r="U108" i="291" s="1"/>
  <c r="D105" i="291"/>
  <c r="C104" i="291"/>
  <c r="C107" i="291" s="1"/>
  <c r="C102" i="291"/>
  <c r="D97" i="291" s="1"/>
  <c r="D102" i="291" s="1"/>
  <c r="E97" i="291" s="1"/>
  <c r="E101" i="291" s="1"/>
  <c r="C101" i="291"/>
  <c r="G99" i="291"/>
  <c r="F99" i="291"/>
  <c r="E99" i="291"/>
  <c r="D99" i="291"/>
  <c r="N84" i="291"/>
  <c r="O84" i="291" s="1"/>
  <c r="P84" i="291" s="1"/>
  <c r="Q84" i="291" s="1"/>
  <c r="R84" i="291" s="1"/>
  <c r="S84" i="291" s="1"/>
  <c r="T84" i="291" s="1"/>
  <c r="U84" i="291" s="1"/>
  <c r="H71" i="291"/>
  <c r="I71" i="291" s="1"/>
  <c r="J71" i="291" s="1"/>
  <c r="K71" i="291" s="1"/>
  <c r="L71" i="291" s="1"/>
  <c r="E71" i="291"/>
  <c r="F71" i="291" s="1"/>
  <c r="F68" i="291"/>
  <c r="G68" i="291" s="1"/>
  <c r="H68" i="291" s="1"/>
  <c r="I68" i="291" s="1"/>
  <c r="J68" i="291" s="1"/>
  <c r="K68" i="291" s="1"/>
  <c r="L68" i="291" s="1"/>
  <c r="M68" i="291" s="1"/>
  <c r="N68" i="291" s="1"/>
  <c r="O68" i="291" s="1"/>
  <c r="P68" i="291" s="1"/>
  <c r="Q68" i="291" s="1"/>
  <c r="R68" i="291" s="1"/>
  <c r="S68" i="291" s="1"/>
  <c r="T68" i="291" s="1"/>
  <c r="U68" i="291" s="1"/>
  <c r="F66" i="291"/>
  <c r="G66" i="291" s="1"/>
  <c r="H66" i="291" s="1"/>
  <c r="I66" i="291" s="1"/>
  <c r="J66" i="291" s="1"/>
  <c r="K66" i="291" s="1"/>
  <c r="L66" i="291" s="1"/>
  <c r="M66" i="291" s="1"/>
  <c r="N66" i="291" s="1"/>
  <c r="O66" i="291" s="1"/>
  <c r="P66" i="291" s="1"/>
  <c r="Q66" i="291" s="1"/>
  <c r="R66" i="291" s="1"/>
  <c r="S66" i="291" s="1"/>
  <c r="T66" i="291" s="1"/>
  <c r="U66" i="291" s="1"/>
  <c r="F63" i="291"/>
  <c r="G63" i="291" s="1"/>
  <c r="H63" i="291" s="1"/>
  <c r="I63" i="291" s="1"/>
  <c r="J63" i="291" s="1"/>
  <c r="K63" i="291" s="1"/>
  <c r="L63" i="291" s="1"/>
  <c r="M63" i="291" s="1"/>
  <c r="N63" i="291" s="1"/>
  <c r="O63" i="291" s="1"/>
  <c r="P63" i="291" s="1"/>
  <c r="Q63" i="291" s="1"/>
  <c r="R63" i="291" s="1"/>
  <c r="S63" i="291" s="1"/>
  <c r="T63" i="291" s="1"/>
  <c r="U63" i="291" s="1"/>
  <c r="E62" i="291"/>
  <c r="E65" i="291" s="1"/>
  <c r="C60" i="291"/>
  <c r="D55" i="291" s="1"/>
  <c r="C59" i="291"/>
  <c r="G57" i="291"/>
  <c r="F57" i="291"/>
  <c r="E57" i="291"/>
  <c r="D57" i="291"/>
  <c r="L48" i="291"/>
  <c r="M48" i="291" s="1"/>
  <c r="N48" i="291" s="1"/>
  <c r="O48" i="291" s="1"/>
  <c r="P48" i="291" s="1"/>
  <c r="Q48" i="291" s="1"/>
  <c r="R48" i="291" s="1"/>
  <c r="S48" i="291" s="1"/>
  <c r="T48" i="291" s="1"/>
  <c r="U48" i="291" s="1"/>
  <c r="K47" i="291"/>
  <c r="N45" i="291"/>
  <c r="O45" i="291" s="1"/>
  <c r="P45" i="291" s="1"/>
  <c r="Q45" i="291" s="1"/>
  <c r="R45" i="291" s="1"/>
  <c r="S45" i="291" s="1"/>
  <c r="T45" i="291" s="1"/>
  <c r="U45" i="291" s="1"/>
  <c r="D36" i="291"/>
  <c r="D39" i="291" s="1"/>
  <c r="C36" i="291"/>
  <c r="C39" i="291" s="1"/>
  <c r="F34" i="291"/>
  <c r="G34" i="291" s="1"/>
  <c r="E33" i="291"/>
  <c r="F32" i="291"/>
  <c r="D236" i="281" s="1"/>
  <c r="E31" i="291"/>
  <c r="G29" i="291"/>
  <c r="C29" i="291"/>
  <c r="D24" i="291" s="1"/>
  <c r="C28" i="291"/>
  <c r="G26" i="291"/>
  <c r="H25" i="291" s="1"/>
  <c r="F26" i="291"/>
  <c r="E26" i="291"/>
  <c r="D26" i="291"/>
  <c r="H24" i="291"/>
  <c r="N17" i="291"/>
  <c r="K17" i="291"/>
  <c r="L17" i="291" s="1"/>
  <c r="J10" i="291"/>
  <c r="H259" i="281" s="1"/>
  <c r="I10" i="291"/>
  <c r="G259" i="281" s="1"/>
  <c r="J7" i="291"/>
  <c r="I7" i="291"/>
  <c r="T46" i="4"/>
  <c r="S46" i="4"/>
  <c r="Q18" i="4"/>
  <c r="Q17" i="4"/>
  <c r="Q19" i="4" s="1"/>
  <c r="F33" i="291"/>
  <c r="E67" i="291"/>
  <c r="K86" i="291"/>
  <c r="H393" i="281"/>
  <c r="G393" i="281"/>
  <c r="F393" i="281"/>
  <c r="E393" i="281"/>
  <c r="D393" i="281"/>
  <c r="C393" i="281"/>
  <c r="H392" i="281"/>
  <c r="G392" i="281"/>
  <c r="F392" i="281"/>
  <c r="E392" i="281"/>
  <c r="D392" i="281"/>
  <c r="C392" i="281"/>
  <c r="H391" i="281"/>
  <c r="G391" i="281"/>
  <c r="F391" i="281"/>
  <c r="F375" i="281" s="1"/>
  <c r="E391" i="281"/>
  <c r="D391" i="281"/>
  <c r="C391" i="281"/>
  <c r="C382" i="281"/>
  <c r="F376" i="281"/>
  <c r="D371" i="281"/>
  <c r="D394" i="281" s="1"/>
  <c r="E371" i="281"/>
  <c r="E394" i="281" s="1"/>
  <c r="F371" i="281"/>
  <c r="F394" i="281" s="1"/>
  <c r="G371" i="281"/>
  <c r="G394" i="281" s="1"/>
  <c r="C371" i="281"/>
  <c r="C394" i="281" s="1"/>
  <c r="T29" i="288"/>
  <c r="R29" i="288"/>
  <c r="S29" i="288" s="1"/>
  <c r="P33" i="288"/>
  <c r="O33" i="288"/>
  <c r="N33" i="288"/>
  <c r="M33" i="288"/>
  <c r="L33" i="288"/>
  <c r="K33" i="288"/>
  <c r="J33" i="288"/>
  <c r="I33" i="288"/>
  <c r="H33" i="288"/>
  <c r="G33" i="288"/>
  <c r="F33" i="288"/>
  <c r="E33" i="288"/>
  <c r="E35" i="288" s="1"/>
  <c r="D33" i="288"/>
  <c r="C33" i="288"/>
  <c r="P32" i="288"/>
  <c r="O32" i="288"/>
  <c r="O35" i="288" s="1"/>
  <c r="G351" i="281" s="1"/>
  <c r="N32" i="288"/>
  <c r="N35" i="288" s="1"/>
  <c r="F351" i="281" s="1"/>
  <c r="M32" i="288"/>
  <c r="M35" i="288" s="1"/>
  <c r="E351" i="281" s="1"/>
  <c r="E352" i="281" s="1"/>
  <c r="L32" i="288"/>
  <c r="K32" i="288"/>
  <c r="J32" i="288"/>
  <c r="I32" i="288"/>
  <c r="I35" i="288" s="1"/>
  <c r="H32" i="288"/>
  <c r="G32" i="288"/>
  <c r="G35" i="288" s="1"/>
  <c r="F32" i="288"/>
  <c r="F35" i="288" s="1"/>
  <c r="E32" i="288"/>
  <c r="D32" i="288"/>
  <c r="C32" i="288"/>
  <c r="C35" i="288" s="1"/>
  <c r="R28" i="288"/>
  <c r="S28" i="288" s="1"/>
  <c r="T28" i="288" s="1"/>
  <c r="AA21" i="288"/>
  <c r="Z21" i="288"/>
  <c r="Y21" i="288"/>
  <c r="X21" i="288"/>
  <c r="W21" i="288"/>
  <c r="V21" i="288"/>
  <c r="U21" i="288"/>
  <c r="T21" i="288"/>
  <c r="S21" i="288"/>
  <c r="R21" i="288"/>
  <c r="Q21" i="288"/>
  <c r="C11" i="288"/>
  <c r="C15" i="288" s="1"/>
  <c r="C8" i="288"/>
  <c r="C12" i="288" s="1"/>
  <c r="C16" i="288" s="1"/>
  <c r="C4" i="288"/>
  <c r="C5" i="288"/>
  <c r="D3" i="288"/>
  <c r="D7" i="288" s="1"/>
  <c r="D4" i="288"/>
  <c r="D2" i="288"/>
  <c r="E2" i="288"/>
  <c r="F2" i="288" s="1"/>
  <c r="G2" i="288" s="1"/>
  <c r="H2" i="288" s="1"/>
  <c r="I2" i="288" s="1"/>
  <c r="J2" i="288" s="1"/>
  <c r="K2" i="288" s="1"/>
  <c r="L2" i="288" s="1"/>
  <c r="M2" i="288" s="1"/>
  <c r="N2" i="288" s="1"/>
  <c r="O2" i="288" s="1"/>
  <c r="P2" i="288" s="1"/>
  <c r="Q2" i="288" s="1"/>
  <c r="R2" i="288" s="1"/>
  <c r="S2" i="288" s="1"/>
  <c r="T2" i="288" s="1"/>
  <c r="U2" i="288" s="1"/>
  <c r="V2" i="288" s="1"/>
  <c r="W2" i="288" s="1"/>
  <c r="X2" i="288" s="1"/>
  <c r="Y2" i="288" s="1"/>
  <c r="Z2" i="288" s="1"/>
  <c r="AA2" i="288" s="1"/>
  <c r="K35" i="288"/>
  <c r="C351" i="281" s="1"/>
  <c r="J35" i="288"/>
  <c r="C9" i="288"/>
  <c r="C13" i="288" s="1"/>
  <c r="C17" i="288" s="1"/>
  <c r="E3" i="288"/>
  <c r="D35" i="288"/>
  <c r="H35" i="288"/>
  <c r="L35" i="288"/>
  <c r="D351" i="281" s="1"/>
  <c r="D352" i="281" s="1"/>
  <c r="P35" i="288"/>
  <c r="H351" i="281" s="1"/>
  <c r="H352" i="281" s="1"/>
  <c r="E7" i="288"/>
  <c r="E4" i="288"/>
  <c r="E5" i="288"/>
  <c r="F3" i="288"/>
  <c r="G3" i="288"/>
  <c r="F4" i="288"/>
  <c r="F5" i="288"/>
  <c r="F7" i="288"/>
  <c r="E8" i="288"/>
  <c r="E12" i="288"/>
  <c r="E16" i="288" s="1"/>
  <c r="E11" i="288"/>
  <c r="E15" i="288"/>
  <c r="E9" i="288"/>
  <c r="E13" i="288"/>
  <c r="E17" i="288" s="1"/>
  <c r="G4" i="288"/>
  <c r="G5" i="288" s="1"/>
  <c r="G7" i="288"/>
  <c r="H3" i="288"/>
  <c r="F11" i="288"/>
  <c r="F15" i="288"/>
  <c r="F8" i="288"/>
  <c r="F12" i="288" s="1"/>
  <c r="F16" i="288" s="1"/>
  <c r="F9" i="288"/>
  <c r="F13" i="288" s="1"/>
  <c r="F17" i="288" s="1"/>
  <c r="H4" i="288"/>
  <c r="H5" i="288" s="1"/>
  <c r="I3" i="288"/>
  <c r="H7" i="288"/>
  <c r="I7" i="288"/>
  <c r="I5" i="288"/>
  <c r="J3" i="288"/>
  <c r="I4" i="288"/>
  <c r="H9" i="288"/>
  <c r="H13" i="288" s="1"/>
  <c r="H17" i="288" s="1"/>
  <c r="H11" i="288"/>
  <c r="H15" i="288"/>
  <c r="H8" i="288"/>
  <c r="H12" i="288" s="1"/>
  <c r="H16" i="288" s="1"/>
  <c r="J7" i="288"/>
  <c r="J4" i="288"/>
  <c r="J5" i="288" s="1"/>
  <c r="K3" i="288"/>
  <c r="I8" i="288"/>
  <c r="I11" i="288"/>
  <c r="I15" i="288"/>
  <c r="J8" i="288"/>
  <c r="J12" i="288"/>
  <c r="J16" i="288" s="1"/>
  <c r="J11" i="288"/>
  <c r="J15" i="288"/>
  <c r="L3" i="288"/>
  <c r="K7" i="288"/>
  <c r="K4" i="288"/>
  <c r="K5" i="288"/>
  <c r="K11" i="288"/>
  <c r="K15" i="288" s="1"/>
  <c r="K8" i="288"/>
  <c r="K9" i="288" s="1"/>
  <c r="K13" i="288" s="1"/>
  <c r="K17" i="288" s="1"/>
  <c r="K12" i="288"/>
  <c r="K16" i="288"/>
  <c r="L4" i="288"/>
  <c r="J9" i="288"/>
  <c r="J13" i="288"/>
  <c r="J17" i="288"/>
  <c r="C210" i="281"/>
  <c r="C233" i="281" s="1"/>
  <c r="D210" i="281"/>
  <c r="D233" i="281" s="1"/>
  <c r="E210" i="281"/>
  <c r="E233" i="281" s="1"/>
  <c r="R232" i="281"/>
  <c r="Q232" i="281"/>
  <c r="P232" i="281"/>
  <c r="O232" i="281"/>
  <c r="N232" i="281"/>
  <c r="M232" i="281"/>
  <c r="L232" i="281"/>
  <c r="K232" i="281"/>
  <c r="J232" i="281"/>
  <c r="J255" i="281" s="1"/>
  <c r="I232" i="281"/>
  <c r="H232" i="281"/>
  <c r="G232" i="281"/>
  <c r="F232" i="281"/>
  <c r="E232" i="281"/>
  <c r="D232" i="281"/>
  <c r="D216" i="281" s="1"/>
  <c r="C232" i="281"/>
  <c r="O231" i="281"/>
  <c r="O254" i="281" s="1"/>
  <c r="O277" i="281"/>
  <c r="O300" i="281" s="1"/>
  <c r="O323" i="281" s="1"/>
  <c r="N231" i="281"/>
  <c r="M231" i="281"/>
  <c r="L231" i="281"/>
  <c r="K231" i="281"/>
  <c r="K254" i="281" s="1"/>
  <c r="J231" i="281"/>
  <c r="J254" i="281" s="1"/>
  <c r="I231" i="281"/>
  <c r="H231" i="281"/>
  <c r="H254" i="281" s="1"/>
  <c r="G231" i="281"/>
  <c r="F231" i="281"/>
  <c r="F254" i="281" s="1"/>
  <c r="E231" i="281"/>
  <c r="D231" i="281"/>
  <c r="C231" i="281"/>
  <c r="C254" i="281" s="1"/>
  <c r="C238" i="281" s="1"/>
  <c r="H230" i="281"/>
  <c r="G230" i="281"/>
  <c r="F230" i="281"/>
  <c r="E230" i="281"/>
  <c r="E253" i="281" s="1"/>
  <c r="D230" i="281"/>
  <c r="D253" i="281" s="1"/>
  <c r="D237" i="281" s="1"/>
  <c r="C230" i="281"/>
  <c r="C253" i="281" s="1"/>
  <c r="C237" i="281" s="1"/>
  <c r="G210" i="281"/>
  <c r="G233" i="281" s="1"/>
  <c r="F210" i="281"/>
  <c r="F233" i="281" s="1"/>
  <c r="S163" i="281"/>
  <c r="S186" i="281" s="1"/>
  <c r="S170" i="281" s="1"/>
  <c r="R163" i="281"/>
  <c r="R186" i="281" s="1"/>
  <c r="R170" i="281" s="1"/>
  <c r="Q163" i="281"/>
  <c r="Q186" i="281" s="1"/>
  <c r="Q170" i="281" s="1"/>
  <c r="P163" i="281"/>
  <c r="P186" i="281" s="1"/>
  <c r="P170" i="281" s="1"/>
  <c r="O163" i="281"/>
  <c r="O186" i="281" s="1"/>
  <c r="O170" i="281" s="1"/>
  <c r="N163" i="281"/>
  <c r="N186" i="281" s="1"/>
  <c r="N170" i="281" s="1"/>
  <c r="M163" i="281"/>
  <c r="M186" i="281" s="1"/>
  <c r="M170" i="281" s="1"/>
  <c r="L163" i="281"/>
  <c r="L186" i="281" s="1"/>
  <c r="L170" i="281" s="1"/>
  <c r="K163" i="281"/>
  <c r="K186" i="281" s="1"/>
  <c r="K170" i="281" s="1"/>
  <c r="J163" i="281"/>
  <c r="J186" i="281" s="1"/>
  <c r="J170" i="281" s="1"/>
  <c r="I163" i="281"/>
  <c r="I186" i="281" s="1"/>
  <c r="I170" i="281" s="1"/>
  <c r="H163" i="281"/>
  <c r="H186" i="281" s="1"/>
  <c r="H170" i="281" s="1"/>
  <c r="G163" i="281"/>
  <c r="G186" i="281" s="1"/>
  <c r="G170" i="281" s="1"/>
  <c r="F163" i="281"/>
  <c r="F186" i="281" s="1"/>
  <c r="F170" i="281" s="1"/>
  <c r="E163" i="281"/>
  <c r="E186" i="281" s="1"/>
  <c r="E170" i="281" s="1"/>
  <c r="D163" i="281"/>
  <c r="D186" i="281" s="1"/>
  <c r="D170" i="281" s="1"/>
  <c r="C163" i="281"/>
  <c r="C186" i="281" s="1"/>
  <c r="C170" i="281" s="1"/>
  <c r="C171" i="281" s="1"/>
  <c r="C173" i="281" s="1"/>
  <c r="S162" i="281"/>
  <c r="S185" i="281" s="1"/>
  <c r="S169" i="281" s="1"/>
  <c r="R162" i="281"/>
  <c r="R185" i="281" s="1"/>
  <c r="R169" i="281" s="1"/>
  <c r="Q162" i="281"/>
  <c r="Q185" i="281" s="1"/>
  <c r="Q169" i="281" s="1"/>
  <c r="P162" i="281"/>
  <c r="P185" i="281" s="1"/>
  <c r="P169" i="281" s="1"/>
  <c r="O162" i="281"/>
  <c r="O185" i="281" s="1"/>
  <c r="O169" i="281" s="1"/>
  <c r="N162" i="281"/>
  <c r="N185" i="281" s="1"/>
  <c r="N169" i="281" s="1"/>
  <c r="M162" i="281"/>
  <c r="M185" i="281" s="1"/>
  <c r="M169" i="281" s="1"/>
  <c r="L162" i="281"/>
  <c r="L185" i="281" s="1"/>
  <c r="L169" i="281" s="1"/>
  <c r="K162" i="281"/>
  <c r="K185" i="281" s="1"/>
  <c r="K169" i="281" s="1"/>
  <c r="J162" i="281"/>
  <c r="J185" i="281" s="1"/>
  <c r="J169" i="281" s="1"/>
  <c r="I162" i="281"/>
  <c r="I185" i="281" s="1"/>
  <c r="I169" i="281" s="1"/>
  <c r="H162" i="281"/>
  <c r="H185" i="281" s="1"/>
  <c r="H169" i="281" s="1"/>
  <c r="G162" i="281"/>
  <c r="G185" i="281" s="1"/>
  <c r="G169" i="281" s="1"/>
  <c r="F162" i="281"/>
  <c r="F185" i="281" s="1"/>
  <c r="F169" i="281" s="1"/>
  <c r="E162" i="281"/>
  <c r="E185" i="281" s="1"/>
  <c r="E169" i="281" s="1"/>
  <c r="D162" i="281"/>
  <c r="D185" i="281" s="1"/>
  <c r="D169" i="281" s="1"/>
  <c r="C162" i="281"/>
  <c r="C185" i="281" s="1"/>
  <c r="S161" i="281"/>
  <c r="S184" i="281" s="1"/>
  <c r="S168" i="281" s="1"/>
  <c r="R161" i="281"/>
  <c r="R184" i="281" s="1"/>
  <c r="R168" i="281" s="1"/>
  <c r="Q161" i="281"/>
  <c r="Q184" i="281" s="1"/>
  <c r="Q168" i="281" s="1"/>
  <c r="P161" i="281"/>
  <c r="P184" i="281" s="1"/>
  <c r="P168" i="281" s="1"/>
  <c r="O161" i="281"/>
  <c r="O184" i="281" s="1"/>
  <c r="O168" i="281" s="1"/>
  <c r="N161" i="281"/>
  <c r="N184" i="281" s="1"/>
  <c r="N168" i="281" s="1"/>
  <c r="M161" i="281"/>
  <c r="M184" i="281" s="1"/>
  <c r="M168" i="281" s="1"/>
  <c r="L161" i="281"/>
  <c r="L184" i="281" s="1"/>
  <c r="L168" i="281" s="1"/>
  <c r="K161" i="281"/>
  <c r="K184" i="281" s="1"/>
  <c r="K168" i="281" s="1"/>
  <c r="J161" i="281"/>
  <c r="J184" i="281" s="1"/>
  <c r="J168" i="281" s="1"/>
  <c r="I161" i="281"/>
  <c r="I184" i="281" s="1"/>
  <c r="I168" i="281" s="1"/>
  <c r="H161" i="281"/>
  <c r="H184" i="281" s="1"/>
  <c r="H168" i="281" s="1"/>
  <c r="H171" i="281" s="1"/>
  <c r="G161" i="281"/>
  <c r="G184" i="281" s="1"/>
  <c r="G168" i="281" s="1"/>
  <c r="F161" i="281"/>
  <c r="F184" i="281" s="1"/>
  <c r="F168" i="281" s="1"/>
  <c r="E161" i="281"/>
  <c r="E184" i="281" s="1"/>
  <c r="E168" i="281" s="1"/>
  <c r="D161" i="281"/>
  <c r="D184" i="281" s="1"/>
  <c r="D168" i="281" s="1"/>
  <c r="C161" i="281"/>
  <c r="C184" i="281" s="1"/>
  <c r="H147" i="281"/>
  <c r="D61" i="286"/>
  <c r="E61" i="286"/>
  <c r="F61" i="286"/>
  <c r="G61" i="286"/>
  <c r="H61" i="286"/>
  <c r="I61" i="286"/>
  <c r="J61" i="286"/>
  <c r="K61" i="286"/>
  <c r="L61" i="286"/>
  <c r="M61" i="286"/>
  <c r="D62" i="286"/>
  <c r="E62" i="286"/>
  <c r="F62" i="286"/>
  <c r="G62" i="286"/>
  <c r="H62" i="286"/>
  <c r="I62" i="286"/>
  <c r="J62" i="286"/>
  <c r="K62" i="286"/>
  <c r="L62" i="286"/>
  <c r="M62" i="286"/>
  <c r="C62" i="286"/>
  <c r="C61" i="286"/>
  <c r="C50" i="286"/>
  <c r="C48" i="286"/>
  <c r="C47" i="286" s="1"/>
  <c r="E46" i="286"/>
  <c r="F46" i="286"/>
  <c r="F45" i="286" s="1"/>
  <c r="D46" i="286"/>
  <c r="D2" i="286"/>
  <c r="E2" i="286" s="1"/>
  <c r="F2" i="286" s="1"/>
  <c r="G2" i="286" s="1"/>
  <c r="H2" i="286" s="1"/>
  <c r="I2" i="286" s="1"/>
  <c r="J2" i="286" s="1"/>
  <c r="K2" i="286" s="1"/>
  <c r="L2" i="286" s="1"/>
  <c r="M2" i="286" s="1"/>
  <c r="D17" i="286"/>
  <c r="C16" i="286"/>
  <c r="C18" i="286" s="1"/>
  <c r="D15" i="286"/>
  <c r="D16" i="286" s="1"/>
  <c r="D18" i="286" s="1"/>
  <c r="E15" i="286"/>
  <c r="F15" i="286" s="1"/>
  <c r="D12" i="286"/>
  <c r="E12" i="286" s="1"/>
  <c r="F12" i="286" s="1"/>
  <c r="G12" i="286" s="1"/>
  <c r="H12" i="286" s="1"/>
  <c r="I12" i="286" s="1"/>
  <c r="J12" i="286" s="1"/>
  <c r="K12" i="286" s="1"/>
  <c r="L12" i="286" s="1"/>
  <c r="M12" i="286" s="1"/>
  <c r="E17" i="286"/>
  <c r="F17" i="286" s="1"/>
  <c r="D50" i="286"/>
  <c r="E98" i="281"/>
  <c r="E99" i="281" s="1"/>
  <c r="D98" i="281"/>
  <c r="D101" i="281" s="1"/>
  <c r="C98" i="281"/>
  <c r="F29" i="285"/>
  <c r="E30" i="285" s="1"/>
  <c r="G29" i="285" s="1"/>
  <c r="I29" i="285" s="1"/>
  <c r="E29" i="285"/>
  <c r="G28" i="285" s="1"/>
  <c r="I28" i="285" s="1"/>
  <c r="E28" i="285"/>
  <c r="I27" i="285"/>
  <c r="D2" i="285"/>
  <c r="E2" i="285"/>
  <c r="F2" i="285" s="1"/>
  <c r="G2" i="285" s="1"/>
  <c r="H2" i="285" s="1"/>
  <c r="I2" i="285" s="1"/>
  <c r="J2" i="285" s="1"/>
  <c r="K2" i="285" s="1"/>
  <c r="L2" i="285" s="1"/>
  <c r="M2" i="285" s="1"/>
  <c r="N2" i="285" s="1"/>
  <c r="O2" i="285" s="1"/>
  <c r="P2" i="285" s="1"/>
  <c r="Q2" i="285" s="1"/>
  <c r="R2" i="285" s="1"/>
  <c r="E14" i="283"/>
  <c r="F14" i="283" s="1"/>
  <c r="D14" i="283"/>
  <c r="C14" i="283"/>
  <c r="K8" i="283"/>
  <c r="L8" i="283" s="1"/>
  <c r="K7" i="283"/>
  <c r="K10" i="283" s="1"/>
  <c r="J7" i="283"/>
  <c r="J10" i="283" s="1"/>
  <c r="I7" i="283"/>
  <c r="I10" i="283" s="1"/>
  <c r="H7" i="283"/>
  <c r="H10" i="283" s="1"/>
  <c r="G7" i="283"/>
  <c r="G10" i="283" s="1"/>
  <c r="F7" i="283"/>
  <c r="F10" i="283" s="1"/>
  <c r="E7" i="283"/>
  <c r="E10" i="283" s="1"/>
  <c r="E19" i="283" s="1"/>
  <c r="E3" i="283" s="1"/>
  <c r="D7" i="283"/>
  <c r="D10" i="283" s="1"/>
  <c r="C7" i="283"/>
  <c r="C10" i="283" s="1"/>
  <c r="D2" i="283"/>
  <c r="E2" i="283" s="1"/>
  <c r="F2" i="283" s="1"/>
  <c r="G2" i="283" s="1"/>
  <c r="H2" i="283" s="1"/>
  <c r="I2" i="283" s="1"/>
  <c r="J2" i="283" s="1"/>
  <c r="K2" i="283" s="1"/>
  <c r="L2" i="283" s="1"/>
  <c r="M2" i="283" s="1"/>
  <c r="N2" i="283" s="1"/>
  <c r="O2" i="283" s="1"/>
  <c r="P2" i="283" s="1"/>
  <c r="Q2" i="283" s="1"/>
  <c r="R2" i="283" s="1"/>
  <c r="N387" i="282"/>
  <c r="M387" i="282"/>
  <c r="M69" i="282" s="1"/>
  <c r="M212" i="282" s="1"/>
  <c r="L387" i="282"/>
  <c r="L69" i="282" s="1"/>
  <c r="L212" i="282" s="1"/>
  <c r="K387" i="282"/>
  <c r="K69" i="282" s="1"/>
  <c r="K212" i="282" s="1"/>
  <c r="N380" i="282"/>
  <c r="N379" i="282" s="1"/>
  <c r="O379" i="282" s="1"/>
  <c r="P379" i="282" s="1"/>
  <c r="Q379" i="282" s="1"/>
  <c r="R379" i="282" s="1"/>
  <c r="S379" i="282" s="1"/>
  <c r="T379" i="282" s="1"/>
  <c r="U379" i="282" s="1"/>
  <c r="V379" i="282" s="1"/>
  <c r="W379" i="282" s="1"/>
  <c r="X379" i="282" s="1"/>
  <c r="Y379" i="282" s="1"/>
  <c r="Z379" i="282" s="1"/>
  <c r="AA379" i="282" s="1"/>
  <c r="AB379" i="282" s="1"/>
  <c r="AC379" i="282" s="1"/>
  <c r="M380" i="282"/>
  <c r="M379" i="282" s="1"/>
  <c r="L380" i="282"/>
  <c r="L379" i="282" s="1"/>
  <c r="K380" i="282"/>
  <c r="K379" i="282" s="1"/>
  <c r="J380" i="282"/>
  <c r="J379" i="282" s="1"/>
  <c r="I380" i="282"/>
  <c r="H380" i="282"/>
  <c r="H379" i="282" s="1"/>
  <c r="G380" i="282"/>
  <c r="G379" i="282" s="1"/>
  <c r="F380" i="282"/>
  <c r="F379" i="282" s="1"/>
  <c r="E380" i="282"/>
  <c r="E379" i="282" s="1"/>
  <c r="D380" i="282"/>
  <c r="D379" i="282" s="1"/>
  <c r="I379" i="282"/>
  <c r="N378" i="282"/>
  <c r="N377" i="282" s="1"/>
  <c r="M378" i="282"/>
  <c r="L378" i="282"/>
  <c r="L377" i="282" s="1"/>
  <c r="K378" i="282"/>
  <c r="K377" i="282" s="1"/>
  <c r="J378" i="282"/>
  <c r="J377" i="282" s="1"/>
  <c r="I378" i="282"/>
  <c r="I377" i="282" s="1"/>
  <c r="H378" i="282"/>
  <c r="H377" i="282" s="1"/>
  <c r="G378" i="282"/>
  <c r="G377" i="282" s="1"/>
  <c r="F378" i="282"/>
  <c r="F377" i="282" s="1"/>
  <c r="F381" i="282" s="1"/>
  <c r="E378" i="282"/>
  <c r="E377" i="282" s="1"/>
  <c r="D378" i="282"/>
  <c r="D377" i="282" s="1"/>
  <c r="M377" i="282"/>
  <c r="M381" i="282" s="1"/>
  <c r="P376" i="282"/>
  <c r="Q376" i="282" s="1"/>
  <c r="R376" i="282" s="1"/>
  <c r="S376" i="282" s="1"/>
  <c r="T376" i="282" s="1"/>
  <c r="U376" i="282" s="1"/>
  <c r="V376" i="282" s="1"/>
  <c r="W376" i="282" s="1"/>
  <c r="X376" i="282" s="1"/>
  <c r="Y376" i="282" s="1"/>
  <c r="Z376" i="282" s="1"/>
  <c r="AA376" i="282" s="1"/>
  <c r="AB376" i="282" s="1"/>
  <c r="AC376" i="282" s="1"/>
  <c r="N374" i="282"/>
  <c r="M374" i="282"/>
  <c r="L374" i="282"/>
  <c r="K374" i="282"/>
  <c r="J374" i="282"/>
  <c r="I374" i="282"/>
  <c r="H374" i="282"/>
  <c r="G374" i="282"/>
  <c r="F374" i="282"/>
  <c r="E374" i="282"/>
  <c r="D374" i="282"/>
  <c r="N372" i="282"/>
  <c r="M372" i="282"/>
  <c r="L372" i="282"/>
  <c r="K372" i="282"/>
  <c r="J372" i="282"/>
  <c r="I372" i="282"/>
  <c r="H372" i="282"/>
  <c r="G372" i="282"/>
  <c r="F372" i="282"/>
  <c r="E372" i="282"/>
  <c r="D372" i="282"/>
  <c r="AB370" i="282"/>
  <c r="Z370" i="282"/>
  <c r="W370" i="282"/>
  <c r="V370" i="282"/>
  <c r="R370" i="282"/>
  <c r="L368" i="282"/>
  <c r="M368" i="282" s="1"/>
  <c r="N368" i="282" s="1"/>
  <c r="N367" i="282" s="1"/>
  <c r="N385" i="282" s="1"/>
  <c r="N67" i="282" s="1"/>
  <c r="N210" i="282" s="1"/>
  <c r="O367" i="282"/>
  <c r="K367" i="282"/>
  <c r="K385" i="282" s="1"/>
  <c r="J367" i="282"/>
  <c r="I367" i="282"/>
  <c r="H367" i="282"/>
  <c r="G367" i="282"/>
  <c r="F367" i="282"/>
  <c r="E367" i="282"/>
  <c r="D367" i="282"/>
  <c r="J366" i="282"/>
  <c r="O365" i="282"/>
  <c r="O383" i="282" s="1"/>
  <c r="N365" i="282"/>
  <c r="N383" i="282" s="1"/>
  <c r="N65" i="282" s="1"/>
  <c r="N208" i="282" s="1"/>
  <c r="M365" i="282"/>
  <c r="M383" i="282" s="1"/>
  <c r="M65" i="282" s="1"/>
  <c r="M208" i="282" s="1"/>
  <c r="L365" i="282"/>
  <c r="L383" i="282" s="1"/>
  <c r="L65" i="282" s="1"/>
  <c r="L208" i="282" s="1"/>
  <c r="K365" i="282"/>
  <c r="K383" i="282" s="1"/>
  <c r="K65" i="282" s="1"/>
  <c r="K208" i="282" s="1"/>
  <c r="AD364" i="282"/>
  <c r="N363" i="282"/>
  <c r="M363" i="282"/>
  <c r="L363" i="282"/>
  <c r="K363" i="282"/>
  <c r="J363" i="282"/>
  <c r="I363" i="282"/>
  <c r="H363" i="282"/>
  <c r="G363" i="282"/>
  <c r="F363" i="282"/>
  <c r="E363" i="282"/>
  <c r="D363" i="282"/>
  <c r="AD362" i="282"/>
  <c r="N361" i="282"/>
  <c r="M361" i="282"/>
  <c r="L361" i="282"/>
  <c r="K361" i="282"/>
  <c r="J361" i="282"/>
  <c r="I361" i="282"/>
  <c r="H361" i="282"/>
  <c r="G361" i="282"/>
  <c r="F361" i="282"/>
  <c r="E361" i="282"/>
  <c r="D361" i="282"/>
  <c r="AC330" i="282"/>
  <c r="AB330" i="282"/>
  <c r="AA330" i="282"/>
  <c r="Z330" i="282"/>
  <c r="Y330" i="282"/>
  <c r="X330" i="282"/>
  <c r="W330" i="282"/>
  <c r="V330" i="282"/>
  <c r="U330" i="282"/>
  <c r="T330" i="282"/>
  <c r="S330" i="282"/>
  <c r="R330" i="282"/>
  <c r="Q330" i="282"/>
  <c r="P330" i="282"/>
  <c r="O330" i="282"/>
  <c r="N330" i="282"/>
  <c r="M330" i="282"/>
  <c r="L330" i="282"/>
  <c r="K330" i="282"/>
  <c r="J330" i="282"/>
  <c r="I330" i="282"/>
  <c r="H330" i="282"/>
  <c r="G330" i="282"/>
  <c r="F330" i="282"/>
  <c r="E330" i="282"/>
  <c r="D330" i="282"/>
  <c r="AC329" i="282"/>
  <c r="AB329" i="282"/>
  <c r="AA329" i="282"/>
  <c r="Z329" i="282"/>
  <c r="Y329" i="282"/>
  <c r="X329" i="282"/>
  <c r="W329" i="282"/>
  <c r="V329" i="282"/>
  <c r="U329" i="282"/>
  <c r="T329" i="282"/>
  <c r="S329" i="282"/>
  <c r="R329" i="282"/>
  <c r="Q329" i="282"/>
  <c r="P329" i="282"/>
  <c r="O329" i="282"/>
  <c r="N329" i="282"/>
  <c r="M329" i="282"/>
  <c r="L329" i="282"/>
  <c r="K329" i="282"/>
  <c r="J329" i="282"/>
  <c r="I329" i="282"/>
  <c r="H329" i="282"/>
  <c r="G329" i="282"/>
  <c r="F329" i="282"/>
  <c r="E329" i="282"/>
  <c r="D329" i="282"/>
  <c r="AC328" i="282"/>
  <c r="AB328" i="282"/>
  <c r="AA328" i="282"/>
  <c r="Z328" i="282"/>
  <c r="Z327" i="282" s="1"/>
  <c r="Y328" i="282"/>
  <c r="X328" i="282"/>
  <c r="W328" i="282"/>
  <c r="V328" i="282"/>
  <c r="U328" i="282"/>
  <c r="T328" i="282"/>
  <c r="S328" i="282"/>
  <c r="R328" i="282"/>
  <c r="Q328" i="282"/>
  <c r="P328" i="282"/>
  <c r="O328" i="282"/>
  <c r="N328" i="282"/>
  <c r="M328" i="282"/>
  <c r="M327" i="282" s="1"/>
  <c r="L328" i="282"/>
  <c r="K328" i="282"/>
  <c r="J328" i="282"/>
  <c r="I328" i="282"/>
  <c r="H328" i="282"/>
  <c r="G328" i="282"/>
  <c r="F328" i="282"/>
  <c r="E328" i="282"/>
  <c r="D328" i="282"/>
  <c r="AC326" i="282"/>
  <c r="AB326" i="282"/>
  <c r="AA326" i="282"/>
  <c r="Z326" i="282"/>
  <c r="Y326" i="282"/>
  <c r="X326" i="282"/>
  <c r="W326" i="282"/>
  <c r="V326" i="282"/>
  <c r="U326" i="282"/>
  <c r="T326" i="282"/>
  <c r="S326" i="282"/>
  <c r="R326" i="282"/>
  <c r="Q326" i="282"/>
  <c r="P326" i="282"/>
  <c r="O326" i="282"/>
  <c r="N326" i="282"/>
  <c r="M326" i="282"/>
  <c r="L326" i="282"/>
  <c r="K326" i="282"/>
  <c r="J326" i="282"/>
  <c r="I326" i="282"/>
  <c r="H326" i="282"/>
  <c r="G326" i="282"/>
  <c r="F326" i="282"/>
  <c r="E326" i="282"/>
  <c r="D326" i="282"/>
  <c r="AC325" i="282"/>
  <c r="AB325" i="282"/>
  <c r="AA325" i="282"/>
  <c r="Z325" i="282"/>
  <c r="Y325" i="282"/>
  <c r="X325" i="282"/>
  <c r="W325" i="282"/>
  <c r="V325" i="282"/>
  <c r="U325" i="282"/>
  <c r="T325" i="282"/>
  <c r="S325" i="282"/>
  <c r="R325" i="282"/>
  <c r="Q325" i="282"/>
  <c r="P325" i="282"/>
  <c r="O325" i="282"/>
  <c r="N325" i="282"/>
  <c r="M325" i="282"/>
  <c r="L325" i="282"/>
  <c r="K325" i="282"/>
  <c r="J325" i="282"/>
  <c r="I325" i="282"/>
  <c r="H325" i="282"/>
  <c r="G325" i="282"/>
  <c r="F325" i="282"/>
  <c r="E325" i="282"/>
  <c r="D325" i="282"/>
  <c r="AC324" i="282"/>
  <c r="AB324" i="282"/>
  <c r="AA324" i="282"/>
  <c r="Z324" i="282"/>
  <c r="Y324" i="282"/>
  <c r="X324" i="282"/>
  <c r="W324" i="282"/>
  <c r="V324" i="282"/>
  <c r="U324" i="282"/>
  <c r="T324" i="282"/>
  <c r="S324" i="282"/>
  <c r="R324" i="282"/>
  <c r="Q324" i="282"/>
  <c r="P324" i="282"/>
  <c r="O324" i="282"/>
  <c r="N324" i="282"/>
  <c r="M324" i="282"/>
  <c r="L324" i="282"/>
  <c r="K324" i="282"/>
  <c r="J324" i="282"/>
  <c r="I324" i="282"/>
  <c r="H324" i="282"/>
  <c r="G324" i="282"/>
  <c r="F324" i="282"/>
  <c r="E324" i="282"/>
  <c r="D324" i="282"/>
  <c r="AC323" i="282"/>
  <c r="AB323" i="282"/>
  <c r="AA323" i="282"/>
  <c r="Z323" i="282"/>
  <c r="Y323" i="282"/>
  <c r="X323" i="282"/>
  <c r="W323" i="282"/>
  <c r="V323" i="282"/>
  <c r="U323" i="282"/>
  <c r="T323" i="282"/>
  <c r="S323" i="282"/>
  <c r="R323" i="282"/>
  <c r="Q323" i="282"/>
  <c r="P323" i="282"/>
  <c r="O323" i="282"/>
  <c r="N323" i="282"/>
  <c r="M323" i="282"/>
  <c r="L323" i="282"/>
  <c r="K323" i="282"/>
  <c r="J323" i="282"/>
  <c r="I323" i="282"/>
  <c r="H323" i="282"/>
  <c r="G323" i="282"/>
  <c r="F323" i="282"/>
  <c r="E323" i="282"/>
  <c r="D323" i="282"/>
  <c r="AC322" i="282"/>
  <c r="AB322" i="282"/>
  <c r="AA322" i="282"/>
  <c r="Z322" i="282"/>
  <c r="Y322" i="282"/>
  <c r="X322" i="282"/>
  <c r="W322" i="282"/>
  <c r="V322" i="282"/>
  <c r="U322" i="282"/>
  <c r="T322" i="282"/>
  <c r="S322" i="282"/>
  <c r="S320" i="282" s="1"/>
  <c r="R322" i="282"/>
  <c r="Q322" i="282"/>
  <c r="P322" i="282"/>
  <c r="O322" i="282"/>
  <c r="O320" i="282" s="1"/>
  <c r="N322" i="282"/>
  <c r="M322" i="282"/>
  <c r="L322" i="282"/>
  <c r="K322" i="282"/>
  <c r="K320" i="282" s="1"/>
  <c r="J322" i="282"/>
  <c r="I322" i="282"/>
  <c r="H322" i="282"/>
  <c r="G322" i="282"/>
  <c r="F322" i="282"/>
  <c r="E322" i="282"/>
  <c r="D322" i="282"/>
  <c r="D320" i="282" s="1"/>
  <c r="AC321" i="282"/>
  <c r="AB321" i="282"/>
  <c r="AA321" i="282"/>
  <c r="Z321" i="282"/>
  <c r="Y321" i="282"/>
  <c r="Y320" i="282" s="1"/>
  <c r="X321" i="282"/>
  <c r="W321" i="282"/>
  <c r="V321" i="282"/>
  <c r="U321" i="282"/>
  <c r="U320" i="282" s="1"/>
  <c r="T321" i="282"/>
  <c r="S321" i="282"/>
  <c r="R321" i="282"/>
  <c r="R320" i="282" s="1"/>
  <c r="Q321" i="282"/>
  <c r="P321" i="282"/>
  <c r="O321" i="282"/>
  <c r="N321" i="282"/>
  <c r="M321" i="282"/>
  <c r="L321" i="282"/>
  <c r="K321" i="282"/>
  <c r="J321" i="282"/>
  <c r="I321" i="282"/>
  <c r="H321" i="282"/>
  <c r="G321" i="282"/>
  <c r="F321" i="282"/>
  <c r="E321" i="282"/>
  <c r="D321" i="282"/>
  <c r="AC304" i="282"/>
  <c r="AB304" i="282"/>
  <c r="AA304" i="282"/>
  <c r="Z304" i="282"/>
  <c r="Y304" i="282"/>
  <c r="X304" i="282"/>
  <c r="W304" i="282"/>
  <c r="V304" i="282"/>
  <c r="U304" i="282"/>
  <c r="T304" i="282"/>
  <c r="S304" i="282"/>
  <c r="R304" i="282"/>
  <c r="Q304" i="282"/>
  <c r="P304" i="282"/>
  <c r="O304" i="282"/>
  <c r="N304" i="282"/>
  <c r="M304" i="282"/>
  <c r="L304" i="282"/>
  <c r="K304" i="282"/>
  <c r="J304" i="282"/>
  <c r="I304" i="282"/>
  <c r="H304" i="282"/>
  <c r="G304" i="282"/>
  <c r="F304" i="282"/>
  <c r="E304" i="282"/>
  <c r="D304" i="282"/>
  <c r="AC303" i="282"/>
  <c r="AB303" i="282"/>
  <c r="AA303" i="282"/>
  <c r="Z303" i="282"/>
  <c r="Y303" i="282"/>
  <c r="X303" i="282"/>
  <c r="W303" i="282"/>
  <c r="V303" i="282"/>
  <c r="U303" i="282"/>
  <c r="T303" i="282"/>
  <c r="S303" i="282"/>
  <c r="R303" i="282"/>
  <c r="Q303" i="282"/>
  <c r="P303" i="282"/>
  <c r="O303" i="282"/>
  <c r="N303" i="282"/>
  <c r="M303" i="282"/>
  <c r="L303" i="282"/>
  <c r="K303" i="282"/>
  <c r="J303" i="282"/>
  <c r="I303" i="282"/>
  <c r="H303" i="282"/>
  <c r="G303" i="282"/>
  <c r="F303" i="282"/>
  <c r="E303" i="282"/>
  <c r="D303" i="282"/>
  <c r="AC302" i="282"/>
  <c r="AB302" i="282"/>
  <c r="AB301" i="282" s="1"/>
  <c r="AA302" i="282"/>
  <c r="Z302" i="282"/>
  <c r="Y302" i="282"/>
  <c r="X302" i="282"/>
  <c r="X301" i="282" s="1"/>
  <c r="W302" i="282"/>
  <c r="V302" i="282"/>
  <c r="U302" i="282"/>
  <c r="T302" i="282"/>
  <c r="S302" i="282"/>
  <c r="R302" i="282"/>
  <c r="Q302" i="282"/>
  <c r="P302" i="282"/>
  <c r="O302" i="282"/>
  <c r="N302" i="282"/>
  <c r="M302" i="282"/>
  <c r="L302" i="282"/>
  <c r="K302" i="282"/>
  <c r="J302" i="282"/>
  <c r="I302" i="282"/>
  <c r="H302" i="282"/>
  <c r="G302" i="282"/>
  <c r="F302" i="282"/>
  <c r="E302" i="282"/>
  <c r="D302" i="282"/>
  <c r="AC300" i="282"/>
  <c r="AB300" i="282"/>
  <c r="AA300" i="282"/>
  <c r="Z300" i="282"/>
  <c r="Y300" i="282"/>
  <c r="X300" i="282"/>
  <c r="W300" i="282"/>
  <c r="V300" i="282"/>
  <c r="U300" i="282"/>
  <c r="T300" i="282"/>
  <c r="S300" i="282"/>
  <c r="R300" i="282"/>
  <c r="Q300" i="282"/>
  <c r="P300" i="282"/>
  <c r="O300" i="282"/>
  <c r="N300" i="282"/>
  <c r="M300" i="282"/>
  <c r="L300" i="282"/>
  <c r="K300" i="282"/>
  <c r="J300" i="282"/>
  <c r="I300" i="282"/>
  <c r="H300" i="282"/>
  <c r="G300" i="282"/>
  <c r="F300" i="282"/>
  <c r="E300" i="282"/>
  <c r="D300" i="282"/>
  <c r="AC299" i="282"/>
  <c r="AB299" i="282"/>
  <c r="AA299" i="282"/>
  <c r="Z299" i="282"/>
  <c r="Y299" i="282"/>
  <c r="X299" i="282"/>
  <c r="W299" i="282"/>
  <c r="V299" i="282"/>
  <c r="U299" i="282"/>
  <c r="T299" i="282"/>
  <c r="S299" i="282"/>
  <c r="R299" i="282"/>
  <c r="Q299" i="282"/>
  <c r="P299" i="282"/>
  <c r="O299" i="282"/>
  <c r="N299" i="282"/>
  <c r="M299" i="282"/>
  <c r="L299" i="282"/>
  <c r="K299" i="282"/>
  <c r="J299" i="282"/>
  <c r="I299" i="282"/>
  <c r="H299" i="282"/>
  <c r="G299" i="282"/>
  <c r="F299" i="282"/>
  <c r="E299" i="282"/>
  <c r="D299" i="282"/>
  <c r="AC298" i="282"/>
  <c r="AB298" i="282"/>
  <c r="AA298" i="282"/>
  <c r="Z298" i="282"/>
  <c r="Y298" i="282"/>
  <c r="X298" i="282"/>
  <c r="W298" i="282"/>
  <c r="V298" i="282"/>
  <c r="U298" i="282"/>
  <c r="T298" i="282"/>
  <c r="S298" i="282"/>
  <c r="R298" i="282"/>
  <c r="Q298" i="282"/>
  <c r="P298" i="282"/>
  <c r="O298" i="282"/>
  <c r="N298" i="282"/>
  <c r="M298" i="282"/>
  <c r="L298" i="282"/>
  <c r="K298" i="282"/>
  <c r="J298" i="282"/>
  <c r="I298" i="282"/>
  <c r="H298" i="282"/>
  <c r="G298" i="282"/>
  <c r="F298" i="282"/>
  <c r="E298" i="282"/>
  <c r="D298" i="282"/>
  <c r="AC297" i="282"/>
  <c r="AB297" i="282"/>
  <c r="AA297" i="282"/>
  <c r="Z297" i="282"/>
  <c r="Y297" i="282"/>
  <c r="X297" i="282"/>
  <c r="W297" i="282"/>
  <c r="V297" i="282"/>
  <c r="U297" i="282"/>
  <c r="T297" i="282"/>
  <c r="S297" i="282"/>
  <c r="R297" i="282"/>
  <c r="Q297" i="282"/>
  <c r="P297" i="282"/>
  <c r="O297" i="282"/>
  <c r="N297" i="282"/>
  <c r="M297" i="282"/>
  <c r="L297" i="282"/>
  <c r="K297" i="282"/>
  <c r="J297" i="282"/>
  <c r="I297" i="282"/>
  <c r="H297" i="282"/>
  <c r="G297" i="282"/>
  <c r="F297" i="282"/>
  <c r="E297" i="282"/>
  <c r="D297" i="282"/>
  <c r="AC296" i="282"/>
  <c r="AB296" i="282"/>
  <c r="AA296" i="282"/>
  <c r="Z296" i="282"/>
  <c r="Y296" i="282"/>
  <c r="X296" i="282"/>
  <c r="W296" i="282"/>
  <c r="V296" i="282"/>
  <c r="U296" i="282"/>
  <c r="T296" i="282"/>
  <c r="S296" i="282"/>
  <c r="R296" i="282"/>
  <c r="Q296" i="282"/>
  <c r="P296" i="282"/>
  <c r="O296" i="282"/>
  <c r="N296" i="282"/>
  <c r="M296" i="282"/>
  <c r="L296" i="282"/>
  <c r="K296" i="282"/>
  <c r="J296" i="282"/>
  <c r="I296" i="282"/>
  <c r="H296" i="282"/>
  <c r="G296" i="282"/>
  <c r="F296" i="282"/>
  <c r="E296" i="282"/>
  <c r="D296" i="282"/>
  <c r="AC295" i="282"/>
  <c r="AB295" i="282"/>
  <c r="AA295" i="282"/>
  <c r="Z295" i="282"/>
  <c r="Y295" i="282"/>
  <c r="X295" i="282"/>
  <c r="W295" i="282"/>
  <c r="V295" i="282"/>
  <c r="U295" i="282"/>
  <c r="T295" i="282"/>
  <c r="S295" i="282"/>
  <c r="R295" i="282"/>
  <c r="Q295" i="282"/>
  <c r="P295" i="282"/>
  <c r="O295" i="282"/>
  <c r="N295" i="282"/>
  <c r="M295" i="282"/>
  <c r="L295" i="282"/>
  <c r="K295" i="282"/>
  <c r="J295" i="282"/>
  <c r="I295" i="282"/>
  <c r="H295" i="282"/>
  <c r="G295" i="282"/>
  <c r="F295" i="282"/>
  <c r="E295" i="282"/>
  <c r="D295" i="282"/>
  <c r="Z266" i="282"/>
  <c r="V266" i="282"/>
  <c r="S266" i="282"/>
  <c r="R266" i="282"/>
  <c r="P266" i="282"/>
  <c r="O266" i="282"/>
  <c r="N266" i="282"/>
  <c r="L266" i="282"/>
  <c r="J255" i="282"/>
  <c r="J266" i="282" s="1"/>
  <c r="I255" i="282"/>
  <c r="I266" i="282" s="1"/>
  <c r="H255" i="282"/>
  <c r="H266" i="282" s="1"/>
  <c r="G255" i="282"/>
  <c r="G266" i="282" s="1"/>
  <c r="F255" i="282"/>
  <c r="F266" i="282" s="1"/>
  <c r="E255" i="282"/>
  <c r="D255" i="282"/>
  <c r="F238" i="282"/>
  <c r="G238" i="282" s="1"/>
  <c r="H238" i="282" s="1"/>
  <c r="I238" i="282" s="1"/>
  <c r="J238" i="282" s="1"/>
  <c r="K238" i="282" s="1"/>
  <c r="L238" i="282" s="1"/>
  <c r="M238" i="282" s="1"/>
  <c r="N238" i="282" s="1"/>
  <c r="O238" i="282" s="1"/>
  <c r="P238" i="282" s="1"/>
  <c r="Q238" i="282" s="1"/>
  <c r="R238" i="282" s="1"/>
  <c r="S238" i="282" s="1"/>
  <c r="T238" i="282" s="1"/>
  <c r="U238" i="282" s="1"/>
  <c r="V238" i="282" s="1"/>
  <c r="W238" i="282" s="1"/>
  <c r="X238" i="282" s="1"/>
  <c r="Y238" i="282" s="1"/>
  <c r="Z238" i="282" s="1"/>
  <c r="AA238" i="282" s="1"/>
  <c r="AB238" i="282" s="1"/>
  <c r="AC238" i="282" s="1"/>
  <c r="F236" i="282"/>
  <c r="G236" i="282" s="1"/>
  <c r="N235" i="282"/>
  <c r="M235" i="282"/>
  <c r="L235" i="282"/>
  <c r="K235" i="282"/>
  <c r="J235" i="282"/>
  <c r="I235" i="282"/>
  <c r="H235" i="282"/>
  <c r="G235" i="282"/>
  <c r="F235" i="282"/>
  <c r="E235" i="282"/>
  <c r="D235" i="282"/>
  <c r="AC214" i="282"/>
  <c r="AB214" i="282"/>
  <c r="AA214" i="282"/>
  <c r="Z214" i="282"/>
  <c r="Y214" i="282"/>
  <c r="X214" i="282"/>
  <c r="W214" i="282"/>
  <c r="V214" i="282"/>
  <c r="U214" i="282"/>
  <c r="T214" i="282"/>
  <c r="S214" i="282"/>
  <c r="R214" i="282"/>
  <c r="Q214" i="282"/>
  <c r="P214" i="282"/>
  <c r="O214" i="282"/>
  <c r="N214" i="282"/>
  <c r="M214" i="282"/>
  <c r="L214" i="282"/>
  <c r="K214" i="282"/>
  <c r="J214" i="282"/>
  <c r="I214" i="282"/>
  <c r="H214" i="282"/>
  <c r="G214" i="282"/>
  <c r="F214" i="282"/>
  <c r="E214" i="282"/>
  <c r="D214" i="282"/>
  <c r="J167" i="282"/>
  <c r="J178" i="282" s="1"/>
  <c r="I167" i="282"/>
  <c r="I178" i="282" s="1"/>
  <c r="H167" i="282"/>
  <c r="H178" i="282" s="1"/>
  <c r="G167" i="282"/>
  <c r="F167" i="282"/>
  <c r="F178" i="282" s="1"/>
  <c r="E167" i="282"/>
  <c r="E178" i="282" s="1"/>
  <c r="D167" i="282"/>
  <c r="D178" i="282" s="1"/>
  <c r="J140" i="282"/>
  <c r="J151" i="282" s="1"/>
  <c r="I140" i="282"/>
  <c r="I151" i="282" s="1"/>
  <c r="H140" i="282"/>
  <c r="H151" i="282" s="1"/>
  <c r="G140" i="282"/>
  <c r="F140" i="282"/>
  <c r="F151" i="282" s="1"/>
  <c r="E140" i="282"/>
  <c r="E151" i="282" s="1"/>
  <c r="D140" i="282"/>
  <c r="D151" i="282" s="1"/>
  <c r="AC126" i="282"/>
  <c r="AB126" i="282"/>
  <c r="AA126" i="282"/>
  <c r="Z126" i="282"/>
  <c r="Y126" i="282"/>
  <c r="X126" i="282"/>
  <c r="W126" i="282"/>
  <c r="V126" i="282"/>
  <c r="U126" i="282"/>
  <c r="T126" i="282"/>
  <c r="S126" i="282"/>
  <c r="R126" i="282"/>
  <c r="Q126" i="282"/>
  <c r="P126" i="282"/>
  <c r="O126" i="282"/>
  <c r="N126" i="282"/>
  <c r="M126" i="282"/>
  <c r="L126" i="282"/>
  <c r="K126" i="282"/>
  <c r="J126" i="282"/>
  <c r="I126" i="282"/>
  <c r="H126" i="282"/>
  <c r="G126" i="282"/>
  <c r="F126" i="282"/>
  <c r="E126" i="282"/>
  <c r="D126" i="282"/>
  <c r="K119" i="282"/>
  <c r="J119" i="282"/>
  <c r="I119" i="282"/>
  <c r="H119" i="282"/>
  <c r="G119" i="282"/>
  <c r="F119" i="282"/>
  <c r="E119" i="282"/>
  <c r="D119" i="282"/>
  <c r="AC112" i="282"/>
  <c r="AC123" i="282" s="1"/>
  <c r="AB112" i="282"/>
  <c r="AB123" i="282" s="1"/>
  <c r="AA112" i="282"/>
  <c r="AA123" i="282" s="1"/>
  <c r="Z112" i="282"/>
  <c r="Z123" i="282" s="1"/>
  <c r="Y112" i="282"/>
  <c r="Y123" i="282" s="1"/>
  <c r="X112" i="282"/>
  <c r="X123" i="282" s="1"/>
  <c r="W112" i="282"/>
  <c r="W123" i="282" s="1"/>
  <c r="V112" i="282"/>
  <c r="V123" i="282" s="1"/>
  <c r="U112" i="282"/>
  <c r="U123" i="282" s="1"/>
  <c r="T112" i="282"/>
  <c r="T123" i="282" s="1"/>
  <c r="S112" i="282"/>
  <c r="S123" i="282" s="1"/>
  <c r="R112" i="282"/>
  <c r="R123" i="282" s="1"/>
  <c r="Q112" i="282"/>
  <c r="Q123" i="282" s="1"/>
  <c r="P112" i="282"/>
  <c r="P123" i="282" s="1"/>
  <c r="O112" i="282"/>
  <c r="O123" i="282" s="1"/>
  <c r="N112" i="282"/>
  <c r="N123" i="282" s="1"/>
  <c r="M112" i="282"/>
  <c r="M123" i="282" s="1"/>
  <c r="K112" i="282"/>
  <c r="K123" i="282" s="1"/>
  <c r="J112" i="282"/>
  <c r="I112" i="282"/>
  <c r="H112" i="282"/>
  <c r="G112" i="282"/>
  <c r="G123" i="282" s="1"/>
  <c r="F112" i="282"/>
  <c r="E112" i="282"/>
  <c r="D112" i="282"/>
  <c r="D105" i="282"/>
  <c r="D104" i="282"/>
  <c r="D103" i="282"/>
  <c r="D102" i="282"/>
  <c r="D101" i="282"/>
  <c r="D100" i="282"/>
  <c r="N92" i="282"/>
  <c r="M92" i="282"/>
  <c r="L92" i="282"/>
  <c r="K92" i="282"/>
  <c r="J92" i="282"/>
  <c r="I92" i="282"/>
  <c r="H92" i="282"/>
  <c r="G92" i="282"/>
  <c r="F92" i="282"/>
  <c r="E92" i="282"/>
  <c r="D92" i="282"/>
  <c r="Q73" i="282"/>
  <c r="Q216" i="282" s="1"/>
  <c r="P73" i="282"/>
  <c r="P216" i="282" s="1"/>
  <c r="O73" i="282"/>
  <c r="O216" i="282" s="1"/>
  <c r="N73" i="282"/>
  <c r="M73" i="282"/>
  <c r="M216" i="282" s="1"/>
  <c r="L73" i="282"/>
  <c r="L216" i="282" s="1"/>
  <c r="K73" i="282"/>
  <c r="J73" i="282"/>
  <c r="J216" i="282" s="1"/>
  <c r="I73" i="282"/>
  <c r="I216" i="282" s="1"/>
  <c r="H73" i="282"/>
  <c r="H216" i="282" s="1"/>
  <c r="G73" i="282"/>
  <c r="F73" i="282"/>
  <c r="F216" i="282" s="1"/>
  <c r="E73" i="282"/>
  <c r="E216" i="282" s="1"/>
  <c r="D73" i="282"/>
  <c r="D216" i="282" s="1"/>
  <c r="AA70" i="282"/>
  <c r="AA213" i="282" s="1"/>
  <c r="Z70" i="282"/>
  <c r="Z213" i="282" s="1"/>
  <c r="Y70" i="282"/>
  <c r="Y213" i="282" s="1"/>
  <c r="X70" i="282"/>
  <c r="X213" i="282" s="1"/>
  <c r="W70" i="282"/>
  <c r="W213" i="282" s="1"/>
  <c r="V70" i="282"/>
  <c r="V213" i="282" s="1"/>
  <c r="U70" i="282"/>
  <c r="U213" i="282" s="1"/>
  <c r="T70" i="282"/>
  <c r="T213" i="282" s="1"/>
  <c r="S70" i="282"/>
  <c r="S213" i="282" s="1"/>
  <c r="R70" i="282"/>
  <c r="R213" i="282" s="1"/>
  <c r="Q70" i="282"/>
  <c r="Q213" i="282" s="1"/>
  <c r="P70" i="282"/>
  <c r="P213" i="282" s="1"/>
  <c r="O70" i="282"/>
  <c r="O213" i="282" s="1"/>
  <c r="N70" i="282"/>
  <c r="N213" i="282" s="1"/>
  <c r="M70" i="282"/>
  <c r="M213" i="282" s="1"/>
  <c r="L70" i="282"/>
  <c r="L213" i="282" s="1"/>
  <c r="K70" i="282"/>
  <c r="K213" i="282" s="1"/>
  <c r="J70" i="282"/>
  <c r="J213" i="282" s="1"/>
  <c r="I70" i="282"/>
  <c r="I213" i="282" s="1"/>
  <c r="H70" i="282"/>
  <c r="H213" i="282" s="1"/>
  <c r="G70" i="282"/>
  <c r="G213" i="282" s="1"/>
  <c r="F70" i="282"/>
  <c r="F213" i="282" s="1"/>
  <c r="E70" i="282"/>
  <c r="E213" i="282" s="1"/>
  <c r="D70" i="282"/>
  <c r="D213" i="282" s="1"/>
  <c r="O69" i="282"/>
  <c r="O212" i="282" s="1"/>
  <c r="N69" i="282"/>
  <c r="N212" i="282" s="1"/>
  <c r="J69" i="282"/>
  <c r="J212" i="282" s="1"/>
  <c r="I69" i="282"/>
  <c r="I212" i="282" s="1"/>
  <c r="H69" i="282"/>
  <c r="H212" i="282" s="1"/>
  <c r="G69" i="282"/>
  <c r="G212" i="282" s="1"/>
  <c r="F69" i="282"/>
  <c r="F212" i="282" s="1"/>
  <c r="E69" i="282"/>
  <c r="E212" i="282" s="1"/>
  <c r="D69" i="282"/>
  <c r="D212" i="282" s="1"/>
  <c r="O68" i="282"/>
  <c r="O211" i="282" s="1"/>
  <c r="N68" i="282"/>
  <c r="N211" i="282" s="1"/>
  <c r="M68" i="282"/>
  <c r="M211" i="282" s="1"/>
  <c r="L68" i="282"/>
  <c r="L211" i="282" s="1"/>
  <c r="K68" i="282"/>
  <c r="K211" i="282" s="1"/>
  <c r="J68" i="282"/>
  <c r="J211" i="282" s="1"/>
  <c r="I68" i="282"/>
  <c r="I211" i="282" s="1"/>
  <c r="H68" i="282"/>
  <c r="H211" i="282" s="1"/>
  <c r="G68" i="282"/>
  <c r="G211" i="282" s="1"/>
  <c r="F68" i="282"/>
  <c r="F211" i="282" s="1"/>
  <c r="E68" i="282"/>
  <c r="E211" i="282" s="1"/>
  <c r="D68" i="282"/>
  <c r="D211" i="282" s="1"/>
  <c r="K67" i="282"/>
  <c r="K210" i="282" s="1"/>
  <c r="J67" i="282"/>
  <c r="J210" i="282" s="1"/>
  <c r="I67" i="282"/>
  <c r="I210" i="282" s="1"/>
  <c r="H67" i="282"/>
  <c r="H210" i="282" s="1"/>
  <c r="G67" i="282"/>
  <c r="G210" i="282" s="1"/>
  <c r="F67" i="282"/>
  <c r="F210" i="282" s="1"/>
  <c r="E67" i="282"/>
  <c r="E210" i="282" s="1"/>
  <c r="D67" i="282"/>
  <c r="D80" i="282" s="1"/>
  <c r="W66" i="282"/>
  <c r="W209" i="282" s="1"/>
  <c r="V66" i="282"/>
  <c r="V209" i="282" s="1"/>
  <c r="U66" i="282"/>
  <c r="U209" i="282" s="1"/>
  <c r="T66" i="282"/>
  <c r="T209" i="282" s="1"/>
  <c r="S66" i="282"/>
  <c r="S209" i="282" s="1"/>
  <c r="R66" i="282"/>
  <c r="R209" i="282" s="1"/>
  <c r="Q66" i="282"/>
  <c r="Q209" i="282" s="1"/>
  <c r="P66" i="282"/>
  <c r="P209" i="282" s="1"/>
  <c r="O66" i="282"/>
  <c r="O209" i="282" s="1"/>
  <c r="N66" i="282"/>
  <c r="N209" i="282" s="1"/>
  <c r="M66" i="282"/>
  <c r="M209" i="282" s="1"/>
  <c r="L66" i="282"/>
  <c r="L209" i="282" s="1"/>
  <c r="K66" i="282"/>
  <c r="K209" i="282" s="1"/>
  <c r="J66" i="282"/>
  <c r="J209" i="282" s="1"/>
  <c r="I66" i="282"/>
  <c r="H66" i="282"/>
  <c r="H209" i="282" s="1"/>
  <c r="G66" i="282"/>
  <c r="G209" i="282" s="1"/>
  <c r="F66" i="282"/>
  <c r="F209" i="282" s="1"/>
  <c r="E66" i="282"/>
  <c r="E209" i="282" s="1"/>
  <c r="D66" i="282"/>
  <c r="D209" i="282" s="1"/>
  <c r="J65" i="282"/>
  <c r="J208" i="282" s="1"/>
  <c r="I65" i="282"/>
  <c r="I208" i="282" s="1"/>
  <c r="H65" i="282"/>
  <c r="H208" i="282" s="1"/>
  <c r="G65" i="282"/>
  <c r="G208" i="282" s="1"/>
  <c r="F65" i="282"/>
  <c r="F208" i="282" s="1"/>
  <c r="E65" i="282"/>
  <c r="E208" i="282" s="1"/>
  <c r="D65" i="282"/>
  <c r="D78" i="282" s="1"/>
  <c r="D51" i="282"/>
  <c r="P48" i="282"/>
  <c r="K37" i="282"/>
  <c r="K48" i="282" s="1"/>
  <c r="J37" i="282"/>
  <c r="J48" i="282" s="1"/>
  <c r="I37" i="282"/>
  <c r="I48" i="282" s="1"/>
  <c r="H37" i="282"/>
  <c r="H48" i="282" s="1"/>
  <c r="G37" i="282"/>
  <c r="G48" i="282" s="1"/>
  <c r="F37" i="282"/>
  <c r="F48" i="282" s="1"/>
  <c r="E37" i="282"/>
  <c r="E48" i="282" s="1"/>
  <c r="D37" i="282"/>
  <c r="D48" i="282" s="1"/>
  <c r="AD29" i="282"/>
  <c r="AC29" i="282"/>
  <c r="Y25" i="282"/>
  <c r="Z25" i="282" s="1"/>
  <c r="AA25" i="282" s="1"/>
  <c r="AB25" i="282" s="1"/>
  <c r="AC25" i="282" s="1"/>
  <c r="E25" i="282"/>
  <c r="F25" i="282" s="1"/>
  <c r="G25" i="282" s="1"/>
  <c r="H25" i="282" s="1"/>
  <c r="I25" i="282" s="1"/>
  <c r="J25" i="282" s="1"/>
  <c r="AD21" i="282"/>
  <c r="Y21" i="282"/>
  <c r="Z21" i="282" s="1"/>
  <c r="AA21" i="282" s="1"/>
  <c r="AB21" i="282" s="1"/>
  <c r="AC21" i="282" s="1"/>
  <c r="I20" i="282"/>
  <c r="I22" i="282" s="1"/>
  <c r="V19" i="282"/>
  <c r="W19" i="282" s="1"/>
  <c r="X19" i="282" s="1"/>
  <c r="Y19" i="282" s="1"/>
  <c r="Z19" i="282" s="1"/>
  <c r="AA19" i="282" s="1"/>
  <c r="AB19" i="282" s="1"/>
  <c r="AC19" i="282" s="1"/>
  <c r="H19" i="282"/>
  <c r="G19" i="282" s="1"/>
  <c r="H18" i="282"/>
  <c r="G18" i="282"/>
  <c r="F18" i="282"/>
  <c r="E18" i="282"/>
  <c r="J17" i="282"/>
  <c r="K17" i="282" s="1"/>
  <c r="O2" i="282"/>
  <c r="O235" i="282" s="1"/>
  <c r="P25" i="267"/>
  <c r="AJ12" i="4" s="1"/>
  <c r="Q107" i="266"/>
  <c r="R107" i="266" s="1"/>
  <c r="S107" i="266" s="1"/>
  <c r="T107" i="266" s="1"/>
  <c r="U107" i="266" s="1"/>
  <c r="V107" i="266" s="1"/>
  <c r="W107" i="266" s="1"/>
  <c r="X107" i="266" s="1"/>
  <c r="Y107" i="266" s="1"/>
  <c r="Q106" i="266"/>
  <c r="R106" i="266" s="1"/>
  <c r="S106" i="266" s="1"/>
  <c r="T106" i="266" s="1"/>
  <c r="U106" i="266" s="1"/>
  <c r="V106" i="266" s="1"/>
  <c r="W106" i="266" s="1"/>
  <c r="X106" i="266" s="1"/>
  <c r="Y106" i="266" s="1"/>
  <c r="G27" i="285"/>
  <c r="I209" i="282"/>
  <c r="N216" i="282"/>
  <c r="G216" i="282"/>
  <c r="K216" i="282"/>
  <c r="Q74" i="266"/>
  <c r="R74" i="266" s="1"/>
  <c r="Q71" i="266"/>
  <c r="G23" i="281"/>
  <c r="H23" i="281" s="1"/>
  <c r="E89" i="256"/>
  <c r="V40" i="256"/>
  <c r="W40" i="256" s="1"/>
  <c r="X40" i="256" s="1"/>
  <c r="N47" i="281"/>
  <c r="G72" i="281"/>
  <c r="G118" i="281" s="1"/>
  <c r="G164" i="281" s="1"/>
  <c r="G187" i="281" s="1"/>
  <c r="F72" i="281"/>
  <c r="F118" i="281" s="1"/>
  <c r="F164" i="281" s="1"/>
  <c r="F187" i="281" s="1"/>
  <c r="E72" i="281"/>
  <c r="E118" i="281" s="1"/>
  <c r="E164" i="281" s="1"/>
  <c r="E187" i="281" s="1"/>
  <c r="D72" i="281"/>
  <c r="D118" i="281" s="1"/>
  <c r="D164" i="281" s="1"/>
  <c r="D187" i="281" s="1"/>
  <c r="C72" i="281"/>
  <c r="C118" i="281" s="1"/>
  <c r="C164" i="281" s="1"/>
  <c r="C187" i="281" s="1"/>
  <c r="G49" i="281"/>
  <c r="G95" i="281" s="1"/>
  <c r="F49" i="281"/>
  <c r="F95" i="281" s="1"/>
  <c r="F141" i="281" s="1"/>
  <c r="E49" i="281"/>
  <c r="E95" i="281" s="1"/>
  <c r="D49" i="281"/>
  <c r="D95" i="281" s="1"/>
  <c r="D141" i="281" s="1"/>
  <c r="C49" i="281"/>
  <c r="C95" i="281" s="1"/>
  <c r="C141" i="281" s="1"/>
  <c r="D48" i="281"/>
  <c r="E48" i="281"/>
  <c r="F48" i="281"/>
  <c r="G48" i="281"/>
  <c r="H48" i="281"/>
  <c r="I48" i="281"/>
  <c r="J48" i="281"/>
  <c r="K48" i="281"/>
  <c r="L48" i="281"/>
  <c r="M48" i="281"/>
  <c r="N48" i="281"/>
  <c r="O48" i="281"/>
  <c r="P48" i="281"/>
  <c r="Q48" i="281"/>
  <c r="R48" i="281"/>
  <c r="C48" i="281"/>
  <c r="C32" i="281" s="1"/>
  <c r="C33" i="281" s="1"/>
  <c r="C35" i="281" s="1"/>
  <c r="D47" i="281"/>
  <c r="E47" i="281"/>
  <c r="F47" i="281"/>
  <c r="G47" i="281"/>
  <c r="H47" i="281"/>
  <c r="I47" i="281"/>
  <c r="J47" i="281"/>
  <c r="K47" i="281"/>
  <c r="L47" i="281"/>
  <c r="M47" i="281"/>
  <c r="C47" i="281"/>
  <c r="D46" i="281"/>
  <c r="E46" i="281"/>
  <c r="F46" i="281"/>
  <c r="G46" i="281"/>
  <c r="C46" i="281"/>
  <c r="H72" i="281"/>
  <c r="H118" i="281" s="1"/>
  <c r="H164" i="281" s="1"/>
  <c r="H187" i="281" s="1"/>
  <c r="S48" i="281"/>
  <c r="S22" i="281"/>
  <c r="R22" i="281"/>
  <c r="Q22" i="281"/>
  <c r="P22" i="281"/>
  <c r="O22" i="281"/>
  <c r="N22" i="281"/>
  <c r="M22" i="281"/>
  <c r="L22" i="281"/>
  <c r="K22" i="281"/>
  <c r="J22" i="281"/>
  <c r="I22" i="281"/>
  <c r="H22" i="281"/>
  <c r="G22" i="281"/>
  <c r="F22" i="281"/>
  <c r="E22" i="281"/>
  <c r="D22" i="281"/>
  <c r="C22" i="281"/>
  <c r="C14" i="281"/>
  <c r="S45" i="281"/>
  <c r="R45" i="281"/>
  <c r="Q45" i="281"/>
  <c r="P45" i="281"/>
  <c r="O45" i="281"/>
  <c r="N45" i="281"/>
  <c r="M45" i="281"/>
  <c r="L45" i="281"/>
  <c r="K45" i="281"/>
  <c r="J45" i="281"/>
  <c r="I45" i="281"/>
  <c r="H45" i="281"/>
  <c r="G45" i="281"/>
  <c r="F45" i="281"/>
  <c r="E45" i="281"/>
  <c r="D45" i="281"/>
  <c r="C45" i="281"/>
  <c r="C37" i="281"/>
  <c r="S68" i="281"/>
  <c r="R68" i="281"/>
  <c r="Q68" i="281"/>
  <c r="P68" i="281"/>
  <c r="O68" i="281"/>
  <c r="N68" i="281"/>
  <c r="M68" i="281"/>
  <c r="L68" i="281"/>
  <c r="K68" i="281"/>
  <c r="J68" i="281"/>
  <c r="I68" i="281"/>
  <c r="H68" i="281"/>
  <c r="G68" i="281"/>
  <c r="F68" i="281"/>
  <c r="E68" i="281"/>
  <c r="D68" i="281"/>
  <c r="C68" i="281"/>
  <c r="C60" i="281"/>
  <c r="C55" i="281"/>
  <c r="C56" i="281" s="1"/>
  <c r="C58" i="281" s="1"/>
  <c r="S114" i="281"/>
  <c r="R114" i="281"/>
  <c r="Q114" i="281"/>
  <c r="P114" i="281"/>
  <c r="O114" i="281"/>
  <c r="N114" i="281"/>
  <c r="M114" i="281"/>
  <c r="L114" i="281"/>
  <c r="K114" i="281"/>
  <c r="J114" i="281"/>
  <c r="I114" i="281"/>
  <c r="H114" i="281"/>
  <c r="G114" i="281"/>
  <c r="F114" i="281"/>
  <c r="E114" i="281"/>
  <c r="D114" i="281"/>
  <c r="C114" i="281"/>
  <c r="C106" i="281"/>
  <c r="E101" i="281"/>
  <c r="D100" i="281"/>
  <c r="S160" i="281"/>
  <c r="R160" i="281"/>
  <c r="Q160" i="281"/>
  <c r="P160" i="281"/>
  <c r="O160" i="281"/>
  <c r="N160" i="281"/>
  <c r="M160" i="281"/>
  <c r="L160" i="281"/>
  <c r="K160" i="281"/>
  <c r="J160" i="281"/>
  <c r="I160" i="281"/>
  <c r="H160" i="281"/>
  <c r="G160" i="281"/>
  <c r="F160" i="281"/>
  <c r="E160" i="281"/>
  <c r="D160" i="281"/>
  <c r="C160" i="281"/>
  <c r="C152" i="281"/>
  <c r="D147" i="281"/>
  <c r="C147" i="281"/>
  <c r="C148" i="281" s="1"/>
  <c r="C150" i="281" s="1"/>
  <c r="H146" i="281"/>
  <c r="G146" i="281"/>
  <c r="F146" i="281"/>
  <c r="S209" i="281"/>
  <c r="S232" i="281" s="1"/>
  <c r="S255" i="281" s="1"/>
  <c r="P231" i="281"/>
  <c r="Q231" i="281"/>
  <c r="I207" i="281"/>
  <c r="I230" i="281" s="1"/>
  <c r="S206" i="281"/>
  <c r="R206" i="281"/>
  <c r="Q206" i="281"/>
  <c r="P206" i="281"/>
  <c r="O206" i="281"/>
  <c r="N206" i="281"/>
  <c r="M206" i="281"/>
  <c r="L206" i="281"/>
  <c r="K206" i="281"/>
  <c r="J206" i="281"/>
  <c r="I206" i="281"/>
  <c r="H206" i="281"/>
  <c r="G206" i="281"/>
  <c r="F206" i="281"/>
  <c r="E206" i="281"/>
  <c r="D206" i="281"/>
  <c r="C206" i="281"/>
  <c r="C198" i="281"/>
  <c r="S446" i="281"/>
  <c r="R446" i="281"/>
  <c r="Q446" i="281"/>
  <c r="P446" i="281"/>
  <c r="O446" i="281"/>
  <c r="N446" i="281"/>
  <c r="M446" i="281"/>
  <c r="L446" i="281"/>
  <c r="K446" i="281"/>
  <c r="J446" i="281"/>
  <c r="I446" i="281"/>
  <c r="H446" i="281"/>
  <c r="G446" i="281"/>
  <c r="F446" i="281"/>
  <c r="E446" i="281"/>
  <c r="D446" i="281"/>
  <c r="C446" i="281"/>
  <c r="Q347" i="281"/>
  <c r="Q370" i="281" s="1"/>
  <c r="Q393" i="281" s="1"/>
  <c r="O347" i="281"/>
  <c r="O370" i="281" s="1"/>
  <c r="O393" i="281" s="1"/>
  <c r="M347" i="281"/>
  <c r="M370" i="281" s="1"/>
  <c r="M393" i="281" s="1"/>
  <c r="H347" i="281"/>
  <c r="G347" i="281"/>
  <c r="C336" i="281"/>
  <c r="S327" i="281"/>
  <c r="S344" i="281" s="1"/>
  <c r="R327" i="281"/>
  <c r="R344" i="281" s="1"/>
  <c r="Q327" i="281"/>
  <c r="Q344" i="281" s="1"/>
  <c r="P327" i="281"/>
  <c r="P344" i="281" s="1"/>
  <c r="O327" i="281"/>
  <c r="O344" i="281" s="1"/>
  <c r="N327" i="281"/>
  <c r="N344" i="281" s="1"/>
  <c r="M327" i="281"/>
  <c r="M344" i="281" s="1"/>
  <c r="L327" i="281"/>
  <c r="L344" i="281" s="1"/>
  <c r="K327" i="281"/>
  <c r="K344" i="281"/>
  <c r="J327" i="281"/>
  <c r="J344" i="281" s="1"/>
  <c r="I327" i="281"/>
  <c r="I344" i="281" s="1"/>
  <c r="H327" i="281"/>
  <c r="H344" i="281" s="1"/>
  <c r="G327" i="281"/>
  <c r="G344" i="281" s="1"/>
  <c r="F327" i="281"/>
  <c r="F344" i="281" s="1"/>
  <c r="E327" i="281"/>
  <c r="E344" i="281" s="1"/>
  <c r="D327" i="281"/>
  <c r="D344" i="281" s="1"/>
  <c r="C327" i="281"/>
  <c r="C344" i="281" s="1"/>
  <c r="M392" i="281"/>
  <c r="I392" i="281"/>
  <c r="I376" i="281" s="1"/>
  <c r="C267" i="281"/>
  <c r="S258" i="281"/>
  <c r="S281" i="281" s="1"/>
  <c r="R258" i="281"/>
  <c r="R281" i="281" s="1"/>
  <c r="Q258" i="281"/>
  <c r="Q281" i="281" s="1"/>
  <c r="Q275" i="281"/>
  <c r="Q350" i="281"/>
  <c r="Q373" i="281" s="1"/>
  <c r="P258" i="281"/>
  <c r="O258" i="281"/>
  <c r="N258" i="281"/>
  <c r="N281" i="281" s="1"/>
  <c r="M258" i="281"/>
  <c r="M281" i="281" s="1"/>
  <c r="L258" i="281"/>
  <c r="L281" i="281" s="1"/>
  <c r="K258" i="281"/>
  <c r="J258" i="281"/>
  <c r="I258" i="281"/>
  <c r="I275" i="281" s="1"/>
  <c r="H258" i="281"/>
  <c r="H281" i="281" s="1"/>
  <c r="G258" i="281"/>
  <c r="F258" i="281"/>
  <c r="F275" i="281" s="1"/>
  <c r="E258" i="281"/>
  <c r="D258" i="281"/>
  <c r="D281" i="281" s="1"/>
  <c r="C258" i="281"/>
  <c r="C275" i="281" s="1"/>
  <c r="S229" i="281"/>
  <c r="R229" i="281"/>
  <c r="Q229" i="281"/>
  <c r="P229" i="281"/>
  <c r="O229" i="281"/>
  <c r="N229" i="281"/>
  <c r="M229" i="281"/>
  <c r="L229" i="281"/>
  <c r="K229" i="281"/>
  <c r="J229" i="281"/>
  <c r="I229" i="281"/>
  <c r="H229" i="281"/>
  <c r="G229" i="281"/>
  <c r="F229" i="281"/>
  <c r="E229" i="281"/>
  <c r="D229" i="281"/>
  <c r="C229" i="281"/>
  <c r="C221" i="281"/>
  <c r="H215" i="281"/>
  <c r="H49" i="281"/>
  <c r="H95" i="281" s="1"/>
  <c r="F145" i="281"/>
  <c r="G275" i="281"/>
  <c r="S350" i="281"/>
  <c r="S373" i="281" s="1"/>
  <c r="S396" i="281" s="1"/>
  <c r="K275" i="281"/>
  <c r="Q39" i="266"/>
  <c r="Q40" i="266" s="1"/>
  <c r="G17" i="266"/>
  <c r="H17" i="266" s="1"/>
  <c r="G14" i="266"/>
  <c r="H14" i="266" s="1"/>
  <c r="P5" i="267"/>
  <c r="Q5" i="267" s="1"/>
  <c r="R5" i="267" s="1"/>
  <c r="S5" i="267" s="1"/>
  <c r="T5" i="267" s="1"/>
  <c r="U5" i="267" s="1"/>
  <c r="V5" i="267" s="1"/>
  <c r="W5" i="267" s="1"/>
  <c r="X5" i="267" s="1"/>
  <c r="D126" i="256"/>
  <c r="D127" i="256"/>
  <c r="D128" i="256"/>
  <c r="D129" i="256"/>
  <c r="D130" i="256"/>
  <c r="D131" i="256"/>
  <c r="U27" i="256"/>
  <c r="D7" i="256"/>
  <c r="F4" i="256"/>
  <c r="G4" i="256"/>
  <c r="H4" i="256"/>
  <c r="I4" i="256"/>
  <c r="J4" i="256"/>
  <c r="K4" i="256"/>
  <c r="L4" i="256"/>
  <c r="M4" i="256"/>
  <c r="N4" i="256"/>
  <c r="O4" i="256"/>
  <c r="P4" i="256"/>
  <c r="E4" i="256"/>
  <c r="AJ107" i="4"/>
  <c r="AK107" i="4"/>
  <c r="AL107" i="4"/>
  <c r="AM107" i="4"/>
  <c r="AN107" i="4"/>
  <c r="AO107" i="4"/>
  <c r="AP107" i="4"/>
  <c r="AQ107" i="4"/>
  <c r="AR107" i="4"/>
  <c r="AJ89" i="4"/>
  <c r="AK89" i="4"/>
  <c r="AL89" i="4"/>
  <c r="AM89" i="4"/>
  <c r="AN89" i="4"/>
  <c r="AO89" i="4"/>
  <c r="AP89" i="4"/>
  <c r="AQ89" i="4"/>
  <c r="AR89" i="4"/>
  <c r="I250" i="4"/>
  <c r="J250" i="4"/>
  <c r="K250" i="4"/>
  <c r="L250" i="4"/>
  <c r="L12" i="6"/>
  <c r="Q120" i="4"/>
  <c r="AS34" i="266"/>
  <c r="AS35" i="266" s="1"/>
  <c r="AS36" i="266" s="1"/>
  <c r="AS37" i="266" s="1"/>
  <c r="AS38" i="266" s="1"/>
  <c r="AS39" i="266" s="1"/>
  <c r="AS40" i="266" s="1"/>
  <c r="AS41" i="266" s="1"/>
  <c r="AQ34" i="266"/>
  <c r="AQ35" i="266" s="1"/>
  <c r="AQ36" i="266" s="1"/>
  <c r="AQ37" i="266" s="1"/>
  <c r="AQ38" i="266" s="1"/>
  <c r="AQ39" i="266" s="1"/>
  <c r="AQ40" i="266" s="1"/>
  <c r="AQ41" i="266" s="1"/>
  <c r="AR33" i="266"/>
  <c r="AO39" i="266"/>
  <c r="AO40" i="266" s="1"/>
  <c r="AO41" i="266" s="1"/>
  <c r="AO42" i="266" s="1"/>
  <c r="AO43" i="266" s="1"/>
  <c r="AO44" i="266" s="1"/>
  <c r="AO45" i="266" s="1"/>
  <c r="AO46" i="266" s="1"/>
  <c r="AO47" i="266" s="1"/>
  <c r="AN40" i="266"/>
  <c r="AN41" i="266" s="1"/>
  <c r="AN42" i="266" s="1"/>
  <c r="AN43" i="266" s="1"/>
  <c r="AN44" i="266" s="1"/>
  <c r="AN45" i="266" s="1"/>
  <c r="AN46" i="266" s="1"/>
  <c r="AN47" i="266" s="1"/>
  <c r="AA102" i="4"/>
  <c r="K197" i="4"/>
  <c r="F199" i="4"/>
  <c r="AI249" i="4"/>
  <c r="I41" i="6"/>
  <c r="H41" i="6"/>
  <c r="K12" i="6"/>
  <c r="K39" i="6"/>
  <c r="AI89" i="4"/>
  <c r="AH89" i="4"/>
  <c r="AG89" i="4"/>
  <c r="AF89" i="4"/>
  <c r="AA89" i="4"/>
  <c r="V89" i="4"/>
  <c r="G39" i="256"/>
  <c r="L245" i="4"/>
  <c r="V102" i="4"/>
  <c r="AF101" i="4"/>
  <c r="AF102" i="4" s="1"/>
  <c r="I72" i="256"/>
  <c r="J72" i="256"/>
  <c r="K72" i="256"/>
  <c r="L72" i="256"/>
  <c r="E5" i="4"/>
  <c r="F5" i="4" s="1"/>
  <c r="H163" i="4"/>
  <c r="I163" i="4" s="1"/>
  <c r="J163" i="4" s="1"/>
  <c r="K163" i="4" s="1"/>
  <c r="L163" i="4" s="1"/>
  <c r="K185" i="4"/>
  <c r="L185" i="4" s="1"/>
  <c r="Q185" i="4" s="1"/>
  <c r="V185" i="4" s="1"/>
  <c r="K179" i="4"/>
  <c r="K180" i="4"/>
  <c r="K177" i="4"/>
  <c r="K202" i="4"/>
  <c r="L202" i="4" s="1"/>
  <c r="Q202" i="4" s="1"/>
  <c r="L196" i="4"/>
  <c r="Q196" i="4" s="1"/>
  <c r="V196" i="4" s="1"/>
  <c r="AA196" i="4" s="1"/>
  <c r="AF196" i="4" s="1"/>
  <c r="K194" i="4"/>
  <c r="O43" i="6"/>
  <c r="Q43" i="6"/>
  <c r="S43" i="6"/>
  <c r="G214" i="4"/>
  <c r="H214" i="4" s="1"/>
  <c r="I214" i="4" s="1"/>
  <c r="J214" i="4" s="1"/>
  <c r="K214" i="4" s="1"/>
  <c r="K215" i="4" s="1"/>
  <c r="K218" i="4" s="1"/>
  <c r="F228" i="4"/>
  <c r="G226" i="4" s="1"/>
  <c r="G230" i="4"/>
  <c r="H230" i="4" s="1"/>
  <c r="I230" i="4" s="1"/>
  <c r="J230" i="4" s="1"/>
  <c r="K230" i="4" s="1"/>
  <c r="L230" i="4" s="1"/>
  <c r="Q230" i="4" s="1"/>
  <c r="V230" i="4" s="1"/>
  <c r="AA230" i="4" s="1"/>
  <c r="AF230" i="4" s="1"/>
  <c r="AG230" i="4" s="1"/>
  <c r="AH230" i="4" s="1"/>
  <c r="AI230" i="4" s="1"/>
  <c r="AJ230" i="4" s="1"/>
  <c r="AK230" i="4" s="1"/>
  <c r="AI242" i="4"/>
  <c r="G129" i="4"/>
  <c r="G131" i="4" s="1"/>
  <c r="G144" i="4"/>
  <c r="G146" i="4" s="1"/>
  <c r="H144" i="4" s="1"/>
  <c r="G133" i="4"/>
  <c r="H133" i="4" s="1"/>
  <c r="I133" i="4" s="1"/>
  <c r="G148" i="4"/>
  <c r="H148" i="4" s="1"/>
  <c r="I148" i="4" s="1"/>
  <c r="D8" i="256"/>
  <c r="D11" i="256"/>
  <c r="D14" i="256" s="1"/>
  <c r="E6" i="256" s="1"/>
  <c r="E9" i="256"/>
  <c r="E12" i="256"/>
  <c r="F12" i="256" s="1"/>
  <c r="G12" i="256" s="1"/>
  <c r="H12" i="256" s="1"/>
  <c r="I12" i="256" s="1"/>
  <c r="J12" i="256" s="1"/>
  <c r="K12" i="256" s="1"/>
  <c r="E32" i="256"/>
  <c r="F20" i="256" s="1"/>
  <c r="J36" i="256"/>
  <c r="K36" i="256" s="1"/>
  <c r="L36" i="256" s="1"/>
  <c r="M36" i="256" s="1"/>
  <c r="N36" i="256" s="1"/>
  <c r="O36" i="256" s="1"/>
  <c r="P36" i="256" s="1"/>
  <c r="Q36" i="256" s="1"/>
  <c r="R36" i="256" s="1"/>
  <c r="S36" i="256" s="1"/>
  <c r="T36" i="256" s="1"/>
  <c r="U36" i="256" s="1"/>
  <c r="V36" i="256" s="1"/>
  <c r="W36" i="256" s="1"/>
  <c r="X36" i="256" s="1"/>
  <c r="G37" i="256"/>
  <c r="H37" i="256" s="1"/>
  <c r="I37" i="256" s="1"/>
  <c r="J37" i="256" s="1"/>
  <c r="K37" i="256" s="1"/>
  <c r="L37" i="256" s="1"/>
  <c r="M37" i="256" s="1"/>
  <c r="N37" i="256" s="1"/>
  <c r="O37" i="256" s="1"/>
  <c r="P37" i="256" s="1"/>
  <c r="Q37" i="256" s="1"/>
  <c r="R37" i="256" s="1"/>
  <c r="S37" i="256" s="1"/>
  <c r="T37" i="256" s="1"/>
  <c r="U37" i="256" s="1"/>
  <c r="V37" i="256" s="1"/>
  <c r="W37" i="256" s="1"/>
  <c r="X37" i="256" s="1"/>
  <c r="D54" i="256"/>
  <c r="E54" i="256" s="1"/>
  <c r="D57" i="256"/>
  <c r="D56" i="256" s="1"/>
  <c r="E48" i="256"/>
  <c r="F49" i="256"/>
  <c r="I75" i="256"/>
  <c r="J75" i="256"/>
  <c r="M72" i="256"/>
  <c r="J81" i="256"/>
  <c r="K81" i="256" s="1"/>
  <c r="L81" i="256" s="1"/>
  <c r="H82" i="256"/>
  <c r="I82" i="256" s="1"/>
  <c r="J82" i="256" s="1"/>
  <c r="K82" i="256" s="1"/>
  <c r="L82" i="256" s="1"/>
  <c r="M82" i="256" s="1"/>
  <c r="N82" i="256" s="1"/>
  <c r="O82" i="256" s="1"/>
  <c r="P82" i="256" s="1"/>
  <c r="Q82" i="256" s="1"/>
  <c r="R82" i="256" s="1"/>
  <c r="S82" i="256" s="1"/>
  <c r="T82" i="256" s="1"/>
  <c r="U82" i="256" s="1"/>
  <c r="V82" i="256" s="1"/>
  <c r="W82" i="256" s="1"/>
  <c r="X82" i="256" s="1"/>
  <c r="E61" i="266"/>
  <c r="E70" i="266" s="1"/>
  <c r="K56" i="5"/>
  <c r="J57" i="5"/>
  <c r="H39" i="256"/>
  <c r="I52" i="266" s="1"/>
  <c r="J60" i="5"/>
  <c r="C8" i="266"/>
  <c r="C13" i="266"/>
  <c r="D13" i="266"/>
  <c r="E13" i="266"/>
  <c r="F4" i="266"/>
  <c r="F80" i="266"/>
  <c r="G80" i="266" s="1"/>
  <c r="H80" i="266" s="1"/>
  <c r="I80" i="266" s="1"/>
  <c r="J80" i="266" s="1"/>
  <c r="K80" i="266" s="1"/>
  <c r="L80" i="266" s="1"/>
  <c r="F83" i="266"/>
  <c r="G83" i="266" s="1"/>
  <c r="H83" i="266" s="1"/>
  <c r="I83" i="266" s="1"/>
  <c r="J83" i="266" s="1"/>
  <c r="K83" i="266" s="1"/>
  <c r="L83" i="266" s="1"/>
  <c r="M83" i="266" s="1"/>
  <c r="N83" i="266" s="1"/>
  <c r="O83" i="266" s="1"/>
  <c r="P83" i="266" s="1"/>
  <c r="Q83" i="266" s="1"/>
  <c r="R83" i="266" s="1"/>
  <c r="S83" i="266" s="1"/>
  <c r="T83" i="266" s="1"/>
  <c r="U83" i="266" s="1"/>
  <c r="V83" i="266" s="1"/>
  <c r="W83" i="266" s="1"/>
  <c r="X83" i="266" s="1"/>
  <c r="Y83" i="266" s="1"/>
  <c r="F91" i="266"/>
  <c r="G101" i="266"/>
  <c r="H101" i="266" s="1"/>
  <c r="I101" i="266" s="1"/>
  <c r="J101" i="266" s="1"/>
  <c r="K101" i="266" s="1"/>
  <c r="L101" i="266" s="1"/>
  <c r="M101" i="266" s="1"/>
  <c r="N101" i="266" s="1"/>
  <c r="O101" i="266" s="1"/>
  <c r="P101" i="266" s="1"/>
  <c r="Q101" i="266" s="1"/>
  <c r="R101" i="266" s="1"/>
  <c r="D22" i="266"/>
  <c r="D25" i="266"/>
  <c r="E25" i="266" s="1"/>
  <c r="F25" i="266" s="1"/>
  <c r="G25" i="266" s="1"/>
  <c r="H25" i="266" s="1"/>
  <c r="I25" i="266" s="1"/>
  <c r="J25" i="266" s="1"/>
  <c r="K25" i="266" s="1"/>
  <c r="L25" i="266" s="1"/>
  <c r="M25" i="266" s="1"/>
  <c r="N25" i="266" s="1"/>
  <c r="O25" i="266" s="1"/>
  <c r="P25" i="266" s="1"/>
  <c r="Q25" i="266" s="1"/>
  <c r="R25" i="266" s="1"/>
  <c r="S25" i="266" s="1"/>
  <c r="T25" i="266" s="1"/>
  <c r="U25" i="266" s="1"/>
  <c r="V25" i="266" s="1"/>
  <c r="W25" i="266" s="1"/>
  <c r="X25" i="266" s="1"/>
  <c r="Y25" i="266" s="1"/>
  <c r="F33" i="266"/>
  <c r="F40" i="256"/>
  <c r="J120" i="4"/>
  <c r="J245" i="4"/>
  <c r="J35" i="6"/>
  <c r="I57" i="5"/>
  <c r="E24" i="267"/>
  <c r="I60" i="5"/>
  <c r="I245" i="4"/>
  <c r="I35" i="6"/>
  <c r="H60" i="5"/>
  <c r="H120" i="4"/>
  <c r="H245" i="4"/>
  <c r="H35" i="6"/>
  <c r="G120" i="4"/>
  <c r="G245" i="4"/>
  <c r="G112" i="4"/>
  <c r="G114" i="4" s="1"/>
  <c r="G52" i="4" s="1"/>
  <c r="F60" i="5"/>
  <c r="F41" i="4"/>
  <c r="F37" i="4"/>
  <c r="F245" i="4"/>
  <c r="F52" i="4"/>
  <c r="F75" i="4"/>
  <c r="F10" i="6"/>
  <c r="F110" i="5" s="1"/>
  <c r="F111" i="5" s="1"/>
  <c r="E30" i="4"/>
  <c r="E41" i="4"/>
  <c r="E37" i="4"/>
  <c r="E75" i="4"/>
  <c r="E59" i="4" s="1"/>
  <c r="E10" i="6"/>
  <c r="E110" i="5" s="1"/>
  <c r="E111" i="5" s="1"/>
  <c r="E8" i="6"/>
  <c r="D30" i="4"/>
  <c r="D41" i="4"/>
  <c r="D37" i="4"/>
  <c r="D75" i="4"/>
  <c r="D59" i="4" s="1"/>
  <c r="D8" i="6"/>
  <c r="K59" i="4"/>
  <c r="F84" i="256"/>
  <c r="G109" i="266" s="1"/>
  <c r="J150" i="5"/>
  <c r="E47" i="256"/>
  <c r="F47" i="256" s="1"/>
  <c r="G47" i="256" s="1"/>
  <c r="H47" i="256" s="1"/>
  <c r="I47" i="256" s="1"/>
  <c r="J47" i="256" s="1"/>
  <c r="K47" i="256" s="1"/>
  <c r="L47" i="256" s="1"/>
  <c r="M47" i="256" s="1"/>
  <c r="N47" i="256" s="1"/>
  <c r="O47" i="256" s="1"/>
  <c r="H110" i="4"/>
  <c r="I108" i="4" s="1"/>
  <c r="H112" i="4"/>
  <c r="H114" i="4" s="1"/>
  <c r="F129" i="4"/>
  <c r="F134" i="4" s="1"/>
  <c r="F144" i="4"/>
  <c r="F149" i="4" s="1"/>
  <c r="J10" i="6"/>
  <c r="J110" i="5" s="1"/>
  <c r="J111" i="5" s="1"/>
  <c r="J59" i="4"/>
  <c r="J26" i="6"/>
  <c r="I26" i="6"/>
  <c r="G32" i="6"/>
  <c r="G35" i="6"/>
  <c r="F31" i="6"/>
  <c r="F32" i="6"/>
  <c r="E31" i="6"/>
  <c r="E35" i="6"/>
  <c r="E32" i="6"/>
  <c r="D16" i="6"/>
  <c r="D31" i="6"/>
  <c r="D35" i="6"/>
  <c r="E94" i="256"/>
  <c r="E39" i="256"/>
  <c r="E44" i="256" s="1"/>
  <c r="E7" i="267" s="1"/>
  <c r="K150" i="5"/>
  <c r="I150" i="5"/>
  <c r="Q89" i="4"/>
  <c r="E61" i="256"/>
  <c r="S33" i="6"/>
  <c r="S26" i="6"/>
  <c r="S17" i="6"/>
  <c r="M13" i="6"/>
  <c r="N13" i="6" s="1"/>
  <c r="O13" i="6" s="1"/>
  <c r="P13" i="6" s="1"/>
  <c r="Q13" i="6" s="1"/>
  <c r="R13" i="6" s="1"/>
  <c r="S13" i="6" s="1"/>
  <c r="T13" i="6" s="1"/>
  <c r="U13" i="6" s="1"/>
  <c r="V13" i="6" s="1"/>
  <c r="W13" i="6" s="1"/>
  <c r="X13" i="6" s="1"/>
  <c r="Y13" i="6" s="1"/>
  <c r="Z13" i="6" s="1"/>
  <c r="AA13" i="6" s="1"/>
  <c r="AB13" i="6" s="1"/>
  <c r="S7" i="6"/>
  <c r="AI123" i="4"/>
  <c r="AI107" i="4"/>
  <c r="E4" i="6"/>
  <c r="F4" i="6" s="1"/>
  <c r="G4" i="6" s="1"/>
  <c r="H4" i="6" s="1"/>
  <c r="I4" i="6" s="1"/>
  <c r="J4" i="6" s="1"/>
  <c r="K4" i="6" s="1"/>
  <c r="L4" i="6" s="1"/>
  <c r="M4" i="6" s="1"/>
  <c r="N4" i="6" s="1"/>
  <c r="O4" i="6" s="1"/>
  <c r="P4" i="6" s="1"/>
  <c r="Q4" i="6" s="1"/>
  <c r="R4" i="6" s="1"/>
  <c r="S4" i="6" s="1"/>
  <c r="F68" i="266"/>
  <c r="G68" i="266" s="1"/>
  <c r="H68" i="266" s="1"/>
  <c r="I68" i="266" s="1"/>
  <c r="J68" i="266" s="1"/>
  <c r="K68" i="266" s="1"/>
  <c r="L68" i="266" s="1"/>
  <c r="M68" i="266" s="1"/>
  <c r="N68" i="266" s="1"/>
  <c r="O68" i="266" s="1"/>
  <c r="P68" i="266" s="1"/>
  <c r="Q68" i="266" s="1"/>
  <c r="R68" i="266" s="1"/>
  <c r="S68" i="266" s="1"/>
  <c r="T68" i="266" s="1"/>
  <c r="U68" i="266" s="1"/>
  <c r="V68" i="266" s="1"/>
  <c r="W68" i="266" s="1"/>
  <c r="X68" i="266" s="1"/>
  <c r="Y68" i="266" s="1"/>
  <c r="F65" i="266"/>
  <c r="G65" i="266" s="1"/>
  <c r="D59" i="266"/>
  <c r="E59" i="266" s="1"/>
  <c r="F59" i="266" s="1"/>
  <c r="G59" i="266" s="1"/>
  <c r="H59" i="266" s="1"/>
  <c r="I59" i="266" s="1"/>
  <c r="J59" i="266" s="1"/>
  <c r="K59" i="266" s="1"/>
  <c r="L59" i="266" s="1"/>
  <c r="M59" i="266" s="1"/>
  <c r="N59" i="266" s="1"/>
  <c r="O59" i="266" s="1"/>
  <c r="P59" i="266" s="1"/>
  <c r="Q59" i="266" s="1"/>
  <c r="R59" i="266" s="1"/>
  <c r="S59" i="266" s="1"/>
  <c r="T59" i="266" s="1"/>
  <c r="U59" i="266" s="1"/>
  <c r="V59" i="266" s="1"/>
  <c r="W59" i="266" s="1"/>
  <c r="X59" i="266" s="1"/>
  <c r="Y59" i="266" s="1"/>
  <c r="D11" i="266"/>
  <c r="E11" i="266" s="1"/>
  <c r="F11" i="266" s="1"/>
  <c r="G11" i="266" s="1"/>
  <c r="H11" i="266" s="1"/>
  <c r="I11" i="266" s="1"/>
  <c r="J11" i="266" s="1"/>
  <c r="K11" i="266" s="1"/>
  <c r="L11" i="266" s="1"/>
  <c r="M11" i="266" s="1"/>
  <c r="N11" i="266" s="1"/>
  <c r="O11" i="266" s="1"/>
  <c r="P11" i="266" s="1"/>
  <c r="Q11" i="266" s="1"/>
  <c r="R11" i="266" s="1"/>
  <c r="S11" i="266" s="1"/>
  <c r="T11" i="266" s="1"/>
  <c r="U11" i="266" s="1"/>
  <c r="V11" i="266" s="1"/>
  <c r="W11" i="266" s="1"/>
  <c r="X11" i="266" s="1"/>
  <c r="Y11" i="266" s="1"/>
  <c r="E5" i="266"/>
  <c r="F5" i="266" s="1"/>
  <c r="G5" i="266" s="1"/>
  <c r="H5" i="266" s="1"/>
  <c r="I5" i="266" s="1"/>
  <c r="J5" i="266" s="1"/>
  <c r="K5" i="266" s="1"/>
  <c r="L5" i="266" s="1"/>
  <c r="M5" i="266" s="1"/>
  <c r="N5" i="266" s="1"/>
  <c r="O5" i="266" s="1"/>
  <c r="P5" i="266" s="1"/>
  <c r="Q5" i="266" s="1"/>
  <c r="R5" i="266" s="1"/>
  <c r="S5" i="266" s="1"/>
  <c r="T5" i="266" s="1"/>
  <c r="U5" i="266" s="1"/>
  <c r="V5" i="266" s="1"/>
  <c r="W5" i="266" s="1"/>
  <c r="X5" i="266" s="1"/>
  <c r="Y5" i="266" s="1"/>
  <c r="D2" i="266"/>
  <c r="E2" i="266" s="1"/>
  <c r="F2" i="266" s="1"/>
  <c r="G2" i="266" s="1"/>
  <c r="H2" i="266" s="1"/>
  <c r="I2" i="266" s="1"/>
  <c r="J2" i="266" s="1"/>
  <c r="K2" i="266" s="1"/>
  <c r="L2" i="266" s="1"/>
  <c r="M2" i="266" s="1"/>
  <c r="N2" i="266" s="1"/>
  <c r="O2" i="266" s="1"/>
  <c r="P2" i="266" s="1"/>
  <c r="Q2" i="266" s="1"/>
  <c r="R2" i="266" s="1"/>
  <c r="S2" i="266" s="1"/>
  <c r="T2" i="266" s="1"/>
  <c r="U2" i="266" s="1"/>
  <c r="V2" i="266" s="1"/>
  <c r="W2" i="266" s="1"/>
  <c r="X2" i="266" s="1"/>
  <c r="Y2" i="266" s="1"/>
  <c r="E2" i="256"/>
  <c r="F2" i="256" s="1"/>
  <c r="G2" i="256" s="1"/>
  <c r="H2" i="256" s="1"/>
  <c r="R33" i="6"/>
  <c r="R26" i="6"/>
  <c r="R17" i="6"/>
  <c r="R7" i="6"/>
  <c r="Q33" i="6"/>
  <c r="Q26" i="6"/>
  <c r="Q17" i="6"/>
  <c r="Q7" i="6"/>
  <c r="P33" i="6"/>
  <c r="P26" i="6"/>
  <c r="P17" i="6"/>
  <c r="P7" i="6"/>
  <c r="AH123" i="4"/>
  <c r="AH107" i="4"/>
  <c r="AG123" i="4"/>
  <c r="AG107" i="4"/>
  <c r="I10" i="6"/>
  <c r="I110" i="5" s="1"/>
  <c r="I111" i="5" s="1"/>
  <c r="H10" i="6"/>
  <c r="H110" i="5" s="1"/>
  <c r="H111" i="5" s="1"/>
  <c r="G10" i="6"/>
  <c r="G110" i="5" s="1"/>
  <c r="G111" i="5" s="1"/>
  <c r="D84" i="266"/>
  <c r="C84" i="266"/>
  <c r="H150" i="5"/>
  <c r="H62" i="4"/>
  <c r="J108" i="4"/>
  <c r="D5" i="266"/>
  <c r="AF107" i="4"/>
  <c r="AA107" i="4"/>
  <c r="V107" i="4"/>
  <c r="Q107" i="4"/>
  <c r="L107" i="4"/>
  <c r="K107" i="4"/>
  <c r="J107" i="4"/>
  <c r="D62" i="4"/>
  <c r="E62" i="4"/>
  <c r="F62" i="4"/>
  <c r="G62" i="4"/>
  <c r="D68" i="4"/>
  <c r="E68" i="4"/>
  <c r="O33" i="6"/>
  <c r="H113" i="4"/>
  <c r="G113" i="4"/>
  <c r="L19" i="4"/>
  <c r="O7" i="6"/>
  <c r="N17" i="6"/>
  <c r="O17" i="6"/>
  <c r="V123" i="4"/>
  <c r="AA123" i="4"/>
  <c r="AF123" i="4"/>
  <c r="M17" i="6"/>
  <c r="Q123" i="4"/>
  <c r="L123" i="4"/>
  <c r="K123" i="4"/>
  <c r="J123" i="4"/>
  <c r="I123" i="4"/>
  <c r="H123" i="4"/>
  <c r="E53" i="6"/>
  <c r="F231" i="4"/>
  <c r="E254" i="4"/>
  <c r="D254" i="4"/>
  <c r="C151" i="4"/>
  <c r="D53" i="6"/>
  <c r="F53" i="6"/>
  <c r="G53" i="6"/>
  <c r="D54" i="6"/>
  <c r="E54" i="6"/>
  <c r="F54" i="6"/>
  <c r="G54" i="6"/>
  <c r="E117" i="4"/>
  <c r="F117" i="4"/>
  <c r="G117" i="4"/>
  <c r="D119" i="4"/>
  <c r="E119" i="4"/>
  <c r="E118" i="4" s="1"/>
  <c r="D120" i="4"/>
  <c r="E120" i="4"/>
  <c r="D127" i="4"/>
  <c r="D259" i="4"/>
  <c r="E259" i="4"/>
  <c r="O26" i="6"/>
  <c r="H53" i="6"/>
  <c r="I53" i="6"/>
  <c r="J53" i="6"/>
  <c r="I112" i="4"/>
  <c r="I114" i="4" s="1"/>
  <c r="I113" i="4"/>
  <c r="J112" i="4"/>
  <c r="J114" i="4" s="1"/>
  <c r="K108" i="4"/>
  <c r="J113" i="4"/>
  <c r="I54" i="6"/>
  <c r="G40" i="266"/>
  <c r="F35" i="6"/>
  <c r="D17" i="256"/>
  <c r="D53" i="256"/>
  <c r="M43" i="266"/>
  <c r="N43" i="266" s="1"/>
  <c r="O43" i="266" s="1"/>
  <c r="P43" i="266" s="1"/>
  <c r="Q43" i="266" s="1"/>
  <c r="R43" i="266" s="1"/>
  <c r="S43" i="266" s="1"/>
  <c r="T43" i="266" s="1"/>
  <c r="U43" i="266" s="1"/>
  <c r="V43" i="266" s="1"/>
  <c r="W43" i="266" s="1"/>
  <c r="X43" i="266" s="1"/>
  <c r="Y43" i="266" s="1"/>
  <c r="L57" i="5"/>
  <c r="K151" i="5"/>
  <c r="I39" i="256"/>
  <c r="J39" i="256" s="1"/>
  <c r="F43" i="4"/>
  <c r="F59" i="4"/>
  <c r="F52" i="266"/>
  <c r="F39" i="256"/>
  <c r="G40" i="256" s="1"/>
  <c r="F48" i="256"/>
  <c r="G49" i="256"/>
  <c r="G4" i="266"/>
  <c r="F13" i="266"/>
  <c r="E12" i="267"/>
  <c r="H52" i="266"/>
  <c r="G84" i="256"/>
  <c r="H49" i="256"/>
  <c r="I49" i="256" s="1"/>
  <c r="J49" i="256" s="1"/>
  <c r="K49" i="256" s="1"/>
  <c r="E43" i="4"/>
  <c r="K259" i="4"/>
  <c r="O41" i="6"/>
  <c r="M46" i="6"/>
  <c r="K53" i="6"/>
  <c r="L53" i="6"/>
  <c r="L159" i="4"/>
  <c r="L160" i="4" s="1"/>
  <c r="Q159" i="4"/>
  <c r="M133" i="5" s="1"/>
  <c r="M136" i="5" s="1"/>
  <c r="K11" i="6"/>
  <c r="L108" i="4"/>
  <c r="K113" i="4"/>
  <c r="K112" i="4"/>
  <c r="AH242" i="4"/>
  <c r="K40" i="266"/>
  <c r="O98" i="266"/>
  <c r="N98" i="266"/>
  <c r="M40" i="266"/>
  <c r="N40" i="266"/>
  <c r="J40" i="266"/>
  <c r="P40" i="266"/>
  <c r="L40" i="266"/>
  <c r="O40" i="266"/>
  <c r="K57" i="5"/>
  <c r="I59" i="4"/>
  <c r="J56" i="5"/>
  <c r="M53" i="6"/>
  <c r="M57" i="5"/>
  <c r="L112" i="4"/>
  <c r="L113" i="4"/>
  <c r="Q108" i="4"/>
  <c r="L151" i="5"/>
  <c r="G24" i="267"/>
  <c r="Q250" i="4"/>
  <c r="M60" i="5"/>
  <c r="V120" i="4"/>
  <c r="AA120" i="4"/>
  <c r="AF120" i="4"/>
  <c r="AG120" i="4"/>
  <c r="AH120" i="4"/>
  <c r="AI120" i="4"/>
  <c r="N53" i="6"/>
  <c r="Q259" i="4"/>
  <c r="K12" i="4"/>
  <c r="G25" i="267" s="1"/>
  <c r="I13" i="4"/>
  <c r="I30" i="4" s="1"/>
  <c r="I58" i="5" s="1"/>
  <c r="I63" i="5" s="1"/>
  <c r="AH76" i="4"/>
  <c r="AI76" i="4" s="1"/>
  <c r="AJ76" i="4" s="1"/>
  <c r="AK76" i="4" s="1"/>
  <c r="AL76" i="4" s="1"/>
  <c r="AM76" i="4" s="1"/>
  <c r="AN76" i="4" s="1"/>
  <c r="AO76" i="4" s="1"/>
  <c r="AP76" i="4" s="1"/>
  <c r="AQ76" i="4" s="1"/>
  <c r="AR76" i="4" s="1"/>
  <c r="Q113" i="4"/>
  <c r="V108" i="4"/>
  <c r="Q112" i="4"/>
  <c r="Q62" i="4"/>
  <c r="L179" i="4"/>
  <c r="Q179" i="4" s="1"/>
  <c r="V179" i="4" s="1"/>
  <c r="I371" i="281"/>
  <c r="I394" i="281" s="1"/>
  <c r="R208" i="281"/>
  <c r="K392" i="281"/>
  <c r="O392" i="281"/>
  <c r="H371" i="281"/>
  <c r="H394" i="281" s="1"/>
  <c r="H210" i="281"/>
  <c r="H233" i="281" s="1"/>
  <c r="H256" i="281" s="1"/>
  <c r="I210" i="281"/>
  <c r="I233" i="281" s="1"/>
  <c r="I256" i="281" s="1"/>
  <c r="H353" i="281"/>
  <c r="R71" i="266"/>
  <c r="S71" i="266" s="1"/>
  <c r="T71" i="266" s="1"/>
  <c r="U71" i="266" s="1"/>
  <c r="V71" i="266" s="1"/>
  <c r="W71" i="266" s="1"/>
  <c r="X71" i="266" s="1"/>
  <c r="Y71" i="266" s="1"/>
  <c r="D8" i="266"/>
  <c r="D7" i="266" s="1"/>
  <c r="C7" i="266"/>
  <c r="C10" i="266" s="1"/>
  <c r="S74" i="266"/>
  <c r="T74" i="266" s="1"/>
  <c r="U74" i="266"/>
  <c r="V74" i="266" s="1"/>
  <c r="W74" i="266" s="1"/>
  <c r="X74" i="266" s="1"/>
  <c r="Y74" i="266" s="1"/>
  <c r="R39" i="266"/>
  <c r="M81" i="256"/>
  <c r="N81" i="256" s="1"/>
  <c r="O81" i="256" s="1"/>
  <c r="P81" i="256" s="1"/>
  <c r="Q81" i="256" s="1"/>
  <c r="R81" i="256" s="1"/>
  <c r="S81" i="256" s="1"/>
  <c r="T81" i="256" s="1"/>
  <c r="U81" i="256" s="1"/>
  <c r="V81" i="256" s="1"/>
  <c r="W81" i="256" s="1"/>
  <c r="X81" i="256" s="1"/>
  <c r="V27" i="256"/>
  <c r="W27" i="256" s="1"/>
  <c r="X27" i="256" s="1"/>
  <c r="AO12" i="4"/>
  <c r="V25" i="267"/>
  <c r="W25" i="267" s="1"/>
  <c r="I49" i="281"/>
  <c r="I95" i="281" s="1"/>
  <c r="I72" i="281"/>
  <c r="I118" i="281" s="1"/>
  <c r="I164" i="281" s="1"/>
  <c r="I187" i="281" s="1"/>
  <c r="R231" i="281"/>
  <c r="R254" i="281" s="1"/>
  <c r="S208" i="281"/>
  <c r="S231" i="281" s="1"/>
  <c r="L392" i="281"/>
  <c r="N392" i="281"/>
  <c r="J371" i="281"/>
  <c r="J394" i="281" s="1"/>
  <c r="J210" i="281"/>
  <c r="J233" i="281" s="1"/>
  <c r="K26" i="281"/>
  <c r="K210" i="281" s="1"/>
  <c r="K233" i="281" s="1"/>
  <c r="K256" i="281" s="1"/>
  <c r="J49" i="281"/>
  <c r="J95" i="281" s="1"/>
  <c r="J72" i="281"/>
  <c r="J118" i="281" s="1"/>
  <c r="J164" i="281" s="1"/>
  <c r="J187" i="281" s="1"/>
  <c r="R40" i="266"/>
  <c r="S39" i="266"/>
  <c r="S40" i="266" s="1"/>
  <c r="E8" i="266"/>
  <c r="S101" i="266"/>
  <c r="T101" i="266" s="1"/>
  <c r="U101" i="266" s="1"/>
  <c r="V101" i="266" s="1"/>
  <c r="W101" i="266" s="1"/>
  <c r="X101" i="266" s="1"/>
  <c r="Y101" i="266" s="1"/>
  <c r="O47" i="281"/>
  <c r="J98" i="266"/>
  <c r="R277" i="281"/>
  <c r="R300" i="281" s="1"/>
  <c r="R323" i="281" s="1"/>
  <c r="J392" i="281"/>
  <c r="J376" i="281" s="1"/>
  <c r="L26" i="281"/>
  <c r="M26" i="281" s="1"/>
  <c r="P47" i="281"/>
  <c r="Q47" i="281"/>
  <c r="R47" i="281"/>
  <c r="S47" i="281"/>
  <c r="AG12" i="4"/>
  <c r="AH12" i="4"/>
  <c r="AI12" i="4"/>
  <c r="H409" i="281"/>
  <c r="U266" i="282"/>
  <c r="Y266" i="282"/>
  <c r="AC266" i="282"/>
  <c r="D381" i="282"/>
  <c r="D72" i="282" s="1"/>
  <c r="D215" i="282" s="1"/>
  <c r="O16" i="282"/>
  <c r="O35" i="282" s="1"/>
  <c r="E266" i="282"/>
  <c r="M266" i="282"/>
  <c r="Q266" i="282"/>
  <c r="T266" i="282"/>
  <c r="X266" i="282"/>
  <c r="AB266" i="282"/>
  <c r="Q294" i="282"/>
  <c r="U301" i="282"/>
  <c r="T327" i="282"/>
  <c r="X327" i="282"/>
  <c r="W266" i="282"/>
  <c r="AA266" i="282"/>
  <c r="D266" i="282"/>
  <c r="M275" i="281"/>
  <c r="N278" i="281"/>
  <c r="N301" i="281" s="1"/>
  <c r="N324" i="281" s="1"/>
  <c r="R278" i="281"/>
  <c r="R301" i="281" s="1"/>
  <c r="R324" i="281" s="1"/>
  <c r="C276" i="281"/>
  <c r="C299" i="281" s="1"/>
  <c r="J278" i="281"/>
  <c r="J301" i="281" s="1"/>
  <c r="J324" i="281" s="1"/>
  <c r="L371" i="281"/>
  <c r="L394" i="281" s="1"/>
  <c r="K72" i="281"/>
  <c r="K118" i="281" s="1"/>
  <c r="K164" i="281" s="1"/>
  <c r="K187" i="281" s="1"/>
  <c r="K371" i="281"/>
  <c r="K394" i="281" s="1"/>
  <c r="K49" i="281"/>
  <c r="K95" i="281" s="1"/>
  <c r="Q367" i="281"/>
  <c r="L275" i="281"/>
  <c r="L350" i="281"/>
  <c r="L373" i="281" s="1"/>
  <c r="C277" i="281"/>
  <c r="J275" i="281"/>
  <c r="H214" i="281"/>
  <c r="H350" i="281"/>
  <c r="H373" i="281" s="1"/>
  <c r="H275" i="281"/>
  <c r="D276" i="281"/>
  <c r="D299" i="281" s="1"/>
  <c r="F353" i="281"/>
  <c r="F352" i="281"/>
  <c r="D275" i="281"/>
  <c r="D350" i="281"/>
  <c r="D367" i="281" s="1"/>
  <c r="G376" i="281"/>
  <c r="P275" i="281"/>
  <c r="H20" i="282"/>
  <c r="H22" i="282" s="1"/>
  <c r="D82" i="282"/>
  <c r="K266" i="282"/>
  <c r="L367" i="281"/>
  <c r="H367" i="281"/>
  <c r="D373" i="281"/>
  <c r="D396" i="281" s="1"/>
  <c r="M80" i="266"/>
  <c r="N80" i="266" s="1"/>
  <c r="O80" i="266" s="1"/>
  <c r="P80" i="266" s="1"/>
  <c r="Q80" i="266" s="1"/>
  <c r="R80" i="266" s="1"/>
  <c r="S80" i="266" s="1"/>
  <c r="T80" i="266" s="1"/>
  <c r="U80" i="266" s="1"/>
  <c r="V80" i="266" s="1"/>
  <c r="W80" i="266" s="1"/>
  <c r="X80" i="266" s="1"/>
  <c r="Y80" i="266" s="1"/>
  <c r="E123" i="282"/>
  <c r="D46" i="4"/>
  <c r="D59" i="5" s="1"/>
  <c r="E46" i="4"/>
  <c r="E59" i="5" s="1"/>
  <c r="Q12" i="4"/>
  <c r="I25" i="267" s="1"/>
  <c r="K10" i="4"/>
  <c r="K13" i="4" s="1"/>
  <c r="F39" i="4"/>
  <c r="G259" i="4"/>
  <c r="E39" i="4"/>
  <c r="I14" i="266"/>
  <c r="J14" i="266" s="1"/>
  <c r="I17" i="266"/>
  <c r="J17" i="266" s="1"/>
  <c r="K17" i="266" s="1"/>
  <c r="L17" i="266" s="1"/>
  <c r="M17" i="266" s="1"/>
  <c r="H4" i="266"/>
  <c r="G178" i="282"/>
  <c r="G151" i="282"/>
  <c r="I123" i="282"/>
  <c r="D99" i="282" l="1"/>
  <c r="D135" i="282" s="1"/>
  <c r="T320" i="282"/>
  <c r="D327" i="282"/>
  <c r="L56" i="5"/>
  <c r="I34" i="4"/>
  <c r="I56" i="5"/>
  <c r="H57" i="5"/>
  <c r="L259" i="4"/>
  <c r="L150" i="5"/>
  <c r="J65" i="5"/>
  <c r="J67" i="5"/>
  <c r="G68" i="4"/>
  <c r="G151" i="5" s="1"/>
  <c r="G150" i="5"/>
  <c r="K67" i="5"/>
  <c r="K65" i="5"/>
  <c r="M56" i="5"/>
  <c r="M65" i="5" s="1"/>
  <c r="F8" i="6"/>
  <c r="AB327" i="282"/>
  <c r="U294" i="282"/>
  <c r="E301" i="282"/>
  <c r="I301" i="282"/>
  <c r="M301" i="282"/>
  <c r="Q301" i="282"/>
  <c r="Y301" i="282"/>
  <c r="AC301" i="282"/>
  <c r="L67" i="5"/>
  <c r="L65" i="5"/>
  <c r="N65" i="5"/>
  <c r="O65" i="5" s="1"/>
  <c r="N67" i="5"/>
  <c r="O67" i="5" s="1"/>
  <c r="D279" i="281"/>
  <c r="D302" i="281" s="1"/>
  <c r="D325" i="281" s="1"/>
  <c r="D256" i="281"/>
  <c r="E279" i="281"/>
  <c r="E302" i="281" s="1"/>
  <c r="E325" i="281" s="1"/>
  <c r="E256" i="281"/>
  <c r="H390" i="281"/>
  <c r="H396" i="281"/>
  <c r="M210" i="281"/>
  <c r="M233" i="281" s="1"/>
  <c r="M72" i="281"/>
  <c r="M118" i="281" s="1"/>
  <c r="M164" i="281" s="1"/>
  <c r="M187" i="281" s="1"/>
  <c r="M371" i="281"/>
  <c r="M394" i="281" s="1"/>
  <c r="M49" i="281"/>
  <c r="M95" i="281" s="1"/>
  <c r="N26" i="281"/>
  <c r="J256" i="281"/>
  <c r="J279" i="281"/>
  <c r="J302" i="281" s="1"/>
  <c r="J325" i="281" s="1"/>
  <c r="J348" i="281"/>
  <c r="S277" i="281"/>
  <c r="S300" i="281" s="1"/>
  <c r="S323" i="281" s="1"/>
  <c r="S254" i="281"/>
  <c r="H80" i="281"/>
  <c r="H141" i="281"/>
  <c r="S298" i="281"/>
  <c r="S304" i="281"/>
  <c r="S321" i="281" s="1"/>
  <c r="P277" i="281"/>
  <c r="P254" i="281"/>
  <c r="F276" i="281"/>
  <c r="F299" i="281" s="1"/>
  <c r="F253" i="281"/>
  <c r="D277" i="281"/>
  <c r="D300" i="281" s="1"/>
  <c r="D254" i="281"/>
  <c r="D238" i="281" s="1"/>
  <c r="G277" i="281"/>
  <c r="G254" i="281"/>
  <c r="E278" i="281"/>
  <c r="E301" i="281" s="1"/>
  <c r="E324" i="281" s="1"/>
  <c r="E255" i="281"/>
  <c r="I278" i="281"/>
  <c r="I301" i="281" s="1"/>
  <c r="I324" i="281" s="1"/>
  <c r="I255" i="281"/>
  <c r="L278" i="281"/>
  <c r="L301" i="281" s="1"/>
  <c r="L324" i="281" s="1"/>
  <c r="L255" i="281"/>
  <c r="P278" i="281"/>
  <c r="P301" i="281" s="1"/>
  <c r="P324" i="281" s="1"/>
  <c r="P255" i="281"/>
  <c r="H261" i="281"/>
  <c r="D390" i="281"/>
  <c r="S390" i="281"/>
  <c r="R275" i="281"/>
  <c r="J80" i="281"/>
  <c r="J141" i="281"/>
  <c r="G145" i="281"/>
  <c r="D298" i="281"/>
  <c r="D304" i="281"/>
  <c r="D321" i="281" s="1"/>
  <c r="H298" i="281"/>
  <c r="H304" i="281"/>
  <c r="H321" i="281" s="1"/>
  <c r="Q298" i="281"/>
  <c r="Q304" i="281"/>
  <c r="Q321" i="281" s="1"/>
  <c r="O346" i="281"/>
  <c r="L347" i="281"/>
  <c r="L370" i="281" s="1"/>
  <c r="L393" i="281" s="1"/>
  <c r="P347" i="281"/>
  <c r="P370" i="281" s="1"/>
  <c r="P393" i="281" s="1"/>
  <c r="E80" i="281"/>
  <c r="E141" i="281"/>
  <c r="E146" i="281"/>
  <c r="G276" i="281"/>
  <c r="G253" i="281"/>
  <c r="E277" i="281"/>
  <c r="E300" i="281" s="1"/>
  <c r="E254" i="281"/>
  <c r="H277" i="281"/>
  <c r="J277" i="281"/>
  <c r="L277" i="281"/>
  <c r="L300" i="281" s="1"/>
  <c r="L323" i="281" s="1"/>
  <c r="L254" i="281"/>
  <c r="F278" i="281"/>
  <c r="F301" i="281" s="1"/>
  <c r="F324" i="281" s="1"/>
  <c r="F255" i="281"/>
  <c r="J347" i="281"/>
  <c r="J370" i="281" s="1"/>
  <c r="J393" i="281" s="1"/>
  <c r="M278" i="281"/>
  <c r="M301" i="281" s="1"/>
  <c r="M324" i="281" s="1"/>
  <c r="M255" i="281"/>
  <c r="Q278" i="281"/>
  <c r="Q301" i="281" s="1"/>
  <c r="Q324" i="281" s="1"/>
  <c r="Q255" i="281"/>
  <c r="C214" i="281"/>
  <c r="C283" i="281"/>
  <c r="C322" i="281"/>
  <c r="C306" i="281" s="1"/>
  <c r="K80" i="281"/>
  <c r="K141" i="281"/>
  <c r="L298" i="281"/>
  <c r="L304" i="281"/>
  <c r="L321" i="281" s="1"/>
  <c r="R350" i="281"/>
  <c r="I276" i="281"/>
  <c r="I253" i="281"/>
  <c r="D146" i="281"/>
  <c r="F279" i="281"/>
  <c r="F302" i="281" s="1"/>
  <c r="F325" i="281" s="1"/>
  <c r="F256" i="281"/>
  <c r="E276" i="281"/>
  <c r="E299" i="281" s="1"/>
  <c r="H276" i="281"/>
  <c r="H345" i="281" s="1"/>
  <c r="H329" i="281" s="1"/>
  <c r="H253" i="281"/>
  <c r="F277" i="281"/>
  <c r="M277" i="281"/>
  <c r="M254" i="281"/>
  <c r="C278" i="281"/>
  <c r="C262" i="281" s="1"/>
  <c r="C255" i="281"/>
  <c r="C239" i="281" s="1"/>
  <c r="C240" i="281" s="1"/>
  <c r="C242" i="281" s="1"/>
  <c r="G278" i="281"/>
  <c r="G301" i="281" s="1"/>
  <c r="G324" i="281" s="1"/>
  <c r="G255" i="281"/>
  <c r="N347" i="281"/>
  <c r="N370" i="281" s="1"/>
  <c r="N393" i="281" s="1"/>
  <c r="N255" i="281"/>
  <c r="R347" i="281"/>
  <c r="R370" i="281" s="1"/>
  <c r="R393" i="281" s="1"/>
  <c r="R255" i="281"/>
  <c r="D283" i="281"/>
  <c r="D322" i="281"/>
  <c r="D306" i="281" s="1"/>
  <c r="N298" i="281"/>
  <c r="N304" i="281"/>
  <c r="N321" i="281" s="1"/>
  <c r="I80" i="281"/>
  <c r="I141" i="281"/>
  <c r="S275" i="281"/>
  <c r="N275" i="281"/>
  <c r="E145" i="281"/>
  <c r="M298" i="281"/>
  <c r="M304" i="281"/>
  <c r="M321" i="281" s="1"/>
  <c r="R298" i="281"/>
  <c r="R304" i="281"/>
  <c r="R321" i="281" s="1"/>
  <c r="I347" i="281"/>
  <c r="I370" i="281" s="1"/>
  <c r="I393" i="281" s="1"/>
  <c r="Q277" i="281"/>
  <c r="Q254" i="281"/>
  <c r="G80" i="281"/>
  <c r="G141" i="281"/>
  <c r="D171" i="281"/>
  <c r="D173" i="281" s="1"/>
  <c r="G279" i="281"/>
  <c r="G302" i="281" s="1"/>
  <c r="G325" i="281" s="1"/>
  <c r="G256" i="281"/>
  <c r="I277" i="281"/>
  <c r="I254" i="281"/>
  <c r="K277" i="281"/>
  <c r="K300" i="281" s="1"/>
  <c r="K323" i="281" s="1"/>
  <c r="N277" i="281"/>
  <c r="N254" i="281"/>
  <c r="D278" i="281"/>
  <c r="D301" i="281" s="1"/>
  <c r="D255" i="281"/>
  <c r="D239" i="281" s="1"/>
  <c r="H278" i="281"/>
  <c r="H301" i="281" s="1"/>
  <c r="H324" i="281" s="1"/>
  <c r="H255" i="281"/>
  <c r="K278" i="281"/>
  <c r="K301" i="281" s="1"/>
  <c r="K324" i="281" s="1"/>
  <c r="K255" i="281"/>
  <c r="O278" i="281"/>
  <c r="O301" i="281" s="1"/>
  <c r="O324" i="281" s="1"/>
  <c r="O255" i="281"/>
  <c r="C279" i="281"/>
  <c r="C302" i="281" s="1"/>
  <c r="C325" i="281" s="1"/>
  <c r="C256" i="281"/>
  <c r="C375" i="281"/>
  <c r="G375" i="281"/>
  <c r="E58" i="5"/>
  <c r="E63" i="5"/>
  <c r="E73" i="5"/>
  <c r="E113" i="5"/>
  <c r="E112" i="5"/>
  <c r="E69" i="5"/>
  <c r="E71" i="5"/>
  <c r="E79" i="5"/>
  <c r="D34" i="4"/>
  <c r="D58" i="5"/>
  <c r="D112" i="5"/>
  <c r="D113" i="5"/>
  <c r="D73" i="5"/>
  <c r="D69" i="5"/>
  <c r="D71" i="5"/>
  <c r="F19" i="283"/>
  <c r="M8" i="283"/>
  <c r="L7" i="283"/>
  <c r="L10" i="283" s="1"/>
  <c r="E20" i="285"/>
  <c r="H7" i="284"/>
  <c r="H327" i="282"/>
  <c r="L327" i="282"/>
  <c r="P327" i="282"/>
  <c r="C377" i="281"/>
  <c r="C378" i="281" s="1"/>
  <c r="C379" i="281" s="1"/>
  <c r="C380" i="281" s="1"/>
  <c r="C329" i="281"/>
  <c r="C376" i="281"/>
  <c r="C192" i="281"/>
  <c r="C193" i="281"/>
  <c r="C194" i="281" s="1"/>
  <c r="C196" i="281" s="1"/>
  <c r="F234" i="4"/>
  <c r="F237" i="4" s="1"/>
  <c r="F239" i="4" s="1"/>
  <c r="N46" i="6"/>
  <c r="Z10" i="6"/>
  <c r="K30" i="4"/>
  <c r="K58" i="5" s="1"/>
  <c r="K63" i="5" s="1"/>
  <c r="J119" i="4"/>
  <c r="G119" i="4"/>
  <c r="F46" i="4"/>
  <c r="F59" i="5" s="1"/>
  <c r="AB11" i="6"/>
  <c r="I259" i="4"/>
  <c r="L367" i="282"/>
  <c r="L385" i="282" s="1"/>
  <c r="L67" i="282" s="1"/>
  <c r="L210" i="282" s="1"/>
  <c r="M367" i="282"/>
  <c r="M385" i="282" s="1"/>
  <c r="M67" i="282" s="1"/>
  <c r="M210" i="282" s="1"/>
  <c r="H24" i="282"/>
  <c r="I381" i="282"/>
  <c r="I397" i="282" s="1"/>
  <c r="I74" i="282" s="1"/>
  <c r="I217" i="282" s="1"/>
  <c r="I24" i="282"/>
  <c r="G20" i="282"/>
  <c r="G22" i="282" s="1"/>
  <c r="G24" i="282" s="1"/>
  <c r="G26" i="282" s="1"/>
  <c r="G27" i="282" s="1"/>
  <c r="G28" i="282" s="1"/>
  <c r="G30" i="282" s="1"/>
  <c r="F19" i="282"/>
  <c r="E19" i="282" s="1"/>
  <c r="D19" i="282" s="1"/>
  <c r="D20" i="282" s="1"/>
  <c r="D22" i="282" s="1"/>
  <c r="D24" i="282" s="1"/>
  <c r="D26" i="282" s="1"/>
  <c r="D27" i="282" s="1"/>
  <c r="D28" i="282" s="1"/>
  <c r="D30" i="282" s="1"/>
  <c r="D61" i="282" s="1"/>
  <c r="F301" i="282"/>
  <c r="J301" i="282"/>
  <c r="N301" i="282"/>
  <c r="G327" i="282"/>
  <c r="K327" i="282"/>
  <c r="O327" i="282"/>
  <c r="S327" i="282"/>
  <c r="W327" i="282"/>
  <c r="AA327" i="282"/>
  <c r="D397" i="282"/>
  <c r="D74" i="282" s="1"/>
  <c r="D217" i="282" s="1"/>
  <c r="N327" i="282"/>
  <c r="D210" i="282"/>
  <c r="D79" i="282"/>
  <c r="C109" i="291"/>
  <c r="H26" i="291"/>
  <c r="I26" i="291" s="1"/>
  <c r="J26" i="291" s="1"/>
  <c r="K26" i="291" s="1"/>
  <c r="L26" i="291" s="1"/>
  <c r="M26" i="291" s="1"/>
  <c r="N26" i="291" s="1"/>
  <c r="O26" i="291" s="1"/>
  <c r="P26" i="291" s="1"/>
  <c r="Q26" i="291" s="1"/>
  <c r="R26" i="291" s="1"/>
  <c r="S26" i="291" s="1"/>
  <c r="T26" i="291" s="1"/>
  <c r="U26" i="291" s="1"/>
  <c r="L47" i="291"/>
  <c r="M47" i="291" s="1"/>
  <c r="K150" i="291"/>
  <c r="K178" i="291"/>
  <c r="K180" i="291" s="1"/>
  <c r="K12" i="291" s="1"/>
  <c r="D193" i="281"/>
  <c r="D191" i="281"/>
  <c r="D214" i="281"/>
  <c r="D215" i="281"/>
  <c r="G300" i="281"/>
  <c r="G261" i="281"/>
  <c r="G346" i="281"/>
  <c r="G330" i="281" s="1"/>
  <c r="Q369" i="281"/>
  <c r="P392" i="281"/>
  <c r="P300" i="281"/>
  <c r="P323" i="281" s="1"/>
  <c r="P346" i="281"/>
  <c r="S278" i="281"/>
  <c r="S301" i="281" s="1"/>
  <c r="S324" i="281" s="1"/>
  <c r="S347" i="281"/>
  <c r="S370" i="281" s="1"/>
  <c r="S393" i="281" s="1"/>
  <c r="N300" i="281"/>
  <c r="N323" i="281" s="1"/>
  <c r="N346" i="281"/>
  <c r="K350" i="281"/>
  <c r="K281" i="281"/>
  <c r="N350" i="281"/>
  <c r="I345" i="281"/>
  <c r="I368" i="281" s="1"/>
  <c r="I391" i="281" s="1"/>
  <c r="I299" i="281"/>
  <c r="I322" i="281" s="1"/>
  <c r="I346" i="281"/>
  <c r="I300" i="281"/>
  <c r="I323" i="281" s="1"/>
  <c r="D260" i="281"/>
  <c r="D375" i="281"/>
  <c r="C261" i="281"/>
  <c r="C300" i="281"/>
  <c r="R346" i="281"/>
  <c r="E350" i="281"/>
  <c r="E281" i="281"/>
  <c r="Q346" i="281"/>
  <c r="Q300" i="281"/>
  <c r="Q323" i="281" s="1"/>
  <c r="M346" i="281"/>
  <c r="M300" i="281"/>
  <c r="M323" i="281" s="1"/>
  <c r="E215" i="281"/>
  <c r="E260" i="281"/>
  <c r="E376" i="281"/>
  <c r="E378" i="281" s="1"/>
  <c r="E379" i="281" s="1"/>
  <c r="E380" i="281" s="1"/>
  <c r="C260" i="281"/>
  <c r="F350" i="281"/>
  <c r="F367" i="281" s="1"/>
  <c r="F281" i="281"/>
  <c r="I350" i="281"/>
  <c r="I281" i="281"/>
  <c r="M350" i="281"/>
  <c r="O350" i="281"/>
  <c r="O281" i="281"/>
  <c r="G345" i="281"/>
  <c r="G329" i="281" s="1"/>
  <c r="G332" i="281" s="1"/>
  <c r="G299" i="281"/>
  <c r="F261" i="281"/>
  <c r="F300" i="281"/>
  <c r="C350" i="281"/>
  <c r="C281" i="281"/>
  <c r="G350" i="281"/>
  <c r="G367" i="281" s="1"/>
  <c r="G281" i="281"/>
  <c r="J350" i="281"/>
  <c r="J281" i="281"/>
  <c r="P350" i="281"/>
  <c r="P367" i="281" s="1"/>
  <c r="P281" i="281"/>
  <c r="C215" i="281"/>
  <c r="E375" i="281"/>
  <c r="D99" i="281"/>
  <c r="D102" i="281" s="1"/>
  <c r="D104" i="281" s="1"/>
  <c r="I375" i="281"/>
  <c r="I378" i="281" s="1"/>
  <c r="I379" i="281" s="1"/>
  <c r="I380" i="281" s="1"/>
  <c r="F378" i="281"/>
  <c r="H217" i="281"/>
  <c r="H218" i="281" s="1"/>
  <c r="H219" i="281" s="1"/>
  <c r="E36" i="291"/>
  <c r="E39" i="291" s="1"/>
  <c r="E70" i="291"/>
  <c r="E73" i="291" s="1"/>
  <c r="E192" i="281"/>
  <c r="E194" i="281" s="1"/>
  <c r="E196" i="281" s="1"/>
  <c r="V25" i="4"/>
  <c r="V11" i="4"/>
  <c r="AG34" i="4"/>
  <c r="AH34" i="4" s="1"/>
  <c r="E127" i="4"/>
  <c r="AG101" i="4"/>
  <c r="AG102" i="4" s="1"/>
  <c r="V91" i="4"/>
  <c r="N57" i="5"/>
  <c r="G214" i="281"/>
  <c r="G215" i="281"/>
  <c r="D28" i="291"/>
  <c r="D29" i="291"/>
  <c r="E24" i="291" s="1"/>
  <c r="E29" i="291" s="1"/>
  <c r="F24" i="291" s="1"/>
  <c r="D59" i="291"/>
  <c r="D60" i="291"/>
  <c r="E55" i="291" s="1"/>
  <c r="E60" i="291" s="1"/>
  <c r="F55" i="291" s="1"/>
  <c r="E329" i="281"/>
  <c r="E332" i="281" s="1"/>
  <c r="E333" i="281" s="1"/>
  <c r="E334" i="281" s="1"/>
  <c r="F260" i="281"/>
  <c r="C112" i="291"/>
  <c r="H57" i="291"/>
  <c r="F192" i="281"/>
  <c r="F194" i="281" s="1"/>
  <c r="F196" i="281" s="1"/>
  <c r="G62" i="291"/>
  <c r="G67" i="291" s="1"/>
  <c r="H99" i="291"/>
  <c r="AB10" i="6"/>
  <c r="Q114" i="4"/>
  <c r="J207" i="281"/>
  <c r="G260" i="281"/>
  <c r="H260" i="281"/>
  <c r="H263" i="281" s="1"/>
  <c r="E214" i="281"/>
  <c r="D331" i="281"/>
  <c r="H376" i="281"/>
  <c r="D329" i="281"/>
  <c r="D261" i="281"/>
  <c r="D353" i="281"/>
  <c r="E100" i="281"/>
  <c r="E102" i="281" s="1"/>
  <c r="E104" i="281" s="1"/>
  <c r="D354" i="281"/>
  <c r="S10" i="6"/>
  <c r="Q10" i="4"/>
  <c r="Q8" i="4"/>
  <c r="L260" i="4"/>
  <c r="K260" i="4"/>
  <c r="D61" i="4"/>
  <c r="AA10" i="6"/>
  <c r="W10" i="6"/>
  <c r="H13" i="266"/>
  <c r="G13" i="266"/>
  <c r="T39" i="266"/>
  <c r="T40" i="266" s="1"/>
  <c r="I53" i="266"/>
  <c r="G52" i="266"/>
  <c r="H53" i="266" s="1"/>
  <c r="K75" i="256"/>
  <c r="AP12" i="4"/>
  <c r="C22" i="286"/>
  <c r="C26" i="286" s="1"/>
  <c r="C34" i="286" s="1"/>
  <c r="C21" i="286"/>
  <c r="C25" i="286" s="1"/>
  <c r="C33" i="286" s="1"/>
  <c r="C49" i="286"/>
  <c r="C53" i="286" s="1"/>
  <c r="C57" i="286" s="1"/>
  <c r="C65" i="286" s="1"/>
  <c r="E16" i="286"/>
  <c r="E18" i="286" s="1"/>
  <c r="L171" i="281"/>
  <c r="P171" i="281"/>
  <c r="E16" i="267"/>
  <c r="L98" i="266"/>
  <c r="E57" i="256"/>
  <c r="F57" i="256" s="1"/>
  <c r="G57" i="256" s="1"/>
  <c r="H57" i="256" s="1"/>
  <c r="I57" i="256" s="1"/>
  <c r="J57" i="256" s="1"/>
  <c r="H98" i="266"/>
  <c r="J52" i="266"/>
  <c r="E53" i="256"/>
  <c r="F54" i="256"/>
  <c r="G54" i="256" s="1"/>
  <c r="H54" i="256" s="1"/>
  <c r="I54" i="256" s="1"/>
  <c r="J54" i="256" s="1"/>
  <c r="K54" i="256" s="1"/>
  <c r="L54" i="256" s="1"/>
  <c r="M54" i="256" s="1"/>
  <c r="N54" i="256" s="1"/>
  <c r="O54" i="256" s="1"/>
  <c r="P54" i="256" s="1"/>
  <c r="Q54" i="256" s="1"/>
  <c r="R54" i="256" s="1"/>
  <c r="S54" i="256" s="1"/>
  <c r="T54" i="256" s="1"/>
  <c r="U54" i="256" s="1"/>
  <c r="V54" i="256" s="1"/>
  <c r="W54" i="256" s="1"/>
  <c r="X54" i="256" s="1"/>
  <c r="E93" i="256"/>
  <c r="E95" i="256" s="1"/>
  <c r="H39" i="4"/>
  <c r="H88" i="4" s="1"/>
  <c r="G39" i="4"/>
  <c r="L8" i="4"/>
  <c r="H259" i="4"/>
  <c r="K14" i="266"/>
  <c r="L14" i="266" s="1"/>
  <c r="F20" i="282"/>
  <c r="F22" i="282" s="1"/>
  <c r="F24" i="282" s="1"/>
  <c r="F26" i="282" s="1"/>
  <c r="F27" i="282" s="1"/>
  <c r="F28" i="282" s="1"/>
  <c r="F30" i="282" s="1"/>
  <c r="J230" i="281"/>
  <c r="K207" i="281"/>
  <c r="J90" i="4"/>
  <c r="J91" i="4"/>
  <c r="L10" i="4"/>
  <c r="H65" i="266"/>
  <c r="J259" i="4"/>
  <c r="D42" i="4"/>
  <c r="D47" i="4"/>
  <c r="D51" i="4" s="1"/>
  <c r="D54" i="4" s="1"/>
  <c r="D56" i="4" s="1"/>
  <c r="E34" i="4"/>
  <c r="F57" i="5"/>
  <c r="G59" i="4"/>
  <c r="G61" i="4" s="1"/>
  <c r="G98" i="266"/>
  <c r="H40" i="266"/>
  <c r="F98" i="266"/>
  <c r="M98" i="266"/>
  <c r="I98" i="266"/>
  <c r="F40" i="266"/>
  <c r="P98" i="266"/>
  <c r="K98" i="266"/>
  <c r="I40" i="266"/>
  <c r="K9" i="6"/>
  <c r="K80" i="5" s="1"/>
  <c r="L59" i="4"/>
  <c r="F50" i="286"/>
  <c r="G17" i="286"/>
  <c r="M71" i="291"/>
  <c r="I279" i="281"/>
  <c r="I302" i="281" s="1"/>
  <c r="I325" i="281" s="1"/>
  <c r="I348" i="281"/>
  <c r="K8" i="4"/>
  <c r="F15" i="283"/>
  <c r="G14" i="283"/>
  <c r="G19" i="283" s="1"/>
  <c r="L390" i="281"/>
  <c r="L396" i="281"/>
  <c r="AQ12" i="4"/>
  <c r="X25" i="267"/>
  <c r="AR12" i="4" s="1"/>
  <c r="Q34" i="4"/>
  <c r="L60" i="5"/>
  <c r="K52" i="266"/>
  <c r="K39" i="256"/>
  <c r="J98" i="4"/>
  <c r="J97" i="4" s="1"/>
  <c r="K39" i="4"/>
  <c r="K88" i="4" s="1"/>
  <c r="J34" i="4"/>
  <c r="F61" i="266"/>
  <c r="E64" i="266"/>
  <c r="E67" i="266" s="1"/>
  <c r="F9" i="256"/>
  <c r="E8" i="256"/>
  <c r="E17" i="256" s="1"/>
  <c r="F373" i="281"/>
  <c r="I373" i="281"/>
  <c r="I367" i="281"/>
  <c r="O367" i="281"/>
  <c r="O373" i="281"/>
  <c r="M7" i="283"/>
  <c r="M10" i="283" s="1"/>
  <c r="N8" i="283"/>
  <c r="G15" i="286"/>
  <c r="F16" i="286"/>
  <c r="F18" i="286" s="1"/>
  <c r="C354" i="281"/>
  <c r="C352" i="281"/>
  <c r="C353" i="281"/>
  <c r="E47" i="4"/>
  <c r="E51" i="4" s="1"/>
  <c r="E54" i="4" s="1"/>
  <c r="I4" i="266"/>
  <c r="Q396" i="281"/>
  <c r="Q390" i="281"/>
  <c r="L72" i="281"/>
  <c r="L118" i="281" s="1"/>
  <c r="L164" i="281" s="1"/>
  <c r="L187" i="281" s="1"/>
  <c r="L49" i="281"/>
  <c r="L95" i="281" s="1"/>
  <c r="L210" i="281"/>
  <c r="L233" i="281" s="1"/>
  <c r="L256" i="281" s="1"/>
  <c r="K279" i="281"/>
  <c r="K302" i="281" s="1"/>
  <c r="K325" i="281" s="1"/>
  <c r="K348" i="281"/>
  <c r="H279" i="281"/>
  <c r="H302" i="281" s="1"/>
  <c r="H325" i="281" s="1"/>
  <c r="H348" i="281"/>
  <c r="I24" i="267"/>
  <c r="D52" i="281" s="1"/>
  <c r="Q13" i="4"/>
  <c r="Q30" i="4" s="1"/>
  <c r="M58" i="5" s="1"/>
  <c r="M63" i="5" s="1"/>
  <c r="H109" i="266"/>
  <c r="H110" i="266" s="1"/>
  <c r="H84" i="256"/>
  <c r="I84" i="256" s="1"/>
  <c r="E61" i="4"/>
  <c r="I42" i="4"/>
  <c r="K245" i="4"/>
  <c r="J373" i="281"/>
  <c r="J367" i="281"/>
  <c r="I23" i="281"/>
  <c r="H46" i="281"/>
  <c r="O65" i="282"/>
  <c r="O208" i="282" s="1"/>
  <c r="P383" i="282"/>
  <c r="O385" i="282"/>
  <c r="O67" i="282" s="1"/>
  <c r="O210" i="282" s="1"/>
  <c r="D22" i="286"/>
  <c r="D26" i="286" s="1"/>
  <c r="D34" i="286" s="1"/>
  <c r="D21" i="286"/>
  <c r="D25" i="286" s="1"/>
  <c r="D33" i="286" s="1"/>
  <c r="C101" i="281"/>
  <c r="C102" i="281" s="1"/>
  <c r="C104" i="281" s="1"/>
  <c r="H172" i="281"/>
  <c r="H173" i="281" s="1"/>
  <c r="G8" i="288"/>
  <c r="G12" i="288" s="1"/>
  <c r="G16" i="288" s="1"/>
  <c r="G11" i="288"/>
  <c r="G15" i="288" s="1"/>
  <c r="H355" i="281"/>
  <c r="H356" i="281" s="1"/>
  <c r="H357" i="281" s="1"/>
  <c r="U28" i="288"/>
  <c r="U29" i="288"/>
  <c r="E353" i="281"/>
  <c r="E355" i="281" s="1"/>
  <c r="E356" i="281" s="1"/>
  <c r="E357" i="281" s="1"/>
  <c r="I25" i="291"/>
  <c r="I37" i="291"/>
  <c r="U7" i="6"/>
  <c r="V7" i="6"/>
  <c r="G378" i="281"/>
  <c r="G379" i="281" s="1"/>
  <c r="G380" i="281" s="1"/>
  <c r="G118" i="4"/>
  <c r="H24" i="267"/>
  <c r="M144" i="5"/>
  <c r="O275" i="281"/>
  <c r="D145" i="281"/>
  <c r="D148" i="281" s="1"/>
  <c r="D150" i="281" s="1"/>
  <c r="G348" i="281"/>
  <c r="D208" i="282"/>
  <c r="Q25" i="267"/>
  <c r="AB294" i="282"/>
  <c r="G301" i="282"/>
  <c r="K301" i="282"/>
  <c r="E50" i="286"/>
  <c r="C216" i="281"/>
  <c r="E171" i="281"/>
  <c r="E173" i="281" s="1"/>
  <c r="I171" i="281"/>
  <c r="I172" i="281" s="1"/>
  <c r="I173" i="281" s="1"/>
  <c r="M171" i="281"/>
  <c r="Q171" i="281"/>
  <c r="F147" i="281"/>
  <c r="F148" i="281" s="1"/>
  <c r="F150" i="281" s="1"/>
  <c r="D11" i="288"/>
  <c r="D15" i="288" s="1"/>
  <c r="D8" i="288"/>
  <c r="D12" i="288" s="1"/>
  <c r="D16" i="288" s="1"/>
  <c r="H34" i="291"/>
  <c r="I34" i="291" s="1"/>
  <c r="J34" i="291" s="1"/>
  <c r="K34" i="291" s="1"/>
  <c r="L34" i="291" s="1"/>
  <c r="M34" i="291" s="1"/>
  <c r="N34" i="291" s="1"/>
  <c r="O34" i="291" s="1"/>
  <c r="P34" i="291" s="1"/>
  <c r="Q34" i="291" s="1"/>
  <c r="R34" i="291" s="1"/>
  <c r="S34" i="291" s="1"/>
  <c r="T34" i="291" s="1"/>
  <c r="U34" i="291" s="1"/>
  <c r="G33" i="291"/>
  <c r="D101" i="291"/>
  <c r="K62" i="292"/>
  <c r="L60" i="292"/>
  <c r="K70" i="292"/>
  <c r="E33" i="292"/>
  <c r="E73" i="292" s="1"/>
  <c r="H33" i="292"/>
  <c r="H73" i="292" s="1"/>
  <c r="J33" i="292"/>
  <c r="J73" i="292" s="1"/>
  <c r="L66" i="292"/>
  <c r="L57" i="292"/>
  <c r="E76" i="4"/>
  <c r="F355" i="281"/>
  <c r="F356" i="281" s="1"/>
  <c r="F357" i="281" s="1"/>
  <c r="AR34" i="266"/>
  <c r="AR35" i="266" s="1"/>
  <c r="AR36" i="266" s="1"/>
  <c r="AR37" i="266" s="1"/>
  <c r="AR38" i="266" s="1"/>
  <c r="AR39" i="266" s="1"/>
  <c r="AR40" i="266" s="1"/>
  <c r="AR41" i="266" s="1"/>
  <c r="I2" i="256"/>
  <c r="J2" i="256" s="1"/>
  <c r="K2" i="256" s="1"/>
  <c r="L2" i="256" s="1"/>
  <c r="M2" i="256" s="1"/>
  <c r="N2" i="256" s="1"/>
  <c r="O2" i="256" s="1"/>
  <c r="P2" i="256" s="1"/>
  <c r="Q2" i="256" s="1"/>
  <c r="R2" i="256" s="1"/>
  <c r="S2" i="256" s="1"/>
  <c r="T2" i="256" s="1"/>
  <c r="U2" i="256" s="1"/>
  <c r="V2" i="256" s="1"/>
  <c r="W2" i="256" s="1"/>
  <c r="X2" i="256" s="1"/>
  <c r="Q91" i="4"/>
  <c r="S367" i="281"/>
  <c r="H145" i="281"/>
  <c r="H148" i="281" s="1"/>
  <c r="D301" i="282"/>
  <c r="H301" i="282"/>
  <c r="X320" i="282"/>
  <c r="AB320" i="282"/>
  <c r="R327" i="282"/>
  <c r="V327" i="282"/>
  <c r="V18" i="4"/>
  <c r="G46" i="286"/>
  <c r="H46" i="286" s="1"/>
  <c r="I46" i="286" s="1"/>
  <c r="J46" i="286" s="1"/>
  <c r="K46" i="286" s="1"/>
  <c r="L46" i="286" s="1"/>
  <c r="M46" i="286" s="1"/>
  <c r="F171" i="281"/>
  <c r="F173" i="281" s="1"/>
  <c r="J171" i="281"/>
  <c r="N171" i="281"/>
  <c r="R171" i="281"/>
  <c r="I12" i="288"/>
  <c r="I16" i="288" s="1"/>
  <c r="I9" i="288"/>
  <c r="I13" i="288" s="1"/>
  <c r="I17" i="288" s="1"/>
  <c r="E102" i="291"/>
  <c r="F97" i="291" s="1"/>
  <c r="G352" i="281"/>
  <c r="G353" i="281"/>
  <c r="F31" i="291"/>
  <c r="F36" i="291" s="1"/>
  <c r="F39" i="291" s="1"/>
  <c r="G32" i="291"/>
  <c r="E236" i="281" s="1"/>
  <c r="L86" i="291"/>
  <c r="H56" i="291"/>
  <c r="I57" i="291"/>
  <c r="J57" i="291" s="1"/>
  <c r="K57" i="291" s="1"/>
  <c r="L57" i="291" s="1"/>
  <c r="M57" i="291" s="1"/>
  <c r="N57" i="291" s="1"/>
  <c r="O57" i="291" s="1"/>
  <c r="P57" i="291" s="1"/>
  <c r="Q57" i="291" s="1"/>
  <c r="R57" i="291" s="1"/>
  <c r="S57" i="291" s="1"/>
  <c r="T57" i="291" s="1"/>
  <c r="U57" i="291" s="1"/>
  <c r="D104" i="291"/>
  <c r="E105" i="291"/>
  <c r="C330" i="281"/>
  <c r="K33" i="292"/>
  <c r="K73" i="292" s="1"/>
  <c r="M22" i="292"/>
  <c r="M32" i="292" s="1"/>
  <c r="M53" i="292"/>
  <c r="N12" i="292"/>
  <c r="M21" i="292"/>
  <c r="M31" i="292" s="1"/>
  <c r="M33" i="292" s="1"/>
  <c r="M38" i="292"/>
  <c r="M42" i="292" s="1"/>
  <c r="M46" i="292" s="1"/>
  <c r="L25" i="4"/>
  <c r="Q4" i="256"/>
  <c r="E275" i="281"/>
  <c r="K347" i="281"/>
  <c r="K370" i="281" s="1"/>
  <c r="K393" i="281" s="1"/>
  <c r="E147" i="281"/>
  <c r="F30" i="285"/>
  <c r="F320" i="282"/>
  <c r="J320" i="282"/>
  <c r="N320" i="282"/>
  <c r="D48" i="286"/>
  <c r="G171" i="281"/>
  <c r="K171" i="281"/>
  <c r="K172" i="281" s="1"/>
  <c r="K173" i="281" s="1"/>
  <c r="O171" i="281"/>
  <c r="S171" i="281"/>
  <c r="G147" i="281"/>
  <c r="G148" i="281" s="1"/>
  <c r="L5" i="288"/>
  <c r="M3" i="288"/>
  <c r="L7" i="288"/>
  <c r="E59" i="291"/>
  <c r="K119" i="291"/>
  <c r="AA25" i="4"/>
  <c r="E179" i="281"/>
  <c r="D5" i="288"/>
  <c r="U46" i="4"/>
  <c r="F62" i="291"/>
  <c r="V10" i="6"/>
  <c r="R46" i="4"/>
  <c r="F215" i="281"/>
  <c r="D262" i="281"/>
  <c r="D377" i="281"/>
  <c r="H375" i="281"/>
  <c r="H378" i="281" s="1"/>
  <c r="V26" i="6"/>
  <c r="L164" i="4"/>
  <c r="L167" i="4" s="1"/>
  <c r="Q163" i="4"/>
  <c r="H119" i="4"/>
  <c r="L91" i="4"/>
  <c r="J46" i="4"/>
  <c r="J59" i="5" s="1"/>
  <c r="J8" i="4"/>
  <c r="L12" i="4"/>
  <c r="H25" i="267" s="1"/>
  <c r="H59" i="4"/>
  <c r="L114" i="4"/>
  <c r="Y11" i="6"/>
  <c r="P301" i="282"/>
  <c r="T301" i="282"/>
  <c r="F294" i="282"/>
  <c r="J294" i="282"/>
  <c r="N294" i="282"/>
  <c r="R294" i="282"/>
  <c r="V294" i="282"/>
  <c r="Z294" i="282"/>
  <c r="L301" i="282"/>
  <c r="N17" i="266"/>
  <c r="E22" i="266"/>
  <c r="E7" i="266"/>
  <c r="F8" i="266"/>
  <c r="C21" i="266"/>
  <c r="C24" i="266" s="1"/>
  <c r="C26" i="266" s="1"/>
  <c r="C16" i="266"/>
  <c r="C19" i="266" s="1"/>
  <c r="D10" i="266" s="1"/>
  <c r="U39" i="266"/>
  <c r="L75" i="256"/>
  <c r="G9" i="256"/>
  <c r="F8" i="256"/>
  <c r="E11" i="256"/>
  <c r="E14" i="256" s="1"/>
  <c r="G48" i="256"/>
  <c r="L12" i="256"/>
  <c r="I109" i="266"/>
  <c r="J53" i="266"/>
  <c r="D59" i="256"/>
  <c r="E51" i="256" s="1"/>
  <c r="R4" i="256"/>
  <c r="S4" i="256" s="1"/>
  <c r="Q3" i="256"/>
  <c r="L49" i="256"/>
  <c r="O92" i="256"/>
  <c r="P47" i="256"/>
  <c r="D62" i="256"/>
  <c r="E62" i="256" s="1"/>
  <c r="H90" i="4"/>
  <c r="H91" i="4"/>
  <c r="F68" i="4"/>
  <c r="F151" i="5" s="1"/>
  <c r="I8" i="4"/>
  <c r="K91" i="4"/>
  <c r="K90" i="4"/>
  <c r="H30" i="4"/>
  <c r="H58" i="5" s="1"/>
  <c r="H63" i="5" s="1"/>
  <c r="F120" i="4"/>
  <c r="F119" i="4"/>
  <c r="F118" i="4" s="1"/>
  <c r="K120" i="4"/>
  <c r="K119" i="4"/>
  <c r="L119" i="4"/>
  <c r="L120" i="4"/>
  <c r="I119" i="4"/>
  <c r="I120" i="4"/>
  <c r="G260" i="4"/>
  <c r="W11" i="6"/>
  <c r="V11" i="6"/>
  <c r="J123" i="282"/>
  <c r="AC294" i="282"/>
  <c r="D81" i="282"/>
  <c r="L320" i="282"/>
  <c r="G381" i="282"/>
  <c r="G72" i="282" s="1"/>
  <c r="G215" i="282" s="1"/>
  <c r="L381" i="282"/>
  <c r="L72" i="282" s="1"/>
  <c r="L215" i="282" s="1"/>
  <c r="F123" i="282"/>
  <c r="O294" i="282"/>
  <c r="I294" i="282"/>
  <c r="M294" i="282"/>
  <c r="Y294" i="282"/>
  <c r="H320" i="282"/>
  <c r="W320" i="282"/>
  <c r="AA320" i="282"/>
  <c r="E320" i="282"/>
  <c r="I320" i="282"/>
  <c r="I327" i="282"/>
  <c r="Y327" i="282"/>
  <c r="AC327" i="282"/>
  <c r="M72" i="282"/>
  <c r="M215" i="282" s="1"/>
  <c r="M397" i="282"/>
  <c r="M74" i="282" s="1"/>
  <c r="M217" i="282" s="1"/>
  <c r="L397" i="282"/>
  <c r="L74" i="282" s="1"/>
  <c r="L217" i="282" s="1"/>
  <c r="AD17" i="282"/>
  <c r="L17" i="282"/>
  <c r="K20" i="282"/>
  <c r="K22" i="282" s="1"/>
  <c r="K24" i="282" s="1"/>
  <c r="I72" i="282"/>
  <c r="I215" i="282" s="1"/>
  <c r="F72" i="282"/>
  <c r="F215" i="282" s="1"/>
  <c r="F397" i="282"/>
  <c r="F74" i="282" s="1"/>
  <c r="F217" i="282" s="1"/>
  <c r="O377" i="282"/>
  <c r="P377" i="282" s="1"/>
  <c r="N381" i="282"/>
  <c r="D136" i="282"/>
  <c r="I26" i="282"/>
  <c r="I27" i="282" s="1"/>
  <c r="I28" i="282" s="1"/>
  <c r="I30" i="282" s="1"/>
  <c r="I58" i="282" s="1"/>
  <c r="G294" i="282"/>
  <c r="K294" i="282"/>
  <c r="W294" i="282"/>
  <c r="AA294" i="282"/>
  <c r="R301" i="282"/>
  <c r="V301" i="282"/>
  <c r="Z301" i="282"/>
  <c r="G320" i="282"/>
  <c r="V320" i="282"/>
  <c r="Z320" i="282"/>
  <c r="E327" i="282"/>
  <c r="Q327" i="282"/>
  <c r="K381" i="282"/>
  <c r="K397" i="282" s="1"/>
  <c r="K74" i="282" s="1"/>
  <c r="K217" i="282" s="1"/>
  <c r="D134" i="282"/>
  <c r="D133" i="282" s="1"/>
  <c r="O92" i="282"/>
  <c r="J20" i="282"/>
  <c r="J22" i="282" s="1"/>
  <c r="J24" i="282" s="1"/>
  <c r="J26" i="282" s="1"/>
  <c r="J27" i="282" s="1"/>
  <c r="J28" i="282" s="1"/>
  <c r="J30" i="282" s="1"/>
  <c r="D123" i="282"/>
  <c r="D294" i="282"/>
  <c r="H294" i="282"/>
  <c r="L294" i="282"/>
  <c r="P294" i="282"/>
  <c r="T294" i="282"/>
  <c r="X294" i="282"/>
  <c r="O301" i="282"/>
  <c r="S301" i="282"/>
  <c r="W301" i="282"/>
  <c r="AA301" i="282"/>
  <c r="P320" i="282"/>
  <c r="F327" i="282"/>
  <c r="J327" i="282"/>
  <c r="U327" i="282"/>
  <c r="E381" i="282"/>
  <c r="E72" i="282" s="1"/>
  <c r="E215" i="282" s="1"/>
  <c r="D83" i="282"/>
  <c r="D77" i="282" s="1"/>
  <c r="E294" i="282"/>
  <c r="M320" i="282"/>
  <c r="Q320" i="282"/>
  <c r="H236" i="282"/>
  <c r="I236" i="282" s="1"/>
  <c r="J236" i="282" s="1"/>
  <c r="K236" i="282" s="1"/>
  <c r="L236" i="282" s="1"/>
  <c r="M236" i="282" s="1"/>
  <c r="N236" i="282" s="1"/>
  <c r="O236" i="282" s="1"/>
  <c r="P236" i="282" s="1"/>
  <c r="Q236" i="282" s="1"/>
  <c r="R236" i="282" s="1"/>
  <c r="S236" i="282" s="1"/>
  <c r="T236" i="282" s="1"/>
  <c r="U236" i="282" s="1"/>
  <c r="V236" i="282" s="1"/>
  <c r="W236" i="282" s="1"/>
  <c r="X236" i="282" s="1"/>
  <c r="Y236" i="282" s="1"/>
  <c r="H381" i="282"/>
  <c r="J381" i="282"/>
  <c r="H26" i="282"/>
  <c r="H27" i="282" s="1"/>
  <c r="H28" i="282" s="1"/>
  <c r="H30" i="282" s="1"/>
  <c r="H57" i="282" s="1"/>
  <c r="S294" i="282"/>
  <c r="AC320" i="282"/>
  <c r="D94" i="282"/>
  <c r="D96" i="282" s="1"/>
  <c r="D237" i="282" s="1"/>
  <c r="D239" i="282" s="1"/>
  <c r="D58" i="282"/>
  <c r="H53" i="282"/>
  <c r="K25" i="282"/>
  <c r="L25" i="282" s="1"/>
  <c r="M25" i="282" s="1"/>
  <c r="N25" i="282" s="1"/>
  <c r="O25" i="282" s="1"/>
  <c r="P25" i="282" s="1"/>
  <c r="Q25" i="282" s="1"/>
  <c r="R25" i="282" s="1"/>
  <c r="S25" i="282" s="1"/>
  <c r="T25" i="282" s="1"/>
  <c r="P2" i="282"/>
  <c r="H123" i="282"/>
  <c r="F379" i="281"/>
  <c r="F380" i="281" s="1"/>
  <c r="F330" i="281"/>
  <c r="F332" i="281" s="1"/>
  <c r="F214" i="281"/>
  <c r="D376" i="281"/>
  <c r="C179" i="281"/>
  <c r="O53" i="6"/>
  <c r="AM250" i="4"/>
  <c r="AL250" i="4"/>
  <c r="G149" i="4"/>
  <c r="AR250" i="4"/>
  <c r="AN250" i="4"/>
  <c r="AJ250" i="4"/>
  <c r="AK250" i="4"/>
  <c r="U11" i="6"/>
  <c r="AA11" i="6"/>
  <c r="L192" i="4"/>
  <c r="L197" i="4" s="1"/>
  <c r="K200" i="4"/>
  <c r="L175" i="4"/>
  <c r="L177" i="4" s="1"/>
  <c r="Q175" i="4" s="1"/>
  <c r="K183" i="4"/>
  <c r="AP250" i="4"/>
  <c r="Z11" i="6"/>
  <c r="F127" i="4"/>
  <c r="G5" i="4"/>
  <c r="F211" i="4"/>
  <c r="F212" i="4" s="1"/>
  <c r="F215" i="4" s="1"/>
  <c r="F218" i="4" s="1"/>
  <c r="F222" i="4" s="1"/>
  <c r="Y10" i="6"/>
  <c r="X10" i="6"/>
  <c r="K114" i="4"/>
  <c r="T10" i="6"/>
  <c r="F243" i="4"/>
  <c r="AL230" i="4"/>
  <c r="AO250" i="4"/>
  <c r="AQ250" i="4"/>
  <c r="X11" i="6"/>
  <c r="H129" i="4"/>
  <c r="G134" i="4"/>
  <c r="I38" i="4"/>
  <c r="H149" i="4"/>
  <c r="H145" i="4"/>
  <c r="H146" i="4" s="1"/>
  <c r="I144" i="4" s="1"/>
  <c r="I149" i="4" s="1"/>
  <c r="E42" i="4"/>
  <c r="U10" i="6"/>
  <c r="E31" i="4"/>
  <c r="V202" i="4"/>
  <c r="AA179" i="4"/>
  <c r="AA185" i="4"/>
  <c r="AG196" i="4"/>
  <c r="F238" i="4"/>
  <c r="G231" i="4"/>
  <c r="K221" i="4"/>
  <c r="K222" i="4"/>
  <c r="M67" i="5" l="1"/>
  <c r="I7" i="284"/>
  <c r="F3" i="283"/>
  <c r="Q39" i="4"/>
  <c r="V59" i="4"/>
  <c r="N144" i="5"/>
  <c r="F259" i="4"/>
  <c r="F150" i="5"/>
  <c r="I65" i="5"/>
  <c r="I67" i="5"/>
  <c r="P65" i="5"/>
  <c r="O64" i="5"/>
  <c r="O11" i="5" s="1"/>
  <c r="E237" i="281"/>
  <c r="E240" i="281" s="1"/>
  <c r="E242" i="281" s="1"/>
  <c r="E238" i="281"/>
  <c r="P67" i="5"/>
  <c r="O66" i="5"/>
  <c r="O20" i="5" s="1"/>
  <c r="F284" i="281"/>
  <c r="F323" i="281"/>
  <c r="F307" i="281" s="1"/>
  <c r="R367" i="281"/>
  <c r="R373" i="281"/>
  <c r="P373" i="281"/>
  <c r="P390" i="281" s="1"/>
  <c r="G373" i="281"/>
  <c r="P298" i="281"/>
  <c r="P304" i="281"/>
  <c r="P321" i="281" s="1"/>
  <c r="G298" i="281"/>
  <c r="G304" i="281"/>
  <c r="G321" i="281" s="1"/>
  <c r="G333" i="281"/>
  <c r="G334" i="281" s="1"/>
  <c r="C284" i="281"/>
  <c r="C323" i="281"/>
  <c r="C307" i="281" s="1"/>
  <c r="K346" i="281"/>
  <c r="H299" i="281"/>
  <c r="L346" i="281"/>
  <c r="S346" i="281"/>
  <c r="F283" i="281"/>
  <c r="F322" i="281"/>
  <c r="F306" i="281" s="1"/>
  <c r="F309" i="281" s="1"/>
  <c r="F310" i="281" s="1"/>
  <c r="F311" i="281" s="1"/>
  <c r="I298" i="281"/>
  <c r="I304" i="281"/>
  <c r="I321" i="281" s="1"/>
  <c r="E298" i="281"/>
  <c r="E304" i="281"/>
  <c r="E321" i="281" s="1"/>
  <c r="G284" i="281"/>
  <c r="G323" i="281"/>
  <c r="G307" i="281" s="1"/>
  <c r="N72" i="281"/>
  <c r="N118" i="281" s="1"/>
  <c r="N164" i="281" s="1"/>
  <c r="N187" i="281" s="1"/>
  <c r="N172" i="281" s="1"/>
  <c r="N173" i="281" s="1"/>
  <c r="N49" i="281"/>
  <c r="N95" i="281" s="1"/>
  <c r="L80" i="281"/>
  <c r="L141" i="281"/>
  <c r="O26" i="281"/>
  <c r="P26" i="281" s="1"/>
  <c r="J276" i="281"/>
  <c r="J253" i="281"/>
  <c r="H264" i="281"/>
  <c r="H265" i="281" s="1"/>
  <c r="C301" i="281"/>
  <c r="J298" i="281"/>
  <c r="J304" i="281"/>
  <c r="J321" i="281" s="1"/>
  <c r="C298" i="281"/>
  <c r="C304" i="281"/>
  <c r="C321" i="281" s="1"/>
  <c r="O298" i="281"/>
  <c r="O304" i="281"/>
  <c r="O321" i="281" s="1"/>
  <c r="K298" i="281"/>
  <c r="K304" i="281"/>
  <c r="K321" i="281" s="1"/>
  <c r="D285" i="281"/>
  <c r="D324" i="281"/>
  <c r="D308" i="281" s="1"/>
  <c r="J300" i="281"/>
  <c r="J323" i="281" s="1"/>
  <c r="J346" i="281"/>
  <c r="D284" i="281"/>
  <c r="D286" i="281" s="1"/>
  <c r="D287" i="281" s="1"/>
  <c r="D288" i="281" s="1"/>
  <c r="D323" i="281"/>
  <c r="D307" i="281" s="1"/>
  <c r="M80" i="281"/>
  <c r="M141" i="281"/>
  <c r="E284" i="281"/>
  <c r="E323" i="281"/>
  <c r="E307" i="281" s="1"/>
  <c r="D240" i="281"/>
  <c r="D242" i="281" s="1"/>
  <c r="M256" i="281"/>
  <c r="M348" i="281"/>
  <c r="M279" i="281"/>
  <c r="M302" i="281" s="1"/>
  <c r="M325" i="281" s="1"/>
  <c r="E148" i="281"/>
  <c r="E150" i="281" s="1"/>
  <c r="C332" i="281"/>
  <c r="C333" i="281" s="1"/>
  <c r="N210" i="281"/>
  <c r="N233" i="281" s="1"/>
  <c r="N256" i="281" s="1"/>
  <c r="N371" i="281"/>
  <c r="N394" i="281" s="1"/>
  <c r="L172" i="281"/>
  <c r="L173" i="281" s="1"/>
  <c r="E261" i="281"/>
  <c r="E263" i="281" s="1"/>
  <c r="E264" i="281" s="1"/>
  <c r="G283" i="281"/>
  <c r="G322" i="281"/>
  <c r="G306" i="281" s="1"/>
  <c r="F298" i="281"/>
  <c r="F304" i="281"/>
  <c r="F321" i="281" s="1"/>
  <c r="E283" i="281"/>
  <c r="E286" i="281" s="1"/>
  <c r="E287" i="281" s="1"/>
  <c r="E288" i="281" s="1"/>
  <c r="E322" i="281"/>
  <c r="E306" i="281" s="1"/>
  <c r="H300" i="281"/>
  <c r="H346" i="281"/>
  <c r="H330" i="281" s="1"/>
  <c r="H332" i="281" s="1"/>
  <c r="H333" i="281" s="1"/>
  <c r="H334" i="281" s="1"/>
  <c r="J113" i="5"/>
  <c r="J73" i="5"/>
  <c r="J71" i="5"/>
  <c r="J69" i="5"/>
  <c r="J79" i="5"/>
  <c r="J112" i="5"/>
  <c r="F113" i="5"/>
  <c r="F71" i="5"/>
  <c r="F79" i="5"/>
  <c r="F69" i="5"/>
  <c r="F73" i="5"/>
  <c r="F112" i="5"/>
  <c r="F20" i="285"/>
  <c r="G20" i="285"/>
  <c r="J7" i="284"/>
  <c r="F58" i="282"/>
  <c r="F59" i="282" s="1"/>
  <c r="D33" i="282"/>
  <c r="E20" i="282"/>
  <c r="E22" i="282" s="1"/>
  <c r="E24" i="282" s="1"/>
  <c r="E26" i="282" s="1"/>
  <c r="E27" i="282" s="1"/>
  <c r="E28" i="282" s="1"/>
  <c r="E30" i="282" s="1"/>
  <c r="E33" i="282" s="1"/>
  <c r="I55" i="282"/>
  <c r="D217" i="281"/>
  <c r="D219" i="281" s="1"/>
  <c r="F76" i="4"/>
  <c r="P41" i="6"/>
  <c r="Q46" i="4"/>
  <c r="M59" i="5" s="1"/>
  <c r="D63" i="4"/>
  <c r="D65" i="4" s="1"/>
  <c r="K38" i="4"/>
  <c r="H42" i="4"/>
  <c r="C263" i="281"/>
  <c r="C264" i="281" s="1"/>
  <c r="C265" i="281" s="1"/>
  <c r="E28" i="291"/>
  <c r="G263" i="281"/>
  <c r="G264" i="281" s="1"/>
  <c r="M150" i="291"/>
  <c r="M178" i="291"/>
  <c r="M180" i="291" s="1"/>
  <c r="D194" i="281"/>
  <c r="D196" i="281" s="1"/>
  <c r="L119" i="291"/>
  <c r="L150" i="291"/>
  <c r="L178" i="291"/>
  <c r="L180" i="291" s="1"/>
  <c r="F263" i="281"/>
  <c r="F264" i="281" s="1"/>
  <c r="F265" i="281" s="1"/>
  <c r="J345" i="281"/>
  <c r="J368" i="281" s="1"/>
  <c r="J391" i="281" s="1"/>
  <c r="J375" i="281" s="1"/>
  <c r="J378" i="281" s="1"/>
  <c r="J379" i="281" s="1"/>
  <c r="J380" i="281" s="1"/>
  <c r="J299" i="281"/>
  <c r="J322" i="281" s="1"/>
  <c r="M367" i="281"/>
  <c r="M373" i="281"/>
  <c r="K373" i="281"/>
  <c r="K367" i="281"/>
  <c r="N373" i="281"/>
  <c r="N367" i="281"/>
  <c r="C217" i="281"/>
  <c r="C219" i="281" s="1"/>
  <c r="E217" i="281"/>
  <c r="E219" i="281" s="1"/>
  <c r="C373" i="281"/>
  <c r="C367" i="281"/>
  <c r="E373" i="281"/>
  <c r="E367" i="281"/>
  <c r="R369" i="281"/>
  <c r="Q392" i="281"/>
  <c r="D263" i="281"/>
  <c r="D264" i="281" s="1"/>
  <c r="D265" i="281" s="1"/>
  <c r="G355" i="281"/>
  <c r="D355" i="281"/>
  <c r="D356" i="281" s="1"/>
  <c r="F217" i="281"/>
  <c r="F219" i="281" s="1"/>
  <c r="G65" i="291"/>
  <c r="G70" i="291" s="1"/>
  <c r="G217" i="281"/>
  <c r="G218" i="281" s="1"/>
  <c r="G219" i="281" s="1"/>
  <c r="AH101" i="4"/>
  <c r="AI101" i="4" s="1"/>
  <c r="E48" i="4"/>
  <c r="V39" i="4"/>
  <c r="V98" i="4"/>
  <c r="N60" i="5"/>
  <c r="E265" i="281"/>
  <c r="I99" i="291"/>
  <c r="J99" i="291" s="1"/>
  <c r="K99" i="291" s="1"/>
  <c r="L99" i="291" s="1"/>
  <c r="M99" i="291" s="1"/>
  <c r="N99" i="291" s="1"/>
  <c r="O99" i="291" s="1"/>
  <c r="P99" i="291" s="1"/>
  <c r="Q99" i="291" s="1"/>
  <c r="R99" i="291" s="1"/>
  <c r="S99" i="291" s="1"/>
  <c r="T99" i="291" s="1"/>
  <c r="U99" i="291" s="1"/>
  <c r="H98" i="291"/>
  <c r="D332" i="281"/>
  <c r="D333" i="281" s="1"/>
  <c r="D334" i="281" s="1"/>
  <c r="L180" i="4"/>
  <c r="L243" i="4" s="1"/>
  <c r="D48" i="4"/>
  <c r="D73" i="4"/>
  <c r="D82" i="4" s="1"/>
  <c r="D64" i="4" s="1"/>
  <c r="G265" i="281"/>
  <c r="E81" i="281"/>
  <c r="D378" i="281"/>
  <c r="D379" i="281" s="1"/>
  <c r="D380" i="281" s="1"/>
  <c r="I31" i="4"/>
  <c r="L13" i="4"/>
  <c r="L30" i="4" s="1"/>
  <c r="L34" i="4"/>
  <c r="I46" i="4"/>
  <c r="I59" i="5" s="1"/>
  <c r="Q35" i="4"/>
  <c r="Q260" i="4"/>
  <c r="G53" i="266"/>
  <c r="K53" i="266"/>
  <c r="C54" i="286"/>
  <c r="C58" i="286" s="1"/>
  <c r="C66" i="286" s="1"/>
  <c r="E22" i="286"/>
  <c r="E26" i="286" s="1"/>
  <c r="E34" i="286" s="1"/>
  <c r="E21" i="286"/>
  <c r="E25" i="286" s="1"/>
  <c r="E33" i="286" s="1"/>
  <c r="F53" i="256"/>
  <c r="F17" i="256"/>
  <c r="I110" i="266"/>
  <c r="J12" i="293"/>
  <c r="F28" i="291"/>
  <c r="F29" i="291"/>
  <c r="G24" i="291" s="1"/>
  <c r="G28" i="291" s="1"/>
  <c r="D109" i="291"/>
  <c r="D107" i="291"/>
  <c r="J37" i="291"/>
  <c r="J23" i="281"/>
  <c r="I46" i="281"/>
  <c r="J109" i="266"/>
  <c r="J84" i="256"/>
  <c r="I13" i="266"/>
  <c r="J4" i="266"/>
  <c r="G16" i="286"/>
  <c r="G18" i="286" s="1"/>
  <c r="H15" i="286"/>
  <c r="L52" i="266"/>
  <c r="L53" i="266" s="1"/>
  <c r="L39" i="256"/>
  <c r="N279" i="281"/>
  <c r="N302" i="281" s="1"/>
  <c r="N325" i="281" s="1"/>
  <c r="N348" i="281"/>
  <c r="H17" i="286"/>
  <c r="G50" i="286"/>
  <c r="D57" i="4"/>
  <c r="D137" i="282"/>
  <c r="F65" i="291"/>
  <c r="F67" i="291"/>
  <c r="F59" i="291"/>
  <c r="F60" i="291"/>
  <c r="G55" i="291" s="1"/>
  <c r="L11" i="288"/>
  <c r="L15" i="288" s="1"/>
  <c r="L9" i="288"/>
  <c r="L13" i="288" s="1"/>
  <c r="L17" i="288" s="1"/>
  <c r="L8" i="288"/>
  <c r="L12" i="288" s="1"/>
  <c r="L16" i="288" s="1"/>
  <c r="D47" i="286"/>
  <c r="D49" i="286" s="1"/>
  <c r="E48" i="286"/>
  <c r="F31" i="285"/>
  <c r="E31" i="285"/>
  <c r="G30" i="285" s="1"/>
  <c r="I30" i="285" s="1"/>
  <c r="M57" i="292"/>
  <c r="M66" i="292"/>
  <c r="I56" i="291"/>
  <c r="H62" i="291"/>
  <c r="D9" i="288"/>
  <c r="D13" i="288" s="1"/>
  <c r="D17" i="288" s="1"/>
  <c r="G9" i="288"/>
  <c r="G13" i="288" s="1"/>
  <c r="G17" i="288" s="1"/>
  <c r="I33" i="291"/>
  <c r="J25" i="291"/>
  <c r="V29" i="288"/>
  <c r="P396" i="281"/>
  <c r="G390" i="281"/>
  <c r="G396" i="281"/>
  <c r="I98" i="4"/>
  <c r="I97" i="4" s="1"/>
  <c r="I43" i="4"/>
  <c r="I95" i="4" s="1"/>
  <c r="G57" i="5"/>
  <c r="C355" i="281"/>
  <c r="G45" i="286"/>
  <c r="I390" i="281"/>
  <c r="I396" i="281"/>
  <c r="E79" i="266"/>
  <c r="E82" i="266" s="1"/>
  <c r="E84" i="266" s="1"/>
  <c r="E73" i="266"/>
  <c r="E76" i="266" s="1"/>
  <c r="F67" i="266" s="1"/>
  <c r="J43" i="4"/>
  <c r="J95" i="4" s="1"/>
  <c r="F30" i="4"/>
  <c r="J13" i="4"/>
  <c r="J30" i="4" s="1"/>
  <c r="J58" i="5" s="1"/>
  <c r="J63" i="5" s="1"/>
  <c r="J12" i="4"/>
  <c r="F25" i="267" s="1"/>
  <c r="F24" i="267"/>
  <c r="I65" i="266"/>
  <c r="M4" i="288"/>
  <c r="M7" i="288"/>
  <c r="M5" i="288"/>
  <c r="N3" i="288"/>
  <c r="F105" i="291"/>
  <c r="E104" i="291"/>
  <c r="M119" i="291"/>
  <c r="M86" i="291"/>
  <c r="N47" i="291"/>
  <c r="H149" i="281"/>
  <c r="H150" i="281" s="1"/>
  <c r="L62" i="292"/>
  <c r="L70" i="292" s="1"/>
  <c r="M60" i="292"/>
  <c r="I90" i="4"/>
  <c r="I91" i="4"/>
  <c r="I39" i="4"/>
  <c r="I88" i="4" s="1"/>
  <c r="J39" i="4"/>
  <c r="J88" i="4" s="1"/>
  <c r="F22" i="286"/>
  <c r="F26" i="286" s="1"/>
  <c r="F34" i="286" s="1"/>
  <c r="F21" i="286"/>
  <c r="F25" i="286" s="1"/>
  <c r="F33" i="286" s="1"/>
  <c r="O396" i="281"/>
  <c r="O390" i="281"/>
  <c r="Q98" i="4"/>
  <c r="V43" i="4"/>
  <c r="F70" i="266"/>
  <c r="F64" i="266"/>
  <c r="G61" i="266"/>
  <c r="K60" i="5"/>
  <c r="K26" i="282"/>
  <c r="K27" i="282" s="1"/>
  <c r="G356" i="281"/>
  <c r="G357" i="281" s="1"/>
  <c r="J172" i="281"/>
  <c r="J173" i="281" s="1"/>
  <c r="G46" i="4"/>
  <c r="G59" i="5" s="1"/>
  <c r="G43" i="4"/>
  <c r="J396" i="281"/>
  <c r="J390" i="281"/>
  <c r="F396" i="281"/>
  <c r="F390" i="281"/>
  <c r="N71" i="291"/>
  <c r="L207" i="281"/>
  <c r="K230" i="281"/>
  <c r="M14" i="266"/>
  <c r="F247" i="4"/>
  <c r="F254" i="4" s="1"/>
  <c r="I54" i="282"/>
  <c r="I80" i="282" s="1"/>
  <c r="E53" i="282"/>
  <c r="E101" i="282" s="1"/>
  <c r="G149" i="281"/>
  <c r="G150" i="281" s="1"/>
  <c r="G172" i="281"/>
  <c r="G173" i="281" s="1"/>
  <c r="O12" i="292"/>
  <c r="N21" i="292"/>
  <c r="N31" i="292" s="1"/>
  <c r="N22" i="292"/>
  <c r="N32" i="292" s="1"/>
  <c r="N38" i="292"/>
  <c r="N42" i="292" s="1"/>
  <c r="N46" i="292" s="1"/>
  <c r="N53" i="292"/>
  <c r="N20" i="292"/>
  <c r="N30" i="292" s="1"/>
  <c r="G31" i="291"/>
  <c r="G36" i="291" s="1"/>
  <c r="G39" i="291" s="1"/>
  <c r="H32" i="291"/>
  <c r="F236" i="281" s="1"/>
  <c r="F238" i="281" s="1"/>
  <c r="F102" i="291"/>
  <c r="G97" i="291" s="1"/>
  <c r="F101" i="291"/>
  <c r="L73" i="292"/>
  <c r="L78" i="292" s="1"/>
  <c r="L80" i="292" s="1"/>
  <c r="K374" i="281" s="1"/>
  <c r="H33" i="291"/>
  <c r="M172" i="281"/>
  <c r="M173" i="281" s="1"/>
  <c r="AK12" i="4"/>
  <c r="R25" i="267"/>
  <c r="Q59" i="4"/>
  <c r="Q61" i="4" s="1"/>
  <c r="P47" i="4"/>
  <c r="P51" i="4" s="1"/>
  <c r="P53" i="4" s="1"/>
  <c r="V28" i="288"/>
  <c r="P65" i="282"/>
  <c r="P208" i="282" s="1"/>
  <c r="Q383" i="282"/>
  <c r="P385" i="282"/>
  <c r="L348" i="281"/>
  <c r="L279" i="281"/>
  <c r="L302" i="281" s="1"/>
  <c r="L325" i="281" s="1"/>
  <c r="O8" i="283"/>
  <c r="N7" i="283"/>
  <c r="N10" i="283" s="1"/>
  <c r="H14" i="283"/>
  <c r="H19" i="283" s="1"/>
  <c r="G15" i="283"/>
  <c r="O72" i="281"/>
  <c r="O118" i="281" s="1"/>
  <c r="O164" i="281" s="1"/>
  <c r="O187" i="281" s="1"/>
  <c r="O172" i="281" s="1"/>
  <c r="O173" i="281" s="1"/>
  <c r="O49" i="281"/>
  <c r="O95" i="281" s="1"/>
  <c r="O371" i="281"/>
  <c r="O394" i="281" s="1"/>
  <c r="Q98" i="266"/>
  <c r="H98" i="4"/>
  <c r="H97" i="4" s="1"/>
  <c r="H46" i="4"/>
  <c r="H59" i="5" s="1"/>
  <c r="H43" i="4"/>
  <c r="H95" i="4" s="1"/>
  <c r="L90" i="4"/>
  <c r="Q90" i="4" s="1"/>
  <c r="V90" i="4" s="1"/>
  <c r="AA90" i="4" s="1"/>
  <c r="AF90" i="4" s="1"/>
  <c r="AG90" i="4" s="1"/>
  <c r="AH90" i="4" s="1"/>
  <c r="AI90" i="4" s="1"/>
  <c r="AJ90" i="4" s="1"/>
  <c r="AK90" i="4" s="1"/>
  <c r="AL90" i="4" s="1"/>
  <c r="AM90" i="4" s="1"/>
  <c r="AN90" i="4" s="1"/>
  <c r="AO90" i="4" s="1"/>
  <c r="AP90" i="4" s="1"/>
  <c r="AQ90" i="4" s="1"/>
  <c r="AR90" i="4" s="1"/>
  <c r="L39" i="4"/>
  <c r="L88" i="4" s="1"/>
  <c r="W26" i="6"/>
  <c r="W7" i="6"/>
  <c r="H34" i="4"/>
  <c r="F61" i="4"/>
  <c r="V10" i="4"/>
  <c r="V163" i="4"/>
  <c r="AA163" i="4" s="1"/>
  <c r="AF163" i="4" s="1"/>
  <c r="AG163" i="4" s="1"/>
  <c r="AH163" i="4" s="1"/>
  <c r="AI163" i="4" s="1"/>
  <c r="AJ163" i="4" s="1"/>
  <c r="AK163" i="4" s="1"/>
  <c r="AL163" i="4" s="1"/>
  <c r="AM163" i="4" s="1"/>
  <c r="AN163" i="4" s="1"/>
  <c r="AO163" i="4" s="1"/>
  <c r="AP163" i="4" s="1"/>
  <c r="AQ163" i="4" s="1"/>
  <c r="AR163" i="4" s="1"/>
  <c r="Q164" i="4"/>
  <c r="J76" i="4"/>
  <c r="E32" i="282"/>
  <c r="I61" i="282"/>
  <c r="F54" i="282"/>
  <c r="F102" i="282" s="1"/>
  <c r="K72" i="282"/>
  <c r="K215" i="282" s="1"/>
  <c r="D16" i="266"/>
  <c r="D19" i="266" s="1"/>
  <c r="E10" i="266" s="1"/>
  <c r="F22" i="266"/>
  <c r="U40" i="266"/>
  <c r="V39" i="266"/>
  <c r="G8" i="266"/>
  <c r="F7" i="266"/>
  <c r="O17" i="266"/>
  <c r="D21" i="266"/>
  <c r="D24" i="266" s="1"/>
  <c r="D26" i="266" s="1"/>
  <c r="H9" i="256"/>
  <c r="G8" i="256"/>
  <c r="G17" i="256" s="1"/>
  <c r="M30" i="256"/>
  <c r="M75" i="256"/>
  <c r="E33" i="256"/>
  <c r="E23" i="256"/>
  <c r="F6" i="256"/>
  <c r="F11" i="256" s="1"/>
  <c r="F14" i="256" s="1"/>
  <c r="H48" i="256"/>
  <c r="G53" i="256"/>
  <c r="E63" i="256"/>
  <c r="E79" i="256" s="1"/>
  <c r="F62" i="256"/>
  <c r="T4" i="256"/>
  <c r="U4" i="256" s="1"/>
  <c r="V4" i="256" s="1"/>
  <c r="M49" i="256"/>
  <c r="J110" i="266"/>
  <c r="K57" i="256"/>
  <c r="Q47" i="256"/>
  <c r="P92" i="256"/>
  <c r="R3" i="256"/>
  <c r="E56" i="256"/>
  <c r="E59" i="256" s="1"/>
  <c r="M12" i="256"/>
  <c r="G32" i="282"/>
  <c r="O381" i="282"/>
  <c r="O397" i="282" s="1"/>
  <c r="O74" i="282" s="1"/>
  <c r="O217" i="282" s="1"/>
  <c r="E58" i="282"/>
  <c r="E59" i="282" s="1"/>
  <c r="F55" i="282"/>
  <c r="I56" i="282"/>
  <c r="I104" i="282" s="1"/>
  <c r="E54" i="282"/>
  <c r="E102" i="282" s="1"/>
  <c r="F61" i="282"/>
  <c r="F109" i="282" s="1"/>
  <c r="F57" i="282"/>
  <c r="F83" i="282" s="1"/>
  <c r="AD22" i="282"/>
  <c r="G397" i="282"/>
  <c r="G74" i="282" s="1"/>
  <c r="G217" i="282" s="1"/>
  <c r="I53" i="282"/>
  <c r="I79" i="282" s="1"/>
  <c r="I33" i="282"/>
  <c r="H32" i="282"/>
  <c r="I57" i="282"/>
  <c r="I83" i="282" s="1"/>
  <c r="I94" i="282"/>
  <c r="I96" i="282" s="1"/>
  <c r="I237" i="282" s="1"/>
  <c r="I239" i="282" s="1"/>
  <c r="H55" i="282"/>
  <c r="H103" i="282" s="1"/>
  <c r="H56" i="282"/>
  <c r="E57" i="282"/>
  <c r="E105" i="282" s="1"/>
  <c r="E55" i="282"/>
  <c r="E103" i="282" s="1"/>
  <c r="F33" i="282"/>
  <c r="E397" i="282"/>
  <c r="E74" i="282" s="1"/>
  <c r="E217" i="282" s="1"/>
  <c r="H33" i="282"/>
  <c r="H54" i="282"/>
  <c r="H80" i="282" s="1"/>
  <c r="I52" i="282"/>
  <c r="I78" i="282" s="1"/>
  <c r="H94" i="282"/>
  <c r="H96" i="282" s="1"/>
  <c r="H237" i="282" s="1"/>
  <c r="H239" i="282" s="1"/>
  <c r="H61" i="282"/>
  <c r="H109" i="282" s="1"/>
  <c r="E52" i="282"/>
  <c r="E78" i="282" s="1"/>
  <c r="E61" i="282"/>
  <c r="E109" i="282" s="1"/>
  <c r="F56" i="282"/>
  <c r="F104" i="282" s="1"/>
  <c r="F94" i="282"/>
  <c r="F96" i="282" s="1"/>
  <c r="F237" i="282" s="1"/>
  <c r="F239" i="282" s="1"/>
  <c r="L20" i="282"/>
  <c r="L22" i="282" s="1"/>
  <c r="L24" i="282" s="1"/>
  <c r="L26" i="282" s="1"/>
  <c r="L27" i="282" s="1"/>
  <c r="L28" i="282" s="1"/>
  <c r="L30" i="282" s="1"/>
  <c r="L61" i="282" s="1"/>
  <c r="M17" i="282"/>
  <c r="N72" i="282"/>
  <c r="N215" i="282" s="1"/>
  <c r="N397" i="282"/>
  <c r="N74" i="282" s="1"/>
  <c r="N217" i="282" s="1"/>
  <c r="I32" i="282"/>
  <c r="H52" i="282"/>
  <c r="H100" i="282" s="1"/>
  <c r="H58" i="282"/>
  <c r="H59" i="282" s="1"/>
  <c r="F53" i="282"/>
  <c r="F79" i="282" s="1"/>
  <c r="F52" i="282"/>
  <c r="F100" i="282" s="1"/>
  <c r="G57" i="282"/>
  <c r="G52" i="282"/>
  <c r="G56" i="282"/>
  <c r="G54" i="282"/>
  <c r="G55" i="282"/>
  <c r="G94" i="282"/>
  <c r="G96" i="282" s="1"/>
  <c r="G237" i="282" s="1"/>
  <c r="G239" i="282" s="1"/>
  <c r="G53" i="282"/>
  <c r="G33" i="282"/>
  <c r="G58" i="282"/>
  <c r="G61" i="282"/>
  <c r="H397" i="282"/>
  <c r="H74" i="282" s="1"/>
  <c r="H217" i="282" s="1"/>
  <c r="H72" i="282"/>
  <c r="H215" i="282" s="1"/>
  <c r="Q377" i="282"/>
  <c r="P381" i="282"/>
  <c r="J397" i="282"/>
  <c r="J74" i="282" s="1"/>
  <c r="J217" i="282" s="1"/>
  <c r="J72" i="282"/>
  <c r="J215" i="282" s="1"/>
  <c r="I82" i="282"/>
  <c r="U25" i="282"/>
  <c r="V25" i="282" s="1"/>
  <c r="W25" i="282" s="1"/>
  <c r="E60" i="282"/>
  <c r="F105" i="282"/>
  <c r="Q2" i="282"/>
  <c r="P16" i="282"/>
  <c r="P235" i="282"/>
  <c r="P360" i="282" s="1"/>
  <c r="I109" i="282"/>
  <c r="I87" i="282"/>
  <c r="H83" i="282"/>
  <c r="H105" i="282"/>
  <c r="D59" i="282"/>
  <c r="D60" i="282"/>
  <c r="Z236" i="282"/>
  <c r="F81" i="282"/>
  <c r="F103" i="282"/>
  <c r="I60" i="282"/>
  <c r="I59" i="282"/>
  <c r="H101" i="282"/>
  <c r="H79" i="282"/>
  <c r="D109" i="282"/>
  <c r="D87" i="282"/>
  <c r="E100" i="282"/>
  <c r="I103" i="282"/>
  <c r="I81" i="282"/>
  <c r="I101" i="282"/>
  <c r="I102" i="282"/>
  <c r="J33" i="282"/>
  <c r="J52" i="282"/>
  <c r="J94" i="282"/>
  <c r="J96" i="282" s="1"/>
  <c r="J237" i="282" s="1"/>
  <c r="J239" i="282" s="1"/>
  <c r="J55" i="282"/>
  <c r="J61" i="282"/>
  <c r="J32" i="282"/>
  <c r="J56" i="282"/>
  <c r="J53" i="282"/>
  <c r="J58" i="282"/>
  <c r="J54" i="282"/>
  <c r="J57" i="282"/>
  <c r="H81" i="282"/>
  <c r="E79" i="282"/>
  <c r="F87" i="282"/>
  <c r="F333" i="281"/>
  <c r="F334" i="281" s="1"/>
  <c r="H379" i="281"/>
  <c r="H380" i="281" s="1"/>
  <c r="K10" i="6"/>
  <c r="K110" i="5" s="1"/>
  <c r="P53" i="6"/>
  <c r="G210" i="4"/>
  <c r="G243" i="4"/>
  <c r="G255" i="4" s="1"/>
  <c r="L194" i="4"/>
  <c r="Q192" i="4" s="1"/>
  <c r="Q194" i="4" s="1"/>
  <c r="V192" i="4" s="1"/>
  <c r="K204" i="4"/>
  <c r="K203" i="4"/>
  <c r="K205" i="4" s="1"/>
  <c r="AI34" i="4"/>
  <c r="F138" i="4"/>
  <c r="F137" i="4" s="1"/>
  <c r="F153" i="4"/>
  <c r="F152" i="4" s="1"/>
  <c r="K186" i="4"/>
  <c r="K188" i="4" s="1"/>
  <c r="K187" i="4"/>
  <c r="Q42" i="4"/>
  <c r="Q38" i="4"/>
  <c r="Q47" i="4"/>
  <c r="G127" i="4"/>
  <c r="G211" i="4"/>
  <c r="H5" i="4"/>
  <c r="AM230" i="4"/>
  <c r="F221" i="4"/>
  <c r="F223" i="4" s="1"/>
  <c r="D55" i="281"/>
  <c r="D54" i="281"/>
  <c r="D53" i="281"/>
  <c r="H130" i="4"/>
  <c r="H131" i="4" s="1"/>
  <c r="I129" i="4" s="1"/>
  <c r="H134" i="4"/>
  <c r="E56" i="4"/>
  <c r="E73" i="4"/>
  <c r="E82" i="4" s="1"/>
  <c r="E156" i="5" s="1"/>
  <c r="E63" i="4"/>
  <c r="E65" i="4" s="1"/>
  <c r="E57" i="4"/>
  <c r="AH196" i="4"/>
  <c r="L170" i="4"/>
  <c r="L172" i="4" s="1"/>
  <c r="L171" i="4"/>
  <c r="Q180" i="4"/>
  <c r="Q177" i="4"/>
  <c r="V175" i="4" s="1"/>
  <c r="AF185" i="4"/>
  <c r="AA202" i="4"/>
  <c r="AF179" i="4"/>
  <c r="F60" i="282" l="1"/>
  <c r="E94" i="282"/>
  <c r="E96" i="282" s="1"/>
  <c r="E237" i="282" s="1"/>
  <c r="E239" i="282" s="1"/>
  <c r="E56" i="282"/>
  <c r="E82" i="282" s="1"/>
  <c r="F32" i="282"/>
  <c r="Q76" i="4"/>
  <c r="G286" i="281"/>
  <c r="G287" i="281" s="1"/>
  <c r="G288" i="281" s="1"/>
  <c r="F237" i="281"/>
  <c r="F240" i="281" s="1"/>
  <c r="F242" i="281" s="1"/>
  <c r="Q65" i="5"/>
  <c r="Q67" i="5"/>
  <c r="G73" i="291"/>
  <c r="D309" i="281"/>
  <c r="D310" i="281" s="1"/>
  <c r="D311" i="281" s="1"/>
  <c r="E309" i="281"/>
  <c r="E310" i="281" s="1"/>
  <c r="E311" i="281" s="1"/>
  <c r="C285" i="281"/>
  <c r="C286" i="281" s="1"/>
  <c r="C287" i="281" s="1"/>
  <c r="C288" i="281" s="1"/>
  <c r="C324" i="281"/>
  <c r="C308" i="281" s="1"/>
  <c r="C309" i="281" s="1"/>
  <c r="C310" i="281" s="1"/>
  <c r="C311" i="281" s="1"/>
  <c r="H283" i="281"/>
  <c r="H322" i="281"/>
  <c r="H306" i="281" s="1"/>
  <c r="O210" i="281"/>
  <c r="O233" i="281" s="1"/>
  <c r="O256" i="281" s="1"/>
  <c r="C334" i="281"/>
  <c r="G309" i="281"/>
  <c r="G310" i="281" s="1"/>
  <c r="G311" i="281" s="1"/>
  <c r="F286" i="281"/>
  <c r="F287" i="281" s="1"/>
  <c r="F288" i="281" s="1"/>
  <c r="O80" i="281"/>
  <c r="O141" i="281"/>
  <c r="K276" i="281"/>
  <c r="K253" i="281"/>
  <c r="H284" i="281"/>
  <c r="H323" i="281"/>
  <c r="H307" i="281" s="1"/>
  <c r="N80" i="281"/>
  <c r="N141" i="281"/>
  <c r="R396" i="281"/>
  <c r="R390" i="281"/>
  <c r="H71" i="5"/>
  <c r="H113" i="5"/>
  <c r="H112" i="5"/>
  <c r="H79" i="5"/>
  <c r="H73" i="5"/>
  <c r="H69" i="5"/>
  <c r="D66" i="4"/>
  <c r="M71" i="5"/>
  <c r="M69" i="5"/>
  <c r="M73" i="5"/>
  <c r="M79" i="5"/>
  <c r="M112" i="5"/>
  <c r="Q31" i="4"/>
  <c r="L58" i="5"/>
  <c r="L63" i="5" s="1"/>
  <c r="G112" i="5"/>
  <c r="G71" i="5"/>
  <c r="G69" i="5"/>
  <c r="G113" i="5"/>
  <c r="G73" i="5"/>
  <c r="G79" i="5"/>
  <c r="F58" i="5"/>
  <c r="F63" i="5"/>
  <c r="I71" i="5"/>
  <c r="I79" i="5"/>
  <c r="I113" i="5"/>
  <c r="I73" i="5"/>
  <c r="I69" i="5"/>
  <c r="I112" i="5"/>
  <c r="K111" i="5"/>
  <c r="AH102" i="4"/>
  <c r="H20" i="285"/>
  <c r="K7" i="284"/>
  <c r="I100" i="282"/>
  <c r="H102" i="282"/>
  <c r="V35" i="4"/>
  <c r="V46" i="4"/>
  <c r="N59" i="5" s="1"/>
  <c r="Q41" i="6"/>
  <c r="AA91" i="4"/>
  <c r="G212" i="4"/>
  <c r="H210" i="4" s="1"/>
  <c r="R30" i="4"/>
  <c r="R47" i="4" s="1"/>
  <c r="R51" i="4" s="1"/>
  <c r="R54" i="4" s="1"/>
  <c r="F101" i="282"/>
  <c r="F99" i="282" s="1"/>
  <c r="AD26" i="282"/>
  <c r="F80" i="282"/>
  <c r="E83" i="282"/>
  <c r="E81" i="282"/>
  <c r="N178" i="291"/>
  <c r="N180" i="291" s="1"/>
  <c r="N150" i="291"/>
  <c r="L181" i="291"/>
  <c r="L12" i="291"/>
  <c r="M181" i="291"/>
  <c r="M12" i="291"/>
  <c r="S369" i="281"/>
  <c r="S392" i="281" s="1"/>
  <c r="R392" i="281"/>
  <c r="C396" i="281"/>
  <c r="C390" i="281"/>
  <c r="N396" i="281"/>
  <c r="N390" i="281"/>
  <c r="K390" i="281"/>
  <c r="K396" i="281"/>
  <c r="E396" i="281"/>
  <c r="E390" i="281"/>
  <c r="K345" i="281"/>
  <c r="K368" i="281" s="1"/>
  <c r="K391" i="281" s="1"/>
  <c r="K299" i="281"/>
  <c r="K322" i="281" s="1"/>
  <c r="M390" i="281"/>
  <c r="M396" i="281"/>
  <c r="D357" i="281"/>
  <c r="I98" i="291"/>
  <c r="J98" i="291" s="1"/>
  <c r="K98" i="291" s="1"/>
  <c r="L98" i="291" s="1"/>
  <c r="I47" i="4"/>
  <c r="I76" i="4"/>
  <c r="D6" i="6"/>
  <c r="D27" i="6" s="1"/>
  <c r="D49" i="6" s="1"/>
  <c r="L183" i="4"/>
  <c r="L186" i="4" s="1"/>
  <c r="L188" i="4" s="1"/>
  <c r="AA98" i="4"/>
  <c r="F70" i="291"/>
  <c r="F73" i="291" s="1"/>
  <c r="D112" i="291"/>
  <c r="L38" i="4"/>
  <c r="L42" i="4"/>
  <c r="S30" i="4"/>
  <c r="S47" i="4" s="1"/>
  <c r="S51" i="4" s="1"/>
  <c r="S54" i="4" s="1"/>
  <c r="T30" i="4"/>
  <c r="T47" i="4" s="1"/>
  <c r="T51" i="4" s="1"/>
  <c r="T54" i="4" s="1"/>
  <c r="U30" i="4"/>
  <c r="U47" i="4" s="1"/>
  <c r="U51" i="4" s="1"/>
  <c r="U54" i="4" s="1"/>
  <c r="AF91" i="4"/>
  <c r="L31" i="4"/>
  <c r="M47" i="4"/>
  <c r="M51" i="4" s="1"/>
  <c r="H76" i="4"/>
  <c r="H47" i="4"/>
  <c r="R383" i="282"/>
  <c r="Q385" i="282"/>
  <c r="Q65" i="282"/>
  <c r="Q208" i="282" s="1"/>
  <c r="AL12" i="4"/>
  <c r="S25" i="267"/>
  <c r="G102" i="291"/>
  <c r="H97" i="291" s="1"/>
  <c r="G101" i="291"/>
  <c r="H101" i="291" s="1"/>
  <c r="I101" i="291" s="1"/>
  <c r="J101" i="291" s="1"/>
  <c r="K101" i="291" s="1"/>
  <c r="L101" i="291" s="1"/>
  <c r="M101" i="291" s="1"/>
  <c r="N101" i="291" s="1"/>
  <c r="O101" i="291" s="1"/>
  <c r="P101" i="291" s="1"/>
  <c r="Q101" i="291" s="1"/>
  <c r="R101" i="291" s="1"/>
  <c r="S101" i="291" s="1"/>
  <c r="T101" i="291" s="1"/>
  <c r="U101" i="291" s="1"/>
  <c r="N66" i="292"/>
  <c r="N57" i="292"/>
  <c r="P12" i="292"/>
  <c r="O22" i="292"/>
  <c r="O32" i="292" s="1"/>
  <c r="O38" i="292"/>
  <c r="O42" i="292" s="1"/>
  <c r="O46" i="292" s="1"/>
  <c r="O20" i="292"/>
  <c r="O30" i="292" s="1"/>
  <c r="O53" i="292"/>
  <c r="O21" i="292"/>
  <c r="O31" i="292" s="1"/>
  <c r="L230" i="281"/>
  <c r="M207" i="281"/>
  <c r="L43" i="4"/>
  <c r="L95" i="4" s="1"/>
  <c r="L98" i="4"/>
  <c r="L97" i="4" s="1"/>
  <c r="Q97" i="4" s="1"/>
  <c r="V97" i="4" s="1"/>
  <c r="AA97" i="4" s="1"/>
  <c r="AF97" i="4" s="1"/>
  <c r="AG97" i="4" s="1"/>
  <c r="AH97" i="4" s="1"/>
  <c r="AI97" i="4" s="1"/>
  <c r="AJ97" i="4" s="1"/>
  <c r="AK97" i="4" s="1"/>
  <c r="AL97" i="4" s="1"/>
  <c r="AM97" i="4" s="1"/>
  <c r="AN97" i="4" s="1"/>
  <c r="AO97" i="4" s="1"/>
  <c r="AP97" i="4" s="1"/>
  <c r="AQ97" i="4" s="1"/>
  <c r="AR97" i="4" s="1"/>
  <c r="L46" i="4"/>
  <c r="L59" i="5" s="1"/>
  <c r="Q43" i="4"/>
  <c r="E109" i="291"/>
  <c r="E107" i="291"/>
  <c r="J42" i="4"/>
  <c r="J47" i="4"/>
  <c r="J31" i="4"/>
  <c r="J38" i="4"/>
  <c r="K31" i="4"/>
  <c r="F47" i="4"/>
  <c r="F34" i="4"/>
  <c r="F42" i="4"/>
  <c r="F31" i="4"/>
  <c r="H45" i="286"/>
  <c r="D54" i="286"/>
  <c r="D58" i="286" s="1"/>
  <c r="D66" i="286" s="1"/>
  <c r="D53" i="286"/>
  <c r="D57" i="286" s="1"/>
  <c r="D65" i="286" s="1"/>
  <c r="K23" i="281"/>
  <c r="J46" i="281"/>
  <c r="L51" i="282"/>
  <c r="L57" i="282" s="1"/>
  <c r="E80" i="282"/>
  <c r="H51" i="282"/>
  <c r="R98" i="266"/>
  <c r="H15" i="283"/>
  <c r="I14" i="283"/>
  <c r="I19" i="283" s="1"/>
  <c r="C68" i="286"/>
  <c r="K376" i="281"/>
  <c r="K375" i="281"/>
  <c r="K377" i="281"/>
  <c r="G70" i="266"/>
  <c r="H61" i="266"/>
  <c r="G64" i="266"/>
  <c r="H67" i="291"/>
  <c r="H73" i="291" s="1"/>
  <c r="H65" i="291"/>
  <c r="H16" i="286"/>
  <c r="H18" i="286" s="1"/>
  <c r="I15" i="286"/>
  <c r="K84" i="256"/>
  <c r="K109" i="266"/>
  <c r="K110" i="266" s="1"/>
  <c r="K37" i="291"/>
  <c r="P49" i="281"/>
  <c r="P95" i="281" s="1"/>
  <c r="P371" i="281"/>
  <c r="P394" i="281" s="1"/>
  <c r="P72" i="281"/>
  <c r="P118" i="281" s="1"/>
  <c r="P164" i="281" s="1"/>
  <c r="P187" i="281" s="1"/>
  <c r="P172" i="281" s="1"/>
  <c r="P173" i="281" s="1"/>
  <c r="P210" i="281"/>
  <c r="P233" i="281" s="1"/>
  <c r="P256" i="281" s="1"/>
  <c r="Q26" i="281"/>
  <c r="W28" i="288"/>
  <c r="N86" i="291"/>
  <c r="N119" i="291"/>
  <c r="O47" i="291"/>
  <c r="M8" i="288"/>
  <c r="M12" i="288" s="1"/>
  <c r="M16" i="288" s="1"/>
  <c r="M11" i="288"/>
  <c r="M15" i="288" s="1"/>
  <c r="E87" i="282"/>
  <c r="L58" i="282"/>
  <c r="L60" i="282" s="1"/>
  <c r="P8" i="283"/>
  <c r="O7" i="283"/>
  <c r="O10" i="283" s="1"/>
  <c r="N14" i="266"/>
  <c r="N47" i="4"/>
  <c r="N51" i="4" s="1"/>
  <c r="L35" i="4"/>
  <c r="K34" i="4"/>
  <c r="K46" i="4"/>
  <c r="K59" i="5" s="1"/>
  <c r="AI102" i="4"/>
  <c r="AJ101" i="4"/>
  <c r="V259" i="4"/>
  <c r="F73" i="266"/>
  <c r="F76" i="266" s="1"/>
  <c r="G67" i="266" s="1"/>
  <c r="F79" i="266"/>
  <c r="F82" i="266" s="1"/>
  <c r="G30" i="4"/>
  <c r="G58" i="5" s="1"/>
  <c r="J56" i="291"/>
  <c r="I62" i="291"/>
  <c r="E32" i="285"/>
  <c r="G31" i="285" s="1"/>
  <c r="I31" i="285" s="1"/>
  <c r="F32" i="285"/>
  <c r="E33" i="285" s="1"/>
  <c r="I17" i="286"/>
  <c r="H50" i="286"/>
  <c r="M39" i="256"/>
  <c r="M52" i="266"/>
  <c r="M53" i="266" s="1"/>
  <c r="G22" i="286"/>
  <c r="G26" i="286" s="1"/>
  <c r="G34" i="286" s="1"/>
  <c r="G21" i="286"/>
  <c r="G25" i="286" s="1"/>
  <c r="G33" i="286" s="1"/>
  <c r="H28" i="291"/>
  <c r="I32" i="291"/>
  <c r="G236" i="281" s="1"/>
  <c r="H31" i="291"/>
  <c r="H36" i="291" s="1"/>
  <c r="H39" i="291" s="1"/>
  <c r="F104" i="291"/>
  <c r="G105" i="291"/>
  <c r="J65" i="266"/>
  <c r="C356" i="281"/>
  <c r="C357" i="281" s="1"/>
  <c r="J33" i="291"/>
  <c r="K25" i="291"/>
  <c r="G60" i="291"/>
  <c r="H55" i="291" s="1"/>
  <c r="G59" i="291"/>
  <c r="H59" i="291" s="1"/>
  <c r="Q197" i="4"/>
  <c r="Q200" i="4" s="1"/>
  <c r="L33" i="282"/>
  <c r="H78" i="282"/>
  <c r="I105" i="282"/>
  <c r="G62" i="256"/>
  <c r="K98" i="4"/>
  <c r="K97" i="4" s="1"/>
  <c r="K43" i="4"/>
  <c r="K95" i="4" s="1"/>
  <c r="K42" i="4"/>
  <c r="O279" i="281"/>
  <c r="O302" i="281" s="1"/>
  <c r="O325" i="281" s="1"/>
  <c r="O348" i="281"/>
  <c r="P67" i="282"/>
  <c r="P210" i="282" s="1"/>
  <c r="P387" i="282"/>
  <c r="O47" i="4"/>
  <c r="O51" i="4" s="1"/>
  <c r="O53" i="4" s="1"/>
  <c r="N33" i="292"/>
  <c r="O71" i="291"/>
  <c r="G76" i="4"/>
  <c r="N60" i="292"/>
  <c r="M62" i="292"/>
  <c r="M70" i="292" s="1"/>
  <c r="M73" i="292" s="1"/>
  <c r="M78" i="292" s="1"/>
  <c r="M80" i="292" s="1"/>
  <c r="L374" i="281" s="1"/>
  <c r="N7" i="288"/>
  <c r="N4" i="288"/>
  <c r="N5" i="288" s="1"/>
  <c r="O3" i="288"/>
  <c r="W29" i="288"/>
  <c r="E47" i="286"/>
  <c r="E49" i="286" s="1"/>
  <c r="F48" i="286"/>
  <c r="K4" i="266"/>
  <c r="J13" i="266"/>
  <c r="X7" i="6"/>
  <c r="X26" i="6"/>
  <c r="H87" i="282"/>
  <c r="L94" i="282"/>
  <c r="L96" i="282" s="1"/>
  <c r="L237" i="282" s="1"/>
  <c r="L239" i="282" s="1"/>
  <c r="O72" i="282"/>
  <c r="O215" i="282" s="1"/>
  <c r="F78" i="282"/>
  <c r="E16" i="266"/>
  <c r="E19" i="266"/>
  <c r="F10" i="266" s="1"/>
  <c r="F21" i="266" s="1"/>
  <c r="F24" i="266" s="1"/>
  <c r="E21" i="266"/>
  <c r="E24" i="266" s="1"/>
  <c r="E26" i="266" s="1"/>
  <c r="G22" i="266"/>
  <c r="P17" i="266"/>
  <c r="G7" i="266"/>
  <c r="H8" i="266"/>
  <c r="W39" i="266"/>
  <c r="V40" i="266"/>
  <c r="N75" i="256"/>
  <c r="N30" i="256"/>
  <c r="I9" i="256"/>
  <c r="H8" i="256"/>
  <c r="H17" i="256" s="1"/>
  <c r="E26" i="256"/>
  <c r="E16" i="256"/>
  <c r="E18" i="256" s="1"/>
  <c r="E34" i="256" s="1"/>
  <c r="I48" i="256"/>
  <c r="H53" i="256"/>
  <c r="H62" i="256" s="1"/>
  <c r="F21" i="256"/>
  <c r="G6" i="256"/>
  <c r="F24" i="256"/>
  <c r="N12" i="256"/>
  <c r="S3" i="256"/>
  <c r="L57" i="256"/>
  <c r="W4" i="256"/>
  <c r="X4" i="256" s="1"/>
  <c r="F51" i="256"/>
  <c r="E78" i="256"/>
  <c r="Q92" i="256"/>
  <c r="R47" i="256"/>
  <c r="N49" i="256"/>
  <c r="H82" i="282"/>
  <c r="H77" i="282" s="1"/>
  <c r="F82" i="282"/>
  <c r="F51" i="282"/>
  <c r="H104" i="282"/>
  <c r="I51" i="282"/>
  <c r="H60" i="282"/>
  <c r="H108" i="282" s="1"/>
  <c r="N17" i="282"/>
  <c r="M20" i="282"/>
  <c r="M22" i="282" s="1"/>
  <c r="M24" i="282" s="1"/>
  <c r="M26" i="282" s="1"/>
  <c r="M27" i="282" s="1"/>
  <c r="M28" i="282" s="1"/>
  <c r="M30" i="282" s="1"/>
  <c r="M33" i="282" s="1"/>
  <c r="R377" i="282"/>
  <c r="Q381" i="282"/>
  <c r="G101" i="282"/>
  <c r="G79" i="282"/>
  <c r="G82" i="282"/>
  <c r="G104" i="282"/>
  <c r="G87" i="282"/>
  <c r="G109" i="282"/>
  <c r="G51" i="282"/>
  <c r="G78" i="282"/>
  <c r="G100" i="282"/>
  <c r="G59" i="282"/>
  <c r="G60" i="282"/>
  <c r="G81" i="282"/>
  <c r="G103" i="282"/>
  <c r="G83" i="282"/>
  <c r="G105" i="282"/>
  <c r="P397" i="282"/>
  <c r="P74" i="282" s="1"/>
  <c r="P217" i="282" s="1"/>
  <c r="P72" i="282"/>
  <c r="P215" i="282" s="1"/>
  <c r="G102" i="282"/>
  <c r="G80" i="282"/>
  <c r="J80" i="282"/>
  <c r="J102" i="282"/>
  <c r="J100" i="282"/>
  <c r="J78" i="282"/>
  <c r="J51" i="282"/>
  <c r="F86" i="282"/>
  <c r="F108" i="282"/>
  <c r="I85" i="282"/>
  <c r="I107" i="282"/>
  <c r="F191" i="282"/>
  <c r="F181" i="282"/>
  <c r="F188" i="282"/>
  <c r="F189" i="282" s="1"/>
  <c r="F190" i="282" s="1"/>
  <c r="J101" i="282"/>
  <c r="J79" i="282"/>
  <c r="J81" i="282"/>
  <c r="J103" i="282"/>
  <c r="J83" i="282"/>
  <c r="J105" i="282"/>
  <c r="J104" i="282"/>
  <c r="J82" i="282"/>
  <c r="F107" i="282"/>
  <c r="F85" i="282"/>
  <c r="I99" i="282"/>
  <c r="H85" i="282"/>
  <c r="H107" i="282"/>
  <c r="P92" i="282"/>
  <c r="P35" i="282"/>
  <c r="E108" i="282"/>
  <c r="E86" i="282"/>
  <c r="I77" i="282"/>
  <c r="J60" i="282"/>
  <c r="J59" i="282"/>
  <c r="J109" i="282"/>
  <c r="J87" i="282"/>
  <c r="E191" i="282"/>
  <c r="E188" i="282"/>
  <c r="E189" i="282" s="1"/>
  <c r="E190" i="282" s="1"/>
  <c r="E181" i="282"/>
  <c r="L109" i="282"/>
  <c r="L87" i="282"/>
  <c r="I108" i="282"/>
  <c r="I86" i="282"/>
  <c r="AA236" i="282"/>
  <c r="D108" i="282"/>
  <c r="D86" i="282"/>
  <c r="R2" i="282"/>
  <c r="Q235" i="282"/>
  <c r="Q360" i="282" s="1"/>
  <c r="Q16" i="282"/>
  <c r="E85" i="282"/>
  <c r="E107" i="282"/>
  <c r="H191" i="282"/>
  <c r="H188" i="282"/>
  <c r="H189" i="282" s="1"/>
  <c r="H190" i="282" s="1"/>
  <c r="H181" i="282"/>
  <c r="D191" i="282"/>
  <c r="D188" i="282"/>
  <c r="D189" i="282" s="1"/>
  <c r="D190" i="282" s="1"/>
  <c r="D181" i="282"/>
  <c r="AD27" i="282"/>
  <c r="K28" i="282"/>
  <c r="D107" i="282"/>
  <c r="D85" i="282"/>
  <c r="H86" i="282"/>
  <c r="I191" i="282"/>
  <c r="I188" i="282"/>
  <c r="I189" i="282" s="1"/>
  <c r="I190" i="282" s="1"/>
  <c r="I181" i="282"/>
  <c r="L9" i="6"/>
  <c r="L80" i="5" s="1"/>
  <c r="Q53" i="6"/>
  <c r="Q51" i="4"/>
  <c r="Q48" i="4"/>
  <c r="F155" i="4"/>
  <c r="F154" i="4"/>
  <c r="F156" i="4" s="1"/>
  <c r="G227" i="4"/>
  <c r="G228" i="4" s="1"/>
  <c r="G138" i="4"/>
  <c r="G137" i="4" s="1"/>
  <c r="G153" i="4"/>
  <c r="G152" i="4" s="1"/>
  <c r="F139" i="4"/>
  <c r="F141" i="4" s="1"/>
  <c r="F140" i="4"/>
  <c r="AG91" i="4"/>
  <c r="D56" i="281"/>
  <c r="D58" i="281" s="1"/>
  <c r="H211" i="4"/>
  <c r="I5" i="4"/>
  <c r="H127" i="4"/>
  <c r="H160" i="4"/>
  <c r="H161" i="4" s="1"/>
  <c r="L200" i="4"/>
  <c r="AN230" i="4"/>
  <c r="E66" i="4"/>
  <c r="E6" i="6"/>
  <c r="E27" i="6" s="1"/>
  <c r="E64" i="4"/>
  <c r="I134" i="4"/>
  <c r="Q183" i="4"/>
  <c r="V197" i="4"/>
  <c r="V194" i="4"/>
  <c r="AA192" i="4" s="1"/>
  <c r="AF202" i="4"/>
  <c r="AI196" i="4"/>
  <c r="AJ196" i="4" s="1"/>
  <c r="AK196" i="4" s="1"/>
  <c r="AL196" i="4" s="1"/>
  <c r="AM196" i="4" s="1"/>
  <c r="AN196" i="4" s="1"/>
  <c r="AO196" i="4" s="1"/>
  <c r="AP196" i="4" s="1"/>
  <c r="AQ196" i="4" s="1"/>
  <c r="AR196" i="4" s="1"/>
  <c r="AG179" i="4"/>
  <c r="V177" i="4"/>
  <c r="AA175" i="4" s="1"/>
  <c r="V180" i="4"/>
  <c r="L54" i="282" l="1"/>
  <c r="E51" i="282"/>
  <c r="E104" i="282"/>
  <c r="E99" i="282" s="1"/>
  <c r="E136" i="282" s="1"/>
  <c r="E77" i="282"/>
  <c r="F77" i="282"/>
  <c r="H99" i="282"/>
  <c r="H135" i="282" s="1"/>
  <c r="D60" i="6"/>
  <c r="R65" i="5"/>
  <c r="G237" i="281"/>
  <c r="G238" i="281"/>
  <c r="R67" i="5"/>
  <c r="P80" i="281"/>
  <c r="P141" i="281"/>
  <c r="L276" i="281"/>
  <c r="L253" i="281"/>
  <c r="H309" i="281"/>
  <c r="H310" i="281" s="1"/>
  <c r="H311" i="281" s="1"/>
  <c r="H286" i="281"/>
  <c r="H287" i="281" s="1"/>
  <c r="H288" i="281" s="1"/>
  <c r="N73" i="5"/>
  <c r="N71" i="5"/>
  <c r="N69" i="5"/>
  <c r="N79" i="5"/>
  <c r="R79" i="5" s="1"/>
  <c r="S79" i="5" s="1"/>
  <c r="T79" i="5" s="1"/>
  <c r="U79" i="5" s="1"/>
  <c r="V79" i="5" s="1"/>
  <c r="W79" i="5" s="1"/>
  <c r="X79" i="5" s="1"/>
  <c r="Y79" i="5" s="1"/>
  <c r="Z79" i="5" s="1"/>
  <c r="AA79" i="5" s="1"/>
  <c r="AB79" i="5" s="1"/>
  <c r="N112" i="5"/>
  <c r="K79" i="5"/>
  <c r="K71" i="5"/>
  <c r="K73" i="5"/>
  <c r="K69" i="5"/>
  <c r="K112" i="5"/>
  <c r="L69" i="5"/>
  <c r="L73" i="5"/>
  <c r="L71" i="5"/>
  <c r="L79" i="5"/>
  <c r="L112" i="5"/>
  <c r="K113" i="5"/>
  <c r="I20" i="285"/>
  <c r="L7" i="284"/>
  <c r="F88" i="282"/>
  <c r="G215" i="4"/>
  <c r="G218" i="4" s="1"/>
  <c r="G221" i="4" s="1"/>
  <c r="G223" i="4" s="1"/>
  <c r="D52" i="6"/>
  <c r="E50" i="6" s="1"/>
  <c r="R41" i="6"/>
  <c r="L187" i="4"/>
  <c r="H212" i="4"/>
  <c r="I210" i="4" s="1"/>
  <c r="G247" i="4"/>
  <c r="G254" i="4" s="1"/>
  <c r="H88" i="282"/>
  <c r="L59" i="282"/>
  <c r="L107" i="282" s="1"/>
  <c r="O150" i="291"/>
  <c r="O178" i="291"/>
  <c r="O180" i="291" s="1"/>
  <c r="N181" i="291"/>
  <c r="N12" i="291"/>
  <c r="L345" i="281"/>
  <c r="L368" i="281" s="1"/>
  <c r="L391" i="281" s="1"/>
  <c r="L375" i="281" s="1"/>
  <c r="L299" i="281"/>
  <c r="L322" i="281" s="1"/>
  <c r="K378" i="281"/>
  <c r="K379" i="281" s="1"/>
  <c r="K380" i="281" s="1"/>
  <c r="I51" i="4"/>
  <c r="I48" i="4"/>
  <c r="AF98" i="4"/>
  <c r="V76" i="4"/>
  <c r="V260" i="4"/>
  <c r="Q203" i="4"/>
  <c r="Q205" i="4" s="1"/>
  <c r="Q204" i="4"/>
  <c r="L376" i="281"/>
  <c r="L377" i="281"/>
  <c r="X29" i="288"/>
  <c r="Q371" i="281"/>
  <c r="Q394" i="281" s="1"/>
  <c r="Q210" i="281"/>
  <c r="Q233" i="281" s="1"/>
  <c r="Q256" i="281" s="1"/>
  <c r="Q72" i="281"/>
  <c r="Q118" i="281" s="1"/>
  <c r="Q164" i="281" s="1"/>
  <c r="Q187" i="281" s="1"/>
  <c r="Q172" i="281" s="1"/>
  <c r="Q173" i="281" s="1"/>
  <c r="Q49" i="281"/>
  <c r="Q95" i="281" s="1"/>
  <c r="R26" i="281"/>
  <c r="Q243" i="4"/>
  <c r="Q255" i="4" s="1"/>
  <c r="L56" i="282"/>
  <c r="L104" i="282" s="1"/>
  <c r="L55" i="282"/>
  <c r="L81" i="282" s="1"/>
  <c r="E54" i="286"/>
  <c r="E58" i="286" s="1"/>
  <c r="E66" i="286" s="1"/>
  <c r="E53" i="286"/>
  <c r="E57" i="286" s="1"/>
  <c r="E65" i="286" s="1"/>
  <c r="P71" i="291"/>
  <c r="L25" i="291"/>
  <c r="K33" i="291"/>
  <c r="F109" i="291"/>
  <c r="F107" i="291"/>
  <c r="J17" i="286"/>
  <c r="I50" i="286"/>
  <c r="G32" i="285"/>
  <c r="I32" i="285" s="1"/>
  <c r="G31" i="4"/>
  <c r="G47" i="4"/>
  <c r="G34" i="4"/>
  <c r="G42" i="4"/>
  <c r="H31" i="4"/>
  <c r="P7" i="283"/>
  <c r="P10" i="283" s="1"/>
  <c r="Q8" i="283"/>
  <c r="X28" i="288"/>
  <c r="L37" i="291"/>
  <c r="H22" i="286"/>
  <c r="H26" i="286" s="1"/>
  <c r="H34" i="286" s="1"/>
  <c r="H21" i="286"/>
  <c r="H25" i="286" s="1"/>
  <c r="H33" i="286" s="1"/>
  <c r="H70" i="266"/>
  <c r="I61" i="266"/>
  <c r="H64" i="266"/>
  <c r="K46" i="281"/>
  <c r="L23" i="281"/>
  <c r="E112" i="291"/>
  <c r="N207" i="281"/>
  <c r="M230" i="281"/>
  <c r="Q387" i="282"/>
  <c r="Q67" i="282"/>
  <c r="Q210" i="282" s="1"/>
  <c r="H58" i="291"/>
  <c r="H60" i="291" s="1"/>
  <c r="I55" i="291" s="1"/>
  <c r="K47" i="4"/>
  <c r="K76" i="4"/>
  <c r="O14" i="266"/>
  <c r="S98" i="266"/>
  <c r="J51" i="4"/>
  <c r="J48" i="4"/>
  <c r="L47" i="4"/>
  <c r="L76" i="4"/>
  <c r="R65" i="282"/>
  <c r="R208" i="282" s="1"/>
  <c r="S383" i="282"/>
  <c r="R385" i="282"/>
  <c r="L53" i="282"/>
  <c r="L101" i="282" s="1"/>
  <c r="K13" i="266"/>
  <c r="L4" i="266"/>
  <c r="P3" i="288"/>
  <c r="O7" i="288"/>
  <c r="O4" i="288"/>
  <c r="O5" i="288" s="1"/>
  <c r="K65" i="266"/>
  <c r="J32" i="291"/>
  <c r="H236" i="281" s="1"/>
  <c r="I31" i="291"/>
  <c r="I36" i="291" s="1"/>
  <c r="I39" i="291" s="1"/>
  <c r="I42" i="291" s="1"/>
  <c r="I50" i="291" s="1"/>
  <c r="I6" i="291" s="1"/>
  <c r="I28" i="291"/>
  <c r="J28" i="291" s="1"/>
  <c r="N52" i="266"/>
  <c r="N53" i="266" s="1"/>
  <c r="N39" i="256"/>
  <c r="I59" i="291"/>
  <c r="I65" i="291"/>
  <c r="I67" i="291"/>
  <c r="I73" i="291" s="1"/>
  <c r="F84" i="266"/>
  <c r="F92" i="266" s="1"/>
  <c r="F94" i="266"/>
  <c r="AK101" i="4"/>
  <c r="AJ102" i="4"/>
  <c r="P348" i="281"/>
  <c r="P279" i="281"/>
  <c r="P302" i="281" s="1"/>
  <c r="P325" i="281" s="1"/>
  <c r="L84" i="256"/>
  <c r="L109" i="266"/>
  <c r="L110" i="266" s="1"/>
  <c r="H70" i="291"/>
  <c r="D68" i="286"/>
  <c r="E68" i="286" s="1"/>
  <c r="F68" i="286" s="1"/>
  <c r="G68" i="286" s="1"/>
  <c r="H68" i="286" s="1"/>
  <c r="I68" i="286" s="1"/>
  <c r="J68" i="286" s="1"/>
  <c r="K68" i="286" s="1"/>
  <c r="L68" i="286" s="1"/>
  <c r="M68" i="286" s="1"/>
  <c r="C72" i="286"/>
  <c r="C71" i="286"/>
  <c r="O33" i="292"/>
  <c r="H48" i="4"/>
  <c r="H51" i="4"/>
  <c r="N11" i="288"/>
  <c r="N15" i="288" s="1"/>
  <c r="N9" i="288"/>
  <c r="N13" i="288" s="1"/>
  <c r="N17" i="288" s="1"/>
  <c r="N8" i="288"/>
  <c r="N12" i="288" s="1"/>
  <c r="N16" i="288" s="1"/>
  <c r="M98" i="291"/>
  <c r="H27" i="291"/>
  <c r="H29" i="291" s="1"/>
  <c r="I24" i="291" s="1"/>
  <c r="O119" i="291"/>
  <c r="O86" i="291"/>
  <c r="P47" i="291"/>
  <c r="I45" i="286"/>
  <c r="T25" i="267"/>
  <c r="AN12" i="4" s="1"/>
  <c r="AM12" i="4"/>
  <c r="M58" i="282"/>
  <c r="M60" i="282" s="1"/>
  <c r="L52" i="282"/>
  <c r="L78" i="282" s="1"/>
  <c r="G48" i="286"/>
  <c r="F47" i="286"/>
  <c r="F49" i="286" s="1"/>
  <c r="O60" i="292"/>
  <c r="N62" i="292"/>
  <c r="N70" i="292" s="1"/>
  <c r="N73" i="292" s="1"/>
  <c r="N78" i="292" s="1"/>
  <c r="N80" i="292" s="1"/>
  <c r="M374" i="281" s="1"/>
  <c r="P389" i="282"/>
  <c r="P68" i="282" s="1"/>
  <c r="P211" i="282" s="1"/>
  <c r="P69" i="282"/>
  <c r="P212" i="282" s="1"/>
  <c r="H105" i="291"/>
  <c r="G104" i="291"/>
  <c r="J62" i="291"/>
  <c r="K56" i="291"/>
  <c r="G73" i="266"/>
  <c r="G76" i="266" s="1"/>
  <c r="H67" i="266" s="1"/>
  <c r="G79" i="266"/>
  <c r="G82" i="266" s="1"/>
  <c r="M9" i="288"/>
  <c r="M13" i="288" s="1"/>
  <c r="M17" i="288" s="1"/>
  <c r="J15" i="286"/>
  <c r="I16" i="286"/>
  <c r="I18" i="286" s="1"/>
  <c r="J14" i="283"/>
  <c r="J19" i="283" s="1"/>
  <c r="I15" i="283"/>
  <c r="F48" i="4"/>
  <c r="F51" i="4"/>
  <c r="O66" i="292"/>
  <c r="O57" i="292"/>
  <c r="Q12" i="292"/>
  <c r="P21" i="292"/>
  <c r="P31" i="292" s="1"/>
  <c r="P20" i="292"/>
  <c r="P30" i="292" s="1"/>
  <c r="P53" i="292"/>
  <c r="P22" i="292"/>
  <c r="P32" i="292" s="1"/>
  <c r="P38" i="292"/>
  <c r="P42" i="292" s="1"/>
  <c r="P46" i="292" s="1"/>
  <c r="H100" i="291"/>
  <c r="H102" i="291" s="1"/>
  <c r="I97" i="291" s="1"/>
  <c r="Y26" i="6"/>
  <c r="Y7" i="6"/>
  <c r="AA259" i="4"/>
  <c r="M32" i="282"/>
  <c r="Q17" i="266"/>
  <c r="H7" i="266"/>
  <c r="I8" i="266"/>
  <c r="H22" i="266"/>
  <c r="X39" i="266"/>
  <c r="W40" i="266"/>
  <c r="F26" i="266"/>
  <c r="F34" i="266" s="1"/>
  <c r="F36" i="266"/>
  <c r="F16" i="266"/>
  <c r="F19" i="266" s="1"/>
  <c r="G10" i="266" s="1"/>
  <c r="G21" i="266" s="1"/>
  <c r="G24" i="266" s="1"/>
  <c r="I8" i="256"/>
  <c r="I17" i="256" s="1"/>
  <c r="J9" i="256"/>
  <c r="O30" i="256"/>
  <c r="O75" i="256"/>
  <c r="I53" i="256"/>
  <c r="I62" i="256" s="1"/>
  <c r="J48" i="256"/>
  <c r="M57" i="256"/>
  <c r="T3" i="256"/>
  <c r="O12" i="256"/>
  <c r="F23" i="256"/>
  <c r="F26" i="256" s="1"/>
  <c r="O49" i="256"/>
  <c r="S47" i="256"/>
  <c r="R92" i="256"/>
  <c r="F56" i="256"/>
  <c r="F59" i="256" s="1"/>
  <c r="G11" i="256"/>
  <c r="G14" i="256" s="1"/>
  <c r="H136" i="282"/>
  <c r="M61" i="282"/>
  <c r="M109" i="282" s="1"/>
  <c r="M94" i="282"/>
  <c r="M96" i="282" s="1"/>
  <c r="M237" i="282" s="1"/>
  <c r="M239" i="282" s="1"/>
  <c r="M51" i="282"/>
  <c r="M57" i="282" s="1"/>
  <c r="D106" i="282"/>
  <c r="D161" i="282" s="1"/>
  <c r="O17" i="282"/>
  <c r="N20" i="282"/>
  <c r="N22" i="282" s="1"/>
  <c r="N24" i="282" s="1"/>
  <c r="N26" i="282" s="1"/>
  <c r="N27" i="282" s="1"/>
  <c r="N28" i="282" s="1"/>
  <c r="N30" i="282" s="1"/>
  <c r="E106" i="282"/>
  <c r="E154" i="282" s="1"/>
  <c r="G99" i="282"/>
  <c r="G77" i="282"/>
  <c r="Q397" i="282"/>
  <c r="Q74" i="282" s="1"/>
  <c r="Q72" i="282"/>
  <c r="Q215" i="282" s="1"/>
  <c r="G108" i="282"/>
  <c r="G86" i="282"/>
  <c r="R381" i="282"/>
  <c r="S377" i="282"/>
  <c r="I106" i="282"/>
  <c r="I161" i="282" s="1"/>
  <c r="G85" i="282"/>
  <c r="G107" i="282"/>
  <c r="G191" i="282"/>
  <c r="G188" i="282"/>
  <c r="G189" i="282" s="1"/>
  <c r="G190" i="282" s="1"/>
  <c r="G181" i="282"/>
  <c r="D84" i="282"/>
  <c r="D88" i="282"/>
  <c r="D185" i="282"/>
  <c r="D187" i="282"/>
  <c r="D186" i="282"/>
  <c r="D184" i="282"/>
  <c r="D183" i="282"/>
  <c r="D182" i="282"/>
  <c r="H186" i="282"/>
  <c r="H185" i="282"/>
  <c r="H183" i="282"/>
  <c r="H182" i="282"/>
  <c r="H184" i="282"/>
  <c r="H187" i="282"/>
  <c r="E84" i="282"/>
  <c r="AB236" i="282"/>
  <c r="L191" i="282"/>
  <c r="L181" i="282"/>
  <c r="L188" i="282"/>
  <c r="L189" i="282" s="1"/>
  <c r="L190" i="282" s="1"/>
  <c r="H84" i="282"/>
  <c r="L86" i="282"/>
  <c r="L108" i="282"/>
  <c r="E88" i="282"/>
  <c r="L100" i="282"/>
  <c r="L105" i="282"/>
  <c r="L83" i="282"/>
  <c r="F184" i="282"/>
  <c r="F186" i="282"/>
  <c r="F185" i="282"/>
  <c r="F183" i="282"/>
  <c r="F182" i="282"/>
  <c r="F187" i="282"/>
  <c r="J77" i="282"/>
  <c r="K30" i="282"/>
  <c r="AD28" i="282"/>
  <c r="Q92" i="282"/>
  <c r="Q35" i="282"/>
  <c r="J107" i="282"/>
  <c r="J85" i="282"/>
  <c r="I134" i="282"/>
  <c r="I135" i="282"/>
  <c r="I136" i="282"/>
  <c r="F135" i="282"/>
  <c r="F136" i="282"/>
  <c r="F134" i="282"/>
  <c r="I84" i="282"/>
  <c r="J99" i="282"/>
  <c r="M54" i="282"/>
  <c r="J108" i="282"/>
  <c r="J86" i="282"/>
  <c r="I88" i="282"/>
  <c r="F84" i="282"/>
  <c r="L102" i="282"/>
  <c r="L80" i="282"/>
  <c r="I182" i="282"/>
  <c r="I184" i="282"/>
  <c r="I183" i="282"/>
  <c r="I185" i="282"/>
  <c r="I187" i="282"/>
  <c r="I186" i="282"/>
  <c r="E134" i="282"/>
  <c r="E161" i="282"/>
  <c r="S2" i="282"/>
  <c r="R16" i="282"/>
  <c r="R235" i="282"/>
  <c r="R360" i="282" s="1"/>
  <c r="E187" i="282"/>
  <c r="E183" i="282"/>
  <c r="E184" i="282"/>
  <c r="E186" i="282"/>
  <c r="E182" i="282"/>
  <c r="E185" i="282"/>
  <c r="J191" i="282"/>
  <c r="J188" i="282"/>
  <c r="J189" i="282" s="1"/>
  <c r="J190" i="282" s="1"/>
  <c r="J181" i="282"/>
  <c r="H106" i="282"/>
  <c r="L85" i="282"/>
  <c r="F106" i="282"/>
  <c r="L79" i="282"/>
  <c r="R53" i="6"/>
  <c r="M9" i="6"/>
  <c r="M80" i="5" s="1"/>
  <c r="M81" i="5" s="1"/>
  <c r="N77" i="5" s="1"/>
  <c r="I159" i="4"/>
  <c r="H164" i="4"/>
  <c r="F242" i="4"/>
  <c r="F244" i="4" s="1"/>
  <c r="H227" i="4"/>
  <c r="H153" i="4"/>
  <c r="H152" i="4" s="1"/>
  <c r="H138" i="4"/>
  <c r="H137" i="4" s="1"/>
  <c r="H140" i="4" s="1"/>
  <c r="AH91" i="4"/>
  <c r="AI37" i="4"/>
  <c r="G155" i="4"/>
  <c r="G154" i="4"/>
  <c r="G156" i="4" s="1"/>
  <c r="Q109" i="4"/>
  <c r="Q54" i="4"/>
  <c r="Q53" i="4"/>
  <c r="M126" i="5" s="1"/>
  <c r="M128" i="5" s="1"/>
  <c r="M146" i="5" s="1"/>
  <c r="L203" i="4"/>
  <c r="L205" i="4" s="1"/>
  <c r="L242" i="4" s="1"/>
  <c r="L204" i="4"/>
  <c r="I160" i="4"/>
  <c r="I127" i="4"/>
  <c r="I211" i="4"/>
  <c r="J5" i="4"/>
  <c r="G140" i="4"/>
  <c r="G139" i="4"/>
  <c r="G141" i="4" s="1"/>
  <c r="H226" i="4"/>
  <c r="G234" i="4"/>
  <c r="G256" i="4"/>
  <c r="G261" i="4" s="1"/>
  <c r="AO230" i="4"/>
  <c r="H215" i="4"/>
  <c r="H218" i="4" s="1"/>
  <c r="E60" i="6"/>
  <c r="E49" i="6"/>
  <c r="V183" i="4"/>
  <c r="AH179" i="4"/>
  <c r="V200" i="4"/>
  <c r="Q186" i="4"/>
  <c r="Q188" i="4" s="1"/>
  <c r="Q187" i="4"/>
  <c r="AA177" i="4"/>
  <c r="AF175" i="4" s="1"/>
  <c r="AA180" i="4"/>
  <c r="AG202" i="4"/>
  <c r="AA197" i="4"/>
  <c r="AA194" i="4"/>
  <c r="AF192" i="4" s="1"/>
  <c r="E135" i="282" l="1"/>
  <c r="H134" i="282"/>
  <c r="H133" i="282" s="1"/>
  <c r="H137" i="282" s="1"/>
  <c r="G222" i="4"/>
  <c r="M59" i="282"/>
  <c r="M85" i="282" s="1"/>
  <c r="H238" i="281"/>
  <c r="H237" i="281"/>
  <c r="H240" i="281" s="1"/>
  <c r="H241" i="281" s="1"/>
  <c r="H242" i="281" s="1"/>
  <c r="G240" i="281"/>
  <c r="G241" i="281" s="1"/>
  <c r="G242" i="281" s="1"/>
  <c r="S67" i="5"/>
  <c r="S65" i="5"/>
  <c r="M276" i="281"/>
  <c r="M253" i="281"/>
  <c r="Q80" i="281"/>
  <c r="Q141" i="281"/>
  <c r="D72" i="286"/>
  <c r="M7" i="284"/>
  <c r="J20" i="285"/>
  <c r="L82" i="282"/>
  <c r="M52" i="282"/>
  <c r="M78" i="282" s="1"/>
  <c r="M56" i="282"/>
  <c r="E52" i="6"/>
  <c r="F50" i="6" s="1"/>
  <c r="S41" i="6"/>
  <c r="H228" i="4"/>
  <c r="H231" i="4" s="1"/>
  <c r="H234" i="4" s="1"/>
  <c r="H237" i="4" s="1"/>
  <c r="H239" i="4" s="1"/>
  <c r="M50" i="282"/>
  <c r="M53" i="282"/>
  <c r="M79" i="282" s="1"/>
  <c r="L103" i="282"/>
  <c r="D154" i="282"/>
  <c r="D158" i="282" s="1"/>
  <c r="D198" i="282" s="1"/>
  <c r="D224" i="282" s="1"/>
  <c r="G106" i="282"/>
  <c r="G161" i="282" s="1"/>
  <c r="M55" i="282"/>
  <c r="M81" i="282" s="1"/>
  <c r="P150" i="291"/>
  <c r="P178" i="291"/>
  <c r="P180" i="291" s="1"/>
  <c r="O181" i="291"/>
  <c r="O12" i="291"/>
  <c r="M345" i="281"/>
  <c r="M368" i="281" s="1"/>
  <c r="M391" i="281" s="1"/>
  <c r="M375" i="281" s="1"/>
  <c r="M299" i="281"/>
  <c r="M322" i="281" s="1"/>
  <c r="F112" i="291"/>
  <c r="I54" i="4"/>
  <c r="I109" i="4"/>
  <c r="I53" i="4"/>
  <c r="I126" i="5" s="1"/>
  <c r="I128" i="5" s="1"/>
  <c r="I146" i="5" s="1"/>
  <c r="AG98" i="4"/>
  <c r="AH41" i="4"/>
  <c r="I70" i="291"/>
  <c r="K28" i="291"/>
  <c r="L28" i="291" s="1"/>
  <c r="E72" i="286"/>
  <c r="C74" i="286"/>
  <c r="C4" i="286" s="1"/>
  <c r="M376" i="281"/>
  <c r="M377" i="281"/>
  <c r="Q20" i="292"/>
  <c r="Q30" i="292" s="1"/>
  <c r="Q22" i="292"/>
  <c r="Q32" i="292" s="1"/>
  <c r="Q38" i="292"/>
  <c r="Q42" i="292" s="1"/>
  <c r="Q46" i="292" s="1"/>
  <c r="Q53" i="292"/>
  <c r="R12" i="292"/>
  <c r="Q21" i="292"/>
  <c r="Q31" i="292" s="1"/>
  <c r="Q33" i="292" s="1"/>
  <c r="H73" i="266"/>
  <c r="H76" i="266" s="1"/>
  <c r="I67" i="266" s="1"/>
  <c r="H79" i="266"/>
  <c r="H82" i="266" s="1"/>
  <c r="O62" i="292"/>
  <c r="O70" i="292" s="1"/>
  <c r="P60" i="292"/>
  <c r="J45" i="286"/>
  <c r="O52" i="266"/>
  <c r="O53" i="266" s="1"/>
  <c r="O39" i="256"/>
  <c r="G190" i="281"/>
  <c r="J59" i="291"/>
  <c r="R67" i="282"/>
  <c r="R210" i="282" s="1"/>
  <c r="R387" i="282"/>
  <c r="L51" i="4"/>
  <c r="L48" i="4"/>
  <c r="D71" i="286"/>
  <c r="P14" i="266"/>
  <c r="J61" i="266"/>
  <c r="I70" i="266"/>
  <c r="I64" i="266"/>
  <c r="R8" i="283"/>
  <c r="Q7" i="283"/>
  <c r="Q10" i="283" s="1"/>
  <c r="E71" i="286"/>
  <c r="Q279" i="281"/>
  <c r="Q302" i="281" s="1"/>
  <c r="Q325" i="281" s="1"/>
  <c r="Q348" i="281"/>
  <c r="I100" i="291"/>
  <c r="I102" i="291" s="1"/>
  <c r="J97" i="291" s="1"/>
  <c r="P57" i="292"/>
  <c r="P66" i="292"/>
  <c r="O73" i="292"/>
  <c r="O78" i="292" s="1"/>
  <c r="O80" i="292" s="1"/>
  <c r="N374" i="281" s="1"/>
  <c r="I21" i="286"/>
  <c r="I25" i="286" s="1"/>
  <c r="I33" i="286" s="1"/>
  <c r="I22" i="286"/>
  <c r="I26" i="286" s="1"/>
  <c r="I34" i="286" s="1"/>
  <c r="L56" i="291"/>
  <c r="K62" i="291"/>
  <c r="G109" i="291"/>
  <c r="G107" i="291"/>
  <c r="F53" i="286"/>
  <c r="F57" i="286" s="1"/>
  <c r="F65" i="286" s="1"/>
  <c r="F71" i="286" s="1"/>
  <c r="F54" i="286"/>
  <c r="F58" i="286" s="1"/>
  <c r="F66" i="286" s="1"/>
  <c r="F72" i="286" s="1"/>
  <c r="Q47" i="291"/>
  <c r="P86" i="291"/>
  <c r="P119" i="291"/>
  <c r="H53" i="4"/>
  <c r="H126" i="5" s="1"/>
  <c r="H128" i="5" s="1"/>
  <c r="H146" i="5" s="1"/>
  <c r="H54" i="4"/>
  <c r="K32" i="291"/>
  <c r="J31" i="291"/>
  <c r="J36" i="291" s="1"/>
  <c r="J39" i="291" s="1"/>
  <c r="J42" i="291" s="1"/>
  <c r="M4" i="266"/>
  <c r="L13" i="266"/>
  <c r="S65" i="282"/>
  <c r="S208" i="282" s="1"/>
  <c r="S385" i="282"/>
  <c r="T383" i="282"/>
  <c r="M23" i="281"/>
  <c r="L46" i="281"/>
  <c r="M37" i="291"/>
  <c r="G48" i="4"/>
  <c r="G51" i="4"/>
  <c r="S26" i="281"/>
  <c r="R371" i="281"/>
  <c r="R394" i="281" s="1"/>
  <c r="R49" i="281"/>
  <c r="R95" i="281" s="1"/>
  <c r="R72" i="281"/>
  <c r="R118" i="281" s="1"/>
  <c r="R164" i="281" s="1"/>
  <c r="R187" i="281" s="1"/>
  <c r="R172" i="281" s="1"/>
  <c r="R173" i="281" s="1"/>
  <c r="R210" i="281"/>
  <c r="R233" i="281" s="1"/>
  <c r="R256" i="281" s="1"/>
  <c r="J15" i="283"/>
  <c r="K14" i="283"/>
  <c r="K19" i="283" s="1"/>
  <c r="J16" i="286"/>
  <c r="J18" i="286" s="1"/>
  <c r="K15" i="286"/>
  <c r="J65" i="291"/>
  <c r="J67" i="291"/>
  <c r="J73" i="291" s="1"/>
  <c r="I105" i="291"/>
  <c r="H104" i="291"/>
  <c r="H48" i="286"/>
  <c r="G47" i="286"/>
  <c r="G49" i="286" s="1"/>
  <c r="N98" i="291"/>
  <c r="M109" i="266"/>
  <c r="M110" i="266" s="1"/>
  <c r="M84" i="256"/>
  <c r="AK102" i="4"/>
  <c r="AL101" i="4"/>
  <c r="O11" i="288"/>
  <c r="O15" i="288" s="1"/>
  <c r="O9" i="288"/>
  <c r="O13" i="288" s="1"/>
  <c r="O17" i="288" s="1"/>
  <c r="O8" i="288"/>
  <c r="O12" i="288" s="1"/>
  <c r="O16" i="288" s="1"/>
  <c r="T98" i="266"/>
  <c r="N230" i="281"/>
  <c r="O207" i="281"/>
  <c r="K17" i="286"/>
  <c r="J50" i="286"/>
  <c r="L33" i="291"/>
  <c r="M25" i="291"/>
  <c r="P33" i="292"/>
  <c r="F53" i="4"/>
  <c r="F126" i="5" s="1"/>
  <c r="F128" i="5" s="1"/>
  <c r="F146" i="5" s="1"/>
  <c r="F54" i="4"/>
  <c r="G94" i="266"/>
  <c r="G84" i="266"/>
  <c r="F114" i="266"/>
  <c r="E13" i="267" s="1"/>
  <c r="E14" i="267" s="1"/>
  <c r="E25" i="267" s="1"/>
  <c r="F103" i="266"/>
  <c r="I58" i="291"/>
  <c r="I60" i="291" s="1"/>
  <c r="J55" i="291" s="1"/>
  <c r="I27" i="291"/>
  <c r="I29" i="291" s="1"/>
  <c r="J24" i="291" s="1"/>
  <c r="L65" i="266"/>
  <c r="Q3" i="288"/>
  <c r="P7" i="288"/>
  <c r="P4" i="288"/>
  <c r="P5" i="288" s="1"/>
  <c r="J109" i="4"/>
  <c r="J54" i="4"/>
  <c r="J53" i="4"/>
  <c r="J126" i="5" s="1"/>
  <c r="J128" i="5" s="1"/>
  <c r="J146" i="5" s="1"/>
  <c r="K51" i="4"/>
  <c r="K48" i="4"/>
  <c r="Q389" i="282"/>
  <c r="Q68" i="282" s="1"/>
  <c r="Q211" i="282" s="1"/>
  <c r="Q69" i="282"/>
  <c r="Q212" i="282" s="1"/>
  <c r="Y28" i="288"/>
  <c r="Q71" i="291"/>
  <c r="Y29" i="288"/>
  <c r="L378" i="281"/>
  <c r="Z7" i="6"/>
  <c r="Z26" i="6"/>
  <c r="M87" i="282"/>
  <c r="D164" i="282"/>
  <c r="D204" i="282" s="1"/>
  <c r="D230" i="282" s="1"/>
  <c r="G26" i="266"/>
  <c r="G36" i="266"/>
  <c r="F57" i="266"/>
  <c r="E8" i="267" s="1"/>
  <c r="F45" i="266"/>
  <c r="I22" i="266"/>
  <c r="R17" i="266"/>
  <c r="G16" i="266"/>
  <c r="G19" i="266" s="1"/>
  <c r="H10" i="266" s="1"/>
  <c r="H21" i="266" s="1"/>
  <c r="H24" i="266" s="1"/>
  <c r="J8" i="266"/>
  <c r="I7" i="266"/>
  <c r="Y39" i="266"/>
  <c r="Y40" i="266" s="1"/>
  <c r="X40" i="266"/>
  <c r="P75" i="256"/>
  <c r="K9" i="256"/>
  <c r="J8" i="256"/>
  <c r="J17" i="256" s="1"/>
  <c r="J53" i="256"/>
  <c r="J62" i="256" s="1"/>
  <c r="K48" i="256"/>
  <c r="U3" i="256"/>
  <c r="T47" i="256"/>
  <c r="S92" i="256"/>
  <c r="F29" i="256"/>
  <c r="F16" i="256"/>
  <c r="F18" i="256" s="1"/>
  <c r="F34" i="256" s="1"/>
  <c r="H6" i="256"/>
  <c r="G24" i="256"/>
  <c r="G51" i="256"/>
  <c r="F69" i="256"/>
  <c r="F66" i="256"/>
  <c r="P49" i="256"/>
  <c r="P12" i="256"/>
  <c r="N57" i="256"/>
  <c r="H139" i="4"/>
  <c r="H141" i="4" s="1"/>
  <c r="E164" i="282"/>
  <c r="E204" i="282" s="1"/>
  <c r="E230" i="282" s="1"/>
  <c r="G88" i="282"/>
  <c r="I164" i="282"/>
  <c r="I204" i="282" s="1"/>
  <c r="I230" i="282" s="1"/>
  <c r="I154" i="282"/>
  <c r="I160" i="282" s="1"/>
  <c r="I200" i="282" s="1"/>
  <c r="I226" i="282" s="1"/>
  <c r="O20" i="282"/>
  <c r="O22" i="282" s="1"/>
  <c r="O24" i="282" s="1"/>
  <c r="O26" i="282" s="1"/>
  <c r="O27" i="282" s="1"/>
  <c r="O28" i="282" s="1"/>
  <c r="O30" i="282" s="1"/>
  <c r="P17" i="282"/>
  <c r="N32" i="282"/>
  <c r="N61" i="282"/>
  <c r="N51" i="282"/>
  <c r="N33" i="282"/>
  <c r="N94" i="282"/>
  <c r="N96" i="282" s="1"/>
  <c r="N237" i="282" s="1"/>
  <c r="N239" i="282" s="1"/>
  <c r="N58" i="282"/>
  <c r="G164" i="282"/>
  <c r="G154" i="282"/>
  <c r="S381" i="282"/>
  <c r="T377" i="282"/>
  <c r="G136" i="282"/>
  <c r="G134" i="282"/>
  <c r="G135" i="282"/>
  <c r="G183" i="282"/>
  <c r="G186" i="282"/>
  <c r="G185" i="282"/>
  <c r="G182" i="282"/>
  <c r="G187" i="282"/>
  <c r="G184" i="282"/>
  <c r="G84" i="282"/>
  <c r="R397" i="282"/>
  <c r="R74" i="282" s="1"/>
  <c r="R72" i="282"/>
  <c r="R391" i="282"/>
  <c r="R73" i="282" s="1"/>
  <c r="Q217" i="282"/>
  <c r="J88" i="282"/>
  <c r="L84" i="282"/>
  <c r="M104" i="282"/>
  <c r="M82" i="282"/>
  <c r="AC236" i="282"/>
  <c r="L106" i="282"/>
  <c r="S16" i="282"/>
  <c r="T2" i="282"/>
  <c r="S235" i="282"/>
  <c r="S360" i="282" s="1"/>
  <c r="E155" i="282"/>
  <c r="E195" i="282" s="1"/>
  <c r="E159" i="282"/>
  <c r="E199" i="282" s="1"/>
  <c r="E225" i="282" s="1"/>
  <c r="E156" i="282"/>
  <c r="E196" i="282" s="1"/>
  <c r="E222" i="282" s="1"/>
  <c r="E158" i="282"/>
  <c r="E198" i="282" s="1"/>
  <c r="E224" i="282" s="1"/>
  <c r="E160" i="282"/>
  <c r="E200" i="282" s="1"/>
  <c r="E226" i="282" s="1"/>
  <c r="E157" i="282"/>
  <c r="E197" i="282" s="1"/>
  <c r="E223" i="282" s="1"/>
  <c r="E133" i="282"/>
  <c r="I133" i="282"/>
  <c r="J106" i="282"/>
  <c r="D163" i="282"/>
  <c r="D203" i="282" s="1"/>
  <c r="D229" i="282" s="1"/>
  <c r="D162" i="282"/>
  <c r="D202" i="282" s="1"/>
  <c r="D228" i="282" s="1"/>
  <c r="D201" i="282"/>
  <c r="M107" i="282"/>
  <c r="I158" i="282"/>
  <c r="I198" i="282" s="1"/>
  <c r="I224" i="282" s="1"/>
  <c r="I155" i="282"/>
  <c r="I195" i="282" s="1"/>
  <c r="I157" i="282"/>
  <c r="I197" i="282" s="1"/>
  <c r="I223" i="282" s="1"/>
  <c r="L99" i="282"/>
  <c r="L185" i="282"/>
  <c r="L182" i="282"/>
  <c r="L183" i="282"/>
  <c r="L186" i="282"/>
  <c r="L187" i="282"/>
  <c r="L184" i="282"/>
  <c r="F161" i="282"/>
  <c r="F164" i="282"/>
  <c r="F204" i="282" s="1"/>
  <c r="F230" i="282" s="1"/>
  <c r="F154" i="282"/>
  <c r="R35" i="282"/>
  <c r="R92" i="282"/>
  <c r="M80" i="282"/>
  <c r="M102" i="282"/>
  <c r="J84" i="282"/>
  <c r="K32" i="282"/>
  <c r="K53" i="282"/>
  <c r="K55" i="282"/>
  <c r="K58" i="282"/>
  <c r="K52" i="282"/>
  <c r="K57" i="282"/>
  <c r="K61" i="282"/>
  <c r="K56" i="282"/>
  <c r="K94" i="282"/>
  <c r="K96" i="282" s="1"/>
  <c r="K237" i="282" s="1"/>
  <c r="K239" i="282" s="1"/>
  <c r="K54" i="282"/>
  <c r="K33" i="282"/>
  <c r="AD30" i="282"/>
  <c r="L32" i="282"/>
  <c r="L50" i="282" s="1"/>
  <c r="H164" i="282"/>
  <c r="H204" i="282" s="1"/>
  <c r="H230" i="282" s="1"/>
  <c r="H161" i="282"/>
  <c r="H154" i="282"/>
  <c r="M103" i="282"/>
  <c r="M105" i="282"/>
  <c r="M83" i="282"/>
  <c r="F133" i="282"/>
  <c r="I162" i="282"/>
  <c r="I202" i="282" s="1"/>
  <c r="I228" i="282" s="1"/>
  <c r="I163" i="282"/>
  <c r="I203" i="282" s="1"/>
  <c r="I229" i="282" s="1"/>
  <c r="L77" i="282"/>
  <c r="L88" i="282"/>
  <c r="J182" i="282"/>
  <c r="J187" i="282"/>
  <c r="J184" i="282"/>
  <c r="J185" i="282"/>
  <c r="J186" i="282"/>
  <c r="J183" i="282"/>
  <c r="M191" i="282"/>
  <c r="M181" i="282"/>
  <c r="M188" i="282"/>
  <c r="M189" i="282" s="1"/>
  <c r="M190" i="282" s="1"/>
  <c r="M108" i="282"/>
  <c r="M86" i="282"/>
  <c r="E162" i="282"/>
  <c r="E202" i="282" s="1"/>
  <c r="E228" i="282" s="1"/>
  <c r="E163" i="282"/>
  <c r="E203" i="282" s="1"/>
  <c r="E229" i="282" s="1"/>
  <c r="M100" i="282"/>
  <c r="J136" i="282"/>
  <c r="J134" i="282"/>
  <c r="J135" i="282"/>
  <c r="D160" i="282"/>
  <c r="D200" i="282" s="1"/>
  <c r="D226" i="282" s="1"/>
  <c r="D156" i="282"/>
  <c r="D196" i="282" s="1"/>
  <c r="D222" i="282" s="1"/>
  <c r="D155" i="282"/>
  <c r="D195" i="282" s="1"/>
  <c r="D157" i="282"/>
  <c r="D197" i="282" s="1"/>
  <c r="D223" i="282" s="1"/>
  <c r="D159" i="282"/>
  <c r="D199" i="282" s="1"/>
  <c r="D225" i="282" s="1"/>
  <c r="S53" i="6"/>
  <c r="AA183" i="4"/>
  <c r="Q73" i="4"/>
  <c r="Q82" i="4" s="1"/>
  <c r="Q263" i="4"/>
  <c r="Q264" i="4" s="1"/>
  <c r="Q63" i="4"/>
  <c r="Q65" i="4" s="1"/>
  <c r="Q57" i="4"/>
  <c r="Q56" i="4"/>
  <c r="J160" i="4"/>
  <c r="K5" i="4"/>
  <c r="J127" i="4"/>
  <c r="J227" i="4" s="1"/>
  <c r="L244" i="4"/>
  <c r="L255" i="4"/>
  <c r="H167" i="4"/>
  <c r="H243" i="4"/>
  <c r="H255" i="4" s="1"/>
  <c r="G238" i="4"/>
  <c r="G237" i="4"/>
  <c r="G239" i="4" s="1"/>
  <c r="G242" i="4" s="1"/>
  <c r="G244" i="4" s="1"/>
  <c r="I227" i="4"/>
  <c r="I138" i="4"/>
  <c r="I137" i="4" s="1"/>
  <c r="I140" i="4" s="1"/>
  <c r="I153" i="4"/>
  <c r="I152" i="4" s="1"/>
  <c r="I130" i="4"/>
  <c r="I131" i="4" s="1"/>
  <c r="AJ37" i="4"/>
  <c r="AI91" i="4"/>
  <c r="H155" i="4"/>
  <c r="H154" i="4"/>
  <c r="H156" i="4" s="1"/>
  <c r="I161" i="4"/>
  <c r="J159" i="4" s="1"/>
  <c r="AP230" i="4"/>
  <c r="AA200" i="4"/>
  <c r="AA203" i="4" s="1"/>
  <c r="AA205" i="4" s="1"/>
  <c r="I212" i="4"/>
  <c r="J210" i="4" s="1"/>
  <c r="I215" i="4"/>
  <c r="H221" i="4"/>
  <c r="H223" i="4" s="1"/>
  <c r="H222" i="4"/>
  <c r="AH202" i="4"/>
  <c r="V203" i="4"/>
  <c r="V205" i="4" s="1"/>
  <c r="V204" i="4"/>
  <c r="AF176" i="4"/>
  <c r="P43" i="6" s="1"/>
  <c r="AF180" i="4"/>
  <c r="AF194" i="4"/>
  <c r="AG192" i="4" s="1"/>
  <c r="AF197" i="4"/>
  <c r="AI179" i="4"/>
  <c r="AJ179" i="4" s="1"/>
  <c r="V186" i="4"/>
  <c r="V188" i="4" s="1"/>
  <c r="V249" i="4"/>
  <c r="V187" i="4"/>
  <c r="H201" i="282" l="1"/>
  <c r="M101" i="282"/>
  <c r="T65" i="5"/>
  <c r="T67" i="5"/>
  <c r="R80" i="281"/>
  <c r="R141" i="281"/>
  <c r="N276" i="281"/>
  <c r="N253" i="281"/>
  <c r="O35" i="5"/>
  <c r="E74" i="286"/>
  <c r="E4" i="286" s="1"/>
  <c r="D74" i="286"/>
  <c r="D4" i="286" s="1"/>
  <c r="N7" i="284"/>
  <c r="K20" i="285"/>
  <c r="F74" i="286"/>
  <c r="F4" i="286" s="1"/>
  <c r="I226" i="4"/>
  <c r="I228" i="4" s="1"/>
  <c r="I231" i="4" s="1"/>
  <c r="I234" i="4" s="1"/>
  <c r="I238" i="4" s="1"/>
  <c r="T41" i="6"/>
  <c r="H256" i="4"/>
  <c r="H247" i="4"/>
  <c r="H254" i="4" s="1"/>
  <c r="H238" i="4"/>
  <c r="G112" i="291"/>
  <c r="P181" i="291"/>
  <c r="P12" i="291"/>
  <c r="Q178" i="291"/>
  <c r="Q180" i="291" s="1"/>
  <c r="Q150" i="291"/>
  <c r="N345" i="281"/>
  <c r="N368" i="281" s="1"/>
  <c r="N391" i="281" s="1"/>
  <c r="N299" i="281"/>
  <c r="N322" i="281" s="1"/>
  <c r="I77" i="4"/>
  <c r="I62" i="4" s="1"/>
  <c r="I63" i="4" s="1"/>
  <c r="I56" i="4"/>
  <c r="I263" i="4"/>
  <c r="I73" i="4"/>
  <c r="AI41" i="4"/>
  <c r="AH98" i="4"/>
  <c r="AA186" i="4"/>
  <c r="AA188" i="4" s="1"/>
  <c r="AA242" i="4" s="1"/>
  <c r="K54" i="4"/>
  <c r="K109" i="4"/>
  <c r="K53" i="4"/>
  <c r="K126" i="5" s="1"/>
  <c r="K128" i="5" s="1"/>
  <c r="K146" i="5" s="1"/>
  <c r="AA187" i="4"/>
  <c r="R71" i="291"/>
  <c r="H109" i="291"/>
  <c r="H107" i="291"/>
  <c r="H112" i="291" s="1"/>
  <c r="K15" i="283"/>
  <c r="L14" i="283"/>
  <c r="L19" i="283" s="1"/>
  <c r="G54" i="4"/>
  <c r="G53" i="4"/>
  <c r="G126" i="5" s="1"/>
  <c r="G128" i="5" s="1"/>
  <c r="G146" i="5" s="1"/>
  <c r="N23" i="281"/>
  <c r="M46" i="281"/>
  <c r="L32" i="291"/>
  <c r="K31" i="291"/>
  <c r="K36" i="291" s="1"/>
  <c r="K39" i="291" s="1"/>
  <c r="K42" i="291" s="1"/>
  <c r="H40" i="6"/>
  <c r="H46" i="6" s="1"/>
  <c r="P73" i="292"/>
  <c r="P78" i="292" s="1"/>
  <c r="P80" i="292" s="1"/>
  <c r="O374" i="281" s="1"/>
  <c r="J70" i="266"/>
  <c r="K61" i="266"/>
  <c r="J64" i="266"/>
  <c r="J16" i="291"/>
  <c r="M28" i="291"/>
  <c r="N28" i="291" s="1"/>
  <c r="M378" i="281"/>
  <c r="L379" i="281"/>
  <c r="L380" i="281" s="1"/>
  <c r="M65" i="266"/>
  <c r="I151" i="5"/>
  <c r="L17" i="286"/>
  <c r="K50" i="286"/>
  <c r="AM101" i="4"/>
  <c r="AL102" i="4"/>
  <c r="O98" i="291"/>
  <c r="J105" i="291"/>
  <c r="I104" i="291"/>
  <c r="R47" i="291"/>
  <c r="Q119" i="291"/>
  <c r="Q86" i="291"/>
  <c r="J100" i="291"/>
  <c r="J102" i="291" s="1"/>
  <c r="K97" i="291" s="1"/>
  <c r="R7" i="283"/>
  <c r="R10" i="283" s="1"/>
  <c r="L109" i="4"/>
  <c r="L53" i="4"/>
  <c r="L126" i="5" s="1"/>
  <c r="L128" i="5" s="1"/>
  <c r="L54" i="4"/>
  <c r="P62" i="292"/>
  <c r="P70" i="292" s="1"/>
  <c r="Q60" i="292"/>
  <c r="H94" i="266"/>
  <c r="H84" i="266"/>
  <c r="I159" i="282"/>
  <c r="I199" i="282" s="1"/>
  <c r="I225" i="282" s="1"/>
  <c r="Z28" i="288"/>
  <c r="J77" i="4"/>
  <c r="J62" i="4" s="1"/>
  <c r="J63" i="4" s="1"/>
  <c r="P8" i="288"/>
  <c r="P12" i="288" s="1"/>
  <c r="P16" i="288" s="1"/>
  <c r="P9" i="288"/>
  <c r="P13" i="288" s="1"/>
  <c r="P17" i="288" s="1"/>
  <c r="P11" i="288"/>
  <c r="P15" i="288" s="1"/>
  <c r="F104" i="266"/>
  <c r="G91" i="266"/>
  <c r="N25" i="291"/>
  <c r="M33" i="291"/>
  <c r="O230" i="281"/>
  <c r="P207" i="281"/>
  <c r="U98" i="266"/>
  <c r="G53" i="286"/>
  <c r="G57" i="286" s="1"/>
  <c r="G65" i="286" s="1"/>
  <c r="G71" i="286" s="1"/>
  <c r="G54" i="286"/>
  <c r="G58" i="286" s="1"/>
  <c r="G66" i="286" s="1"/>
  <c r="G72" i="286" s="1"/>
  <c r="J70" i="291"/>
  <c r="L15" i="286"/>
  <c r="K16" i="286"/>
  <c r="K18" i="286" s="1"/>
  <c r="N37" i="291"/>
  <c r="T65" i="282"/>
  <c r="T208" i="282" s="1"/>
  <c r="U383" i="282"/>
  <c r="T385" i="282"/>
  <c r="N4" i="266"/>
  <c r="M13" i="266"/>
  <c r="K67" i="291"/>
  <c r="K73" i="291" s="1"/>
  <c r="K65" i="291"/>
  <c r="N377" i="281"/>
  <c r="N375" i="281"/>
  <c r="N376" i="281"/>
  <c r="Q14" i="266"/>
  <c r="R69" i="282"/>
  <c r="R212" i="282" s="1"/>
  <c r="R389" i="282"/>
  <c r="R68" i="282" s="1"/>
  <c r="R211" i="282" s="1"/>
  <c r="J58" i="291"/>
  <c r="J60" i="291" s="1"/>
  <c r="K55" i="291" s="1"/>
  <c r="K59" i="291"/>
  <c r="L59" i="291" s="1"/>
  <c r="P52" i="266"/>
  <c r="P53" i="266" s="1"/>
  <c r="P39" i="256"/>
  <c r="I79" i="266"/>
  <c r="I82" i="266" s="1"/>
  <c r="I73" i="266"/>
  <c r="I76" i="266" s="1"/>
  <c r="J67" i="266" s="1"/>
  <c r="S12" i="292"/>
  <c r="R21" i="292"/>
  <c r="R31" i="292" s="1"/>
  <c r="R20" i="292"/>
  <c r="R30" i="292" s="1"/>
  <c r="R38" i="292"/>
  <c r="R42" i="292" s="1"/>
  <c r="R46" i="292" s="1"/>
  <c r="R53" i="292"/>
  <c r="R22" i="292"/>
  <c r="R32" i="292" s="1"/>
  <c r="Z29" i="288"/>
  <c r="J56" i="4"/>
  <c r="J263" i="4"/>
  <c r="J73" i="4"/>
  <c r="R3" i="288"/>
  <c r="Q7" i="288"/>
  <c r="Q4" i="288"/>
  <c r="Q5" i="288" s="1"/>
  <c r="F56" i="4"/>
  <c r="F63" i="4"/>
  <c r="F65" i="4" s="1"/>
  <c r="F57" i="4"/>
  <c r="F73" i="4"/>
  <c r="F82" i="4" s="1"/>
  <c r="F156" i="5" s="1"/>
  <c r="N109" i="266"/>
  <c r="N110" i="266" s="1"/>
  <c r="N84" i="256"/>
  <c r="J27" i="291"/>
  <c r="J29" i="291" s="1"/>
  <c r="K24" i="291" s="1"/>
  <c r="I48" i="286"/>
  <c r="H47" i="286"/>
  <c r="H49" i="286" s="1"/>
  <c r="J21" i="286"/>
  <c r="J25" i="286" s="1"/>
  <c r="J33" i="286" s="1"/>
  <c r="J22" i="286"/>
  <c r="J26" i="286" s="1"/>
  <c r="J34" i="286" s="1"/>
  <c r="R348" i="281"/>
  <c r="R279" i="281"/>
  <c r="R302" i="281" s="1"/>
  <c r="R325" i="281" s="1"/>
  <c r="S371" i="281"/>
  <c r="S394" i="281" s="1"/>
  <c r="S49" i="281"/>
  <c r="S95" i="281" s="1"/>
  <c r="S72" i="281"/>
  <c r="S118" i="281" s="1"/>
  <c r="S164" i="281" s="1"/>
  <c r="S187" i="281" s="1"/>
  <c r="S172" i="281" s="1"/>
  <c r="S173" i="281" s="1"/>
  <c r="D181" i="281" s="1"/>
  <c r="S210" i="281"/>
  <c r="S233" i="281" s="1"/>
  <c r="S256" i="281" s="1"/>
  <c r="S387" i="282"/>
  <c r="C36" i="286"/>
  <c r="S67" i="282"/>
  <c r="S210" i="282" s="1"/>
  <c r="J46" i="291"/>
  <c r="J50" i="291"/>
  <c r="J6" i="291" s="1"/>
  <c r="H73" i="4"/>
  <c r="H82" i="4" s="1"/>
  <c r="H45" i="5" s="1"/>
  <c r="H63" i="4"/>
  <c r="H56" i="4"/>
  <c r="H263" i="4"/>
  <c r="L62" i="291"/>
  <c r="M56" i="291"/>
  <c r="G192" i="281"/>
  <c r="G191" i="281"/>
  <c r="K45" i="286"/>
  <c r="Q66" i="292"/>
  <c r="Q57" i="292"/>
  <c r="AB26" i="6"/>
  <c r="AA26" i="6"/>
  <c r="AB7" i="6"/>
  <c r="AA7" i="6"/>
  <c r="I139" i="4"/>
  <c r="I141" i="4" s="1"/>
  <c r="I145" i="4" s="1"/>
  <c r="I146" i="4" s="1"/>
  <c r="AA249" i="4"/>
  <c r="I156" i="282"/>
  <c r="I196" i="282" s="1"/>
  <c r="I222" i="282" s="1"/>
  <c r="H26" i="266"/>
  <c r="H36" i="266"/>
  <c r="G33" i="266"/>
  <c r="F46" i="266"/>
  <c r="H16" i="266"/>
  <c r="H19" i="266" s="1"/>
  <c r="I10" i="266" s="1"/>
  <c r="J22" i="266"/>
  <c r="E9" i="267"/>
  <c r="E17" i="267"/>
  <c r="J7" i="266"/>
  <c r="K8" i="266"/>
  <c r="S17" i="266"/>
  <c r="L9" i="256"/>
  <c r="K8" i="256"/>
  <c r="K17" i="256" s="1"/>
  <c r="Q75" i="256"/>
  <c r="Q30" i="256"/>
  <c r="K53" i="256"/>
  <c r="K62" i="256" s="1"/>
  <c r="L48" i="256"/>
  <c r="Q12" i="256"/>
  <c r="G56" i="256"/>
  <c r="G59" i="256" s="1"/>
  <c r="Q49" i="256"/>
  <c r="G23" i="256"/>
  <c r="G16" i="256" s="1"/>
  <c r="G18" i="256" s="1"/>
  <c r="G34" i="256" s="1"/>
  <c r="F32" i="256"/>
  <c r="F44" i="256"/>
  <c r="O57" i="256"/>
  <c r="H11" i="256"/>
  <c r="H14" i="256" s="1"/>
  <c r="F77" i="256"/>
  <c r="F89" i="256"/>
  <c r="F68" i="256"/>
  <c r="F61" i="256" s="1"/>
  <c r="F63" i="256" s="1"/>
  <c r="F79" i="256" s="1"/>
  <c r="U47" i="256"/>
  <c r="T92" i="256"/>
  <c r="V3" i="256"/>
  <c r="J151" i="5"/>
  <c r="I164" i="4"/>
  <c r="I167" i="4" s="1"/>
  <c r="Q17" i="282"/>
  <c r="P20" i="282"/>
  <c r="P22" i="282" s="1"/>
  <c r="P24" i="282" s="1"/>
  <c r="P26" i="282" s="1"/>
  <c r="P27" i="282" s="1"/>
  <c r="P28" i="282" s="1"/>
  <c r="P30" i="282" s="1"/>
  <c r="N56" i="282"/>
  <c r="N55" i="282"/>
  <c r="N52" i="282"/>
  <c r="N53" i="282"/>
  <c r="N57" i="282"/>
  <c r="N54" i="282"/>
  <c r="N50" i="282"/>
  <c r="O58" i="282"/>
  <c r="O61" i="282"/>
  <c r="O33" i="282"/>
  <c r="O51" i="282"/>
  <c r="O32" i="282"/>
  <c r="O94" i="282"/>
  <c r="O96" i="282" s="1"/>
  <c r="O237" i="282" s="1"/>
  <c r="O239" i="282" s="1"/>
  <c r="N59" i="282"/>
  <c r="N60" i="282"/>
  <c r="N109" i="282"/>
  <c r="N87" i="282"/>
  <c r="M84" i="282"/>
  <c r="R217" i="282"/>
  <c r="G133" i="282"/>
  <c r="G137" i="282" s="1"/>
  <c r="S391" i="282"/>
  <c r="S73" i="282" s="1"/>
  <c r="S72" i="282"/>
  <c r="S397" i="282"/>
  <c r="S74" i="282" s="1"/>
  <c r="G156" i="282"/>
  <c r="G196" i="282" s="1"/>
  <c r="G222" i="282" s="1"/>
  <c r="G158" i="282"/>
  <c r="G198" i="282" s="1"/>
  <c r="G224" i="282" s="1"/>
  <c r="G157" i="282"/>
  <c r="G197" i="282" s="1"/>
  <c r="G223" i="282" s="1"/>
  <c r="G159" i="282"/>
  <c r="G199" i="282" s="1"/>
  <c r="G225" i="282" s="1"/>
  <c r="G155" i="282"/>
  <c r="G195" i="282" s="1"/>
  <c r="G160" i="282"/>
  <c r="G200" i="282" s="1"/>
  <c r="G226" i="282" s="1"/>
  <c r="R216" i="282"/>
  <c r="G162" i="282"/>
  <c r="G202" i="282" s="1"/>
  <c r="G228" i="282" s="1"/>
  <c r="G163" i="282"/>
  <c r="G203" i="282" s="1"/>
  <c r="G229" i="282" s="1"/>
  <c r="R215" i="282"/>
  <c r="T381" i="282"/>
  <c r="U377" i="282"/>
  <c r="G204" i="282"/>
  <c r="G230" i="282" s="1"/>
  <c r="E227" i="282"/>
  <c r="I227" i="282"/>
  <c r="F137" i="282"/>
  <c r="F201" i="282"/>
  <c r="K109" i="282"/>
  <c r="K87" i="282"/>
  <c r="K81" i="282"/>
  <c r="K103" i="282"/>
  <c r="F162" i="282"/>
  <c r="F202" i="282" s="1"/>
  <c r="F228" i="282" s="1"/>
  <c r="F163" i="282"/>
  <c r="F203" i="282" s="1"/>
  <c r="F229" i="282" s="1"/>
  <c r="I137" i="282"/>
  <c r="I201" i="282"/>
  <c r="E137" i="282"/>
  <c r="E201" i="282"/>
  <c r="T16" i="282"/>
  <c r="U2" i="282"/>
  <c r="T235" i="282"/>
  <c r="T360" i="282" s="1"/>
  <c r="M77" i="282"/>
  <c r="M88" i="282"/>
  <c r="M187" i="282"/>
  <c r="M184" i="282"/>
  <c r="M185" i="282"/>
  <c r="M182" i="282"/>
  <c r="M183" i="282"/>
  <c r="M186" i="282"/>
  <c r="K102" i="282"/>
  <c r="K80" i="282"/>
  <c r="K83" i="282"/>
  <c r="K105" i="282"/>
  <c r="K101" i="282"/>
  <c r="K79" i="282"/>
  <c r="L136" i="282"/>
  <c r="L133" i="282"/>
  <c r="M106" i="282"/>
  <c r="J161" i="282"/>
  <c r="J164" i="282"/>
  <c r="J204" i="282" s="1"/>
  <c r="J230" i="282" s="1"/>
  <c r="J154" i="282"/>
  <c r="S92" i="282"/>
  <c r="S35" i="282"/>
  <c r="M99" i="282"/>
  <c r="H159" i="282"/>
  <c r="H199" i="282" s="1"/>
  <c r="H225" i="282" s="1"/>
  <c r="H158" i="282"/>
  <c r="H198" i="282" s="1"/>
  <c r="H224" i="282" s="1"/>
  <c r="H157" i="282"/>
  <c r="H197" i="282" s="1"/>
  <c r="H223" i="282" s="1"/>
  <c r="H160" i="282"/>
  <c r="H200" i="282" s="1"/>
  <c r="H226" i="282" s="1"/>
  <c r="H155" i="282"/>
  <c r="H195" i="282" s="1"/>
  <c r="H156" i="282"/>
  <c r="H196" i="282" s="1"/>
  <c r="H222" i="282" s="1"/>
  <c r="K78" i="282"/>
  <c r="K51" i="282"/>
  <c r="K100" i="282"/>
  <c r="F160" i="282"/>
  <c r="F200" i="282" s="1"/>
  <c r="F226" i="282" s="1"/>
  <c r="F159" i="282"/>
  <c r="F199" i="282" s="1"/>
  <c r="F225" i="282" s="1"/>
  <c r="F155" i="282"/>
  <c r="F195" i="282" s="1"/>
  <c r="F156" i="282"/>
  <c r="F196" i="282" s="1"/>
  <c r="F222" i="282" s="1"/>
  <c r="F158" i="282"/>
  <c r="F198" i="282" s="1"/>
  <c r="F224" i="282" s="1"/>
  <c r="F157" i="282"/>
  <c r="F197" i="282" s="1"/>
  <c r="F223" i="282" s="1"/>
  <c r="E221" i="282"/>
  <c r="E194" i="282"/>
  <c r="E242" i="282" s="1"/>
  <c r="D194" i="282"/>
  <c r="D242" i="282" s="1"/>
  <c r="D221" i="282"/>
  <c r="J133" i="282"/>
  <c r="H163" i="282"/>
  <c r="H203" i="282" s="1"/>
  <c r="H229" i="282" s="1"/>
  <c r="H162" i="282"/>
  <c r="H202" i="282" s="1"/>
  <c r="H228" i="282" s="1"/>
  <c r="K82" i="282"/>
  <c r="K104" i="282"/>
  <c r="K59" i="282"/>
  <c r="K60" i="282"/>
  <c r="I221" i="282"/>
  <c r="D227" i="282"/>
  <c r="L164" i="282"/>
  <c r="L154" i="282"/>
  <c r="L161" i="282"/>
  <c r="T53" i="6"/>
  <c r="AA204" i="4"/>
  <c r="AK179" i="4"/>
  <c r="AJ91" i="4"/>
  <c r="AK37" i="4"/>
  <c r="Q64" i="4"/>
  <c r="M6" i="6"/>
  <c r="M27" i="6" s="1"/>
  <c r="Q66" i="4"/>
  <c r="J161" i="4"/>
  <c r="K159" i="4" s="1"/>
  <c r="I154" i="4"/>
  <c r="I156" i="4" s="1"/>
  <c r="I155" i="4"/>
  <c r="H170" i="4"/>
  <c r="H172" i="4" s="1"/>
  <c r="H242" i="4" s="1"/>
  <c r="H244" i="4" s="1"/>
  <c r="H171" i="4"/>
  <c r="K127" i="4"/>
  <c r="L5" i="4"/>
  <c r="AQ230" i="4"/>
  <c r="I218" i="4"/>
  <c r="AF177" i="4"/>
  <c r="AG175" i="4" s="1"/>
  <c r="AG180" i="4" s="1"/>
  <c r="J215" i="4"/>
  <c r="J211" i="4"/>
  <c r="J212" i="4" s="1"/>
  <c r="AF200" i="4"/>
  <c r="AG194" i="4"/>
  <c r="AH192" i="4" s="1"/>
  <c r="AG197" i="4"/>
  <c r="V242" i="4"/>
  <c r="AG24" i="4" l="1"/>
  <c r="J19" i="291"/>
  <c r="I237" i="4"/>
  <c r="I239" i="4" s="1"/>
  <c r="U67" i="5"/>
  <c r="U65" i="5"/>
  <c r="O276" i="281"/>
  <c r="O253" i="281"/>
  <c r="S80" i="281"/>
  <c r="S141" i="281"/>
  <c r="P35" i="5"/>
  <c r="P10" i="6" s="1"/>
  <c r="H46" i="5"/>
  <c r="H48" i="5" s="1"/>
  <c r="H156" i="5"/>
  <c r="L20" i="285"/>
  <c r="O7" i="284"/>
  <c r="AA260" i="4"/>
  <c r="O39" i="6"/>
  <c r="U41" i="6"/>
  <c r="I82" i="4"/>
  <c r="I64" i="4" s="1"/>
  <c r="I268" i="4" s="1"/>
  <c r="I194" i="282"/>
  <c r="I242" i="282" s="1"/>
  <c r="I268" i="282" s="1"/>
  <c r="Q181" i="291"/>
  <c r="Q12" i="291"/>
  <c r="R178" i="291"/>
  <c r="R180" i="291" s="1"/>
  <c r="R150" i="291"/>
  <c r="O345" i="281"/>
  <c r="O368" i="281" s="1"/>
  <c r="O391" i="281" s="1"/>
  <c r="O375" i="281" s="1"/>
  <c r="O299" i="281"/>
  <c r="O322" i="281" s="1"/>
  <c r="I40" i="6"/>
  <c r="I46" i="6" s="1"/>
  <c r="I247" i="4"/>
  <c r="I254" i="4" s="1"/>
  <c r="J65" i="4"/>
  <c r="AJ41" i="4"/>
  <c r="AI98" i="4"/>
  <c r="G194" i="281"/>
  <c r="G195" i="281" s="1"/>
  <c r="I243" i="4"/>
  <c r="O10" i="6"/>
  <c r="J82" i="4"/>
  <c r="J156" i="5" s="1"/>
  <c r="G74" i="286"/>
  <c r="G4" i="286" s="1"/>
  <c r="K27" i="291"/>
  <c r="K29" i="291" s="1"/>
  <c r="L24" i="291" s="1"/>
  <c r="L45" i="286"/>
  <c r="M62" i="291"/>
  <c r="N56" i="291"/>
  <c r="S389" i="282"/>
  <c r="S68" i="282" s="1"/>
  <c r="S211" i="282" s="1"/>
  <c r="S69" i="282"/>
  <c r="S212" i="282" s="1"/>
  <c r="AA29" i="288"/>
  <c r="R33" i="292"/>
  <c r="K58" i="291"/>
  <c r="K60" i="291" s="1"/>
  <c r="L55" i="291" s="1"/>
  <c r="M59" i="291"/>
  <c r="N59" i="291" s="1"/>
  <c r="K70" i="291"/>
  <c r="O4" i="266"/>
  <c r="N13" i="266"/>
  <c r="O37" i="291"/>
  <c r="Q207" i="281"/>
  <c r="P230" i="281"/>
  <c r="I65" i="4"/>
  <c r="AN101" i="4"/>
  <c r="AM102" i="4"/>
  <c r="M32" i="291"/>
  <c r="L31" i="291"/>
  <c r="L36" i="291" s="1"/>
  <c r="L39" i="291" s="1"/>
  <c r="L42" i="291" s="1"/>
  <c r="G56" i="4"/>
  <c r="G263" i="4"/>
  <c r="G63" i="4"/>
  <c r="G65" i="4" s="1"/>
  <c r="G57" i="4"/>
  <c r="G73" i="4"/>
  <c r="G82" i="4" s="1"/>
  <c r="G156" i="5" s="1"/>
  <c r="S71" i="291"/>
  <c r="K77" i="4"/>
  <c r="K62" i="4" s="1"/>
  <c r="K61" i="4" s="1"/>
  <c r="L65" i="291"/>
  <c r="L67" i="291"/>
  <c r="O109" i="266"/>
  <c r="O110" i="266" s="1"/>
  <c r="O84" i="256"/>
  <c r="R66" i="292"/>
  <c r="R57" i="292"/>
  <c r="Q52" i="266"/>
  <c r="Q53" i="266" s="1"/>
  <c r="Q39" i="256"/>
  <c r="T67" i="282"/>
  <c r="T210" i="282" s="1"/>
  <c r="D36" i="286"/>
  <c r="T387" i="282"/>
  <c r="G92" i="266"/>
  <c r="G100" i="266"/>
  <c r="G103" i="266" s="1"/>
  <c r="G104" i="266" s="1"/>
  <c r="Q62" i="292"/>
  <c r="Q70" i="292" s="1"/>
  <c r="Q73" i="292" s="1"/>
  <c r="Q78" i="292" s="1"/>
  <c r="Q80" i="292" s="1"/>
  <c r="P374" i="281" s="1"/>
  <c r="R60" i="292"/>
  <c r="L73" i="4"/>
  <c r="L57" i="4"/>
  <c r="L56" i="4"/>
  <c r="L263" i="4"/>
  <c r="L264" i="4" s="1"/>
  <c r="N35" i="6"/>
  <c r="I109" i="291"/>
  <c r="I107" i="291"/>
  <c r="M379" i="281"/>
  <c r="M380" i="281" s="1"/>
  <c r="K70" i="266"/>
  <c r="L61" i="266"/>
  <c r="K64" i="266"/>
  <c r="O377" i="281"/>
  <c r="O376" i="281"/>
  <c r="L15" i="283"/>
  <c r="M14" i="283"/>
  <c r="M19" i="283" s="1"/>
  <c r="I256" i="4"/>
  <c r="S279" i="281"/>
  <c r="S302" i="281" s="1"/>
  <c r="S325" i="281" s="1"/>
  <c r="S348" i="281"/>
  <c r="H54" i="286"/>
  <c r="H58" i="286" s="1"/>
  <c r="H66" i="286" s="1"/>
  <c r="H72" i="286" s="1"/>
  <c r="H53" i="286"/>
  <c r="H57" i="286" s="1"/>
  <c r="H65" i="286" s="1"/>
  <c r="H71" i="286" s="1"/>
  <c r="F6" i="6"/>
  <c r="F27" i="6" s="1"/>
  <c r="F64" i="4"/>
  <c r="F66" i="4"/>
  <c r="Q8" i="288"/>
  <c r="Q12" i="288" s="1"/>
  <c r="Q16" i="288" s="1"/>
  <c r="Q24" i="288" s="1"/>
  <c r="Q32" i="288" s="1"/>
  <c r="Q11" i="288"/>
  <c r="Q15" i="288" s="1"/>
  <c r="J73" i="266"/>
  <c r="J76" i="266" s="1"/>
  <c r="K67" i="266" s="1"/>
  <c r="J79" i="266"/>
  <c r="J82" i="266" s="1"/>
  <c r="R14" i="266"/>
  <c r="N378" i="281"/>
  <c r="N379" i="281" s="1"/>
  <c r="N380" i="281" s="1"/>
  <c r="U65" i="282"/>
  <c r="U208" i="282" s="1"/>
  <c r="V383" i="282"/>
  <c r="U385" i="282"/>
  <c r="M15" i="286"/>
  <c r="M16" i="286" s="1"/>
  <c r="L16" i="286"/>
  <c r="L18" i="286" s="1"/>
  <c r="V98" i="266"/>
  <c r="AA28" i="288"/>
  <c r="L77" i="4"/>
  <c r="L62" i="4" s="1"/>
  <c r="R119" i="291"/>
  <c r="S47" i="291"/>
  <c r="R86" i="291"/>
  <c r="K105" i="291"/>
  <c r="J104" i="291"/>
  <c r="P98" i="291"/>
  <c r="M17" i="286"/>
  <c r="M50" i="286" s="1"/>
  <c r="L50" i="286"/>
  <c r="N65" i="266"/>
  <c r="O23" i="281"/>
  <c r="N46" i="281"/>
  <c r="K57" i="4"/>
  <c r="K263" i="4"/>
  <c r="K264" i="4" s="1"/>
  <c r="K56" i="4"/>
  <c r="K73" i="4"/>
  <c r="S53" i="292"/>
  <c r="S20" i="292"/>
  <c r="S30" i="292" s="1"/>
  <c r="S21" i="292"/>
  <c r="S31" i="292" s="1"/>
  <c r="S33" i="292" s="1"/>
  <c r="S22" i="292"/>
  <c r="S32" i="292" s="1"/>
  <c r="S38" i="292"/>
  <c r="S42" i="292" s="1"/>
  <c r="S46" i="292" s="1"/>
  <c r="T12" i="292"/>
  <c r="K22" i="286"/>
  <c r="K26" i="286" s="1"/>
  <c r="K34" i="286" s="1"/>
  <c r="K21" i="286"/>
  <c r="K25" i="286" s="1"/>
  <c r="K33" i="286" s="1"/>
  <c r="J226" i="4"/>
  <c r="J228" i="4" s="1"/>
  <c r="J231" i="4" s="1"/>
  <c r="J234" i="4" s="1"/>
  <c r="H64" i="4"/>
  <c r="H268" i="4" s="1"/>
  <c r="H6" i="6"/>
  <c r="H27" i="6" s="1"/>
  <c r="C39" i="286"/>
  <c r="C40" i="286"/>
  <c r="J48" i="286"/>
  <c r="I47" i="286"/>
  <c r="I49" i="286" s="1"/>
  <c r="R5" i="288"/>
  <c r="R7" i="288"/>
  <c r="S3" i="288"/>
  <c r="R4" i="288"/>
  <c r="I94" i="266"/>
  <c r="I84" i="266"/>
  <c r="I87" i="266" s="1"/>
  <c r="O25" i="291"/>
  <c r="N33" i="291"/>
  <c r="K100" i="291"/>
  <c r="K102" i="291" s="1"/>
  <c r="L97" i="291" s="1"/>
  <c r="I57" i="4"/>
  <c r="I61" i="4"/>
  <c r="K46" i="291"/>
  <c r="K50" i="291"/>
  <c r="O28" i="291"/>
  <c r="I249" i="4"/>
  <c r="AG177" i="4"/>
  <c r="AH175" i="4" s="1"/>
  <c r="AH177" i="4" s="1"/>
  <c r="AI175" i="4" s="1"/>
  <c r="I16" i="266"/>
  <c r="I19" i="266" s="1"/>
  <c r="J10" i="266" s="1"/>
  <c r="K7" i="266"/>
  <c r="L8" i="266"/>
  <c r="E23" i="267"/>
  <c r="E26" i="267" s="1"/>
  <c r="E19" i="267"/>
  <c r="I21" i="266"/>
  <c r="I24" i="266" s="1"/>
  <c r="T17" i="266"/>
  <c r="K22" i="266"/>
  <c r="G42" i="266"/>
  <c r="G34" i="266"/>
  <c r="F71" i="256"/>
  <c r="R75" i="256"/>
  <c r="R30" i="256"/>
  <c r="L8" i="256"/>
  <c r="L17" i="256" s="1"/>
  <c r="M9" i="256"/>
  <c r="L53" i="256"/>
  <c r="L62" i="256" s="1"/>
  <c r="M48" i="256"/>
  <c r="I6" i="256"/>
  <c r="H24" i="256"/>
  <c r="G69" i="256"/>
  <c r="H51" i="256"/>
  <c r="U92" i="256"/>
  <c r="V47" i="256"/>
  <c r="G20" i="256"/>
  <c r="F33" i="256"/>
  <c r="G26" i="256"/>
  <c r="F12" i="267"/>
  <c r="F94" i="256"/>
  <c r="R12" i="256"/>
  <c r="F78" i="256"/>
  <c r="G65" i="256"/>
  <c r="R49" i="256"/>
  <c r="W3" i="256"/>
  <c r="P57" i="256"/>
  <c r="F7" i="267"/>
  <c r="F93" i="256"/>
  <c r="H151" i="5"/>
  <c r="J57" i="4"/>
  <c r="J61" i="4"/>
  <c r="AF203" i="4"/>
  <c r="AF205" i="4" s="1"/>
  <c r="AF242" i="4" s="1"/>
  <c r="J164" i="4"/>
  <c r="J243" i="4" s="1"/>
  <c r="G201" i="282"/>
  <c r="G227" i="282"/>
  <c r="O87" i="282"/>
  <c r="O109" i="282"/>
  <c r="N101" i="282"/>
  <c r="N79" i="282"/>
  <c r="P61" i="282"/>
  <c r="P51" i="282"/>
  <c r="P33" i="282"/>
  <c r="P32" i="282"/>
  <c r="P94" i="282"/>
  <c r="P96" i="282" s="1"/>
  <c r="P237" i="282" s="1"/>
  <c r="P239" i="282" s="1"/>
  <c r="P58" i="282"/>
  <c r="N181" i="282"/>
  <c r="N188" i="282"/>
  <c r="N189" i="282" s="1"/>
  <c r="N190" i="282" s="1"/>
  <c r="N191" i="282"/>
  <c r="O60" i="282"/>
  <c r="O59" i="282"/>
  <c r="N100" i="282"/>
  <c r="N78" i="282"/>
  <c r="Q20" i="282"/>
  <c r="Q22" i="282" s="1"/>
  <c r="Q24" i="282" s="1"/>
  <c r="Q26" i="282" s="1"/>
  <c r="Q27" i="282" s="1"/>
  <c r="Q28" i="282" s="1"/>
  <c r="Q30" i="282" s="1"/>
  <c r="R17" i="282"/>
  <c r="N108" i="282"/>
  <c r="N86" i="282"/>
  <c r="O56" i="282"/>
  <c r="O53" i="282"/>
  <c r="O52" i="282"/>
  <c r="O54" i="282"/>
  <c r="O55" i="282"/>
  <c r="O50" i="282"/>
  <c r="O57" i="282"/>
  <c r="N80" i="282"/>
  <c r="N102" i="282"/>
  <c r="N81" i="282"/>
  <c r="N103" i="282"/>
  <c r="N107" i="282"/>
  <c r="N85" i="282"/>
  <c r="N105" i="282"/>
  <c r="N83" i="282"/>
  <c r="N104" i="282"/>
  <c r="N82" i="282"/>
  <c r="V377" i="282"/>
  <c r="U381" i="282"/>
  <c r="S217" i="282"/>
  <c r="T397" i="282"/>
  <c r="T74" i="282" s="1"/>
  <c r="T72" i="282"/>
  <c r="T391" i="282"/>
  <c r="T73" i="282" s="1"/>
  <c r="S215" i="282"/>
  <c r="S216" i="282"/>
  <c r="G194" i="282"/>
  <c r="G242" i="282" s="1"/>
  <c r="G221" i="282"/>
  <c r="G220" i="282" s="1"/>
  <c r="J163" i="282"/>
  <c r="J203" i="282" s="1"/>
  <c r="J229" i="282" s="1"/>
  <c r="J162" i="282"/>
  <c r="J202" i="282" s="1"/>
  <c r="J228" i="282" s="1"/>
  <c r="K191" i="282"/>
  <c r="K181" i="282"/>
  <c r="K188" i="282"/>
  <c r="K189" i="282" s="1"/>
  <c r="K190" i="282" s="1"/>
  <c r="L162" i="282"/>
  <c r="L163" i="282"/>
  <c r="K107" i="282"/>
  <c r="K85" i="282"/>
  <c r="E278" i="282"/>
  <c r="E343" i="282" s="1"/>
  <c r="E356" i="282" s="1"/>
  <c r="E13" i="282" s="1"/>
  <c r="E268" i="282"/>
  <c r="E275" i="282"/>
  <c r="F221" i="282"/>
  <c r="F194" i="282"/>
  <c r="F242" i="282" s="1"/>
  <c r="K99" i="282"/>
  <c r="H194" i="282"/>
  <c r="H242" i="282" s="1"/>
  <c r="H221" i="282"/>
  <c r="L134" i="282"/>
  <c r="L135" i="282"/>
  <c r="L201" i="282"/>
  <c r="U235" i="282"/>
  <c r="U360" i="282" s="1"/>
  <c r="V2" i="282"/>
  <c r="U16" i="282"/>
  <c r="K108" i="282"/>
  <c r="K86" i="282"/>
  <c r="K88" i="282" s="1"/>
  <c r="L155" i="282"/>
  <c r="L195" i="282" s="1"/>
  <c r="L157" i="282"/>
  <c r="L197" i="282" s="1"/>
  <c r="L223" i="282" s="1"/>
  <c r="L159" i="282"/>
  <c r="L199" i="282" s="1"/>
  <c r="L225" i="282" s="1"/>
  <c r="L160" i="282"/>
  <c r="L200" i="282" s="1"/>
  <c r="L226" i="282" s="1"/>
  <c r="L156" i="282"/>
  <c r="L196" i="282" s="1"/>
  <c r="L222" i="282" s="1"/>
  <c r="L158" i="282"/>
  <c r="L198" i="282" s="1"/>
  <c r="L224" i="282" s="1"/>
  <c r="I220" i="282"/>
  <c r="I231" i="282" s="1"/>
  <c r="H227" i="282"/>
  <c r="J201" i="282"/>
  <c r="J137" i="282"/>
  <c r="D220" i="282"/>
  <c r="D231" i="282" s="1"/>
  <c r="E220" i="282"/>
  <c r="E231" i="282" s="1"/>
  <c r="M133" i="282"/>
  <c r="M136" i="282"/>
  <c r="J155" i="282"/>
  <c r="J195" i="282" s="1"/>
  <c r="J158" i="282"/>
  <c r="J198" i="282" s="1"/>
  <c r="J224" i="282" s="1"/>
  <c r="J160" i="282"/>
  <c r="J200" i="282" s="1"/>
  <c r="J226" i="282" s="1"/>
  <c r="J157" i="282"/>
  <c r="J197" i="282" s="1"/>
  <c r="J223" i="282" s="1"/>
  <c r="J159" i="282"/>
  <c r="J199" i="282" s="1"/>
  <c r="J225" i="282" s="1"/>
  <c r="J156" i="282"/>
  <c r="J196" i="282" s="1"/>
  <c r="J222" i="282" s="1"/>
  <c r="L204" i="282"/>
  <c r="L230" i="282" s="1"/>
  <c r="T35" i="282"/>
  <c r="T92" i="282"/>
  <c r="D275" i="282"/>
  <c r="D268" i="282"/>
  <c r="D278" i="282"/>
  <c r="D343" i="282" s="1"/>
  <c r="D356" i="282" s="1"/>
  <c r="D13" i="282" s="1"/>
  <c r="K77" i="282"/>
  <c r="M161" i="282"/>
  <c r="M154" i="282"/>
  <c r="M164" i="282"/>
  <c r="F227" i="282"/>
  <c r="U53" i="6"/>
  <c r="AF204" i="4"/>
  <c r="I170" i="4"/>
  <c r="I172" i="4" s="1"/>
  <c r="I171" i="4"/>
  <c r="K160" i="4"/>
  <c r="K164" i="4"/>
  <c r="Q268" i="4"/>
  <c r="Q269" i="4" s="1"/>
  <c r="Q5" i="4"/>
  <c r="V5" i="4" s="1"/>
  <c r="AA5" i="4" s="1"/>
  <c r="L127" i="4"/>
  <c r="M60" i="6"/>
  <c r="M49" i="6"/>
  <c r="AK91" i="4"/>
  <c r="AL37" i="4"/>
  <c r="AL179" i="4"/>
  <c r="AR230" i="4"/>
  <c r="J218" i="4"/>
  <c r="I221" i="4"/>
  <c r="I223" i="4" s="1"/>
  <c r="I222" i="4"/>
  <c r="AF183" i="4"/>
  <c r="AG200" i="4"/>
  <c r="Q35" i="5" s="1"/>
  <c r="AH193" i="4"/>
  <c r="R43" i="6" s="1"/>
  <c r="AH197" i="4"/>
  <c r="V67" i="5" l="1"/>
  <c r="L73" i="291"/>
  <c r="V65" i="5"/>
  <c r="P276" i="281"/>
  <c r="P253" i="281"/>
  <c r="I156" i="5"/>
  <c r="M20" i="285"/>
  <c r="P7" i="284"/>
  <c r="I278" i="282"/>
  <c r="I343" i="282" s="1"/>
  <c r="I356" i="282" s="1"/>
  <c r="I13" i="282" s="1"/>
  <c r="I275" i="282"/>
  <c r="I276" i="282" s="1"/>
  <c r="I341" i="282" s="1"/>
  <c r="H74" i="286"/>
  <c r="H4" i="286" s="1"/>
  <c r="K82" i="4"/>
  <c r="K156" i="5" s="1"/>
  <c r="K76" i="291"/>
  <c r="K88" i="291" s="1"/>
  <c r="K8" i="291" s="1"/>
  <c r="K79" i="291"/>
  <c r="P39" i="6"/>
  <c r="V41" i="6"/>
  <c r="I6" i="6"/>
  <c r="I27" i="6" s="1"/>
  <c r="I66" i="4"/>
  <c r="J167" i="4"/>
  <c r="J170" i="4" s="1"/>
  <c r="J172" i="4" s="1"/>
  <c r="L70" i="291"/>
  <c r="I112" i="291"/>
  <c r="S150" i="291"/>
  <c r="S178" i="291"/>
  <c r="S180" i="291" s="1"/>
  <c r="R181" i="291"/>
  <c r="R12" i="291"/>
  <c r="P345" i="281"/>
  <c r="P368" i="281" s="1"/>
  <c r="P391" i="281" s="1"/>
  <c r="P375" i="281" s="1"/>
  <c r="P299" i="281"/>
  <c r="P322" i="281" s="1"/>
  <c r="K63" i="4"/>
  <c r="K65" i="4" s="1"/>
  <c r="AK41" i="4"/>
  <c r="AJ98" i="4"/>
  <c r="G196" i="281"/>
  <c r="J260" i="4"/>
  <c r="J264" i="4" s="1"/>
  <c r="I260" i="4"/>
  <c r="I264" i="4" s="1"/>
  <c r="J64" i="4"/>
  <c r="J268" i="4" s="1"/>
  <c r="J6" i="6"/>
  <c r="J27" i="6" s="1"/>
  <c r="J66" i="4"/>
  <c r="C42" i="286"/>
  <c r="C3" i="286" s="1"/>
  <c r="C6" i="286" s="1"/>
  <c r="C10" i="286" s="1"/>
  <c r="I144" i="281" s="1"/>
  <c r="M18" i="286"/>
  <c r="H91" i="266"/>
  <c r="H100" i="266" s="1"/>
  <c r="H103" i="266" s="1"/>
  <c r="G114" i="266"/>
  <c r="F13" i="267" s="1"/>
  <c r="F14" i="267" s="1"/>
  <c r="J87" i="266"/>
  <c r="L27" i="291"/>
  <c r="L29" i="291" s="1"/>
  <c r="M24" i="291" s="1"/>
  <c r="L58" i="291"/>
  <c r="L60" i="291" s="1"/>
  <c r="M55" i="291" s="1"/>
  <c r="P376" i="281"/>
  <c r="P377" i="281"/>
  <c r="L100" i="291"/>
  <c r="L102" i="291" s="1"/>
  <c r="M97" i="291" s="1"/>
  <c r="P25" i="291"/>
  <c r="O33" i="291"/>
  <c r="J107" i="291"/>
  <c r="J109" i="291"/>
  <c r="M21" i="286"/>
  <c r="M25" i="286" s="1"/>
  <c r="M33" i="286" s="1"/>
  <c r="M22" i="286"/>
  <c r="M26" i="286" s="1"/>
  <c r="M34" i="286" s="1"/>
  <c r="K73" i="266"/>
  <c r="K76" i="266" s="1"/>
  <c r="L67" i="266" s="1"/>
  <c r="K79" i="266"/>
  <c r="K82" i="266" s="1"/>
  <c r="N14" i="283"/>
  <c r="N19" i="283" s="1"/>
  <c r="M15" i="283"/>
  <c r="S60" i="292"/>
  <c r="R62" i="292"/>
  <c r="R70" i="292" s="1"/>
  <c r="T69" i="282"/>
  <c r="T212" i="282" s="1"/>
  <c r="T389" i="282"/>
  <c r="T68" i="282" s="1"/>
  <c r="T211" i="282" s="1"/>
  <c r="R52" i="266"/>
  <c r="R53" i="266" s="1"/>
  <c r="R39" i="256"/>
  <c r="P84" i="256"/>
  <c r="P109" i="266"/>
  <c r="P110" i="266" s="1"/>
  <c r="G64" i="4"/>
  <c r="G268" i="4" s="1"/>
  <c r="G6" i="6"/>
  <c r="G27" i="6" s="1"/>
  <c r="G66" i="4"/>
  <c r="P37" i="291"/>
  <c r="H191" i="281"/>
  <c r="H192" i="281"/>
  <c r="R8" i="288"/>
  <c r="R12" i="288" s="1"/>
  <c r="R16" i="288" s="1"/>
  <c r="R24" i="288" s="1"/>
  <c r="R32" i="288" s="1"/>
  <c r="R11" i="288"/>
  <c r="R15" i="288" s="1"/>
  <c r="R9" i="288"/>
  <c r="R13" i="288" s="1"/>
  <c r="R17" i="288" s="1"/>
  <c r="R25" i="288" s="1"/>
  <c r="R33" i="288" s="1"/>
  <c r="L105" i="291"/>
  <c r="K104" i="291"/>
  <c r="E36" i="286"/>
  <c r="U387" i="282"/>
  <c r="U67" i="282"/>
  <c r="U210" i="282" s="1"/>
  <c r="S14" i="266"/>
  <c r="Q9" i="288"/>
  <c r="Q13" i="288" s="1"/>
  <c r="Q17" i="288" s="1"/>
  <c r="Q25" i="288" s="1"/>
  <c r="Q33" i="288" s="1"/>
  <c r="I351" i="281" s="1"/>
  <c r="F60" i="6"/>
  <c r="F49" i="6"/>
  <c r="D40" i="286"/>
  <c r="D39" i="286"/>
  <c r="L46" i="291"/>
  <c r="L50" i="291"/>
  <c r="N62" i="291"/>
  <c r="O56" i="291"/>
  <c r="K6" i="291"/>
  <c r="K51" i="291"/>
  <c r="S7" i="288"/>
  <c r="T3" i="288"/>
  <c r="S4" i="288"/>
  <c r="S5" i="288" s="1"/>
  <c r="K48" i="286"/>
  <c r="J47" i="286"/>
  <c r="J49" i="286" s="1"/>
  <c r="O46" i="281"/>
  <c r="P23" i="281"/>
  <c r="AH180" i="4"/>
  <c r="L61" i="4"/>
  <c r="L63" i="4"/>
  <c r="L65" i="4" s="1"/>
  <c r="W98" i="266"/>
  <c r="W383" i="282"/>
  <c r="V65" i="282"/>
  <c r="V208" i="282" s="1"/>
  <c r="V385" i="282"/>
  <c r="M61" i="266"/>
  <c r="L70" i="266"/>
  <c r="L64" i="266"/>
  <c r="R73" i="292"/>
  <c r="R78" i="292" s="1"/>
  <c r="R80" i="292" s="1"/>
  <c r="Q374" i="281" s="1"/>
  <c r="T71" i="291"/>
  <c r="N32" i="291"/>
  <c r="M31" i="291"/>
  <c r="M36" i="291" s="1"/>
  <c r="M39" i="291" s="1"/>
  <c r="M42" i="291" s="1"/>
  <c r="P4" i="266"/>
  <c r="O13" i="266"/>
  <c r="M65" i="291"/>
  <c r="M67" i="291"/>
  <c r="S66" i="292"/>
  <c r="S57" i="292"/>
  <c r="P28" i="291"/>
  <c r="I53" i="286"/>
  <c r="I57" i="286" s="1"/>
  <c r="I65" i="286" s="1"/>
  <c r="I71" i="286" s="1"/>
  <c r="I54" i="286"/>
  <c r="I58" i="286" s="1"/>
  <c r="I66" i="286" s="1"/>
  <c r="I72" i="286" s="1"/>
  <c r="H60" i="6"/>
  <c r="H49" i="6"/>
  <c r="T21" i="292"/>
  <c r="T31" i="292" s="1"/>
  <c r="T33" i="292" s="1"/>
  <c r="T53" i="292"/>
  <c r="T22" i="292"/>
  <c r="T32" i="292" s="1"/>
  <c r="T20" i="292"/>
  <c r="T30" i="292" s="1"/>
  <c r="T38" i="292"/>
  <c r="T42" i="292" s="1"/>
  <c r="T46" i="292" s="1"/>
  <c r="O65" i="266"/>
  <c r="Q98" i="291"/>
  <c r="S119" i="291"/>
  <c r="S86" i="291"/>
  <c r="T47" i="291"/>
  <c r="L21" i="286"/>
  <c r="L25" i="286" s="1"/>
  <c r="L33" i="286" s="1"/>
  <c r="L22" i="286"/>
  <c r="L26" i="286" s="1"/>
  <c r="L34" i="286" s="1"/>
  <c r="J84" i="266"/>
  <c r="J94" i="266"/>
  <c r="O378" i="281"/>
  <c r="L82" i="4"/>
  <c r="L156" i="5" s="1"/>
  <c r="G264" i="4"/>
  <c r="G265" i="4"/>
  <c r="AO101" i="4"/>
  <c r="AN102" i="4"/>
  <c r="Q230" i="281"/>
  <c r="R207" i="281"/>
  <c r="K152" i="291"/>
  <c r="K11" i="291" s="1"/>
  <c r="O59" i="291"/>
  <c r="AG23" i="4"/>
  <c r="K16" i="291"/>
  <c r="K19" i="291" s="1"/>
  <c r="M45" i="286"/>
  <c r="I242" i="4"/>
  <c r="J16" i="266"/>
  <c r="J19" i="266" s="1"/>
  <c r="K10" i="266" s="1"/>
  <c r="K21" i="266" s="1"/>
  <c r="K24" i="266" s="1"/>
  <c r="J21" i="266"/>
  <c r="J24" i="266" s="1"/>
  <c r="I36" i="266"/>
  <c r="I26" i="266"/>
  <c r="I29" i="266" s="1"/>
  <c r="L22" i="266"/>
  <c r="M8" i="266"/>
  <c r="L7" i="266"/>
  <c r="G45" i="266"/>
  <c r="G57" i="266"/>
  <c r="F8" i="267" s="1"/>
  <c r="U17" i="266"/>
  <c r="N9" i="256"/>
  <c r="M8" i="256"/>
  <c r="M17" i="256" s="1"/>
  <c r="S30" i="256"/>
  <c r="S75" i="256"/>
  <c r="F95" i="256"/>
  <c r="M53" i="256"/>
  <c r="M62" i="256" s="1"/>
  <c r="N48" i="256"/>
  <c r="F16" i="267"/>
  <c r="G66" i="256"/>
  <c r="G74" i="256"/>
  <c r="G77" i="256" s="1"/>
  <c r="G21" i="256"/>
  <c r="G29" i="256"/>
  <c r="G32" i="256" s="1"/>
  <c r="X3" i="256"/>
  <c r="S12" i="256"/>
  <c r="W47" i="256"/>
  <c r="V92" i="256"/>
  <c r="H56" i="256"/>
  <c r="H59" i="256" s="1"/>
  <c r="Q57" i="256"/>
  <c r="G68" i="256"/>
  <c r="G61" i="256" s="1"/>
  <c r="G63" i="256" s="1"/>
  <c r="G79" i="256" s="1"/>
  <c r="H23" i="256"/>
  <c r="S49" i="256"/>
  <c r="I11" i="256"/>
  <c r="I14" i="256" s="1"/>
  <c r="H260" i="4"/>
  <c r="H61" i="4"/>
  <c r="H57" i="4"/>
  <c r="H65" i="4"/>
  <c r="H66" i="4"/>
  <c r="G231" i="282"/>
  <c r="N106" i="282"/>
  <c r="N164" i="282" s="1"/>
  <c r="N84" i="282"/>
  <c r="O83" i="282"/>
  <c r="O105" i="282"/>
  <c r="O78" i="282"/>
  <c r="O100" i="282"/>
  <c r="N77" i="282"/>
  <c r="N88" i="282"/>
  <c r="P109" i="282"/>
  <c r="P87" i="282"/>
  <c r="O101" i="282"/>
  <c r="O79" i="282"/>
  <c r="N99" i="282"/>
  <c r="O81" i="282"/>
  <c r="O103" i="282"/>
  <c r="O82" i="282"/>
  <c r="O104" i="282"/>
  <c r="R20" i="282"/>
  <c r="R22" i="282" s="1"/>
  <c r="R24" i="282" s="1"/>
  <c r="R26" i="282" s="1"/>
  <c r="R27" i="282" s="1"/>
  <c r="R28" i="282" s="1"/>
  <c r="R30" i="282" s="1"/>
  <c r="S17" i="282"/>
  <c r="O107" i="282"/>
  <c r="O85" i="282"/>
  <c r="N183" i="282"/>
  <c r="N186" i="282"/>
  <c r="N185" i="282"/>
  <c r="N182" i="282"/>
  <c r="N184" i="282"/>
  <c r="N187" i="282"/>
  <c r="O80" i="282"/>
  <c r="O102" i="282"/>
  <c r="Q58" i="282"/>
  <c r="Q33" i="282"/>
  <c r="Q32" i="282"/>
  <c r="Q61" i="282"/>
  <c r="Q51" i="282"/>
  <c r="Q94" i="282"/>
  <c r="Q96" i="282" s="1"/>
  <c r="Q237" i="282" s="1"/>
  <c r="Q239" i="282" s="1"/>
  <c r="O86" i="282"/>
  <c r="O108" i="282"/>
  <c r="P59" i="282"/>
  <c r="P60" i="282"/>
  <c r="P53" i="282"/>
  <c r="P55" i="282"/>
  <c r="P52" i="282"/>
  <c r="P54" i="282"/>
  <c r="P50" i="282"/>
  <c r="P57" i="282"/>
  <c r="P56" i="282"/>
  <c r="O188" i="282"/>
  <c r="O189" i="282" s="1"/>
  <c r="O190" i="282" s="1"/>
  <c r="O191" i="282"/>
  <c r="O181" i="282"/>
  <c r="T215" i="282"/>
  <c r="T217" i="282"/>
  <c r="U72" i="282"/>
  <c r="U391" i="282"/>
  <c r="U73" i="282" s="1"/>
  <c r="U397" i="282"/>
  <c r="U74" i="282" s="1"/>
  <c r="V381" i="282"/>
  <c r="W377" i="282"/>
  <c r="G275" i="282"/>
  <c r="G268" i="282"/>
  <c r="G278" i="282"/>
  <c r="G343" i="282" s="1"/>
  <c r="G356" i="282" s="1"/>
  <c r="G13" i="282" s="1"/>
  <c r="T216" i="282"/>
  <c r="L202" i="282"/>
  <c r="L228" i="282" s="1"/>
  <c r="K106" i="282"/>
  <c r="K161" i="282" s="1"/>
  <c r="F220" i="282"/>
  <c r="F231" i="282" s="1"/>
  <c r="I272" i="282"/>
  <c r="I337" i="282" s="1"/>
  <c r="I350" i="282" s="1"/>
  <c r="I7" i="282" s="1"/>
  <c r="I269" i="282"/>
  <c r="I334" i="282" s="1"/>
  <c r="I270" i="282"/>
  <c r="I335" i="282" s="1"/>
  <c r="I348" i="282" s="1"/>
  <c r="I5" i="282" s="1"/>
  <c r="I273" i="282"/>
  <c r="I338" i="282" s="1"/>
  <c r="I351" i="282" s="1"/>
  <c r="I8" i="282" s="1"/>
  <c r="I274" i="282"/>
  <c r="I339" i="282" s="1"/>
  <c r="I352" i="282" s="1"/>
  <c r="I9" i="282" s="1"/>
  <c r="I271" i="282"/>
  <c r="I336" i="282" s="1"/>
  <c r="I349" i="282" s="1"/>
  <c r="I6" i="282" s="1"/>
  <c r="V16" i="282"/>
  <c r="W2" i="282"/>
  <c r="V235" i="282"/>
  <c r="V360" i="282" s="1"/>
  <c r="H278" i="282"/>
  <c r="H343" i="282" s="1"/>
  <c r="H356" i="282" s="1"/>
  <c r="H13" i="282" s="1"/>
  <c r="H275" i="282"/>
  <c r="H268" i="282"/>
  <c r="M134" i="282"/>
  <c r="M201" i="282"/>
  <c r="M135" i="282"/>
  <c r="L137" i="282"/>
  <c r="L203" i="282"/>
  <c r="L229" i="282" s="1"/>
  <c r="H220" i="282"/>
  <c r="H231" i="282" s="1"/>
  <c r="E274" i="282"/>
  <c r="E339" i="282" s="1"/>
  <c r="E352" i="282" s="1"/>
  <c r="E9" i="282" s="1"/>
  <c r="E272" i="282"/>
  <c r="E337" i="282" s="1"/>
  <c r="E350" i="282" s="1"/>
  <c r="E7" i="282" s="1"/>
  <c r="E270" i="282"/>
  <c r="E335" i="282" s="1"/>
  <c r="E348" i="282" s="1"/>
  <c r="E5" i="282" s="1"/>
  <c r="E273" i="282"/>
  <c r="E338" i="282" s="1"/>
  <c r="E351" i="282" s="1"/>
  <c r="E8" i="282" s="1"/>
  <c r="E271" i="282"/>
  <c r="E336" i="282" s="1"/>
  <c r="E349" i="282" s="1"/>
  <c r="E6" i="282" s="1"/>
  <c r="E269" i="282"/>
  <c r="E334" i="282" s="1"/>
  <c r="M156" i="282"/>
  <c r="M196" i="282" s="1"/>
  <c r="M222" i="282" s="1"/>
  <c r="M155" i="282"/>
  <c r="M195" i="282" s="1"/>
  <c r="M160" i="282"/>
  <c r="M200" i="282" s="1"/>
  <c r="M226" i="282" s="1"/>
  <c r="M159" i="282"/>
  <c r="M199" i="282" s="1"/>
  <c r="M225" i="282" s="1"/>
  <c r="M157" i="282"/>
  <c r="M197" i="282" s="1"/>
  <c r="M223" i="282" s="1"/>
  <c r="M158" i="282"/>
  <c r="M198" i="282" s="1"/>
  <c r="M224" i="282" s="1"/>
  <c r="D273" i="282"/>
  <c r="D338" i="282" s="1"/>
  <c r="D351" i="282" s="1"/>
  <c r="D8" i="282" s="1"/>
  <c r="D271" i="282"/>
  <c r="D336" i="282" s="1"/>
  <c r="D349" i="282" s="1"/>
  <c r="D6" i="282" s="1"/>
  <c r="D269" i="282"/>
  <c r="D334" i="282" s="1"/>
  <c r="D270" i="282"/>
  <c r="D335" i="282" s="1"/>
  <c r="D348" i="282" s="1"/>
  <c r="D5" i="282" s="1"/>
  <c r="D274" i="282"/>
  <c r="D339" i="282" s="1"/>
  <c r="D352" i="282" s="1"/>
  <c r="D9" i="282" s="1"/>
  <c r="D272" i="282"/>
  <c r="D337" i="282" s="1"/>
  <c r="D350" i="282" s="1"/>
  <c r="D7" i="282" s="1"/>
  <c r="J194" i="282"/>
  <c r="J242" i="282" s="1"/>
  <c r="J221" i="282"/>
  <c r="L194" i="282"/>
  <c r="L242" i="282" s="1"/>
  <c r="L221" i="282"/>
  <c r="K135" i="282"/>
  <c r="K134" i="282"/>
  <c r="K136" i="282"/>
  <c r="K84" i="282"/>
  <c r="K184" i="282"/>
  <c r="K185" i="282"/>
  <c r="K182" i="282"/>
  <c r="K183" i="282"/>
  <c r="K186" i="282"/>
  <c r="K187" i="282"/>
  <c r="J227" i="282"/>
  <c r="U92" i="282"/>
  <c r="U35" i="282"/>
  <c r="M163" i="282"/>
  <c r="M162" i="282"/>
  <c r="D276" i="282"/>
  <c r="D341" i="282" s="1"/>
  <c r="D277" i="282"/>
  <c r="D342" i="282" s="1"/>
  <c r="D355" i="282" s="1"/>
  <c r="D12" i="282" s="1"/>
  <c r="M204" i="282"/>
  <c r="M230" i="282" s="1"/>
  <c r="F278" i="282"/>
  <c r="F343" i="282" s="1"/>
  <c r="F356" i="282" s="1"/>
  <c r="F13" i="282" s="1"/>
  <c r="F275" i="282"/>
  <c r="F268" i="282"/>
  <c r="E276" i="282"/>
  <c r="E341" i="282" s="1"/>
  <c r="E277" i="282"/>
  <c r="E342" i="282" s="1"/>
  <c r="E355" i="282" s="1"/>
  <c r="E12" i="282" s="1"/>
  <c r="K154" i="282"/>
  <c r="V53" i="6"/>
  <c r="Q127" i="4"/>
  <c r="Q160" i="4"/>
  <c r="Q161" i="4" s="1"/>
  <c r="V159" i="4" s="1"/>
  <c r="N133" i="5" s="1"/>
  <c r="N136" i="5" s="1"/>
  <c r="AH194" i="4"/>
  <c r="AI192" i="4" s="1"/>
  <c r="AI197" i="4" s="1"/>
  <c r="AM37" i="4"/>
  <c r="AL91" i="4"/>
  <c r="K167" i="4"/>
  <c r="K243" i="4"/>
  <c r="AM179" i="4"/>
  <c r="J221" i="4"/>
  <c r="J223" i="4" s="1"/>
  <c r="J222" i="4"/>
  <c r="AF186" i="4"/>
  <c r="AF249" i="4"/>
  <c r="AF187" i="4"/>
  <c r="J237" i="4"/>
  <c r="J239" i="4" s="1"/>
  <c r="J238" i="4"/>
  <c r="AG249" i="4"/>
  <c r="AG203" i="4"/>
  <c r="AG205" i="4" s="1"/>
  <c r="AG242" i="4" s="1"/>
  <c r="AG204" i="4"/>
  <c r="AI177" i="4"/>
  <c r="AJ175" i="4" s="1"/>
  <c r="AI180" i="4"/>
  <c r="J247" i="4"/>
  <c r="J254" i="4" s="1"/>
  <c r="K226" i="4"/>
  <c r="J256" i="4"/>
  <c r="K64" i="4" l="1"/>
  <c r="K268" i="4" s="1"/>
  <c r="K269" i="4" s="1"/>
  <c r="K66" i="4"/>
  <c r="M73" i="291"/>
  <c r="W65" i="5"/>
  <c r="W67" i="5"/>
  <c r="K6" i="6"/>
  <c r="K27" i="6" s="1"/>
  <c r="K49" i="6" s="1"/>
  <c r="Q276" i="281"/>
  <c r="Q253" i="281"/>
  <c r="Q7" i="284"/>
  <c r="N20" i="285"/>
  <c r="I277" i="282"/>
  <c r="I342" i="282" s="1"/>
  <c r="I355" i="282" s="1"/>
  <c r="I12" i="282" s="1"/>
  <c r="N161" i="282"/>
  <c r="N163" i="282" s="1"/>
  <c r="J171" i="4"/>
  <c r="K82" i="291"/>
  <c r="K90" i="291"/>
  <c r="AH24" i="4"/>
  <c r="I215" i="281"/>
  <c r="K85" i="291"/>
  <c r="L76" i="291"/>
  <c r="L88" i="291" s="1"/>
  <c r="L8" i="291" s="1"/>
  <c r="L79" i="291"/>
  <c r="J249" i="4"/>
  <c r="Q39" i="6"/>
  <c r="F52" i="6"/>
  <c r="G50" i="6" s="1"/>
  <c r="W41" i="6"/>
  <c r="I60" i="6"/>
  <c r="I49" i="6"/>
  <c r="I261" i="4"/>
  <c r="D42" i="286"/>
  <c r="D3" i="286" s="1"/>
  <c r="D6" i="286" s="1"/>
  <c r="D10" i="286" s="1"/>
  <c r="J144" i="281" s="1"/>
  <c r="J146" i="281" s="1"/>
  <c r="K164" i="282"/>
  <c r="K204" i="282" s="1"/>
  <c r="K230" i="282" s="1"/>
  <c r="L227" i="282"/>
  <c r="N154" i="282"/>
  <c r="N160" i="282" s="1"/>
  <c r="N200" i="282" s="1"/>
  <c r="N226" i="282" s="1"/>
  <c r="J112" i="291"/>
  <c r="I284" i="281"/>
  <c r="T150" i="291"/>
  <c r="T178" i="291"/>
  <c r="T180" i="291" s="1"/>
  <c r="S181" i="291"/>
  <c r="S12" i="291"/>
  <c r="Q345" i="281"/>
  <c r="Q368" i="281" s="1"/>
  <c r="Q391" i="281" s="1"/>
  <c r="Q299" i="281"/>
  <c r="Q322" i="281" s="1"/>
  <c r="P378" i="281"/>
  <c r="P379" i="281" s="1"/>
  <c r="P380" i="281" s="1"/>
  <c r="AG25" i="4"/>
  <c r="AL41" i="4"/>
  <c r="AK98" i="4"/>
  <c r="M70" i="291"/>
  <c r="M79" i="291" s="1"/>
  <c r="H194" i="281"/>
  <c r="H195" i="281" s="1"/>
  <c r="H196" i="281" s="1"/>
  <c r="J261" i="4"/>
  <c r="J269" i="4"/>
  <c r="I269" i="4"/>
  <c r="J60" i="6"/>
  <c r="J49" i="6"/>
  <c r="AI194" i="4"/>
  <c r="AJ192" i="4" s="1"/>
  <c r="AJ194" i="4" s="1"/>
  <c r="AK192" i="4" s="1"/>
  <c r="I74" i="286"/>
  <c r="I4" i="286" s="1"/>
  <c r="I147" i="281"/>
  <c r="I145" i="281"/>
  <c r="I146" i="281"/>
  <c r="H92" i="266"/>
  <c r="F17" i="267"/>
  <c r="K87" i="266"/>
  <c r="M58" i="291"/>
  <c r="M60" i="291" s="1"/>
  <c r="N55" i="291" s="1"/>
  <c r="I352" i="281"/>
  <c r="I354" i="281"/>
  <c r="I353" i="281"/>
  <c r="M27" i="291"/>
  <c r="M29" i="291" s="1"/>
  <c r="N24" i="291" s="1"/>
  <c r="L6" i="6"/>
  <c r="L27" i="6" s="1"/>
  <c r="L66" i="4"/>
  <c r="L64" i="4"/>
  <c r="L268" i="4" s="1"/>
  <c r="L269" i="4" s="1"/>
  <c r="T119" i="291"/>
  <c r="U47" i="291"/>
  <c r="T86" i="291"/>
  <c r="Q28" i="291"/>
  <c r="R28" i="291" s="1"/>
  <c r="M46" i="291"/>
  <c r="M50" i="291"/>
  <c r="F36" i="286"/>
  <c r="V67" i="282"/>
  <c r="V210" i="282" s="1"/>
  <c r="V387" i="282"/>
  <c r="X98" i="266"/>
  <c r="Y98" i="266"/>
  <c r="P46" i="281"/>
  <c r="Q23" i="281"/>
  <c r="T14" i="266"/>
  <c r="G270" i="4"/>
  <c r="G269" i="4"/>
  <c r="Q109" i="266"/>
  <c r="Q110" i="266" s="1"/>
  <c r="Q84" i="256"/>
  <c r="O14" i="283"/>
  <c r="O19" i="283" s="1"/>
  <c r="N15" i="283"/>
  <c r="P59" i="291"/>
  <c r="AP101" i="4"/>
  <c r="AO102" i="4"/>
  <c r="N9" i="6"/>
  <c r="N80" i="5" s="1"/>
  <c r="N81" i="5" s="1"/>
  <c r="O77" i="5" s="1"/>
  <c r="O32" i="291"/>
  <c r="N31" i="291"/>
  <c r="N36" i="291" s="1"/>
  <c r="N39" i="291" s="1"/>
  <c r="N42" i="291" s="1"/>
  <c r="N61" i="266"/>
  <c r="M70" i="266"/>
  <c r="M64" i="266"/>
  <c r="T4" i="288"/>
  <c r="T5" i="288"/>
  <c r="U3" i="288"/>
  <c r="T7" i="288"/>
  <c r="J145" i="281"/>
  <c r="K107" i="291"/>
  <c r="K112" i="291" s="1"/>
  <c r="K109" i="291"/>
  <c r="Q37" i="291"/>
  <c r="S52" i="266"/>
  <c r="S53" i="266" s="1"/>
  <c r="S39" i="256"/>
  <c r="P33" i="291"/>
  <c r="Q25" i="291"/>
  <c r="R230" i="281"/>
  <c r="S207" i="281"/>
  <c r="S230" i="281" s="1"/>
  <c r="G266" i="4"/>
  <c r="P65" i="266"/>
  <c r="T66" i="292"/>
  <c r="T57" i="292"/>
  <c r="T73" i="292" s="1"/>
  <c r="T78" i="292" s="1"/>
  <c r="T80" i="292" s="1"/>
  <c r="S374" i="281" s="1"/>
  <c r="U71" i="291"/>
  <c r="Q377" i="281"/>
  <c r="Q376" i="281"/>
  <c r="Q375" i="281"/>
  <c r="W385" i="282"/>
  <c r="X383" i="282"/>
  <c r="W65" i="282"/>
  <c r="W208" i="282" s="1"/>
  <c r="J53" i="286"/>
  <c r="J57" i="286" s="1"/>
  <c r="J65" i="286" s="1"/>
  <c r="J71" i="286" s="1"/>
  <c r="J54" i="286"/>
  <c r="J58" i="286" s="1"/>
  <c r="J66" i="286" s="1"/>
  <c r="J72" i="286" s="1"/>
  <c r="O62" i="291"/>
  <c r="P56" i="291"/>
  <c r="U69" i="282"/>
  <c r="U212" i="282" s="1"/>
  <c r="U389" i="282"/>
  <c r="U68" i="282" s="1"/>
  <c r="U211" i="282" s="1"/>
  <c r="M105" i="291"/>
  <c r="L104" i="291"/>
  <c r="J351" i="281"/>
  <c r="S62" i="292"/>
  <c r="S70" i="292" s="1"/>
  <c r="S73" i="292" s="1"/>
  <c r="S78" i="292" s="1"/>
  <c r="S80" i="292" s="1"/>
  <c r="R374" i="281" s="1"/>
  <c r="T60" i="292"/>
  <c r="T62" i="292" s="1"/>
  <c r="T70" i="292" s="1"/>
  <c r="K84" i="266"/>
  <c r="K94" i="266"/>
  <c r="O379" i="281"/>
  <c r="O380" i="281" s="1"/>
  <c r="R98" i="291"/>
  <c r="Q4" i="266"/>
  <c r="P13" i="266"/>
  <c r="L48" i="286"/>
  <c r="K47" i="286"/>
  <c r="K49" i="286" s="1"/>
  <c r="S11" i="288"/>
  <c r="S15" i="288" s="1"/>
  <c r="S8" i="288"/>
  <c r="S12" i="288" s="1"/>
  <c r="S16" i="288" s="1"/>
  <c r="S24" i="288" s="1"/>
  <c r="S32" i="288" s="1"/>
  <c r="N65" i="291"/>
  <c r="N67" i="291"/>
  <c r="N73" i="291" s="1"/>
  <c r="L51" i="291"/>
  <c r="L6" i="291"/>
  <c r="E39" i="286"/>
  <c r="E40" i="286"/>
  <c r="G49" i="6"/>
  <c r="G60" i="6"/>
  <c r="L79" i="266"/>
  <c r="L82" i="266" s="1"/>
  <c r="L73" i="266"/>
  <c r="L76" i="266" s="1"/>
  <c r="M67" i="266" s="1"/>
  <c r="M100" i="291"/>
  <c r="M102" i="291" s="1"/>
  <c r="N97" i="291" s="1"/>
  <c r="I244" i="4"/>
  <c r="I255" i="4"/>
  <c r="H114" i="266"/>
  <c r="G13" i="267" s="1"/>
  <c r="F9" i="267"/>
  <c r="F23" i="267" s="1"/>
  <c r="F26" i="267" s="1"/>
  <c r="J36" i="266"/>
  <c r="J26" i="266"/>
  <c r="V17" i="266"/>
  <c r="N8" i="266"/>
  <c r="M7" i="266"/>
  <c r="K16" i="266"/>
  <c r="K19" i="266" s="1"/>
  <c r="L10" i="266" s="1"/>
  <c r="H33" i="266"/>
  <c r="G46" i="266"/>
  <c r="K36" i="266"/>
  <c r="K26" i="266"/>
  <c r="M22" i="266"/>
  <c r="J29" i="266"/>
  <c r="K29" i="266" s="1"/>
  <c r="T75" i="256"/>
  <c r="T30" i="256"/>
  <c r="G89" i="256"/>
  <c r="G12" i="267" s="1"/>
  <c r="G71" i="256"/>
  <c r="O9" i="256"/>
  <c r="N8" i="256"/>
  <c r="N17" i="256" s="1"/>
  <c r="N53" i="256"/>
  <c r="N62" i="256" s="1"/>
  <c r="O48" i="256"/>
  <c r="J6" i="256"/>
  <c r="I24" i="256"/>
  <c r="I51" i="256"/>
  <c r="H69" i="256"/>
  <c r="I91" i="266"/>
  <c r="H104" i="266"/>
  <c r="H26" i="256"/>
  <c r="H16" i="256"/>
  <c r="H18" i="256" s="1"/>
  <c r="H34" i="256" s="1"/>
  <c r="R57" i="256"/>
  <c r="G44" i="256"/>
  <c r="T49" i="256"/>
  <c r="T12" i="256"/>
  <c r="X47" i="256"/>
  <c r="X92" i="256" s="1"/>
  <c r="W92" i="256"/>
  <c r="H20" i="256"/>
  <c r="G33" i="256"/>
  <c r="H65" i="256"/>
  <c r="G78" i="256"/>
  <c r="H261" i="4"/>
  <c r="H264" i="4"/>
  <c r="H269" i="4"/>
  <c r="P104" i="282"/>
  <c r="P82" i="282"/>
  <c r="P100" i="282"/>
  <c r="P78" i="282"/>
  <c r="P85" i="282"/>
  <c r="P107" i="282"/>
  <c r="Q52" i="282"/>
  <c r="Q50" i="282"/>
  <c r="Q54" i="282"/>
  <c r="Q53" i="282"/>
  <c r="Q57" i="282"/>
  <c r="Q56" i="282"/>
  <c r="Q55" i="282"/>
  <c r="Q59" i="282"/>
  <c r="Q60" i="282"/>
  <c r="O106" i="282"/>
  <c r="N136" i="282"/>
  <c r="N204" i="282" s="1"/>
  <c r="N230" i="282" s="1"/>
  <c r="N133" i="282"/>
  <c r="O182" i="282"/>
  <c r="O186" i="282"/>
  <c r="O185" i="282"/>
  <c r="O184" i="282"/>
  <c r="O187" i="282"/>
  <c r="O183" i="282"/>
  <c r="P105" i="282"/>
  <c r="P83" i="282"/>
  <c r="P81" i="282"/>
  <c r="P103" i="282"/>
  <c r="Q109" i="282"/>
  <c r="Q87" i="282"/>
  <c r="T17" i="282"/>
  <c r="S20" i="282"/>
  <c r="S22" i="282" s="1"/>
  <c r="S24" i="282" s="1"/>
  <c r="S26" i="282" s="1"/>
  <c r="S27" i="282" s="1"/>
  <c r="S28" i="282" s="1"/>
  <c r="S30" i="282" s="1"/>
  <c r="O99" i="282"/>
  <c r="P79" i="282"/>
  <c r="P101" i="282"/>
  <c r="R51" i="282"/>
  <c r="R61" i="282"/>
  <c r="R58" i="282"/>
  <c r="R94" i="282"/>
  <c r="R96" i="282" s="1"/>
  <c r="R237" i="282" s="1"/>
  <c r="R239" i="282" s="1"/>
  <c r="R33" i="282"/>
  <c r="R32" i="282"/>
  <c r="N155" i="282"/>
  <c r="N195" i="282" s="1"/>
  <c r="N159" i="282"/>
  <c r="N199" i="282" s="1"/>
  <c r="N225" i="282" s="1"/>
  <c r="N157" i="282"/>
  <c r="N197" i="282" s="1"/>
  <c r="N223" i="282" s="1"/>
  <c r="P188" i="282"/>
  <c r="P189" i="282" s="1"/>
  <c r="P190" i="282" s="1"/>
  <c r="P191" i="282"/>
  <c r="P181" i="282"/>
  <c r="O77" i="282"/>
  <c r="O88" i="282"/>
  <c r="P80" i="282"/>
  <c r="P102" i="282"/>
  <c r="P108" i="282"/>
  <c r="P86" i="282"/>
  <c r="O84" i="282"/>
  <c r="M137" i="282"/>
  <c r="G276" i="282"/>
  <c r="G341" i="282" s="1"/>
  <c r="G277" i="282"/>
  <c r="G342" i="282" s="1"/>
  <c r="G355" i="282" s="1"/>
  <c r="G12" i="282" s="1"/>
  <c r="U217" i="282"/>
  <c r="W381" i="282"/>
  <c r="X377" i="282"/>
  <c r="U216" i="282"/>
  <c r="V391" i="282"/>
  <c r="V73" i="282" s="1"/>
  <c r="V397" i="282"/>
  <c r="V74" i="282" s="1"/>
  <c r="V72" i="282"/>
  <c r="U215" i="282"/>
  <c r="G274" i="282"/>
  <c r="G339" i="282" s="1"/>
  <c r="G352" i="282" s="1"/>
  <c r="G9" i="282" s="1"/>
  <c r="G272" i="282"/>
  <c r="G337" i="282" s="1"/>
  <c r="G350" i="282" s="1"/>
  <c r="G7" i="282" s="1"/>
  <c r="G270" i="282"/>
  <c r="G335" i="282" s="1"/>
  <c r="G348" i="282" s="1"/>
  <c r="G5" i="282" s="1"/>
  <c r="G273" i="282"/>
  <c r="G338" i="282" s="1"/>
  <c r="G351" i="282" s="1"/>
  <c r="G8" i="282" s="1"/>
  <c r="G271" i="282"/>
  <c r="G336" i="282" s="1"/>
  <c r="G349" i="282" s="1"/>
  <c r="G6" i="282" s="1"/>
  <c r="G269" i="282"/>
  <c r="G334" i="282" s="1"/>
  <c r="I340" i="282"/>
  <c r="I354" i="282"/>
  <c r="M221" i="282"/>
  <c r="M194" i="282"/>
  <c r="M242" i="282" s="1"/>
  <c r="M203" i="282"/>
  <c r="M229" i="282" s="1"/>
  <c r="H276" i="282"/>
  <c r="H341" i="282" s="1"/>
  <c r="H277" i="282"/>
  <c r="H342" i="282" s="1"/>
  <c r="H355" i="282" s="1"/>
  <c r="H12" i="282" s="1"/>
  <c r="I333" i="282"/>
  <c r="I347" i="282"/>
  <c r="K156" i="282"/>
  <c r="K196" i="282" s="1"/>
  <c r="K222" i="282" s="1"/>
  <c r="K158" i="282"/>
  <c r="K198" i="282" s="1"/>
  <c r="K224" i="282" s="1"/>
  <c r="K155" i="282"/>
  <c r="K195" i="282" s="1"/>
  <c r="K160" i="282"/>
  <c r="K200" i="282" s="1"/>
  <c r="K226" i="282" s="1"/>
  <c r="K159" i="282"/>
  <c r="K199" i="282" s="1"/>
  <c r="K225" i="282" s="1"/>
  <c r="K157" i="282"/>
  <c r="K197" i="282" s="1"/>
  <c r="K223" i="282" s="1"/>
  <c r="E340" i="282"/>
  <c r="E354" i="282"/>
  <c r="D354" i="282"/>
  <c r="D340" i="282"/>
  <c r="K133" i="282"/>
  <c r="L220" i="282"/>
  <c r="E347" i="282"/>
  <c r="E333" i="282"/>
  <c r="W235" i="282"/>
  <c r="W360" i="282" s="1"/>
  <c r="W16" i="282"/>
  <c r="X2" i="282"/>
  <c r="F274" i="282"/>
  <c r="F339" i="282" s="1"/>
  <c r="F352" i="282" s="1"/>
  <c r="F9" i="282" s="1"/>
  <c r="F272" i="282"/>
  <c r="F337" i="282" s="1"/>
  <c r="F350" i="282" s="1"/>
  <c r="F7" i="282" s="1"/>
  <c r="F270" i="282"/>
  <c r="F335" i="282" s="1"/>
  <c r="F348" i="282" s="1"/>
  <c r="F5" i="282" s="1"/>
  <c r="F273" i="282"/>
  <c r="F338" i="282" s="1"/>
  <c r="F351" i="282" s="1"/>
  <c r="F8" i="282" s="1"/>
  <c r="F271" i="282"/>
  <c r="F336" i="282" s="1"/>
  <c r="F349" i="282" s="1"/>
  <c r="F6" i="282" s="1"/>
  <c r="F269" i="282"/>
  <c r="F334" i="282" s="1"/>
  <c r="L268" i="282"/>
  <c r="L278" i="282"/>
  <c r="L343" i="282" s="1"/>
  <c r="L356" i="282" s="1"/>
  <c r="L13" i="282" s="1"/>
  <c r="L275" i="282"/>
  <c r="J220" i="282"/>
  <c r="J231" i="282" s="1"/>
  <c r="M202" i="282"/>
  <c r="M228" i="282" s="1"/>
  <c r="V35" i="282"/>
  <c r="V92" i="282"/>
  <c r="K162" i="282"/>
  <c r="K202" i="282" s="1"/>
  <c r="K228" i="282" s="1"/>
  <c r="K163" i="282"/>
  <c r="K203" i="282" s="1"/>
  <c r="K229" i="282" s="1"/>
  <c r="F276" i="282"/>
  <c r="F341" i="282" s="1"/>
  <c r="F277" i="282"/>
  <c r="F342" i="282" s="1"/>
  <c r="F355" i="282" s="1"/>
  <c r="F12" i="282" s="1"/>
  <c r="J278" i="282"/>
  <c r="J343" i="282" s="1"/>
  <c r="J356" i="282" s="1"/>
  <c r="J13" i="282" s="1"/>
  <c r="J268" i="282"/>
  <c r="J275" i="282"/>
  <c r="D347" i="282"/>
  <c r="D333" i="282"/>
  <c r="H273" i="282"/>
  <c r="H338" i="282" s="1"/>
  <c r="H351" i="282" s="1"/>
  <c r="H8" i="282" s="1"/>
  <c r="H269" i="282"/>
  <c r="H334" i="282" s="1"/>
  <c r="H270" i="282"/>
  <c r="H335" i="282" s="1"/>
  <c r="H348" i="282" s="1"/>
  <c r="H5" i="282" s="1"/>
  <c r="H272" i="282"/>
  <c r="H337" i="282" s="1"/>
  <c r="H350" i="282" s="1"/>
  <c r="H7" i="282" s="1"/>
  <c r="H271" i="282"/>
  <c r="H336" i="282" s="1"/>
  <c r="H349" i="282" s="1"/>
  <c r="H6" i="282" s="1"/>
  <c r="H274" i="282"/>
  <c r="H339" i="282" s="1"/>
  <c r="H352" i="282" s="1"/>
  <c r="H9" i="282" s="1"/>
  <c r="W53" i="6"/>
  <c r="AH200" i="4"/>
  <c r="AJ177" i="4"/>
  <c r="AK175" i="4" s="1"/>
  <c r="AJ180" i="4"/>
  <c r="V127" i="4"/>
  <c r="V227" i="4" s="1"/>
  <c r="V160" i="4"/>
  <c r="V161" i="4" s="1"/>
  <c r="AA159" i="4" s="1"/>
  <c r="AN37" i="4"/>
  <c r="AM91" i="4"/>
  <c r="V164" i="4"/>
  <c r="V243" i="4" s="1"/>
  <c r="AN179" i="4"/>
  <c r="K170" i="4"/>
  <c r="K172" i="4" s="1"/>
  <c r="K171" i="4"/>
  <c r="Q227" i="4"/>
  <c r="M11" i="6" s="1"/>
  <c r="M10" i="6" s="1"/>
  <c r="M110" i="5" s="1"/>
  <c r="Q169" i="4"/>
  <c r="Q167" i="4" s="1"/>
  <c r="J242" i="4"/>
  <c r="K228" i="4"/>
  <c r="K231" i="4" s="1"/>
  <c r="K234" i="4" s="1"/>
  <c r="K238" i="4" s="1"/>
  <c r="Q10" i="6"/>
  <c r="R10" i="6"/>
  <c r="K60" i="6" l="1"/>
  <c r="AJ197" i="4"/>
  <c r="N156" i="282"/>
  <c r="N196" i="282" s="1"/>
  <c r="N222" i="282" s="1"/>
  <c r="X65" i="5"/>
  <c r="X67" i="5"/>
  <c r="R276" i="281"/>
  <c r="R253" i="281"/>
  <c r="S276" i="281"/>
  <c r="S299" i="281" s="1"/>
  <c r="S322" i="281" s="1"/>
  <c r="S253" i="281"/>
  <c r="M113" i="5"/>
  <c r="M111" i="5"/>
  <c r="R7" i="284"/>
  <c r="O20" i="285"/>
  <c r="J74" i="286"/>
  <c r="J4" i="286" s="1"/>
  <c r="N162" i="282"/>
  <c r="J147" i="281"/>
  <c r="J148" i="281" s="1"/>
  <c r="J149" i="281" s="1"/>
  <c r="J150" i="281" s="1"/>
  <c r="K9" i="291"/>
  <c r="I237" i="281" s="1"/>
  <c r="K92" i="291"/>
  <c r="K7" i="291" s="1"/>
  <c r="M90" i="291"/>
  <c r="M9" i="291" s="1"/>
  <c r="L82" i="291"/>
  <c r="L85" i="291" s="1"/>
  <c r="L90" i="291"/>
  <c r="L9" i="291" s="1"/>
  <c r="L152" i="291"/>
  <c r="I285" i="281"/>
  <c r="AF67" i="4"/>
  <c r="AF259" i="4" s="1"/>
  <c r="AF260" i="4"/>
  <c r="G52" i="6"/>
  <c r="H50" i="6" s="1"/>
  <c r="H52" i="6" s="1"/>
  <c r="H6" i="5" s="1"/>
  <c r="H14" i="5" s="1"/>
  <c r="H23" i="5" s="1"/>
  <c r="H50" i="5" s="1"/>
  <c r="X41" i="6"/>
  <c r="L231" i="282"/>
  <c r="N158" i="282"/>
  <c r="N198" i="282" s="1"/>
  <c r="N224" i="282" s="1"/>
  <c r="I283" i="281"/>
  <c r="M76" i="291"/>
  <c r="M88" i="291" s="1"/>
  <c r="I308" i="281"/>
  <c r="I307" i="281"/>
  <c r="I306" i="281"/>
  <c r="T181" i="291"/>
  <c r="T12" i="291"/>
  <c r="U150" i="291"/>
  <c r="U178" i="291"/>
  <c r="U180" i="291" s="1"/>
  <c r="R345" i="281"/>
  <c r="R368" i="281" s="1"/>
  <c r="R391" i="281" s="1"/>
  <c r="R299" i="281"/>
  <c r="R322" i="281" s="1"/>
  <c r="AL98" i="4"/>
  <c r="AM41" i="4"/>
  <c r="K114" i="291"/>
  <c r="K121" i="291" s="1"/>
  <c r="K10" i="291" s="1"/>
  <c r="Q59" i="291"/>
  <c r="R59" i="291" s="1"/>
  <c r="S59" i="291" s="1"/>
  <c r="T59" i="291" s="1"/>
  <c r="I214" i="281"/>
  <c r="I216" i="281"/>
  <c r="Q378" i="281"/>
  <c r="Q379" i="281" s="1"/>
  <c r="Q380" i="281" s="1"/>
  <c r="I148" i="281"/>
  <c r="I149" i="281" s="1"/>
  <c r="I150" i="281" s="1"/>
  <c r="I355" i="281"/>
  <c r="I356" i="281" s="1"/>
  <c r="I357" i="281" s="1"/>
  <c r="AH203" i="4"/>
  <c r="G271" i="4"/>
  <c r="E42" i="286"/>
  <c r="E3" i="286" s="1"/>
  <c r="E6" i="286" s="1"/>
  <c r="E10" i="286" s="1"/>
  <c r="K144" i="281" s="1"/>
  <c r="K146" i="281" s="1"/>
  <c r="G14" i="267"/>
  <c r="N100" i="291"/>
  <c r="N102" i="291" s="1"/>
  <c r="O97" i="291" s="1"/>
  <c r="R376" i="281"/>
  <c r="R377" i="281"/>
  <c r="R375" i="281"/>
  <c r="N58" i="291"/>
  <c r="N60" i="291" s="1"/>
  <c r="O55" i="291" s="1"/>
  <c r="M73" i="266"/>
  <c r="M76" i="266" s="1"/>
  <c r="N67" i="266" s="1"/>
  <c r="M79" i="266"/>
  <c r="M82" i="266" s="1"/>
  <c r="N70" i="291"/>
  <c r="R4" i="266"/>
  <c r="Q13" i="266"/>
  <c r="O65" i="291"/>
  <c r="O67" i="291"/>
  <c r="O73" i="291" s="1"/>
  <c r="Y383" i="282"/>
  <c r="X65" i="282"/>
  <c r="X208" i="282" s="1"/>
  <c r="X385" i="282"/>
  <c r="X393" i="282"/>
  <c r="X66" i="282" s="1"/>
  <c r="X209" i="282" s="1"/>
  <c r="I191" i="281"/>
  <c r="I192" i="281"/>
  <c r="I193" i="281"/>
  <c r="N50" i="291"/>
  <c r="N46" i="291"/>
  <c r="U14" i="266"/>
  <c r="Q46" i="281"/>
  <c r="R23" i="281"/>
  <c r="V389" i="282"/>
  <c r="V68" i="282" s="1"/>
  <c r="V211" i="282" s="1"/>
  <c r="V69" i="282"/>
  <c r="V212" i="282" s="1"/>
  <c r="L84" i="266"/>
  <c r="L94" i="266"/>
  <c r="K53" i="286"/>
  <c r="K57" i="286" s="1"/>
  <c r="K65" i="286" s="1"/>
  <c r="K71" i="286" s="1"/>
  <c r="K54" i="286"/>
  <c r="K58" i="286" s="1"/>
  <c r="K66" i="286" s="1"/>
  <c r="K72" i="286" s="1"/>
  <c r="J354" i="281"/>
  <c r="J353" i="281"/>
  <c r="J352" i="281"/>
  <c r="G36" i="286"/>
  <c r="W387" i="282"/>
  <c r="W67" i="282"/>
  <c r="W210" i="282" s="1"/>
  <c r="Q65" i="266"/>
  <c r="T39" i="256"/>
  <c r="T52" i="266"/>
  <c r="T53" i="266" s="1"/>
  <c r="T8" i="288"/>
  <c r="T12" i="288" s="1"/>
  <c r="T16" i="288" s="1"/>
  <c r="T24" i="288" s="1"/>
  <c r="T32" i="288" s="1"/>
  <c r="T11" i="288"/>
  <c r="T15" i="288" s="1"/>
  <c r="P32" i="291"/>
  <c r="O31" i="291"/>
  <c r="O36" i="291" s="1"/>
  <c r="O39" i="291" s="1"/>
  <c r="O42" i="291" s="1"/>
  <c r="U119" i="291"/>
  <c r="U86" i="291"/>
  <c r="L49" i="6"/>
  <c r="L60" i="6"/>
  <c r="N27" i="291"/>
  <c r="N29" i="291" s="1"/>
  <c r="O24" i="291" s="1"/>
  <c r="M48" i="286"/>
  <c r="M47" i="286" s="1"/>
  <c r="M49" i="286" s="1"/>
  <c r="L47" i="286"/>
  <c r="L49" i="286" s="1"/>
  <c r="S98" i="291"/>
  <c r="L109" i="291"/>
  <c r="L107" i="291"/>
  <c r="S377" i="281"/>
  <c r="S376" i="281"/>
  <c r="C21" i="293"/>
  <c r="R25" i="291"/>
  <c r="Q33" i="291"/>
  <c r="V3" i="288"/>
  <c r="U7" i="288"/>
  <c r="U4" i="288"/>
  <c r="U5" i="288" s="1"/>
  <c r="O15" i="283"/>
  <c r="P14" i="283"/>
  <c r="P19" i="283" s="1"/>
  <c r="M6" i="291"/>
  <c r="M51" i="291"/>
  <c r="L87" i="266"/>
  <c r="S9" i="288"/>
  <c r="S13" i="288" s="1"/>
  <c r="S17" i="288" s="1"/>
  <c r="S25" i="288" s="1"/>
  <c r="S33" i="288" s="1"/>
  <c r="K351" i="281" s="1"/>
  <c r="N105" i="291"/>
  <c r="M104" i="291"/>
  <c r="Q56" i="291"/>
  <c r="P62" i="291"/>
  <c r="R37" i="291"/>
  <c r="O61" i="266"/>
  <c r="N70" i="266"/>
  <c r="N64" i="266"/>
  <c r="AP102" i="4"/>
  <c r="AQ101" i="4"/>
  <c r="R109" i="266"/>
  <c r="R110" i="266" s="1"/>
  <c r="R84" i="256"/>
  <c r="F39" i="286"/>
  <c r="F40" i="286"/>
  <c r="S28" i="291"/>
  <c r="I265" i="4"/>
  <c r="I266" i="4" s="1"/>
  <c r="I270" i="4"/>
  <c r="I271" i="4" s="1"/>
  <c r="AH204" i="4"/>
  <c r="AH249" i="4"/>
  <c r="F19" i="267"/>
  <c r="G94" i="256"/>
  <c r="O8" i="266"/>
  <c r="N7" i="266"/>
  <c r="L16" i="266"/>
  <c r="L19" i="266" s="1"/>
  <c r="M10" i="266" s="1"/>
  <c r="L21" i="266"/>
  <c r="L24" i="266" s="1"/>
  <c r="L29" i="266" s="1"/>
  <c r="W17" i="266"/>
  <c r="N22" i="266"/>
  <c r="H34" i="266"/>
  <c r="H42" i="266"/>
  <c r="H45" i="266" s="1"/>
  <c r="P9" i="256"/>
  <c r="O8" i="256"/>
  <c r="O17" i="256" s="1"/>
  <c r="U30" i="256"/>
  <c r="U75" i="256"/>
  <c r="O53" i="256"/>
  <c r="O62" i="256" s="1"/>
  <c r="P48" i="256"/>
  <c r="H29" i="256"/>
  <c r="H32" i="256" s="1"/>
  <c r="H21" i="256"/>
  <c r="U49" i="256"/>
  <c r="H68" i="256"/>
  <c r="H61" i="256" s="1"/>
  <c r="H63" i="256" s="1"/>
  <c r="H79" i="256" s="1"/>
  <c r="G93" i="256"/>
  <c r="G7" i="267"/>
  <c r="I92" i="266"/>
  <c r="I100" i="266"/>
  <c r="I103" i="266" s="1"/>
  <c r="I56" i="256"/>
  <c r="I59" i="256" s="1"/>
  <c r="H74" i="256"/>
  <c r="H77" i="256" s="1"/>
  <c r="H66" i="256"/>
  <c r="U12" i="256"/>
  <c r="I23" i="256"/>
  <c r="S57" i="256"/>
  <c r="J11" i="256"/>
  <c r="J14" i="256" s="1"/>
  <c r="H270" i="4"/>
  <c r="H271" i="4" s="1"/>
  <c r="H265" i="4"/>
  <c r="H266" i="4" s="1"/>
  <c r="D31" i="282"/>
  <c r="I31" i="282"/>
  <c r="P186" i="282"/>
  <c r="P182" i="282"/>
  <c r="P187" i="282"/>
  <c r="P183" i="282"/>
  <c r="P184" i="282"/>
  <c r="P185" i="282"/>
  <c r="N221" i="282"/>
  <c r="R52" i="282"/>
  <c r="R56" i="282"/>
  <c r="R54" i="282"/>
  <c r="R50" i="282"/>
  <c r="R57" i="282"/>
  <c r="R53" i="282"/>
  <c r="R55" i="282"/>
  <c r="Q86" i="282"/>
  <c r="Q108" i="282"/>
  <c r="Q105" i="282"/>
  <c r="Q83" i="282"/>
  <c r="Q100" i="282"/>
  <c r="Q78" i="282"/>
  <c r="P99" i="282"/>
  <c r="Q191" i="282"/>
  <c r="Q181" i="282"/>
  <c r="Q188" i="282"/>
  <c r="Q189" i="282" s="1"/>
  <c r="Q190" i="282" s="1"/>
  <c r="Q107" i="282"/>
  <c r="Q85" i="282"/>
  <c r="Q101" i="282"/>
  <c r="Q79" i="282"/>
  <c r="P106" i="282"/>
  <c r="R59" i="282"/>
  <c r="R60" i="282"/>
  <c r="S94" i="282"/>
  <c r="S96" i="282" s="1"/>
  <c r="S237" i="282" s="1"/>
  <c r="S239" i="282" s="1"/>
  <c r="S58" i="282"/>
  <c r="S32" i="282"/>
  <c r="S33" i="282"/>
  <c r="S61" i="282"/>
  <c r="S51" i="282"/>
  <c r="N134" i="282"/>
  <c r="N135" i="282"/>
  <c r="N203" i="282" s="1"/>
  <c r="N229" i="282" s="1"/>
  <c r="N201" i="282"/>
  <c r="Q81" i="282"/>
  <c r="Q103" i="282"/>
  <c r="Q102" i="282"/>
  <c r="Q80" i="282"/>
  <c r="P84" i="282"/>
  <c r="R109" i="282"/>
  <c r="R87" i="282"/>
  <c r="O136" i="282"/>
  <c r="O133" i="282"/>
  <c r="T20" i="282"/>
  <c r="T22" i="282" s="1"/>
  <c r="T24" i="282" s="1"/>
  <c r="T26" i="282" s="1"/>
  <c r="T27" i="282" s="1"/>
  <c r="T28" i="282" s="1"/>
  <c r="T30" i="282" s="1"/>
  <c r="U17" i="282"/>
  <c r="O161" i="282"/>
  <c r="O154" i="282"/>
  <c r="O164" i="282"/>
  <c r="Q104" i="282"/>
  <c r="Q82" i="282"/>
  <c r="P77" i="282"/>
  <c r="P88" i="282"/>
  <c r="W397" i="282"/>
  <c r="W74" i="282" s="1"/>
  <c r="W72" i="282"/>
  <c r="W391" i="282"/>
  <c r="W73" i="282" s="1"/>
  <c r="V215" i="282"/>
  <c r="G354" i="282"/>
  <c r="G340" i="282"/>
  <c r="V217" i="282"/>
  <c r="G347" i="282"/>
  <c r="G333" i="282"/>
  <c r="V216" i="282"/>
  <c r="X381" i="282"/>
  <c r="Y377" i="282"/>
  <c r="K227" i="282"/>
  <c r="Y2" i="282"/>
  <c r="X235" i="282"/>
  <c r="X360" i="282" s="1"/>
  <c r="X16" i="282"/>
  <c r="E31" i="282"/>
  <c r="E353" i="282"/>
  <c r="E11" i="282"/>
  <c r="E10" i="282" s="1"/>
  <c r="M278" i="282"/>
  <c r="M343" i="282" s="1"/>
  <c r="M356" i="282" s="1"/>
  <c r="M13" i="282" s="1"/>
  <c r="M268" i="282"/>
  <c r="M275" i="282"/>
  <c r="F340" i="282"/>
  <c r="F354" i="282"/>
  <c r="L276" i="282"/>
  <c r="L341" i="282" s="1"/>
  <c r="L277" i="282"/>
  <c r="L342" i="282" s="1"/>
  <c r="L355" i="282" s="1"/>
  <c r="L12" i="282" s="1"/>
  <c r="W35" i="282"/>
  <c r="W92" i="282"/>
  <c r="E346" i="282"/>
  <c r="E4" i="282"/>
  <c r="E3" i="282" s="1"/>
  <c r="D353" i="282"/>
  <c r="D11" i="282"/>
  <c r="D10" i="282" s="1"/>
  <c r="I346" i="282"/>
  <c r="I4" i="282"/>
  <c r="I3" i="282" s="1"/>
  <c r="M220" i="282"/>
  <c r="I353" i="282"/>
  <c r="I11" i="282"/>
  <c r="I10" i="282" s="1"/>
  <c r="H333" i="282"/>
  <c r="H347" i="282"/>
  <c r="J276" i="282"/>
  <c r="J341" i="282" s="1"/>
  <c r="J277" i="282"/>
  <c r="J342" i="282" s="1"/>
  <c r="J355" i="282" s="1"/>
  <c r="J12" i="282" s="1"/>
  <c r="D346" i="282"/>
  <c r="D4" i="282"/>
  <c r="D3" i="282" s="1"/>
  <c r="J274" i="282"/>
  <c r="J339" i="282" s="1"/>
  <c r="J352" i="282" s="1"/>
  <c r="J9" i="282" s="1"/>
  <c r="J270" i="282"/>
  <c r="J335" i="282" s="1"/>
  <c r="J348" i="282" s="1"/>
  <c r="J5" i="282" s="1"/>
  <c r="J271" i="282"/>
  <c r="J336" i="282" s="1"/>
  <c r="J349" i="282" s="1"/>
  <c r="J6" i="282" s="1"/>
  <c r="J272" i="282"/>
  <c r="J337" i="282" s="1"/>
  <c r="J350" i="282" s="1"/>
  <c r="J7" i="282" s="1"/>
  <c r="J273" i="282"/>
  <c r="J338" i="282" s="1"/>
  <c r="J351" i="282" s="1"/>
  <c r="J8" i="282" s="1"/>
  <c r="J269" i="282"/>
  <c r="J334" i="282" s="1"/>
  <c r="M227" i="282"/>
  <c r="L272" i="282"/>
  <c r="L337" i="282" s="1"/>
  <c r="L350" i="282" s="1"/>
  <c r="L7" i="282" s="1"/>
  <c r="L271" i="282"/>
  <c r="L336" i="282" s="1"/>
  <c r="L349" i="282" s="1"/>
  <c r="L6" i="282" s="1"/>
  <c r="L274" i="282"/>
  <c r="L339" i="282" s="1"/>
  <c r="L352" i="282" s="1"/>
  <c r="L9" i="282" s="1"/>
  <c r="L270" i="282"/>
  <c r="L335" i="282" s="1"/>
  <c r="L348" i="282" s="1"/>
  <c r="L5" i="282" s="1"/>
  <c r="L273" i="282"/>
  <c r="L338" i="282" s="1"/>
  <c r="L351" i="282" s="1"/>
  <c r="L8" i="282" s="1"/>
  <c r="L269" i="282"/>
  <c r="L334" i="282" s="1"/>
  <c r="F347" i="282"/>
  <c r="F333" i="282"/>
  <c r="K137" i="282"/>
  <c r="K201" i="282"/>
  <c r="K221" i="282"/>
  <c r="K194" i="282"/>
  <c r="K242" i="282" s="1"/>
  <c r="H340" i="282"/>
  <c r="H354" i="282"/>
  <c r="X53" i="6"/>
  <c r="Q170" i="4"/>
  <c r="Q172" i="4" s="1"/>
  <c r="Q242" i="4" s="1"/>
  <c r="Q171" i="4"/>
  <c r="Q249" i="4"/>
  <c r="AO179" i="4"/>
  <c r="V255" i="4"/>
  <c r="N11" i="6"/>
  <c r="N10" i="6" s="1"/>
  <c r="N110" i="5" s="1"/>
  <c r="V250" i="4"/>
  <c r="AA164" i="4"/>
  <c r="AA243" i="4" s="1"/>
  <c r="AA127" i="4"/>
  <c r="AA227" i="4" s="1"/>
  <c r="O36" i="5" s="1"/>
  <c r="AA160" i="4"/>
  <c r="AA161" i="4" s="1"/>
  <c r="AF159" i="4" s="1"/>
  <c r="AF5" i="4"/>
  <c r="AK197" i="4"/>
  <c r="AK194" i="4"/>
  <c r="AL192" i="4" s="1"/>
  <c r="AN91" i="4"/>
  <c r="AO37" i="4"/>
  <c r="AK177" i="4"/>
  <c r="AL175" i="4" s="1"/>
  <c r="AK180" i="4"/>
  <c r="J255" i="4"/>
  <c r="J270" i="4" s="1"/>
  <c r="J271" i="4" s="1"/>
  <c r="J244" i="4"/>
  <c r="K247" i="4"/>
  <c r="K254" i="4" s="1"/>
  <c r="L226" i="4"/>
  <c r="L133" i="5" s="1"/>
  <c r="L134" i="5" s="1"/>
  <c r="L146" i="5" s="1"/>
  <c r="K256" i="4"/>
  <c r="K261" i="4" s="1"/>
  <c r="K249" i="4"/>
  <c r="K237" i="4"/>
  <c r="K239" i="4" s="1"/>
  <c r="K242" i="4" s="1"/>
  <c r="N194" i="282" l="1"/>
  <c r="N242" i="282" s="1"/>
  <c r="Y67" i="5"/>
  <c r="L92" i="291"/>
  <c r="L7" i="291" s="1"/>
  <c r="Y65" i="5"/>
  <c r="S345" i="281"/>
  <c r="S368" i="281" s="1"/>
  <c r="S391" i="281" s="1"/>
  <c r="S375" i="281" s="1"/>
  <c r="N113" i="5"/>
  <c r="O110" i="5"/>
  <c r="N111" i="5"/>
  <c r="P20" i="285"/>
  <c r="S7" i="284"/>
  <c r="N202" i="282"/>
  <c r="N228" i="282" s="1"/>
  <c r="N227" i="282" s="1"/>
  <c r="I238" i="281"/>
  <c r="N220" i="282"/>
  <c r="I239" i="281"/>
  <c r="M92" i="291"/>
  <c r="M7" i="291" s="1"/>
  <c r="M8" i="291"/>
  <c r="L11" i="291"/>
  <c r="L153" i="291"/>
  <c r="M82" i="291"/>
  <c r="M85" i="291" s="1"/>
  <c r="N76" i="291"/>
  <c r="N88" i="291" s="1"/>
  <c r="N8" i="291" s="1"/>
  <c r="N79" i="291"/>
  <c r="I286" i="281"/>
  <c r="I287" i="281" s="1"/>
  <c r="I288" i="281" s="1"/>
  <c r="R39" i="6"/>
  <c r="AH67" i="4"/>
  <c r="AH259" i="4" s="1"/>
  <c r="AG260" i="4"/>
  <c r="AG67" i="4"/>
  <c r="I50" i="6"/>
  <c r="I52" i="6" s="1"/>
  <c r="J50" i="6" s="1"/>
  <c r="J52" i="6" s="1"/>
  <c r="J6" i="5" s="1"/>
  <c r="J14" i="5" s="1"/>
  <c r="J23" i="5" s="1"/>
  <c r="J50" i="5" s="1"/>
  <c r="Y41" i="6"/>
  <c r="F42" i="286"/>
  <c r="F3" i="286" s="1"/>
  <c r="F6" i="286" s="1"/>
  <c r="F10" i="286" s="1"/>
  <c r="L144" i="281" s="1"/>
  <c r="L146" i="281" s="1"/>
  <c r="I309" i="281"/>
  <c r="I310" i="281" s="1"/>
  <c r="I311" i="281" s="1"/>
  <c r="L112" i="291"/>
  <c r="L114" i="291" s="1"/>
  <c r="K118" i="291"/>
  <c r="M152" i="291"/>
  <c r="M11" i="291" s="1"/>
  <c r="K13" i="291"/>
  <c r="U181" i="291"/>
  <c r="U12" i="291"/>
  <c r="AN41" i="4"/>
  <c r="AM98" i="4"/>
  <c r="I217" i="281"/>
  <c r="I218" i="281" s="1"/>
  <c r="I219" i="281" s="1"/>
  <c r="I194" i="281"/>
  <c r="I195" i="281" s="1"/>
  <c r="I196" i="281" s="1"/>
  <c r="S378" i="281"/>
  <c r="S379" i="281" s="1"/>
  <c r="S380" i="281" s="1"/>
  <c r="R378" i="281"/>
  <c r="R379" i="281" s="1"/>
  <c r="K147" i="281"/>
  <c r="K145" i="281"/>
  <c r="H57" i="266"/>
  <c r="G8" i="267" s="1"/>
  <c r="G17" i="267" s="1"/>
  <c r="K354" i="281"/>
  <c r="K353" i="281"/>
  <c r="K352" i="281"/>
  <c r="O27" i="291"/>
  <c r="O29" i="291" s="1"/>
  <c r="P24" i="291" s="1"/>
  <c r="U59" i="291"/>
  <c r="O100" i="291"/>
  <c r="O102" i="291" s="1"/>
  <c r="P97" i="291" s="1"/>
  <c r="Q62" i="291"/>
  <c r="R56" i="291"/>
  <c r="Q14" i="283"/>
  <c r="Q19" i="283" s="1"/>
  <c r="P15" i="283"/>
  <c r="R65" i="266"/>
  <c r="R46" i="281"/>
  <c r="S23" i="281"/>
  <c r="S46" i="281" s="1"/>
  <c r="M94" i="266"/>
  <c r="M84" i="266"/>
  <c r="AR101" i="4"/>
  <c r="AR102" i="4" s="1"/>
  <c r="AQ102" i="4"/>
  <c r="M107" i="291"/>
  <c r="M109" i="291"/>
  <c r="M87" i="266"/>
  <c r="U11" i="288"/>
  <c r="U15" i="288" s="1"/>
  <c r="U8" i="288"/>
  <c r="U12" i="288" s="1"/>
  <c r="U16" i="288" s="1"/>
  <c r="U24" i="288" s="1"/>
  <c r="U32" i="288" s="1"/>
  <c r="L54" i="286"/>
  <c r="L58" i="286" s="1"/>
  <c r="L66" i="286" s="1"/>
  <c r="L72" i="286" s="1"/>
  <c r="L53" i="286"/>
  <c r="L57" i="286" s="1"/>
  <c r="L65" i="286" s="1"/>
  <c r="L71" i="286" s="1"/>
  <c r="U52" i="266"/>
  <c r="U53" i="266" s="1"/>
  <c r="U39" i="256"/>
  <c r="J355" i="281"/>
  <c r="K74" i="286"/>
  <c r="K4" i="286" s="1"/>
  <c r="N73" i="266"/>
  <c r="N76" i="266" s="1"/>
  <c r="O67" i="266" s="1"/>
  <c r="N79" i="266"/>
  <c r="N82" i="266" s="1"/>
  <c r="Q32" i="291"/>
  <c r="P31" i="291"/>
  <c r="P36" i="291" s="1"/>
  <c r="P39" i="291" s="1"/>
  <c r="P42" i="291" s="1"/>
  <c r="T28" i="291"/>
  <c r="U28" i="291" s="1"/>
  <c r="O105" i="291"/>
  <c r="N104" i="291"/>
  <c r="M54" i="286"/>
  <c r="M58" i="286" s="1"/>
  <c r="M66" i="286" s="1"/>
  <c r="M72" i="286" s="1"/>
  <c r="M53" i="286"/>
  <c r="M57" i="286" s="1"/>
  <c r="M65" i="286" s="1"/>
  <c r="M71" i="286" s="1"/>
  <c r="T9" i="288"/>
  <c r="T13" i="288" s="1"/>
  <c r="T17" i="288" s="1"/>
  <c r="T25" i="288" s="1"/>
  <c r="T33" i="288" s="1"/>
  <c r="W389" i="282"/>
  <c r="W68" i="282" s="1"/>
  <c r="W211" i="282" s="1"/>
  <c r="W69" i="282"/>
  <c r="W212" i="282" s="1"/>
  <c r="V14" i="266"/>
  <c r="Y65" i="282"/>
  <c r="Y208" i="282" s="1"/>
  <c r="Z383" i="282"/>
  <c r="Y385" i="282"/>
  <c r="Y393" i="282"/>
  <c r="Y66" i="282" s="1"/>
  <c r="Y209" i="282" s="1"/>
  <c r="S4" i="266"/>
  <c r="R13" i="266"/>
  <c r="S37" i="291"/>
  <c r="X387" i="282"/>
  <c r="X67" i="282"/>
  <c r="X210" i="282" s="1"/>
  <c r="H36" i="286"/>
  <c r="S109" i="266"/>
  <c r="S110" i="266" s="1"/>
  <c r="S84" i="256"/>
  <c r="P61" i="266"/>
  <c r="O70" i="266"/>
  <c r="O64" i="266"/>
  <c r="P65" i="291"/>
  <c r="P67" i="291"/>
  <c r="V7" i="288"/>
  <c r="V4" i="288"/>
  <c r="V5" i="288"/>
  <c r="W3" i="288"/>
  <c r="R33" i="291"/>
  <c r="S25" i="291"/>
  <c r="T98" i="291"/>
  <c r="O50" i="291"/>
  <c r="O46" i="291"/>
  <c r="L351" i="281"/>
  <c r="G39" i="286"/>
  <c r="G40" i="286"/>
  <c r="N6" i="291"/>
  <c r="N51" i="291"/>
  <c r="O70" i="291"/>
  <c r="N152" i="291"/>
  <c r="O58" i="291"/>
  <c r="O60" i="291" s="1"/>
  <c r="P55" i="291" s="1"/>
  <c r="E357" i="282"/>
  <c r="G31" i="282"/>
  <c r="G95" i="256"/>
  <c r="I114" i="266"/>
  <c r="H13" i="267" s="1"/>
  <c r="M16" i="266"/>
  <c r="M19" i="266" s="1"/>
  <c r="N10" i="266" s="1"/>
  <c r="M21" i="266"/>
  <c r="M24" i="266" s="1"/>
  <c r="M29" i="266" s="1"/>
  <c r="I33" i="266"/>
  <c r="H46" i="266"/>
  <c r="X17" i="266"/>
  <c r="O22" i="266"/>
  <c r="L36" i="266"/>
  <c r="L26" i="266"/>
  <c r="P8" i="266"/>
  <c r="O7" i="266"/>
  <c r="Q9" i="256"/>
  <c r="P8" i="256"/>
  <c r="P17" i="256" s="1"/>
  <c r="H44" i="256"/>
  <c r="H93" i="256" s="1"/>
  <c r="V30" i="256"/>
  <c r="V75" i="256"/>
  <c r="H71" i="256"/>
  <c r="P53" i="256"/>
  <c r="P62" i="256" s="1"/>
  <c r="Q48" i="256"/>
  <c r="J24" i="256"/>
  <c r="K6" i="256"/>
  <c r="J51" i="256"/>
  <c r="I69" i="256"/>
  <c r="T57" i="256"/>
  <c r="I26" i="256"/>
  <c r="I16" i="256"/>
  <c r="I18" i="256" s="1"/>
  <c r="I34" i="256" s="1"/>
  <c r="I20" i="256"/>
  <c r="H33" i="256"/>
  <c r="I65" i="256"/>
  <c r="H78" i="256"/>
  <c r="G16" i="267"/>
  <c r="H89" i="256"/>
  <c r="V12" i="256"/>
  <c r="I104" i="266"/>
  <c r="I86" i="266"/>
  <c r="J91" i="266"/>
  <c r="V49" i="256"/>
  <c r="Q106" i="282"/>
  <c r="Q161" i="282" s="1"/>
  <c r="O163" i="282"/>
  <c r="O162" i="282"/>
  <c r="O204" i="282"/>
  <c r="N137" i="282"/>
  <c r="S52" i="282"/>
  <c r="S53" i="282"/>
  <c r="S57" i="282"/>
  <c r="S54" i="282"/>
  <c r="S50" i="282"/>
  <c r="S56" i="282"/>
  <c r="S55" i="282"/>
  <c r="S59" i="282"/>
  <c r="S60" i="282"/>
  <c r="Q84" i="282"/>
  <c r="N278" i="282"/>
  <c r="N343" i="282" s="1"/>
  <c r="N356" i="282" s="1"/>
  <c r="N13" i="282" s="1"/>
  <c r="N275" i="282"/>
  <c r="N268" i="282"/>
  <c r="U20" i="282"/>
  <c r="U22" i="282" s="1"/>
  <c r="U24" i="282" s="1"/>
  <c r="U26" i="282" s="1"/>
  <c r="U27" i="282" s="1"/>
  <c r="U28" i="282" s="1"/>
  <c r="U30" i="282" s="1"/>
  <c r="V17" i="282"/>
  <c r="S109" i="282"/>
  <c r="S87" i="282"/>
  <c r="P154" i="282"/>
  <c r="P164" i="282"/>
  <c r="P161" i="282"/>
  <c r="Q164" i="282"/>
  <c r="P133" i="282"/>
  <c r="P136" i="282"/>
  <c r="R81" i="282"/>
  <c r="R103" i="282"/>
  <c r="R80" i="282"/>
  <c r="R102" i="282"/>
  <c r="T32" i="282"/>
  <c r="T61" i="282"/>
  <c r="T33" i="282"/>
  <c r="T58" i="282"/>
  <c r="T51" i="282"/>
  <c r="T94" i="282"/>
  <c r="T96" i="282" s="1"/>
  <c r="T237" i="282" s="1"/>
  <c r="T239" i="282" s="1"/>
  <c r="R191" i="282"/>
  <c r="R181" i="282"/>
  <c r="R188" i="282"/>
  <c r="R189" i="282" s="1"/>
  <c r="R190" i="282" s="1"/>
  <c r="R108" i="282"/>
  <c r="R86" i="282"/>
  <c r="Q88" i="282"/>
  <c r="Q77" i="282"/>
  <c r="R101" i="282"/>
  <c r="R79" i="282"/>
  <c r="R82" i="282"/>
  <c r="R104" i="282"/>
  <c r="O157" i="282"/>
  <c r="O197" i="282" s="1"/>
  <c r="O223" i="282" s="1"/>
  <c r="O156" i="282"/>
  <c r="O196" i="282" s="1"/>
  <c r="O222" i="282" s="1"/>
  <c r="O158" i="282"/>
  <c r="O198" i="282" s="1"/>
  <c r="O224" i="282" s="1"/>
  <c r="O155" i="282"/>
  <c r="O195" i="282" s="1"/>
  <c r="O160" i="282"/>
  <c r="O200" i="282" s="1"/>
  <c r="O226" i="282" s="1"/>
  <c r="O159" i="282"/>
  <c r="O199" i="282" s="1"/>
  <c r="O225" i="282" s="1"/>
  <c r="O135" i="282"/>
  <c r="O201" i="282"/>
  <c r="O134" i="282"/>
  <c r="R107" i="282"/>
  <c r="R85" i="282"/>
  <c r="Q182" i="282"/>
  <c r="Q184" i="282"/>
  <c r="Q185" i="282"/>
  <c r="Q183" i="282"/>
  <c r="Q186" i="282"/>
  <c r="Q187" i="282"/>
  <c r="Q99" i="282"/>
  <c r="R83" i="282"/>
  <c r="R105" i="282"/>
  <c r="R100" i="282"/>
  <c r="R78" i="282"/>
  <c r="Y381" i="282"/>
  <c r="Z377" i="282"/>
  <c r="G353" i="282"/>
  <c r="G11" i="282"/>
  <c r="G10" i="282" s="1"/>
  <c r="W215" i="282"/>
  <c r="X391" i="282"/>
  <c r="X73" i="282" s="1"/>
  <c r="X72" i="282"/>
  <c r="X397" i="282"/>
  <c r="X74" i="282" s="1"/>
  <c r="W217" i="282"/>
  <c r="G346" i="282"/>
  <c r="G4" i="282"/>
  <c r="G3" i="282" s="1"/>
  <c r="W216" i="282"/>
  <c r="I14" i="282"/>
  <c r="M277" i="282"/>
  <c r="M342" i="282" s="1"/>
  <c r="M355" i="282" s="1"/>
  <c r="M12" i="282" s="1"/>
  <c r="M276" i="282"/>
  <c r="M341" i="282" s="1"/>
  <c r="X35" i="282"/>
  <c r="X92" i="282"/>
  <c r="H31" i="282"/>
  <c r="L354" i="282"/>
  <c r="L340" i="282"/>
  <c r="M272" i="282"/>
  <c r="M337" i="282" s="1"/>
  <c r="M350" i="282" s="1"/>
  <c r="M7" i="282" s="1"/>
  <c r="M273" i="282"/>
  <c r="M338" i="282" s="1"/>
  <c r="M351" i="282" s="1"/>
  <c r="M8" i="282" s="1"/>
  <c r="M269" i="282"/>
  <c r="M334" i="282" s="1"/>
  <c r="M274" i="282"/>
  <c r="M339" i="282" s="1"/>
  <c r="M352" i="282" s="1"/>
  <c r="M9" i="282" s="1"/>
  <c r="M270" i="282"/>
  <c r="M335" i="282" s="1"/>
  <c r="M348" i="282" s="1"/>
  <c r="M5" i="282" s="1"/>
  <c r="M271" i="282"/>
  <c r="M336" i="282" s="1"/>
  <c r="M349" i="282" s="1"/>
  <c r="M6" i="282" s="1"/>
  <c r="F31" i="282"/>
  <c r="M231" i="282"/>
  <c r="D357" i="282"/>
  <c r="J340" i="282"/>
  <c r="J354" i="282"/>
  <c r="D14" i="282"/>
  <c r="E14" i="282"/>
  <c r="Y16" i="282"/>
  <c r="Z2" i="282"/>
  <c r="Y235" i="282"/>
  <c r="Y360" i="282" s="1"/>
  <c r="K268" i="282"/>
  <c r="K275" i="282"/>
  <c r="K278" i="282"/>
  <c r="K343" i="282" s="1"/>
  <c r="K356" i="282" s="1"/>
  <c r="K13" i="282" s="1"/>
  <c r="H346" i="282"/>
  <c r="H4" i="282"/>
  <c r="H3" i="282" s="1"/>
  <c r="K220" i="282"/>
  <c r="K231" i="282" s="1"/>
  <c r="H353" i="282"/>
  <c r="H11" i="282"/>
  <c r="H10" i="282" s="1"/>
  <c r="F346" i="282"/>
  <c r="F4" i="282"/>
  <c r="F3" i="282" s="1"/>
  <c r="L347" i="282"/>
  <c r="L333" i="282"/>
  <c r="J333" i="282"/>
  <c r="J347" i="282"/>
  <c r="I357" i="282"/>
  <c r="F353" i="282"/>
  <c r="F11" i="282"/>
  <c r="F10" i="282" s="1"/>
  <c r="Y53" i="6"/>
  <c r="J265" i="4"/>
  <c r="J266" i="4" s="1"/>
  <c r="AF164" i="4"/>
  <c r="AF243" i="4" s="1"/>
  <c r="AL194" i="4"/>
  <c r="AM192" i="4" s="1"/>
  <c r="AL197" i="4"/>
  <c r="O11" i="6"/>
  <c r="AA250" i="4"/>
  <c r="AL177" i="4"/>
  <c r="AM175" i="4" s="1"/>
  <c r="AL180" i="4"/>
  <c r="AO91" i="4"/>
  <c r="AP37" i="4"/>
  <c r="AF160" i="4"/>
  <c r="AF161" i="4" s="1"/>
  <c r="AG5" i="4"/>
  <c r="AF127" i="4"/>
  <c r="AF227" i="4" s="1"/>
  <c r="P36" i="5" s="1"/>
  <c r="AA255" i="4"/>
  <c r="AP179" i="4"/>
  <c r="L227" i="4"/>
  <c r="L11" i="6" s="1"/>
  <c r="L10" i="6" s="1"/>
  <c r="L110" i="5" s="1"/>
  <c r="K244" i="4"/>
  <c r="K255" i="4"/>
  <c r="N231" i="282" l="1"/>
  <c r="I240" i="281"/>
  <c r="I241" i="281" s="1"/>
  <c r="I242" i="281" s="1"/>
  <c r="AG259" i="4"/>
  <c r="AG68" i="4"/>
  <c r="Z65" i="5"/>
  <c r="P73" i="291"/>
  <c r="Z67" i="5"/>
  <c r="P110" i="5"/>
  <c r="O22" i="5"/>
  <c r="L113" i="5"/>
  <c r="L111" i="5"/>
  <c r="H117" i="4"/>
  <c r="H118" i="4" s="1"/>
  <c r="Q20" i="285"/>
  <c r="T7" i="284"/>
  <c r="O230" i="282"/>
  <c r="N82" i="291"/>
  <c r="N85" i="291" s="1"/>
  <c r="N90" i="291"/>
  <c r="N9" i="291" s="1"/>
  <c r="O76" i="291"/>
  <c r="O88" i="291" s="1"/>
  <c r="O8" i="291" s="1"/>
  <c r="O79" i="291"/>
  <c r="AH260" i="4"/>
  <c r="H54" i="6"/>
  <c r="I117" i="4"/>
  <c r="I118" i="4" s="1"/>
  <c r="S39" i="6"/>
  <c r="K50" i="6"/>
  <c r="K52" i="6" s="1"/>
  <c r="K6" i="5" s="1"/>
  <c r="K14" i="5" s="1"/>
  <c r="K23" i="5" s="1"/>
  <c r="K50" i="5" s="1"/>
  <c r="Z41" i="6"/>
  <c r="L147" i="281"/>
  <c r="L145" i="281"/>
  <c r="J31" i="282"/>
  <c r="K148" i="281"/>
  <c r="K149" i="281" s="1"/>
  <c r="K150" i="281" s="1"/>
  <c r="M112" i="291"/>
  <c r="M114" i="291" s="1"/>
  <c r="M153" i="291"/>
  <c r="P70" i="291"/>
  <c r="N153" i="291"/>
  <c r="N11" i="291"/>
  <c r="AO41" i="4"/>
  <c r="AN98" i="4"/>
  <c r="R380" i="281"/>
  <c r="G42" i="286"/>
  <c r="G3" i="286" s="1"/>
  <c r="G6" i="286" s="1"/>
  <c r="G10" i="286" s="1"/>
  <c r="M144" i="281" s="1"/>
  <c r="G9" i="267"/>
  <c r="G23" i="267" s="1"/>
  <c r="G26" i="267" s="1"/>
  <c r="L354" i="281"/>
  <c r="L353" i="281"/>
  <c r="L352" i="281"/>
  <c r="H39" i="286"/>
  <c r="H40" i="286"/>
  <c r="V52" i="266"/>
  <c r="V53" i="266" s="1"/>
  <c r="V39" i="256"/>
  <c r="P100" i="291"/>
  <c r="P102" i="291" s="1"/>
  <c r="Q97" i="291" s="1"/>
  <c r="T25" i="291"/>
  <c r="S33" i="291"/>
  <c r="P70" i="266"/>
  <c r="Q61" i="266"/>
  <c r="P64" i="266"/>
  <c r="T4" i="266"/>
  <c r="S13" i="266"/>
  <c r="I330" i="281"/>
  <c r="I331" i="281"/>
  <c r="I329" i="281"/>
  <c r="U9" i="288"/>
  <c r="U13" i="288" s="1"/>
  <c r="U17" i="288" s="1"/>
  <c r="U25" i="288" s="1"/>
  <c r="U33" i="288" s="1"/>
  <c r="S65" i="266"/>
  <c r="R62" i="291"/>
  <c r="S56" i="291"/>
  <c r="K355" i="281"/>
  <c r="W4" i="288"/>
  <c r="W5" i="288" s="1"/>
  <c r="W7" i="288"/>
  <c r="X3" i="288"/>
  <c r="M351" i="281"/>
  <c r="O152" i="291"/>
  <c r="O51" i="291"/>
  <c r="O6" i="291"/>
  <c r="T109" i="266"/>
  <c r="T110" i="266" s="1"/>
  <c r="T84" i="256"/>
  <c r="X69" i="282"/>
  <c r="X212" i="282" s="1"/>
  <c r="X389" i="282"/>
  <c r="X68" i="282" s="1"/>
  <c r="X211" i="282" s="1"/>
  <c r="T37" i="291"/>
  <c r="W14" i="266"/>
  <c r="M74" i="286"/>
  <c r="M4" i="286" s="1"/>
  <c r="L121" i="291"/>
  <c r="L118" i="291"/>
  <c r="P50" i="291"/>
  <c r="P46" i="291"/>
  <c r="I260" i="281"/>
  <c r="I261" i="281"/>
  <c r="I262" i="281"/>
  <c r="L74" i="286"/>
  <c r="L4" i="286" s="1"/>
  <c r="Q65" i="291"/>
  <c r="Q67" i="291"/>
  <c r="Q73" i="291" s="1"/>
  <c r="P27" i="291"/>
  <c r="P29" i="291" s="1"/>
  <c r="Q24" i="291" s="1"/>
  <c r="U98" i="291"/>
  <c r="Z385" i="282"/>
  <c r="AA383" i="282"/>
  <c r="Z393" i="282"/>
  <c r="Z66" i="282" s="1"/>
  <c r="Z209" i="282" s="1"/>
  <c r="Z65" i="282"/>
  <c r="Z208" i="282" s="1"/>
  <c r="P105" i="291"/>
  <c r="O104" i="291"/>
  <c r="O79" i="266"/>
  <c r="O82" i="266" s="1"/>
  <c r="O73" i="266"/>
  <c r="O76" i="266" s="1"/>
  <c r="P67" i="266" s="1"/>
  <c r="P58" i="291"/>
  <c r="P60" i="291" s="1"/>
  <c r="Q55" i="291" s="1"/>
  <c r="V11" i="288"/>
  <c r="V15" i="288" s="1"/>
  <c r="V9" i="288"/>
  <c r="V13" i="288" s="1"/>
  <c r="V17" i="288" s="1"/>
  <c r="V25" i="288" s="1"/>
  <c r="V33" i="288" s="1"/>
  <c r="V8" i="288"/>
  <c r="V12" i="288" s="1"/>
  <c r="V16" i="288" s="1"/>
  <c r="V24" i="288" s="1"/>
  <c r="V32" i="288" s="1"/>
  <c r="I36" i="286"/>
  <c r="Y67" i="282"/>
  <c r="Y210" i="282" s="1"/>
  <c r="Y387" i="282"/>
  <c r="N109" i="291"/>
  <c r="N107" i="291"/>
  <c r="N112" i="291" s="1"/>
  <c r="R32" i="291"/>
  <c r="Q31" i="291"/>
  <c r="Q36" i="291" s="1"/>
  <c r="Q39" i="291" s="1"/>
  <c r="Q42" i="291" s="1"/>
  <c r="N87" i="266"/>
  <c r="N94" i="266"/>
  <c r="N84" i="266"/>
  <c r="J356" i="281"/>
  <c r="J357" i="281" s="1"/>
  <c r="Q15" i="283"/>
  <c r="R14" i="283"/>
  <c r="R84" i="282"/>
  <c r="O137" i="282"/>
  <c r="N16" i="266"/>
  <c r="N19" i="266" s="1"/>
  <c r="O10" i="266" s="1"/>
  <c r="N21" i="266"/>
  <c r="N24" i="266" s="1"/>
  <c r="N29" i="266" s="1"/>
  <c r="Y17" i="266"/>
  <c r="I34" i="266"/>
  <c r="I42" i="266"/>
  <c r="I45" i="266" s="1"/>
  <c r="Q8" i="266"/>
  <c r="P7" i="266"/>
  <c r="P22" i="266"/>
  <c r="M26" i="266"/>
  <c r="M36" i="266"/>
  <c r="H7" i="267"/>
  <c r="C6" i="281"/>
  <c r="C9" i="281" s="1"/>
  <c r="R9" i="256"/>
  <c r="Q8" i="256"/>
  <c r="Q17" i="256" s="1"/>
  <c r="W30" i="256"/>
  <c r="W75" i="256"/>
  <c r="Q53" i="256"/>
  <c r="Q62" i="256" s="1"/>
  <c r="R48" i="256"/>
  <c r="J100" i="266"/>
  <c r="J103" i="266" s="1"/>
  <c r="J92" i="266"/>
  <c r="I21" i="256"/>
  <c r="I29" i="256"/>
  <c r="I32" i="256" s="1"/>
  <c r="U57" i="256"/>
  <c r="I68" i="256"/>
  <c r="I61" i="256" s="1"/>
  <c r="W49" i="256"/>
  <c r="W12" i="256"/>
  <c r="H94" i="256"/>
  <c r="H95" i="256" s="1"/>
  <c r="H12" i="267"/>
  <c r="H14" i="267" s="1"/>
  <c r="I74" i="256"/>
  <c r="I77" i="256" s="1"/>
  <c r="I66" i="256"/>
  <c r="J56" i="256"/>
  <c r="J59" i="256" s="1"/>
  <c r="K11" i="256"/>
  <c r="K14" i="256" s="1"/>
  <c r="J23" i="256"/>
  <c r="J16" i="256" s="1"/>
  <c r="J18" i="256" s="1"/>
  <c r="J34" i="256" s="1"/>
  <c r="I88" i="266"/>
  <c r="J86" i="266"/>
  <c r="AG159" i="4"/>
  <c r="AG164" i="4" s="1"/>
  <c r="AG243" i="4" s="1"/>
  <c r="R99" i="282"/>
  <c r="R136" i="282" s="1"/>
  <c r="Q154" i="282"/>
  <c r="Q160" i="282" s="1"/>
  <c r="Q200" i="282" s="1"/>
  <c r="Q226" i="282" s="1"/>
  <c r="F14" i="282"/>
  <c r="F15" i="282" s="1"/>
  <c r="T109" i="282"/>
  <c r="T87" i="282"/>
  <c r="P163" i="282"/>
  <c r="P162" i="282"/>
  <c r="G357" i="282"/>
  <c r="R106" i="282"/>
  <c r="O203" i="282"/>
  <c r="O229" i="282" s="1"/>
  <c r="P204" i="282"/>
  <c r="Q163" i="282"/>
  <c r="Q162" i="282"/>
  <c r="N276" i="282"/>
  <c r="N341" i="282" s="1"/>
  <c r="N277" i="282"/>
  <c r="N342" i="282" s="1"/>
  <c r="N355" i="282" s="1"/>
  <c r="N12" i="282" s="1"/>
  <c r="S81" i="282"/>
  <c r="S103" i="282"/>
  <c r="S83" i="282"/>
  <c r="S105" i="282"/>
  <c r="S79" i="282"/>
  <c r="S101" i="282"/>
  <c r="R77" i="282"/>
  <c r="R88" i="282"/>
  <c r="Q136" i="282"/>
  <c r="Q204" i="282" s="1"/>
  <c r="Q133" i="282"/>
  <c r="O202" i="282"/>
  <c r="O228" i="282" s="1"/>
  <c r="O227" i="282" s="1"/>
  <c r="T50" i="282"/>
  <c r="T55" i="282"/>
  <c r="T57" i="282"/>
  <c r="T52" i="282"/>
  <c r="T53" i="282"/>
  <c r="T56" i="282"/>
  <c r="T54" i="282"/>
  <c r="W17" i="282"/>
  <c r="V20" i="282"/>
  <c r="V22" i="282" s="1"/>
  <c r="V24" i="282" s="1"/>
  <c r="V26" i="282" s="1"/>
  <c r="V27" i="282" s="1"/>
  <c r="V28" i="282" s="1"/>
  <c r="V30" i="282" s="1"/>
  <c r="V32" i="282" s="1"/>
  <c r="S108" i="282"/>
  <c r="S86" i="282"/>
  <c r="S100" i="282"/>
  <c r="S78" i="282"/>
  <c r="P135" i="282"/>
  <c r="P201" i="282"/>
  <c r="P134" i="282"/>
  <c r="S191" i="282"/>
  <c r="S181" i="282"/>
  <c r="S188" i="282"/>
  <c r="S189" i="282" s="1"/>
  <c r="S190" i="282" s="1"/>
  <c r="S104" i="282"/>
  <c r="S82" i="282"/>
  <c r="G14" i="282"/>
  <c r="R133" i="282"/>
  <c r="O194" i="282"/>
  <c r="O221" i="282"/>
  <c r="O220" i="282" s="1"/>
  <c r="R186" i="282"/>
  <c r="R185" i="282"/>
  <c r="R182" i="282"/>
  <c r="R184" i="282"/>
  <c r="R187" i="282"/>
  <c r="R183" i="282"/>
  <c r="T60" i="282"/>
  <c r="T59" i="282"/>
  <c r="P160" i="282"/>
  <c r="P200" i="282" s="1"/>
  <c r="P226" i="282" s="1"/>
  <c r="P155" i="282"/>
  <c r="P195" i="282" s="1"/>
  <c r="P157" i="282"/>
  <c r="P197" i="282" s="1"/>
  <c r="P223" i="282" s="1"/>
  <c r="P158" i="282"/>
  <c r="P198" i="282" s="1"/>
  <c r="P224" i="282" s="1"/>
  <c r="P156" i="282"/>
  <c r="P196" i="282" s="1"/>
  <c r="P222" i="282" s="1"/>
  <c r="P159" i="282"/>
  <c r="P199" i="282" s="1"/>
  <c r="P225" i="282" s="1"/>
  <c r="U94" i="282"/>
  <c r="U96" i="282" s="1"/>
  <c r="U237" i="282" s="1"/>
  <c r="U239" i="282" s="1"/>
  <c r="U51" i="282"/>
  <c r="U32" i="282"/>
  <c r="U61" i="282"/>
  <c r="U33" i="282"/>
  <c r="U58" i="282"/>
  <c r="N273" i="282"/>
  <c r="N338" i="282" s="1"/>
  <c r="N351" i="282" s="1"/>
  <c r="N8" i="282" s="1"/>
  <c r="N274" i="282"/>
  <c r="N339" i="282" s="1"/>
  <c r="N352" i="282" s="1"/>
  <c r="N9" i="282" s="1"/>
  <c r="N271" i="282"/>
  <c r="N336" i="282" s="1"/>
  <c r="N349" i="282" s="1"/>
  <c r="N6" i="282" s="1"/>
  <c r="C19" i="285" s="1"/>
  <c r="C18" i="285" s="1"/>
  <c r="N272" i="282"/>
  <c r="N337" i="282" s="1"/>
  <c r="N350" i="282" s="1"/>
  <c r="N7" i="282" s="1"/>
  <c r="N270" i="282"/>
  <c r="N335" i="282" s="1"/>
  <c r="N348" i="282" s="1"/>
  <c r="N5" i="282" s="1"/>
  <c r="N269" i="282"/>
  <c r="N334" i="282" s="1"/>
  <c r="S107" i="282"/>
  <c r="S85" i="282"/>
  <c r="S102" i="282"/>
  <c r="S80" i="282"/>
  <c r="X216" i="282"/>
  <c r="X217" i="282"/>
  <c r="AA377" i="282"/>
  <c r="Z381" i="282"/>
  <c r="L31" i="282"/>
  <c r="X215" i="282"/>
  <c r="Y397" i="282"/>
  <c r="Y74" i="282" s="1"/>
  <c r="Y72" i="282"/>
  <c r="Y391" i="282"/>
  <c r="Y73" i="282" s="1"/>
  <c r="F357" i="282"/>
  <c r="E15" i="282"/>
  <c r="J346" i="282"/>
  <c r="J4" i="282"/>
  <c r="J3" i="282" s="1"/>
  <c r="M340" i="282"/>
  <c r="M354" i="282"/>
  <c r="H14" i="282"/>
  <c r="K276" i="282"/>
  <c r="K341" i="282" s="1"/>
  <c r="K277" i="282"/>
  <c r="K342" i="282" s="1"/>
  <c r="K355" i="282" s="1"/>
  <c r="K12" i="282" s="1"/>
  <c r="Z235" i="282"/>
  <c r="Z360" i="282" s="1"/>
  <c r="AA2" i="282"/>
  <c r="Z16" i="282"/>
  <c r="M347" i="282"/>
  <c r="M333" i="282"/>
  <c r="K272" i="282"/>
  <c r="K337" i="282" s="1"/>
  <c r="K350" i="282" s="1"/>
  <c r="K7" i="282" s="1"/>
  <c r="K271" i="282"/>
  <c r="K336" i="282" s="1"/>
  <c r="K349" i="282" s="1"/>
  <c r="K6" i="282" s="1"/>
  <c r="K270" i="282"/>
  <c r="K335" i="282" s="1"/>
  <c r="K348" i="282" s="1"/>
  <c r="K5" i="282" s="1"/>
  <c r="K273" i="282"/>
  <c r="K338" i="282" s="1"/>
  <c r="K351" i="282" s="1"/>
  <c r="K8" i="282" s="1"/>
  <c r="K269" i="282"/>
  <c r="K334" i="282" s="1"/>
  <c r="K274" i="282"/>
  <c r="K339" i="282" s="1"/>
  <c r="K352" i="282" s="1"/>
  <c r="K9" i="282" s="1"/>
  <c r="Y35" i="282"/>
  <c r="Y92" i="282"/>
  <c r="L353" i="282"/>
  <c r="L11" i="282"/>
  <c r="L10" i="282" s="1"/>
  <c r="L346" i="282"/>
  <c r="L4" i="282"/>
  <c r="L3" i="282" s="1"/>
  <c r="H357" i="282"/>
  <c r="J353" i="282"/>
  <c r="J11" i="282"/>
  <c r="J10" i="282" s="1"/>
  <c r="Z53" i="6"/>
  <c r="L228" i="4"/>
  <c r="L231" i="4" s="1"/>
  <c r="L234" i="4" s="1"/>
  <c r="L237" i="4" s="1"/>
  <c r="P11" i="6"/>
  <c r="AF250" i="4"/>
  <c r="AM177" i="4"/>
  <c r="AN175" i="4" s="1"/>
  <c r="AM180" i="4"/>
  <c r="AQ179" i="4"/>
  <c r="AH5" i="4"/>
  <c r="AG160" i="4"/>
  <c r="AG127" i="4"/>
  <c r="AG227" i="4" s="1"/>
  <c r="Q36" i="5" s="1"/>
  <c r="AQ37" i="4"/>
  <c r="AP91" i="4"/>
  <c r="AM194" i="4"/>
  <c r="AN192" i="4" s="1"/>
  <c r="AM197" i="4"/>
  <c r="AF255" i="4"/>
  <c r="K265" i="4"/>
  <c r="K266" i="4" s="1"/>
  <c r="K270" i="4"/>
  <c r="K271" i="4" s="1"/>
  <c r="Q157" i="282" l="1"/>
  <c r="Q197" i="282" s="1"/>
  <c r="Q223" i="282" s="1"/>
  <c r="AA65" i="5"/>
  <c r="AA67" i="5"/>
  <c r="P22" i="5"/>
  <c r="L50" i="6"/>
  <c r="L52" i="6" s="1"/>
  <c r="L6" i="5" s="1"/>
  <c r="L14" i="5" s="1"/>
  <c r="L23" i="5" s="1"/>
  <c r="L50" i="5" s="1"/>
  <c r="Q110" i="5"/>
  <c r="R15" i="283"/>
  <c r="R19" i="283"/>
  <c r="L148" i="281"/>
  <c r="L149" i="281" s="1"/>
  <c r="L150" i="281" s="1"/>
  <c r="O242" i="282"/>
  <c r="O268" i="282" s="1"/>
  <c r="Q230" i="282"/>
  <c r="P230" i="282"/>
  <c r="N92" i="291"/>
  <c r="N7" i="291" s="1"/>
  <c r="O82" i="291"/>
  <c r="O85" i="291" s="1"/>
  <c r="O90" i="291"/>
  <c r="P76" i="291"/>
  <c r="P79" i="291"/>
  <c r="J54" i="6"/>
  <c r="J117" i="4"/>
  <c r="J118" i="4" s="1"/>
  <c r="AA41" i="6"/>
  <c r="S106" i="282"/>
  <c r="S161" i="282" s="1"/>
  <c r="P202" i="282"/>
  <c r="P228" i="282" s="1"/>
  <c r="M121" i="291"/>
  <c r="M122" i="291" s="1"/>
  <c r="M118" i="291"/>
  <c r="L16" i="291"/>
  <c r="O153" i="291"/>
  <c r="O11" i="291"/>
  <c r="AP41" i="4"/>
  <c r="AO98" i="4"/>
  <c r="L247" i="4"/>
  <c r="L254" i="4" s="1"/>
  <c r="AH23" i="4"/>
  <c r="L256" i="4"/>
  <c r="L261" i="4" s="1"/>
  <c r="L265" i="4" s="1"/>
  <c r="L266" i="4" s="1"/>
  <c r="Q226" i="4"/>
  <c r="Q228" i="4" s="1"/>
  <c r="Q231" i="4" s="1"/>
  <c r="D388" i="281"/>
  <c r="C383" i="281"/>
  <c r="AG161" i="4"/>
  <c r="AH159" i="4" s="1"/>
  <c r="AH164" i="4" s="1"/>
  <c r="AH243" i="4" s="1"/>
  <c r="M146" i="281"/>
  <c r="M147" i="281"/>
  <c r="M145" i="281"/>
  <c r="G19" i="267"/>
  <c r="Q27" i="291"/>
  <c r="Q29" i="291" s="1"/>
  <c r="R24" i="291" s="1"/>
  <c r="P79" i="266"/>
  <c r="P82" i="266" s="1"/>
  <c r="P73" i="266"/>
  <c r="P76" i="266" s="1"/>
  <c r="Q67" i="266" s="1"/>
  <c r="S32" i="291"/>
  <c r="R31" i="291"/>
  <c r="R36" i="291" s="1"/>
  <c r="R39" i="291" s="1"/>
  <c r="R42" i="291" s="1"/>
  <c r="N351" i="281"/>
  <c r="Q58" i="291"/>
  <c r="Q60" i="291" s="1"/>
  <c r="R55" i="291" s="1"/>
  <c r="Q105" i="291"/>
  <c r="P104" i="291"/>
  <c r="Z67" i="282"/>
  <c r="Z210" i="282" s="1"/>
  <c r="J36" i="286"/>
  <c r="Z387" i="282"/>
  <c r="I263" i="281"/>
  <c r="I264" i="281" s="1"/>
  <c r="I265" i="281" s="1"/>
  <c r="L10" i="291"/>
  <c r="L122" i="291"/>
  <c r="U84" i="256"/>
  <c r="U109" i="266"/>
  <c r="U110" i="266" s="1"/>
  <c r="M352" i="281"/>
  <c r="M354" i="281"/>
  <c r="M353" i="281"/>
  <c r="K356" i="281"/>
  <c r="K357" i="281" s="1"/>
  <c r="Q70" i="266"/>
  <c r="R61" i="266"/>
  <c r="Q64" i="266"/>
  <c r="I39" i="286"/>
  <c r="I40" i="286"/>
  <c r="X4" i="288"/>
  <c r="X5" i="288" s="1"/>
  <c r="Y3" i="288"/>
  <c r="X7" i="288"/>
  <c r="O87" i="266"/>
  <c r="O84" i="266"/>
  <c r="O94" i="266"/>
  <c r="P6" i="291"/>
  <c r="P51" i="291"/>
  <c r="X14" i="266"/>
  <c r="W9" i="288"/>
  <c r="W13" i="288" s="1"/>
  <c r="W17" i="288" s="1"/>
  <c r="W25" i="288" s="1"/>
  <c r="W33" i="288" s="1"/>
  <c r="W11" i="288"/>
  <c r="W15" i="288" s="1"/>
  <c r="W8" i="288"/>
  <c r="W12" i="288" s="1"/>
  <c r="W16" i="288" s="1"/>
  <c r="W24" i="288" s="1"/>
  <c r="W32" i="288" s="1"/>
  <c r="S62" i="291"/>
  <c r="T56" i="291"/>
  <c r="U4" i="266"/>
  <c r="T13" i="266"/>
  <c r="U37" i="291"/>
  <c r="T65" i="266"/>
  <c r="T33" i="291"/>
  <c r="U25" i="291"/>
  <c r="Q100" i="291"/>
  <c r="Q102" i="291" s="1"/>
  <c r="R97" i="291" s="1"/>
  <c r="C8" i="281"/>
  <c r="Q50" i="291"/>
  <c r="Q46" i="291"/>
  <c r="Y69" i="282"/>
  <c r="Y212" i="282" s="1"/>
  <c r="Y389" i="282"/>
  <c r="Y68" i="282" s="1"/>
  <c r="Y211" i="282" s="1"/>
  <c r="O109" i="291"/>
  <c r="O107" i="291"/>
  <c r="AA393" i="282"/>
  <c r="AA66" i="282" s="1"/>
  <c r="AA209" i="282" s="1"/>
  <c r="AA65" i="282"/>
  <c r="AA208" i="282" s="1"/>
  <c r="AB383" i="282"/>
  <c r="AA385" i="282"/>
  <c r="K117" i="4"/>
  <c r="K118" i="4" s="1"/>
  <c r="K54" i="6"/>
  <c r="Q70" i="291"/>
  <c r="R65" i="291"/>
  <c r="R67" i="291"/>
  <c r="R73" i="291" s="1"/>
  <c r="I332" i="281"/>
  <c r="W52" i="266"/>
  <c r="W53" i="266" s="1"/>
  <c r="W39" i="256"/>
  <c r="H42" i="286"/>
  <c r="H3" i="286" s="1"/>
  <c r="H6" i="286" s="1"/>
  <c r="H10" i="286" s="1"/>
  <c r="N144" i="281" s="1"/>
  <c r="L355" i="281"/>
  <c r="L356" i="281" s="1"/>
  <c r="L357" i="281" s="1"/>
  <c r="L238" i="4"/>
  <c r="L249" i="4"/>
  <c r="G15" i="282"/>
  <c r="Q159" i="282"/>
  <c r="Q199" i="282" s="1"/>
  <c r="Q225" i="282" s="1"/>
  <c r="O231" i="282"/>
  <c r="Q155" i="282"/>
  <c r="Q195" i="282" s="1"/>
  <c r="Q158" i="282"/>
  <c r="Q198" i="282" s="1"/>
  <c r="Q224" i="282" s="1"/>
  <c r="P137" i="282"/>
  <c r="I89" i="256"/>
  <c r="I94" i="256" s="1"/>
  <c r="C7" i="281"/>
  <c r="I57" i="266"/>
  <c r="H8" i="267" s="1"/>
  <c r="H17" i="267" s="1"/>
  <c r="O16" i="266"/>
  <c r="O19" i="266" s="1"/>
  <c r="P10" i="266" s="1"/>
  <c r="P21" i="266" s="1"/>
  <c r="P24" i="266" s="1"/>
  <c r="O21" i="266"/>
  <c r="O24" i="266" s="1"/>
  <c r="O29" i="266" s="1"/>
  <c r="R8" i="266"/>
  <c r="Q7" i="266"/>
  <c r="Q22" i="266"/>
  <c r="I28" i="266"/>
  <c r="J33" i="266"/>
  <c r="I46" i="266"/>
  <c r="N36" i="266"/>
  <c r="N26" i="266"/>
  <c r="I44" i="256"/>
  <c r="I93" i="256" s="1"/>
  <c r="S9" i="256"/>
  <c r="R8" i="256"/>
  <c r="R17" i="256" s="1"/>
  <c r="X75" i="256"/>
  <c r="X30" i="256"/>
  <c r="R53" i="256"/>
  <c r="R62" i="256" s="1"/>
  <c r="S48" i="256"/>
  <c r="J88" i="266"/>
  <c r="K86" i="266"/>
  <c r="J26" i="256"/>
  <c r="H16" i="267"/>
  <c r="I78" i="256"/>
  <c r="J65" i="256"/>
  <c r="X12" i="256"/>
  <c r="J114" i="266"/>
  <c r="I13" i="267" s="1"/>
  <c r="V57" i="256"/>
  <c r="L6" i="256"/>
  <c r="K24" i="256"/>
  <c r="J69" i="256"/>
  <c r="K51" i="256"/>
  <c r="I63" i="256"/>
  <c r="I79" i="256" s="1"/>
  <c r="J104" i="266"/>
  <c r="K91" i="266"/>
  <c r="X49" i="256"/>
  <c r="I71" i="256"/>
  <c r="J20" i="256"/>
  <c r="I33" i="256"/>
  <c r="Q156" i="282"/>
  <c r="Q196" i="282" s="1"/>
  <c r="Q222" i="282" s="1"/>
  <c r="S84" i="282"/>
  <c r="N347" i="282"/>
  <c r="N333" i="282"/>
  <c r="U109" i="282"/>
  <c r="U87" i="282"/>
  <c r="T108" i="282"/>
  <c r="T86" i="282"/>
  <c r="O275" i="282"/>
  <c r="P203" i="282"/>
  <c r="P229" i="282" s="1"/>
  <c r="W20" i="282"/>
  <c r="W22" i="282" s="1"/>
  <c r="W24" i="282" s="1"/>
  <c r="W26" i="282" s="1"/>
  <c r="W27" i="282" s="1"/>
  <c r="W28" i="282" s="1"/>
  <c r="W30" i="282" s="1"/>
  <c r="X17" i="282"/>
  <c r="T104" i="282"/>
  <c r="T82" i="282"/>
  <c r="T103" i="282"/>
  <c r="T81" i="282"/>
  <c r="S164" i="282"/>
  <c r="P194" i="282"/>
  <c r="P221" i="282"/>
  <c r="S77" i="282"/>
  <c r="S88" i="282"/>
  <c r="T79" i="282"/>
  <c r="T101" i="282"/>
  <c r="N340" i="282"/>
  <c r="N354" i="282"/>
  <c r="T188" i="282"/>
  <c r="T189" i="282" s="1"/>
  <c r="T190" i="282" s="1"/>
  <c r="T191" i="282"/>
  <c r="T181" i="282"/>
  <c r="U60" i="282"/>
  <c r="U59" i="282"/>
  <c r="U54" i="282"/>
  <c r="U56" i="282"/>
  <c r="U50" i="282"/>
  <c r="U57" i="282"/>
  <c r="U52" i="282"/>
  <c r="U53" i="282"/>
  <c r="U55" i="282"/>
  <c r="R135" i="282"/>
  <c r="R134" i="282"/>
  <c r="S99" i="282"/>
  <c r="T100" i="282"/>
  <c r="T78" i="282"/>
  <c r="C7" i="285"/>
  <c r="C4" i="285"/>
  <c r="C5" i="285"/>
  <c r="C8" i="285"/>
  <c r="C6" i="285"/>
  <c r="C9" i="285"/>
  <c r="C10" i="285"/>
  <c r="T107" i="282"/>
  <c r="T85" i="282"/>
  <c r="S186" i="282"/>
  <c r="S183" i="282"/>
  <c r="S182" i="282"/>
  <c r="S185" i="282"/>
  <c r="S187" i="282"/>
  <c r="S184" i="282"/>
  <c r="V33" i="282"/>
  <c r="V51" i="282"/>
  <c r="V58" i="282"/>
  <c r="V61" i="282"/>
  <c r="V94" i="282"/>
  <c r="V96" i="282" s="1"/>
  <c r="V237" i="282" s="1"/>
  <c r="V239" i="282" s="1"/>
  <c r="T80" i="282"/>
  <c r="T102" i="282"/>
  <c r="T83" i="282"/>
  <c r="T105" i="282"/>
  <c r="Q134" i="282"/>
  <c r="Q202" i="282" s="1"/>
  <c r="Q228" i="282" s="1"/>
  <c r="Q135" i="282"/>
  <c r="Q203" i="282" s="1"/>
  <c r="Q229" i="282" s="1"/>
  <c r="Q201" i="282"/>
  <c r="R164" i="282"/>
  <c r="R204" i="282" s="1"/>
  <c r="R161" i="282"/>
  <c r="R154" i="282"/>
  <c r="J14" i="282"/>
  <c r="J15" i="282" s="1"/>
  <c r="Y216" i="282"/>
  <c r="AB377" i="282"/>
  <c r="AA381" i="282"/>
  <c r="Y215" i="282"/>
  <c r="Y217" i="282"/>
  <c r="Z391" i="282"/>
  <c r="Z73" i="282" s="1"/>
  <c r="Z397" i="282"/>
  <c r="Z74" i="282" s="1"/>
  <c r="Z72" i="282"/>
  <c r="L357" i="282"/>
  <c r="M31" i="282"/>
  <c r="L14" i="282"/>
  <c r="Z35" i="282"/>
  <c r="Z92" i="282"/>
  <c r="K354" i="282"/>
  <c r="K340" i="282"/>
  <c r="M353" i="282"/>
  <c r="M11" i="282"/>
  <c r="M10" i="282" s="1"/>
  <c r="AB2" i="282"/>
  <c r="AA235" i="282"/>
  <c r="AA360" i="282" s="1"/>
  <c r="AA16" i="282"/>
  <c r="K347" i="282"/>
  <c r="K333" i="282"/>
  <c r="M346" i="282"/>
  <c r="M4" i="282"/>
  <c r="M3" i="282" s="1"/>
  <c r="H15" i="282"/>
  <c r="I15" i="282"/>
  <c r="J357" i="282"/>
  <c r="AA53" i="6"/>
  <c r="AB53" i="6"/>
  <c r="AN194" i="4"/>
  <c r="AO192" i="4" s="1"/>
  <c r="AN197" i="4"/>
  <c r="AN177" i="4"/>
  <c r="AO175" i="4" s="1"/>
  <c r="AN180" i="4"/>
  <c r="AR37" i="4"/>
  <c r="AQ91" i="4"/>
  <c r="AH160" i="4"/>
  <c r="AH127" i="4"/>
  <c r="AH227" i="4" s="1"/>
  <c r="R36" i="5" s="1"/>
  <c r="AI5" i="4"/>
  <c r="AR179" i="4"/>
  <c r="Q11" i="6"/>
  <c r="AG250" i="4"/>
  <c r="AG255" i="4"/>
  <c r="AG50" i="4"/>
  <c r="AI24" i="4" l="1"/>
  <c r="L19" i="291"/>
  <c r="L270" i="4"/>
  <c r="L271" i="4" s="1"/>
  <c r="AB67" i="5"/>
  <c r="AB65" i="5"/>
  <c r="M50" i="6"/>
  <c r="M52" i="6" s="1"/>
  <c r="N50" i="6" s="1"/>
  <c r="R110" i="5"/>
  <c r="Q22" i="5"/>
  <c r="U7" i="284"/>
  <c r="R20" i="285"/>
  <c r="P227" i="282"/>
  <c r="O278" i="282"/>
  <c r="O343" i="282" s="1"/>
  <c r="O356" i="282" s="1"/>
  <c r="O13" i="282" s="1"/>
  <c r="O409" i="282" s="1"/>
  <c r="R230" i="282"/>
  <c r="P242" i="282"/>
  <c r="P275" i="282" s="1"/>
  <c r="O92" i="291"/>
  <c r="O7" i="291" s="1"/>
  <c r="O9" i="291"/>
  <c r="J215" i="281"/>
  <c r="L13" i="291"/>
  <c r="P152" i="291"/>
  <c r="P88" i="291"/>
  <c r="P82" i="291"/>
  <c r="P85" i="291" s="1"/>
  <c r="P90" i="291"/>
  <c r="P9" i="291" s="1"/>
  <c r="Q76" i="291"/>
  <c r="Q88" i="291" s="1"/>
  <c r="Q8" i="291" s="1"/>
  <c r="Q79" i="291"/>
  <c r="T39" i="6"/>
  <c r="AI67" i="4"/>
  <c r="AI259" i="4" s="1"/>
  <c r="AI260" i="4"/>
  <c r="AB41" i="6"/>
  <c r="S154" i="282"/>
  <c r="S155" i="282" s="1"/>
  <c r="S195" i="282" s="1"/>
  <c r="I42" i="286"/>
  <c r="I3" i="286" s="1"/>
  <c r="I6" i="286" s="1"/>
  <c r="I10" i="286" s="1"/>
  <c r="O144" i="281" s="1"/>
  <c r="O147" i="281" s="1"/>
  <c r="J192" i="281"/>
  <c r="J285" i="281"/>
  <c r="M10" i="291"/>
  <c r="O112" i="291"/>
  <c r="N114" i="291"/>
  <c r="N118" i="291" s="1"/>
  <c r="AH25" i="4"/>
  <c r="AH161" i="4"/>
  <c r="AI159" i="4" s="1"/>
  <c r="AI164" i="4" s="1"/>
  <c r="AI243" i="4" s="1"/>
  <c r="AQ41" i="4"/>
  <c r="AP98" i="4"/>
  <c r="M355" i="281"/>
  <c r="M356" i="281" s="1"/>
  <c r="M357" i="281" s="1"/>
  <c r="C385" i="281"/>
  <c r="E21" i="293"/>
  <c r="P87" i="266"/>
  <c r="M148" i="281"/>
  <c r="M149" i="281" s="1"/>
  <c r="M150" i="281" s="1"/>
  <c r="I12" i="267"/>
  <c r="I14" i="267" s="1"/>
  <c r="R58" i="291"/>
  <c r="R60" i="291" s="1"/>
  <c r="S55" i="291" s="1"/>
  <c r="R70" i="291"/>
  <c r="AB65" i="282"/>
  <c r="AB208" i="282" s="1"/>
  <c r="AB385" i="282"/>
  <c r="AB393" i="282"/>
  <c r="AB66" i="282" s="1"/>
  <c r="AB209" i="282" s="1"/>
  <c r="AC383" i="282"/>
  <c r="Q51" i="291"/>
  <c r="Q6" i="291"/>
  <c r="U33" i="291"/>
  <c r="T62" i="291"/>
  <c r="U56" i="291"/>
  <c r="U62" i="291" s="1"/>
  <c r="J39" i="286"/>
  <c r="J40" i="286"/>
  <c r="R105" i="291"/>
  <c r="Q104" i="291"/>
  <c r="R50" i="291"/>
  <c r="R46" i="291"/>
  <c r="V109" i="266"/>
  <c r="V110" i="266" s="1"/>
  <c r="V84" i="256"/>
  <c r="R27" i="291"/>
  <c r="R29" i="291" s="1"/>
  <c r="S24" i="291" s="1"/>
  <c r="C10" i="281"/>
  <c r="C11" i="281" s="1"/>
  <c r="C12" i="281" s="1"/>
  <c r="C447" i="281" s="1"/>
  <c r="Q194" i="282"/>
  <c r="N145" i="281"/>
  <c r="N146" i="281"/>
  <c r="N147" i="281"/>
  <c r="O351" i="281"/>
  <c r="X8" i="288"/>
  <c r="X12" i="288" s="1"/>
  <c r="X16" i="288" s="1"/>
  <c r="X24" i="288" s="1"/>
  <c r="X32" i="288" s="1"/>
  <c r="X9" i="288"/>
  <c r="X13" i="288" s="1"/>
  <c r="X17" i="288" s="1"/>
  <c r="X25" i="288" s="1"/>
  <c r="X33" i="288" s="1"/>
  <c r="X11" i="288"/>
  <c r="X15" i="288" s="1"/>
  <c r="L117" i="4"/>
  <c r="L118" i="4" s="1"/>
  <c r="Q118" i="4" s="1"/>
  <c r="V118" i="4" s="1"/>
  <c r="AA118" i="4" s="1"/>
  <c r="AF118" i="4" s="1"/>
  <c r="AG118" i="4" s="1"/>
  <c r="AH118" i="4" s="1"/>
  <c r="AI118" i="4" s="1"/>
  <c r="AJ118" i="4" s="1"/>
  <c r="AK118" i="4" s="1"/>
  <c r="AL118" i="4" s="1"/>
  <c r="AM118" i="4" s="1"/>
  <c r="AN118" i="4" s="1"/>
  <c r="AO118" i="4" s="1"/>
  <c r="AP118" i="4" s="1"/>
  <c r="AQ118" i="4" s="1"/>
  <c r="AR118" i="4" s="1"/>
  <c r="L54" i="6"/>
  <c r="Q73" i="266"/>
  <c r="Q76" i="266" s="1"/>
  <c r="R67" i="266" s="1"/>
  <c r="Q79" i="266"/>
  <c r="Q82" i="266" s="1"/>
  <c r="R100" i="291"/>
  <c r="R102" i="291" s="1"/>
  <c r="S97" i="291" s="1"/>
  <c r="S65" i="291"/>
  <c r="S67" i="291"/>
  <c r="Y14" i="266"/>
  <c r="T32" i="291"/>
  <c r="S31" i="291"/>
  <c r="S36" i="291" s="1"/>
  <c r="S39" i="291" s="1"/>
  <c r="S42" i="291" s="1"/>
  <c r="X52" i="266"/>
  <c r="X53" i="266" s="1"/>
  <c r="X39" i="256"/>
  <c r="Y52" i="266" s="1"/>
  <c r="I333" i="281"/>
  <c r="I334" i="281" s="1"/>
  <c r="Q152" i="291"/>
  <c r="K36" i="286"/>
  <c r="AA67" i="282"/>
  <c r="AA210" i="282" s="1"/>
  <c r="AA387" i="282"/>
  <c r="O114" i="291"/>
  <c r="U65" i="266"/>
  <c r="V4" i="266"/>
  <c r="U13" i="266"/>
  <c r="Z3" i="288"/>
  <c r="Y4" i="288"/>
  <c r="Y5" i="288"/>
  <c r="Y7" i="288"/>
  <c r="R70" i="266"/>
  <c r="S61" i="266"/>
  <c r="R64" i="266"/>
  <c r="Z69" i="282"/>
  <c r="Z212" i="282" s="1"/>
  <c r="Z389" i="282"/>
  <c r="Z68" i="282" s="1"/>
  <c r="Z211" i="282" s="1"/>
  <c r="P109" i="291"/>
  <c r="P107" i="291"/>
  <c r="N353" i="281"/>
  <c r="N352" i="281"/>
  <c r="N354" i="281"/>
  <c r="P94" i="266"/>
  <c r="P84" i="266"/>
  <c r="I7" i="267"/>
  <c r="R137" i="282"/>
  <c r="Q221" i="282"/>
  <c r="Q220" i="282" s="1"/>
  <c r="D6" i="281"/>
  <c r="H9" i="267"/>
  <c r="H19" i="267" s="1"/>
  <c r="P26" i="266"/>
  <c r="P36" i="266"/>
  <c r="R7" i="266"/>
  <c r="S8" i="266"/>
  <c r="P29" i="266"/>
  <c r="J42" i="266"/>
  <c r="J45" i="266" s="1"/>
  <c r="J34" i="266"/>
  <c r="O36" i="266"/>
  <c r="O26" i="266"/>
  <c r="J28" i="266"/>
  <c r="I30" i="266"/>
  <c r="I47" i="266" s="1"/>
  <c r="R22" i="266"/>
  <c r="P16" i="266"/>
  <c r="P19" i="266" s="1"/>
  <c r="Q10" i="266" s="1"/>
  <c r="T9" i="256"/>
  <c r="S8" i="256"/>
  <c r="S17" i="256" s="1"/>
  <c r="I95" i="256"/>
  <c r="S53" i="256"/>
  <c r="S62" i="256" s="1"/>
  <c r="T48" i="256"/>
  <c r="J21" i="256"/>
  <c r="J29" i="256"/>
  <c r="J32" i="256" s="1"/>
  <c r="J68" i="256"/>
  <c r="J61" i="256" s="1"/>
  <c r="J63" i="256" s="1"/>
  <c r="J79" i="256" s="1"/>
  <c r="W57" i="256"/>
  <c r="J74" i="256"/>
  <c r="J77" i="256" s="1"/>
  <c r="J66" i="256"/>
  <c r="K23" i="256"/>
  <c r="K16" i="256" s="1"/>
  <c r="K18" i="256" s="1"/>
  <c r="K34" i="256" s="1"/>
  <c r="K100" i="266"/>
  <c r="K103" i="266" s="1"/>
  <c r="K92" i="266"/>
  <c r="L11" i="256"/>
  <c r="L14" i="256" s="1"/>
  <c r="K56" i="256"/>
  <c r="K59" i="256" s="1"/>
  <c r="K88" i="266"/>
  <c r="L86" i="266"/>
  <c r="K31" i="282"/>
  <c r="T106" i="282"/>
  <c r="T161" i="282" s="1"/>
  <c r="T99" i="282"/>
  <c r="T136" i="282" s="1"/>
  <c r="N31" i="282"/>
  <c r="Q227" i="282"/>
  <c r="V52" i="282"/>
  <c r="V56" i="282"/>
  <c r="V57" i="282"/>
  <c r="V54" i="282"/>
  <c r="V53" i="282"/>
  <c r="V55" i="282"/>
  <c r="U105" i="282"/>
  <c r="U83" i="282"/>
  <c r="O276" i="282"/>
  <c r="O341" i="282" s="1"/>
  <c r="O277" i="282"/>
  <c r="O342" i="282" s="1"/>
  <c r="O355" i="282" s="1"/>
  <c r="O12" i="282" s="1"/>
  <c r="Q137" i="282"/>
  <c r="V109" i="282"/>
  <c r="V87" i="282"/>
  <c r="U79" i="282"/>
  <c r="U101" i="282"/>
  <c r="U82" i="282"/>
  <c r="U104" i="282"/>
  <c r="U108" i="282"/>
  <c r="U86" i="282"/>
  <c r="T183" i="282"/>
  <c r="T184" i="282"/>
  <c r="T186" i="282"/>
  <c r="T185" i="282"/>
  <c r="T182" i="282"/>
  <c r="T187" i="282"/>
  <c r="P220" i="282"/>
  <c r="P231" i="282" s="1"/>
  <c r="S158" i="282"/>
  <c r="S198" i="282" s="1"/>
  <c r="S224" i="282" s="1"/>
  <c r="R162" i="282"/>
  <c r="R202" i="282" s="1"/>
  <c r="R228" i="282" s="1"/>
  <c r="R163" i="282"/>
  <c r="R203" i="282" s="1"/>
  <c r="R229" i="282" s="1"/>
  <c r="V50" i="282"/>
  <c r="R160" i="282"/>
  <c r="R200" i="282" s="1"/>
  <c r="R226" i="282" s="1"/>
  <c r="R155" i="282"/>
  <c r="R195" i="282" s="1"/>
  <c r="R159" i="282"/>
  <c r="R199" i="282" s="1"/>
  <c r="R225" i="282" s="1"/>
  <c r="R158" i="282"/>
  <c r="R198" i="282" s="1"/>
  <c r="R224" i="282" s="1"/>
  <c r="R157" i="282"/>
  <c r="R197" i="282" s="1"/>
  <c r="R223" i="282" s="1"/>
  <c r="R156" i="282"/>
  <c r="R196" i="282" s="1"/>
  <c r="R222" i="282" s="1"/>
  <c r="V59" i="282"/>
  <c r="V60" i="282"/>
  <c r="C3" i="285"/>
  <c r="T77" i="282"/>
  <c r="T88" i="282"/>
  <c r="U100" i="282"/>
  <c r="U78" i="282"/>
  <c r="U102" i="282"/>
  <c r="U80" i="282"/>
  <c r="N11" i="282"/>
  <c r="N10" i="282" s="1"/>
  <c r="N353" i="282"/>
  <c r="P268" i="282"/>
  <c r="O274" i="282"/>
  <c r="O339" i="282" s="1"/>
  <c r="O352" i="282" s="1"/>
  <c r="O9" i="282" s="1"/>
  <c r="O269" i="282"/>
  <c r="O334" i="282" s="1"/>
  <c r="O270" i="282"/>
  <c r="O335" i="282" s="1"/>
  <c r="O348" i="282" s="1"/>
  <c r="O5" i="282" s="1"/>
  <c r="O271" i="282"/>
  <c r="O336" i="282" s="1"/>
  <c r="O349" i="282" s="1"/>
  <c r="O6" i="282" s="1"/>
  <c r="O273" i="282"/>
  <c r="O338" i="282" s="1"/>
  <c r="O351" i="282" s="1"/>
  <c r="O8" i="282" s="1"/>
  <c r="O272" i="282"/>
  <c r="O337" i="282" s="1"/>
  <c r="O350" i="282" s="1"/>
  <c r="O7" i="282" s="1"/>
  <c r="U191" i="282"/>
  <c r="U181" i="282"/>
  <c r="U188" i="282"/>
  <c r="U189" i="282" s="1"/>
  <c r="U190" i="282" s="1"/>
  <c r="T84" i="282"/>
  <c r="S163" i="282"/>
  <c r="S162" i="282"/>
  <c r="Y17" i="282"/>
  <c r="X20" i="282"/>
  <c r="X22" i="282" s="1"/>
  <c r="X24" i="282" s="1"/>
  <c r="X26" i="282" s="1"/>
  <c r="X27" i="282" s="1"/>
  <c r="X28" i="282" s="1"/>
  <c r="X30" i="282" s="1"/>
  <c r="S133" i="282"/>
  <c r="S136" i="282"/>
  <c r="S204" i="282" s="1"/>
  <c r="R201" i="282"/>
  <c r="U103" i="282"/>
  <c r="U81" i="282"/>
  <c r="U107" i="282"/>
  <c r="U85" i="282"/>
  <c r="W51" i="282"/>
  <c r="W61" i="282"/>
  <c r="W58" i="282"/>
  <c r="W32" i="282"/>
  <c r="W33" i="282"/>
  <c r="W94" i="282"/>
  <c r="W96" i="282" s="1"/>
  <c r="W237" i="282" s="1"/>
  <c r="W239" i="282" s="1"/>
  <c r="N4" i="282"/>
  <c r="N3" i="282" s="1"/>
  <c r="N346" i="282"/>
  <c r="Z215" i="282"/>
  <c r="Z217" i="282"/>
  <c r="Z216" i="282"/>
  <c r="AA391" i="282"/>
  <c r="AA73" i="282" s="1"/>
  <c r="AA397" i="282"/>
  <c r="AA74" i="282" s="1"/>
  <c r="AA72" i="282"/>
  <c r="AC377" i="282"/>
  <c r="AC381" i="282" s="1"/>
  <c r="AB381" i="282"/>
  <c r="M357" i="282"/>
  <c r="M14" i="282"/>
  <c r="K346" i="282"/>
  <c r="K4" i="282"/>
  <c r="K3" i="282" s="1"/>
  <c r="AB16" i="282"/>
  <c r="AB235" i="282"/>
  <c r="AB360" i="282" s="1"/>
  <c r="AC2" i="282"/>
  <c r="AA35" i="282"/>
  <c r="AA92" i="282"/>
  <c r="K353" i="282"/>
  <c r="K11" i="282"/>
  <c r="K10" i="282" s="1"/>
  <c r="AH50" i="4"/>
  <c r="AH255" i="4"/>
  <c r="AH250" i="4"/>
  <c r="R11" i="6"/>
  <c r="AR91" i="4"/>
  <c r="AO197" i="4"/>
  <c r="AO194" i="4"/>
  <c r="AP192" i="4" s="1"/>
  <c r="AI127" i="4"/>
  <c r="AI227" i="4" s="1"/>
  <c r="S36" i="5" s="1"/>
  <c r="AI160" i="4"/>
  <c r="AO177" i="4"/>
  <c r="AP175" i="4" s="1"/>
  <c r="AO180" i="4"/>
  <c r="V226" i="4"/>
  <c r="Q256" i="4"/>
  <c r="Q261" i="4" s="1"/>
  <c r="Q247" i="4"/>
  <c r="Q254" i="4" s="1"/>
  <c r="I16" i="267" l="1"/>
  <c r="R22" i="5"/>
  <c r="S73" i="291"/>
  <c r="N121" i="291"/>
  <c r="N122" i="291" s="1"/>
  <c r="M6" i="5"/>
  <c r="M14" i="5" s="1"/>
  <c r="M23" i="5" s="1"/>
  <c r="M50" i="5" s="1"/>
  <c r="S110" i="5"/>
  <c r="T154" i="282"/>
  <c r="S159" i="282"/>
  <c r="S199" i="282" s="1"/>
  <c r="S225" i="282" s="1"/>
  <c r="S157" i="282"/>
  <c r="S197" i="282" s="1"/>
  <c r="S223" i="282" s="1"/>
  <c r="S160" i="282"/>
  <c r="S200" i="282" s="1"/>
  <c r="S226" i="282" s="1"/>
  <c r="S156" i="282"/>
  <c r="S196" i="282" s="1"/>
  <c r="S222" i="282" s="1"/>
  <c r="T133" i="282"/>
  <c r="T135" i="282" s="1"/>
  <c r="O425" i="282"/>
  <c r="P278" i="282"/>
  <c r="P343" i="282" s="1"/>
  <c r="P425" i="282" s="1"/>
  <c r="N14" i="282"/>
  <c r="N15" i="282" s="1"/>
  <c r="S230" i="282"/>
  <c r="Q242" i="282"/>
  <c r="Q275" i="282" s="1"/>
  <c r="Q277" i="282" s="1"/>
  <c r="Q342" i="282" s="1"/>
  <c r="Q355" i="282" s="1"/>
  <c r="Q12" i="282" s="1"/>
  <c r="P356" i="282"/>
  <c r="P13" i="282" s="1"/>
  <c r="P409" i="282" s="1"/>
  <c r="J216" i="281"/>
  <c r="J330" i="281"/>
  <c r="P11" i="291"/>
  <c r="P153" i="291"/>
  <c r="M13" i="291"/>
  <c r="AJ23" i="4" s="1"/>
  <c r="P92" i="291"/>
  <c r="P7" i="291" s="1"/>
  <c r="P8" i="291"/>
  <c r="J237" i="281"/>
  <c r="J238" i="281"/>
  <c r="J239" i="281"/>
  <c r="Q82" i="291"/>
  <c r="Q85" i="291" s="1"/>
  <c r="Q90" i="291"/>
  <c r="R76" i="291"/>
  <c r="R88" i="291" s="1"/>
  <c r="R8" i="291" s="1"/>
  <c r="R79" i="291"/>
  <c r="J214" i="281"/>
  <c r="J191" i="281"/>
  <c r="AJ67" i="4"/>
  <c r="AJ259" i="4" s="1"/>
  <c r="U39" i="6"/>
  <c r="AI161" i="4"/>
  <c r="AJ159" i="4" s="1"/>
  <c r="AJ164" i="4" s="1"/>
  <c r="AJ243" i="4" s="1"/>
  <c r="O146" i="281"/>
  <c r="O145" i="281"/>
  <c r="U84" i="282"/>
  <c r="T164" i="282"/>
  <c r="T204" i="282" s="1"/>
  <c r="J284" i="281"/>
  <c r="J193" i="281"/>
  <c r="J283" i="281"/>
  <c r="P112" i="291"/>
  <c r="P114" i="291" s="1"/>
  <c r="J307" i="281"/>
  <c r="J308" i="281"/>
  <c r="J306" i="281"/>
  <c r="Q153" i="291"/>
  <c r="Q11" i="291"/>
  <c r="AQ98" i="4"/>
  <c r="AR41" i="4"/>
  <c r="AR98" i="4" s="1"/>
  <c r="N10" i="291"/>
  <c r="S70" i="291"/>
  <c r="S79" i="291" s="1"/>
  <c r="N355" i="281"/>
  <c r="N356" i="281" s="1"/>
  <c r="N357" i="281" s="1"/>
  <c r="H386" i="281"/>
  <c r="G21" i="293"/>
  <c r="Y53" i="266"/>
  <c r="S100" i="291"/>
  <c r="S102" i="291" s="1"/>
  <c r="T97" i="291" s="1"/>
  <c r="S27" i="291"/>
  <c r="S29" i="291" s="1"/>
  <c r="T24" i="291" s="1"/>
  <c r="Q231" i="282"/>
  <c r="J260" i="281"/>
  <c r="J262" i="281"/>
  <c r="J261" i="281"/>
  <c r="AA69" i="282"/>
  <c r="AA212" i="282" s="1"/>
  <c r="AA389" i="282"/>
  <c r="AA68" i="282" s="1"/>
  <c r="AA211" i="282" s="1"/>
  <c r="U32" i="291"/>
  <c r="U31" i="291" s="1"/>
  <c r="U36" i="291" s="1"/>
  <c r="U39" i="291" s="1"/>
  <c r="U42" i="291" s="1"/>
  <c r="T31" i="291"/>
  <c r="T36" i="291" s="1"/>
  <c r="T39" i="291" s="1"/>
  <c r="T42" i="291" s="1"/>
  <c r="Q84" i="266"/>
  <c r="Q87" i="266"/>
  <c r="Q94" i="266"/>
  <c r="P351" i="281"/>
  <c r="W109" i="266"/>
  <c r="W110" i="266" s="1"/>
  <c r="W84" i="256"/>
  <c r="U65" i="291"/>
  <c r="U67" i="291"/>
  <c r="U73" i="291" s="1"/>
  <c r="AB67" i="282"/>
  <c r="AB210" i="282" s="1"/>
  <c r="AB387" i="282"/>
  <c r="L36" i="286"/>
  <c r="AB395" i="282"/>
  <c r="AB70" i="282" s="1"/>
  <c r="AB213" i="282" s="1"/>
  <c r="R79" i="266"/>
  <c r="R82" i="266" s="1"/>
  <c r="R73" i="266"/>
  <c r="R76" i="266" s="1"/>
  <c r="S67" i="266" s="1"/>
  <c r="O352" i="281"/>
  <c r="O353" i="281"/>
  <c r="O354" i="281"/>
  <c r="N148" i="281"/>
  <c r="N149" i="281" s="1"/>
  <c r="N150" i="281" s="1"/>
  <c r="R51" i="291"/>
  <c r="R6" i="291"/>
  <c r="J42" i="286"/>
  <c r="J3" i="286" s="1"/>
  <c r="J6" i="286" s="1"/>
  <c r="J10" i="286" s="1"/>
  <c r="P144" i="281" s="1"/>
  <c r="T67" i="291"/>
  <c r="T65" i="291"/>
  <c r="S70" i="266"/>
  <c r="T61" i="266"/>
  <c r="S64" i="266"/>
  <c r="AA3" i="288"/>
  <c r="Z4" i="288"/>
  <c r="Z5" i="288"/>
  <c r="Z7" i="288"/>
  <c r="V65" i="266"/>
  <c r="Q107" i="291"/>
  <c r="Q109" i="291"/>
  <c r="AC385" i="282"/>
  <c r="AC65" i="282"/>
  <c r="AC208" i="282" s="1"/>
  <c r="AC393" i="282"/>
  <c r="AC66" i="282" s="1"/>
  <c r="AC209" i="282" s="1"/>
  <c r="R152" i="291"/>
  <c r="D8" i="281"/>
  <c r="Y11" i="288"/>
  <c r="Y15" i="288" s="1"/>
  <c r="Y8" i="288"/>
  <c r="Y12" i="288" s="1"/>
  <c r="Y16" i="288" s="1"/>
  <c r="Y24" i="288" s="1"/>
  <c r="Y32" i="288" s="1"/>
  <c r="W4" i="266"/>
  <c r="V13" i="266"/>
  <c r="O118" i="291"/>
  <c r="O121" i="291"/>
  <c r="K39" i="286"/>
  <c r="K40" i="286"/>
  <c r="S46" i="291"/>
  <c r="S50" i="291"/>
  <c r="S105" i="291"/>
  <c r="R104" i="291"/>
  <c r="S58" i="291"/>
  <c r="S60" i="291" s="1"/>
  <c r="T55" i="291" s="1"/>
  <c r="J44" i="256"/>
  <c r="J93" i="256" s="1"/>
  <c r="D7" i="281"/>
  <c r="D9" i="281"/>
  <c r="H23" i="267"/>
  <c r="H26" i="267" s="1"/>
  <c r="Q16" i="266"/>
  <c r="Q19" i="266" s="1"/>
  <c r="R10" i="266" s="1"/>
  <c r="Q21" i="266"/>
  <c r="Q24" i="266" s="1"/>
  <c r="Q29" i="266" s="1"/>
  <c r="J46" i="266"/>
  <c r="K33" i="266"/>
  <c r="J57" i="266"/>
  <c r="S22" i="266"/>
  <c r="K28" i="266"/>
  <c r="J30" i="266"/>
  <c r="J47" i="266" s="1"/>
  <c r="T8" i="266"/>
  <c r="S7" i="266"/>
  <c r="U9" i="256"/>
  <c r="T8" i="256"/>
  <c r="T17" i="256" s="1"/>
  <c r="K114" i="266"/>
  <c r="J13" i="267" s="1"/>
  <c r="T53" i="256"/>
  <c r="T62" i="256" s="1"/>
  <c r="U48" i="256"/>
  <c r="L51" i="256"/>
  <c r="K69" i="256"/>
  <c r="L88" i="266"/>
  <c r="M86" i="266"/>
  <c r="K104" i="266"/>
  <c r="L91" i="266"/>
  <c r="X57" i="256"/>
  <c r="K26" i="256"/>
  <c r="J89" i="256"/>
  <c r="K20" i="256"/>
  <c r="J33" i="256"/>
  <c r="M6" i="256"/>
  <c r="L24" i="256"/>
  <c r="K65" i="256"/>
  <c r="J78" i="256"/>
  <c r="J71" i="256"/>
  <c r="N357" i="282"/>
  <c r="U106" i="282"/>
  <c r="U161" i="282" s="1"/>
  <c r="R227" i="282"/>
  <c r="W57" i="282"/>
  <c r="W56" i="282"/>
  <c r="W53" i="282"/>
  <c r="W55" i="282"/>
  <c r="W54" i="282"/>
  <c r="W50" i="282"/>
  <c r="W52" i="282"/>
  <c r="Y20" i="282"/>
  <c r="Y22" i="282" s="1"/>
  <c r="Y24" i="282" s="1"/>
  <c r="Y26" i="282" s="1"/>
  <c r="Y27" i="282" s="1"/>
  <c r="Y28" i="282" s="1"/>
  <c r="Y30" i="282" s="1"/>
  <c r="Z17" i="282"/>
  <c r="T201" i="282"/>
  <c r="U184" i="282"/>
  <c r="U185" i="282"/>
  <c r="U182" i="282"/>
  <c r="U186" i="282"/>
  <c r="U187" i="282"/>
  <c r="U183" i="282"/>
  <c r="G6" i="284"/>
  <c r="D19" i="285"/>
  <c r="D18" i="285" s="1"/>
  <c r="V108" i="282"/>
  <c r="V86" i="282"/>
  <c r="V102" i="282"/>
  <c r="V80" i="282"/>
  <c r="T163" i="282"/>
  <c r="T162" i="282"/>
  <c r="P276" i="282"/>
  <c r="P341" i="282" s="1"/>
  <c r="P277" i="282"/>
  <c r="P342" i="282" s="1"/>
  <c r="P355" i="282" s="1"/>
  <c r="P12" i="282" s="1"/>
  <c r="U77" i="282"/>
  <c r="U88" i="282"/>
  <c r="V107" i="282"/>
  <c r="V85" i="282"/>
  <c r="S221" i="282"/>
  <c r="V191" i="282"/>
  <c r="V181" i="282"/>
  <c r="V188" i="282"/>
  <c r="V189" i="282" s="1"/>
  <c r="V190" i="282" s="1"/>
  <c r="V83" i="282"/>
  <c r="V105" i="282"/>
  <c r="W59" i="282"/>
  <c r="W60" i="282"/>
  <c r="S134" i="282"/>
  <c r="S201" i="282"/>
  <c r="S135" i="282"/>
  <c r="S203" i="282" s="1"/>
  <c r="S229" i="282" s="1"/>
  <c r="O347" i="282"/>
  <c r="O333" i="282"/>
  <c r="O423" i="282" s="1"/>
  <c r="P272" i="282"/>
  <c r="P337" i="282" s="1"/>
  <c r="P350" i="282" s="1"/>
  <c r="P7" i="282" s="1"/>
  <c r="P271" i="282"/>
  <c r="P336" i="282" s="1"/>
  <c r="P349" i="282" s="1"/>
  <c r="P6" i="282" s="1"/>
  <c r="E21" i="283" s="1"/>
  <c r="E23" i="283" s="1"/>
  <c r="P269" i="282"/>
  <c r="P334" i="282" s="1"/>
  <c r="P270" i="282"/>
  <c r="P335" i="282" s="1"/>
  <c r="P348" i="282" s="1"/>
  <c r="P5" i="282" s="1"/>
  <c r="P273" i="282"/>
  <c r="P338" i="282" s="1"/>
  <c r="P351" i="282" s="1"/>
  <c r="P8" i="282" s="1"/>
  <c r="P274" i="282"/>
  <c r="P339" i="282" s="1"/>
  <c r="P352" i="282" s="1"/>
  <c r="P9" i="282" s="1"/>
  <c r="U99" i="282"/>
  <c r="R194" i="282"/>
  <c r="R221" i="282"/>
  <c r="O340" i="282"/>
  <c r="O424" i="282" s="1"/>
  <c r="O354" i="282"/>
  <c r="V103" i="282"/>
  <c r="V81" i="282"/>
  <c r="V104" i="282"/>
  <c r="V82" i="282"/>
  <c r="W109" i="282"/>
  <c r="W87" i="282"/>
  <c r="T160" i="282"/>
  <c r="T200" i="282" s="1"/>
  <c r="T226" i="282" s="1"/>
  <c r="T157" i="282"/>
  <c r="T197" i="282" s="1"/>
  <c r="T223" i="282" s="1"/>
  <c r="T158" i="282"/>
  <c r="T198" i="282" s="1"/>
  <c r="T224" i="282" s="1"/>
  <c r="T156" i="282"/>
  <c r="T196" i="282" s="1"/>
  <c r="T222" i="282" s="1"/>
  <c r="T159" i="282"/>
  <c r="T199" i="282" s="1"/>
  <c r="T225" i="282" s="1"/>
  <c r="T155" i="282"/>
  <c r="T195" i="282" s="1"/>
  <c r="X61" i="282"/>
  <c r="X33" i="282"/>
  <c r="X51" i="282"/>
  <c r="X58" i="282"/>
  <c r="X94" i="282"/>
  <c r="X96" i="282" s="1"/>
  <c r="X237" i="282" s="1"/>
  <c r="X239" i="282" s="1"/>
  <c r="X32" i="282"/>
  <c r="C11" i="285"/>
  <c r="C12" i="285"/>
  <c r="V101" i="282"/>
  <c r="V79" i="282"/>
  <c r="V78" i="282"/>
  <c r="V100" i="282"/>
  <c r="AA215" i="282"/>
  <c r="AB397" i="282"/>
  <c r="AB74" i="282" s="1"/>
  <c r="AB391" i="282"/>
  <c r="AB73" i="282" s="1"/>
  <c r="AB72" i="282"/>
  <c r="AA217" i="282"/>
  <c r="AC397" i="282"/>
  <c r="AC74" i="282" s="1"/>
  <c r="AC72" i="282"/>
  <c r="AC391" i="282"/>
  <c r="AC73" i="282" s="1"/>
  <c r="AA216" i="282"/>
  <c r="K14" i="282"/>
  <c r="L15" i="282" s="1"/>
  <c r="AB35" i="282"/>
  <c r="AB92" i="282"/>
  <c r="M15" i="282"/>
  <c r="AC235" i="282"/>
  <c r="AC360" i="282" s="1"/>
  <c r="AC16" i="282"/>
  <c r="K357" i="282"/>
  <c r="T11" i="6"/>
  <c r="AI250" i="4"/>
  <c r="S11" i="6"/>
  <c r="AP197" i="4"/>
  <c r="AP194" i="4"/>
  <c r="AQ192" i="4" s="1"/>
  <c r="AP177" i="4"/>
  <c r="AQ175" i="4" s="1"/>
  <c r="AP180" i="4"/>
  <c r="AI255" i="4"/>
  <c r="AI50" i="4"/>
  <c r="Q265" i="4"/>
  <c r="Q266" i="4" s="1"/>
  <c r="Q270" i="4"/>
  <c r="Q271" i="4" s="1"/>
  <c r="V228" i="4"/>
  <c r="V231" i="4" s="1"/>
  <c r="J217" i="281" l="1"/>
  <c r="J218" i="281" s="1"/>
  <c r="J219" i="281" s="1"/>
  <c r="J7" i="267"/>
  <c r="Q117" i="4"/>
  <c r="Q119" i="4" s="1"/>
  <c r="T73" i="291"/>
  <c r="J331" i="281"/>
  <c r="M54" i="6"/>
  <c r="AJ161" i="4"/>
  <c r="AK159" i="4" s="1"/>
  <c r="T110" i="5"/>
  <c r="S22" i="5"/>
  <c r="S194" i="282"/>
  <c r="T134" i="282"/>
  <c r="T202" i="282" s="1"/>
  <c r="T228" i="282" s="1"/>
  <c r="O148" i="281"/>
  <c r="O149" i="281" s="1"/>
  <c r="O150" i="281" s="1"/>
  <c r="Q276" i="282"/>
  <c r="Q341" i="282" s="1"/>
  <c r="Q340" i="282" s="1"/>
  <c r="Q424" i="282" s="1"/>
  <c r="R242" i="282"/>
  <c r="R275" i="282" s="1"/>
  <c r="Q278" i="282"/>
  <c r="Q343" i="282" s="1"/>
  <c r="T230" i="282"/>
  <c r="Q268" i="282"/>
  <c r="Q270" i="282" s="1"/>
  <c r="Q335" i="282" s="1"/>
  <c r="Q348" i="282" s="1"/>
  <c r="Q5" i="282" s="1"/>
  <c r="O426" i="282"/>
  <c r="O431" i="282" s="1"/>
  <c r="J329" i="281"/>
  <c r="N16" i="291"/>
  <c r="J240" i="281"/>
  <c r="J241" i="281" s="1"/>
  <c r="J242" i="281" s="1"/>
  <c r="N13" i="291"/>
  <c r="Q92" i="291"/>
  <c r="Q7" i="291" s="1"/>
  <c r="Q9" i="291"/>
  <c r="S90" i="291"/>
  <c r="S9" i="291" s="1"/>
  <c r="R82" i="291"/>
  <c r="R85" i="291" s="1"/>
  <c r="R90" i="291"/>
  <c r="R9" i="291" s="1"/>
  <c r="J194" i="281"/>
  <c r="J195" i="281" s="1"/>
  <c r="J196" i="281" s="1"/>
  <c r="AJ260" i="4"/>
  <c r="U164" i="282"/>
  <c r="J286" i="281"/>
  <c r="J287" i="281" s="1"/>
  <c r="J288" i="281" s="1"/>
  <c r="Q112" i="291"/>
  <c r="S76" i="291"/>
  <c r="S82" i="291" s="1"/>
  <c r="S85" i="291" s="1"/>
  <c r="J309" i="281"/>
  <c r="J310" i="281" s="1"/>
  <c r="J311" i="281" s="1"/>
  <c r="U70" i="291"/>
  <c r="U79" i="291" s="1"/>
  <c r="R153" i="291"/>
  <c r="R11" i="291"/>
  <c r="O355" i="281"/>
  <c r="O356" i="281" s="1"/>
  <c r="O357" i="281" s="1"/>
  <c r="R87" i="266"/>
  <c r="T58" i="291"/>
  <c r="T60" i="291" s="1"/>
  <c r="U55" i="291" s="1"/>
  <c r="S51" i="291"/>
  <c r="S6" i="291"/>
  <c r="K42" i="286"/>
  <c r="K3" i="286" s="1"/>
  <c r="K6" i="286" s="1"/>
  <c r="K10" i="286" s="1"/>
  <c r="Q144" i="281" s="1"/>
  <c r="X4" i="266"/>
  <c r="W13" i="266"/>
  <c r="Z8" i="288"/>
  <c r="Z12" i="288" s="1"/>
  <c r="Z16" i="288" s="1"/>
  <c r="Z24" i="288" s="1"/>
  <c r="Z32" i="288" s="1"/>
  <c r="Z11" i="288"/>
  <c r="Z15" i="288" s="1"/>
  <c r="P121" i="291"/>
  <c r="P118" i="291"/>
  <c r="L40" i="286"/>
  <c r="L39" i="286"/>
  <c r="U50" i="291"/>
  <c r="U46" i="291"/>
  <c r="J263" i="281"/>
  <c r="O122" i="291"/>
  <c r="O10" i="291"/>
  <c r="Q351" i="281"/>
  <c r="T70" i="266"/>
  <c r="U61" i="266"/>
  <c r="T64" i="266"/>
  <c r="X109" i="266"/>
  <c r="X110" i="266" s="1"/>
  <c r="X84" i="256"/>
  <c r="Y109" i="266" s="1"/>
  <c r="T27" i="291"/>
  <c r="T29" i="291" s="1"/>
  <c r="U24" i="291" s="1"/>
  <c r="D10" i="281"/>
  <c r="D11" i="281" s="1"/>
  <c r="D12" i="281" s="1"/>
  <c r="R107" i="291"/>
  <c r="R109" i="291"/>
  <c r="Y9" i="288"/>
  <c r="Y13" i="288" s="1"/>
  <c r="Y17" i="288" s="1"/>
  <c r="Y25" i="288" s="1"/>
  <c r="Y33" i="288" s="1"/>
  <c r="T70" i="291"/>
  <c r="S73" i="266"/>
  <c r="S76" i="266" s="1"/>
  <c r="T67" i="266" s="1"/>
  <c r="S79" i="266"/>
  <c r="S82" i="266" s="1"/>
  <c r="AB69" i="282"/>
  <c r="AB212" i="282" s="1"/>
  <c r="AB389" i="282"/>
  <c r="AB68" i="282" s="1"/>
  <c r="AB211" i="282" s="1"/>
  <c r="T105" i="291"/>
  <c r="S104" i="291"/>
  <c r="M36" i="286"/>
  <c r="AC395" i="282"/>
  <c r="AC70" i="282" s="1"/>
  <c r="AC213" i="282" s="1"/>
  <c r="AC67" i="282"/>
  <c r="AC210" i="282" s="1"/>
  <c r="AC387" i="282"/>
  <c r="W65" i="266"/>
  <c r="AA7" i="288"/>
  <c r="AA4" i="288"/>
  <c r="AA5" i="288"/>
  <c r="M16" i="291"/>
  <c r="M19" i="291" s="1"/>
  <c r="AI23" i="4"/>
  <c r="P147" i="281"/>
  <c r="P145" i="281"/>
  <c r="P146" i="281"/>
  <c r="R94" i="266"/>
  <c r="R84" i="266"/>
  <c r="P354" i="281"/>
  <c r="P353" i="281"/>
  <c r="P352" i="281"/>
  <c r="T46" i="291"/>
  <c r="T50" i="291"/>
  <c r="T100" i="291"/>
  <c r="T102" i="291" s="1"/>
  <c r="U97" i="291" s="1"/>
  <c r="E6" i="281"/>
  <c r="E9" i="281" s="1"/>
  <c r="T137" i="282"/>
  <c r="R16" i="266"/>
  <c r="R19" i="266" s="1"/>
  <c r="S10" i="266" s="1"/>
  <c r="R21" i="266"/>
  <c r="R24" i="266" s="1"/>
  <c r="R29" i="266" s="1"/>
  <c r="K30" i="266"/>
  <c r="K47" i="266" s="1"/>
  <c r="L28" i="266"/>
  <c r="Q26" i="266"/>
  <c r="Q36" i="266"/>
  <c r="K34" i="266"/>
  <c r="K42" i="266"/>
  <c r="K45" i="266" s="1"/>
  <c r="U8" i="266"/>
  <c r="T7" i="266"/>
  <c r="T22" i="266"/>
  <c r="I8" i="267"/>
  <c r="D29" i="281"/>
  <c r="V9" i="256"/>
  <c r="U8" i="256"/>
  <c r="U17" i="256" s="1"/>
  <c r="U53" i="256"/>
  <c r="U62" i="256" s="1"/>
  <c r="V48" i="256"/>
  <c r="K29" i="256"/>
  <c r="K32" i="256" s="1"/>
  <c r="K21" i="256"/>
  <c r="M88" i="266"/>
  <c r="N86" i="266"/>
  <c r="L23" i="256"/>
  <c r="L16" i="256" s="1"/>
  <c r="L18" i="256" s="1"/>
  <c r="L34" i="256" s="1"/>
  <c r="J94" i="256"/>
  <c r="J95" i="256" s="1"/>
  <c r="J12" i="267"/>
  <c r="J14" i="267" s="1"/>
  <c r="K68" i="256"/>
  <c r="K61" i="256" s="1"/>
  <c r="K63" i="256" s="1"/>
  <c r="K79" i="256" s="1"/>
  <c r="M11" i="256"/>
  <c r="M14" i="256" s="1"/>
  <c r="L92" i="266"/>
  <c r="L100" i="266"/>
  <c r="L103" i="266" s="1"/>
  <c r="L56" i="256"/>
  <c r="L59" i="256" s="1"/>
  <c r="K74" i="256"/>
  <c r="K77" i="256" s="1"/>
  <c r="K66" i="256"/>
  <c r="T203" i="282"/>
  <c r="T229" i="282" s="1"/>
  <c r="U154" i="282"/>
  <c r="U155" i="282" s="1"/>
  <c r="U195" i="282" s="1"/>
  <c r="V99" i="282"/>
  <c r="V133" i="282" s="1"/>
  <c r="X109" i="282"/>
  <c r="X87" i="282"/>
  <c r="O11" i="282"/>
  <c r="O10" i="282" s="1"/>
  <c r="O408" i="282" s="1"/>
  <c r="O353" i="282"/>
  <c r="U133" i="282"/>
  <c r="U136" i="282"/>
  <c r="P347" i="282"/>
  <c r="P333" i="282"/>
  <c r="P423" i="282" s="1"/>
  <c r="O4" i="282"/>
  <c r="O3" i="282" s="1"/>
  <c r="O346" i="282"/>
  <c r="S220" i="282"/>
  <c r="Q354" i="282"/>
  <c r="V17" i="4"/>
  <c r="V19" i="4" s="1"/>
  <c r="G8" i="284"/>
  <c r="W104" i="282"/>
  <c r="W82" i="282"/>
  <c r="X59" i="282"/>
  <c r="X60" i="282"/>
  <c r="T194" i="282"/>
  <c r="T221" i="282"/>
  <c r="E19" i="285"/>
  <c r="H6" i="284"/>
  <c r="W108" i="282"/>
  <c r="W86" i="282"/>
  <c r="S193" i="282"/>
  <c r="S242" i="282"/>
  <c r="U160" i="282"/>
  <c r="U200" i="282" s="1"/>
  <c r="U226" i="282" s="1"/>
  <c r="AA17" i="282"/>
  <c r="Z20" i="282"/>
  <c r="Z22" i="282" s="1"/>
  <c r="Z24" i="282" s="1"/>
  <c r="Z26" i="282" s="1"/>
  <c r="Z27" i="282" s="1"/>
  <c r="Z28" i="282" s="1"/>
  <c r="Z30" i="282" s="1"/>
  <c r="W102" i="282"/>
  <c r="W80" i="282"/>
  <c r="W83" i="282"/>
  <c r="W105" i="282"/>
  <c r="V77" i="282"/>
  <c r="V88" i="282"/>
  <c r="X57" i="282"/>
  <c r="X50" i="282"/>
  <c r="X52" i="282"/>
  <c r="X54" i="282"/>
  <c r="X56" i="282"/>
  <c r="X55" i="282"/>
  <c r="X53" i="282"/>
  <c r="W191" i="282"/>
  <c r="W181" i="282"/>
  <c r="W188" i="282"/>
  <c r="W189" i="282" s="1"/>
  <c r="W190" i="282" s="1"/>
  <c r="R220" i="282"/>
  <c r="R231" i="282" s="1"/>
  <c r="S137" i="282"/>
  <c r="S202" i="282"/>
  <c r="S228" i="282" s="1"/>
  <c r="W107" i="282"/>
  <c r="W85" i="282"/>
  <c r="V182" i="282"/>
  <c r="V183" i="282"/>
  <c r="V185" i="282"/>
  <c r="V187" i="282"/>
  <c r="V186" i="282"/>
  <c r="V184" i="282"/>
  <c r="V84" i="282"/>
  <c r="U163" i="282"/>
  <c r="U162" i="282"/>
  <c r="Y94" i="282"/>
  <c r="Y96" i="282" s="1"/>
  <c r="Y237" i="282" s="1"/>
  <c r="Y239" i="282" s="1"/>
  <c r="Y33" i="282"/>
  <c r="Y58" i="282"/>
  <c r="Y51" i="282"/>
  <c r="Y32" i="282"/>
  <c r="Y61" i="282"/>
  <c r="W103" i="282"/>
  <c r="W81" i="282"/>
  <c r="R278" i="282"/>
  <c r="R343" i="282" s="1"/>
  <c r="O31" i="282"/>
  <c r="V106" i="282"/>
  <c r="P340" i="282"/>
  <c r="P424" i="282" s="1"/>
  <c r="P354" i="282"/>
  <c r="D10" i="285"/>
  <c r="D7" i="285"/>
  <c r="D9" i="285"/>
  <c r="D6" i="285"/>
  <c r="D4" i="285"/>
  <c r="D8" i="285"/>
  <c r="D5" i="285"/>
  <c r="W100" i="282"/>
  <c r="W78" i="282"/>
  <c r="W101" i="282"/>
  <c r="W79" i="282"/>
  <c r="AC216" i="282"/>
  <c r="AB215" i="282"/>
  <c r="K15" i="282"/>
  <c r="AC215" i="282"/>
  <c r="AB216" i="282"/>
  <c r="AC217" i="282"/>
  <c r="AB217" i="282"/>
  <c r="AC35" i="282"/>
  <c r="AC92" i="282"/>
  <c r="AQ177" i="4"/>
  <c r="AR175" i="4" s="1"/>
  <c r="AQ180" i="4"/>
  <c r="AQ197" i="4"/>
  <c r="AQ194" i="4"/>
  <c r="AR192" i="4" s="1"/>
  <c r="AJ50" i="4"/>
  <c r="AJ255" i="4"/>
  <c r="AA226" i="4"/>
  <c r="V247" i="4"/>
  <c r="V254" i="4" s="1"/>
  <c r="V256" i="4"/>
  <c r="J332" i="281" l="1"/>
  <c r="AK24" i="4"/>
  <c r="N19" i="291"/>
  <c r="L191" i="281"/>
  <c r="L261" i="281"/>
  <c r="L215" i="281"/>
  <c r="T22" i="5"/>
  <c r="U110" i="5"/>
  <c r="U204" i="282"/>
  <c r="U230" i="282" s="1"/>
  <c r="R268" i="282"/>
  <c r="R274" i="282" s="1"/>
  <c r="R339" i="282" s="1"/>
  <c r="R352" i="282" s="1"/>
  <c r="R9" i="282" s="1"/>
  <c r="O429" i="282"/>
  <c r="Q271" i="282"/>
  <c r="Q336" i="282" s="1"/>
  <c r="Q349" i="282" s="1"/>
  <c r="Q6" i="282" s="1"/>
  <c r="F21" i="283" s="1"/>
  <c r="F23" i="283" s="1"/>
  <c r="Q272" i="282"/>
  <c r="Q337" i="282" s="1"/>
  <c r="Q350" i="282" s="1"/>
  <c r="Q7" i="282" s="1"/>
  <c r="Q274" i="282"/>
  <c r="Q339" i="282" s="1"/>
  <c r="Q352" i="282" s="1"/>
  <c r="Q9" i="282" s="1"/>
  <c r="Q273" i="282"/>
  <c r="Q338" i="282" s="1"/>
  <c r="Q351" i="282" s="1"/>
  <c r="Q8" i="282" s="1"/>
  <c r="Q269" i="282"/>
  <c r="Q334" i="282" s="1"/>
  <c r="Q347" i="282" s="1"/>
  <c r="O410" i="282"/>
  <c r="O416" i="282" s="1"/>
  <c r="O407" i="282"/>
  <c r="O430" i="282"/>
  <c r="T242" i="282"/>
  <c r="T275" i="282" s="1"/>
  <c r="P426" i="282"/>
  <c r="P431" i="282" s="1"/>
  <c r="Q356" i="282"/>
  <c r="Q13" i="282" s="1"/>
  <c r="Q409" i="282" s="1"/>
  <c r="Q425" i="282"/>
  <c r="R356" i="282"/>
  <c r="R13" i="282" s="1"/>
  <c r="R409" i="282" s="1"/>
  <c r="R425" i="282"/>
  <c r="L330" i="281"/>
  <c r="U90" i="291"/>
  <c r="L239" i="281"/>
  <c r="R92" i="291"/>
  <c r="R7" i="291" s="1"/>
  <c r="K191" i="281"/>
  <c r="K215" i="281"/>
  <c r="O13" i="291"/>
  <c r="S152" i="291"/>
  <c r="S88" i="291"/>
  <c r="T76" i="291"/>
  <c r="T79" i="291"/>
  <c r="L260" i="281"/>
  <c r="L42" i="286"/>
  <c r="L3" i="286" s="1"/>
  <c r="L6" i="286" s="1"/>
  <c r="L10" i="286" s="1"/>
  <c r="R144" i="281" s="1"/>
  <c r="R147" i="281" s="1"/>
  <c r="I6" i="284"/>
  <c r="V136" i="282"/>
  <c r="U156" i="282"/>
  <c r="U196" i="282" s="1"/>
  <c r="U222" i="282" s="1"/>
  <c r="R112" i="291"/>
  <c r="R114" i="291" s="1"/>
  <c r="U76" i="291"/>
  <c r="U88" i="291" s="1"/>
  <c r="U8" i="291" s="1"/>
  <c r="Q114" i="291"/>
  <c r="Q121" i="291" s="1"/>
  <c r="L306" i="281"/>
  <c r="L307" i="281"/>
  <c r="L308" i="281"/>
  <c r="L284" i="281"/>
  <c r="L283" i="281"/>
  <c r="L285" i="281"/>
  <c r="AI25" i="4"/>
  <c r="L262" i="281"/>
  <c r="K260" i="281"/>
  <c r="P355" i="281"/>
  <c r="P356" i="281" s="1"/>
  <c r="P357" i="281" s="1"/>
  <c r="P148" i="281"/>
  <c r="P149" i="281" s="1"/>
  <c r="P150" i="281" s="1"/>
  <c r="U100" i="291"/>
  <c r="U102" i="291" s="1"/>
  <c r="K192" i="281"/>
  <c r="U58" i="291"/>
  <c r="U60" i="291" s="1"/>
  <c r="M39" i="286"/>
  <c r="M40" i="286"/>
  <c r="Y110" i="266"/>
  <c r="J264" i="281"/>
  <c r="J265" i="281" s="1"/>
  <c r="Z9" i="288"/>
  <c r="Z13" i="288" s="1"/>
  <c r="Z17" i="288" s="1"/>
  <c r="Z25" i="288" s="1"/>
  <c r="Z33" i="288" s="1"/>
  <c r="J333" i="281"/>
  <c r="J334" i="281" s="1"/>
  <c r="X65" i="266"/>
  <c r="AC389" i="282"/>
  <c r="AC68" i="282" s="1"/>
  <c r="AC211" i="282" s="1"/>
  <c r="AC69" i="282"/>
  <c r="AC212" i="282" s="1"/>
  <c r="S109" i="291"/>
  <c r="S107" i="291"/>
  <c r="O16" i="291"/>
  <c r="AK23" i="4"/>
  <c r="V61" i="266"/>
  <c r="U70" i="266"/>
  <c r="U64" i="266"/>
  <c r="Q353" i="281"/>
  <c r="Q354" i="281"/>
  <c r="Q352" i="281"/>
  <c r="P10" i="291"/>
  <c r="P122" i="291"/>
  <c r="T6" i="291"/>
  <c r="T51" i="291"/>
  <c r="U105" i="291"/>
  <c r="U104" i="291" s="1"/>
  <c r="T104" i="291"/>
  <c r="S87" i="266"/>
  <c r="S84" i="266"/>
  <c r="S94" i="266"/>
  <c r="U6" i="291"/>
  <c r="U51" i="291"/>
  <c r="Y4" i="266"/>
  <c r="Y13" i="266" s="1"/>
  <c r="X13" i="266"/>
  <c r="E7" i="281"/>
  <c r="AJ24" i="4"/>
  <c r="AJ25" i="4" s="1"/>
  <c r="AA8" i="288"/>
  <c r="AA12" i="288" s="1"/>
  <c r="AA16" i="288" s="1"/>
  <c r="AA24" i="288" s="1"/>
  <c r="AA32" i="288" s="1"/>
  <c r="AA11" i="288"/>
  <c r="AA15" i="288" s="1"/>
  <c r="AA9" i="288"/>
  <c r="AA13" i="288" s="1"/>
  <c r="AA17" i="288" s="1"/>
  <c r="AA25" i="288" s="1"/>
  <c r="AA33" i="288" s="1"/>
  <c r="T73" i="266"/>
  <c r="T76" i="266" s="1"/>
  <c r="U67" i="266" s="1"/>
  <c r="T79" i="266"/>
  <c r="T82" i="266" s="1"/>
  <c r="U27" i="291"/>
  <c r="U29" i="291" s="1"/>
  <c r="R351" i="281"/>
  <c r="Q146" i="281"/>
  <c r="Q145" i="281"/>
  <c r="Q147" i="281"/>
  <c r="E8" i="281"/>
  <c r="J16" i="267"/>
  <c r="L114" i="266"/>
  <c r="K13" i="267" s="1"/>
  <c r="S29" i="266"/>
  <c r="S16" i="266"/>
  <c r="S19" i="266" s="1"/>
  <c r="T10" i="266" s="1"/>
  <c r="S21" i="266"/>
  <c r="S24" i="266" s="1"/>
  <c r="K46" i="266"/>
  <c r="L33" i="266"/>
  <c r="U22" i="266"/>
  <c r="K57" i="266"/>
  <c r="I17" i="267"/>
  <c r="I9" i="267"/>
  <c r="V8" i="266"/>
  <c r="U7" i="266"/>
  <c r="D32" i="281"/>
  <c r="D31" i="281"/>
  <c r="D30" i="281"/>
  <c r="R26" i="266"/>
  <c r="R36" i="266"/>
  <c r="L30" i="266"/>
  <c r="L47" i="266" s="1"/>
  <c r="M28" i="266"/>
  <c r="W9" i="256"/>
  <c r="V8" i="256"/>
  <c r="V17" i="256" s="1"/>
  <c r="K71" i="256"/>
  <c r="K44" i="256"/>
  <c r="F6" i="281" s="1"/>
  <c r="V53" i="256"/>
  <c r="V62" i="256" s="1"/>
  <c r="W48" i="256"/>
  <c r="L69" i="256"/>
  <c r="M51" i="256"/>
  <c r="L65" i="256"/>
  <c r="K78" i="256"/>
  <c r="K89" i="256"/>
  <c r="N88" i="266"/>
  <c r="O86" i="266"/>
  <c r="J24" i="267"/>
  <c r="L26" i="256"/>
  <c r="L20" i="256"/>
  <c r="K33" i="256"/>
  <c r="N6" i="256"/>
  <c r="M24" i="256"/>
  <c r="M91" i="266"/>
  <c r="L104" i="266"/>
  <c r="U158" i="282"/>
  <c r="U198" i="282" s="1"/>
  <c r="U224" i="282" s="1"/>
  <c r="W106" i="282"/>
  <c r="W164" i="282" s="1"/>
  <c r="U159" i="282"/>
  <c r="U199" i="282" s="1"/>
  <c r="U225" i="282" s="1"/>
  <c r="U157" i="282"/>
  <c r="U197" i="282" s="1"/>
  <c r="U223" i="282" s="1"/>
  <c r="O357" i="282"/>
  <c r="O14" i="282"/>
  <c r="Y53" i="282"/>
  <c r="Y55" i="282"/>
  <c r="Y52" i="282"/>
  <c r="Y50" i="282"/>
  <c r="Y54" i="282"/>
  <c r="Y57" i="282"/>
  <c r="Y56" i="282"/>
  <c r="S227" i="282"/>
  <c r="S231" i="282" s="1"/>
  <c r="X104" i="282"/>
  <c r="X82" i="282"/>
  <c r="X105" i="282"/>
  <c r="X83" i="282"/>
  <c r="T220" i="282"/>
  <c r="P31" i="282"/>
  <c r="P346" i="282"/>
  <c r="P4" i="282"/>
  <c r="P3" i="282" s="1"/>
  <c r="V161" i="282"/>
  <c r="V201" i="282" s="1"/>
  <c r="V154" i="282"/>
  <c r="V164" i="282"/>
  <c r="V204" i="282" s="1"/>
  <c r="R276" i="282"/>
  <c r="R341" i="282" s="1"/>
  <c r="R277" i="282"/>
  <c r="R342" i="282" s="1"/>
  <c r="R355" i="282" s="1"/>
  <c r="R12" i="282" s="1"/>
  <c r="Y60" i="282"/>
  <c r="Y59" i="282"/>
  <c r="X102" i="282"/>
  <c r="X80" i="282"/>
  <c r="Z58" i="282"/>
  <c r="Z32" i="282"/>
  <c r="Z94" i="282"/>
  <c r="Z96" i="282" s="1"/>
  <c r="Z237" i="282" s="1"/>
  <c r="Z239" i="282" s="1"/>
  <c r="Z33" i="282"/>
  <c r="Z61" i="282"/>
  <c r="Z51" i="282"/>
  <c r="U221" i="282"/>
  <c r="V134" i="282"/>
  <c r="V135" i="282"/>
  <c r="W77" i="282"/>
  <c r="W88" i="282"/>
  <c r="D3" i="285"/>
  <c r="Y109" i="282"/>
  <c r="Y87" i="282"/>
  <c r="W84" i="282"/>
  <c r="X79" i="282"/>
  <c r="X101" i="282"/>
  <c r="X78" i="282"/>
  <c r="X100" i="282"/>
  <c r="AB17" i="282"/>
  <c r="AA20" i="282"/>
  <c r="AA22" i="282" s="1"/>
  <c r="AA24" i="282" s="1"/>
  <c r="AA26" i="282" s="1"/>
  <c r="AA27" i="282" s="1"/>
  <c r="AA28" i="282" s="1"/>
  <c r="AA30" i="282" s="1"/>
  <c r="E18" i="285"/>
  <c r="X108" i="282"/>
  <c r="X86" i="282"/>
  <c r="W99" i="282"/>
  <c r="P353" i="282"/>
  <c r="P11" i="282"/>
  <c r="P10" i="282" s="1"/>
  <c r="P408" i="282" s="1"/>
  <c r="R271" i="282"/>
  <c r="R336" i="282" s="1"/>
  <c r="R349" i="282" s="1"/>
  <c r="R6" i="282" s="1"/>
  <c r="G21" i="283" s="1"/>
  <c r="G23" i="283" s="1"/>
  <c r="R272" i="282"/>
  <c r="R337" i="282" s="1"/>
  <c r="R350" i="282" s="1"/>
  <c r="R7" i="282" s="1"/>
  <c r="R269" i="282"/>
  <c r="R334" i="282" s="1"/>
  <c r="W184" i="282"/>
  <c r="W187" i="282"/>
  <c r="W183" i="282"/>
  <c r="W182" i="282"/>
  <c r="W186" i="282"/>
  <c r="W185" i="282"/>
  <c r="X103" i="282"/>
  <c r="X81" i="282"/>
  <c r="T227" i="282"/>
  <c r="S275" i="282"/>
  <c r="S268" i="282"/>
  <c r="S278" i="282"/>
  <c r="S343" i="282" s="1"/>
  <c r="X107" i="282"/>
  <c r="X85" i="282"/>
  <c r="Q353" i="282"/>
  <c r="Q11" i="282"/>
  <c r="Q10" i="282" s="1"/>
  <c r="Q408" i="282" s="1"/>
  <c r="U201" i="282"/>
  <c r="U135" i="282"/>
  <c r="U203" i="282" s="1"/>
  <c r="U229" i="282" s="1"/>
  <c r="U134" i="282"/>
  <c r="U202" i="282" s="1"/>
  <c r="U228" i="282" s="1"/>
  <c r="X191" i="282"/>
  <c r="X181" i="282"/>
  <c r="X188" i="282"/>
  <c r="X189" i="282" s="1"/>
  <c r="X190" i="282" s="1"/>
  <c r="AR194" i="4"/>
  <c r="AR197" i="4"/>
  <c r="AR177" i="4"/>
  <c r="AR180" i="4"/>
  <c r="AK164" i="4"/>
  <c r="AK243" i="4" s="1"/>
  <c r="AK161" i="4"/>
  <c r="C409" i="281"/>
  <c r="E386" i="281"/>
  <c r="C29" i="293"/>
  <c r="C386" i="281"/>
  <c r="E409" i="281"/>
  <c r="V261" i="4"/>
  <c r="V257" i="4"/>
  <c r="AA228" i="4"/>
  <c r="AA231" i="4" s="1"/>
  <c r="F19" i="285" l="1"/>
  <c r="T278" i="282"/>
  <c r="T343" i="282" s="1"/>
  <c r="T356" i="282" s="1"/>
  <c r="T13" i="282" s="1"/>
  <c r="T409" i="282" s="1"/>
  <c r="L216" i="281"/>
  <c r="L192" i="281"/>
  <c r="L214" i="281"/>
  <c r="L217" i="281" s="1"/>
  <c r="L218" i="281" s="1"/>
  <c r="L219" i="281" s="1"/>
  <c r="L193" i="281"/>
  <c r="AL24" i="4"/>
  <c r="O19" i="291"/>
  <c r="L329" i="281"/>
  <c r="W154" i="282"/>
  <c r="T268" i="282"/>
  <c r="T269" i="282" s="1"/>
  <c r="T334" i="282" s="1"/>
  <c r="S112" i="291"/>
  <c r="L331" i="281"/>
  <c r="U82" i="291"/>
  <c r="U85" i="291" s="1"/>
  <c r="V110" i="5"/>
  <c r="U22" i="5"/>
  <c r="R273" i="282"/>
  <c r="R338" i="282" s="1"/>
  <c r="R351" i="282" s="1"/>
  <c r="R8" i="282" s="1"/>
  <c r="R270" i="282"/>
  <c r="R335" i="282" s="1"/>
  <c r="R348" i="282" s="1"/>
  <c r="R5" i="282" s="1"/>
  <c r="O415" i="282"/>
  <c r="Q333" i="282"/>
  <c r="Q31" i="282" s="1"/>
  <c r="P429" i="282"/>
  <c r="Q346" i="282"/>
  <c r="Q357" i="282" s="1"/>
  <c r="T425" i="282"/>
  <c r="P407" i="282"/>
  <c r="P410" i="282"/>
  <c r="P416" i="282" s="1"/>
  <c r="Q423" i="282"/>
  <c r="P430" i="282"/>
  <c r="S356" i="282"/>
  <c r="S13" i="282" s="1"/>
  <c r="S409" i="282" s="1"/>
  <c r="S425" i="282"/>
  <c r="V230" i="282"/>
  <c r="O414" i="282"/>
  <c r="L238" i="281"/>
  <c r="U9" i="291"/>
  <c r="U92" i="291"/>
  <c r="U7" i="291" s="1"/>
  <c r="L237" i="281"/>
  <c r="K193" i="281"/>
  <c r="K194" i="281" s="1"/>
  <c r="K195" i="281" s="1"/>
  <c r="K196" i="281" s="1"/>
  <c r="K239" i="281"/>
  <c r="K237" i="281"/>
  <c r="K238" i="281"/>
  <c r="P13" i="291"/>
  <c r="S92" i="291"/>
  <c r="S7" i="291" s="1"/>
  <c r="S8" i="291"/>
  <c r="S11" i="291"/>
  <c r="S153" i="291"/>
  <c r="T152" i="291"/>
  <c r="T88" i="291"/>
  <c r="T8" i="291" s="1"/>
  <c r="T82" i="291"/>
  <c r="T85" i="291" s="1"/>
  <c r="T90" i="291"/>
  <c r="T9" i="291" s="1"/>
  <c r="R146" i="281"/>
  <c r="E10" i="281"/>
  <c r="E11" i="281" s="1"/>
  <c r="E12" i="281" s="1"/>
  <c r="L263" i="281"/>
  <c r="L264" i="281" s="1"/>
  <c r="L265" i="281" s="1"/>
  <c r="AK260" i="4"/>
  <c r="AK67" i="4"/>
  <c r="AK259" i="4" s="1"/>
  <c r="R145" i="281"/>
  <c r="R148" i="281" s="1"/>
  <c r="R149" i="281" s="1"/>
  <c r="R150" i="281" s="1"/>
  <c r="F18" i="285"/>
  <c r="F6" i="285" s="1"/>
  <c r="H8" i="284"/>
  <c r="Q4" i="282"/>
  <c r="Q3" i="282" s="1"/>
  <c r="Q118" i="291"/>
  <c r="U152" i="291"/>
  <c r="U11" i="291" s="1"/>
  <c r="L309" i="281"/>
  <c r="L310" i="281" s="1"/>
  <c r="L311" i="281" s="1"/>
  <c r="Q10" i="291"/>
  <c r="Q122" i="291"/>
  <c r="K308" i="281"/>
  <c r="K306" i="281"/>
  <c r="K307" i="281"/>
  <c r="L286" i="281"/>
  <c r="L287" i="281" s="1"/>
  <c r="L288" i="281" s="1"/>
  <c r="K283" i="281"/>
  <c r="K284" i="281"/>
  <c r="K285" i="281"/>
  <c r="T153" i="291"/>
  <c r="T11" i="291"/>
  <c r="U153" i="291"/>
  <c r="L194" i="281"/>
  <c r="L195" i="281" s="1"/>
  <c r="L196" i="281" s="1"/>
  <c r="AK25" i="4"/>
  <c r="K261" i="281"/>
  <c r="K214" i="281"/>
  <c r="K262" i="281"/>
  <c r="K216" i="281"/>
  <c r="M331" i="281"/>
  <c r="M260" i="281"/>
  <c r="M192" i="281"/>
  <c r="J21" i="293"/>
  <c r="T87" i="266"/>
  <c r="K329" i="281"/>
  <c r="K330" i="281"/>
  <c r="K331" i="281"/>
  <c r="R354" i="281"/>
  <c r="R353" i="281"/>
  <c r="R352" i="281"/>
  <c r="T109" i="291"/>
  <c r="T107" i="291"/>
  <c r="Y65" i="266"/>
  <c r="J22" i="293"/>
  <c r="C76" i="293" s="1"/>
  <c r="T94" i="266"/>
  <c r="T84" i="266"/>
  <c r="U107" i="291"/>
  <c r="U112" i="291" s="1"/>
  <c r="U109" i="291"/>
  <c r="Q355" i="281"/>
  <c r="Q148" i="281"/>
  <c r="Q149" i="281" s="1"/>
  <c r="Q150" i="281" s="1"/>
  <c r="U79" i="266"/>
  <c r="U82" i="266" s="1"/>
  <c r="U73" i="266"/>
  <c r="U76" i="266" s="1"/>
  <c r="V67" i="266" s="1"/>
  <c r="S351" i="281"/>
  <c r="W61" i="266"/>
  <c r="V70" i="266"/>
  <c r="V64" i="266"/>
  <c r="R118" i="291"/>
  <c r="R121" i="291"/>
  <c r="M42" i="286"/>
  <c r="M3" i="286" s="1"/>
  <c r="M6" i="286" s="1"/>
  <c r="M10" i="286" s="1"/>
  <c r="S144" i="281" s="1"/>
  <c r="K7" i="267"/>
  <c r="W161" i="282"/>
  <c r="W163" i="282" s="1"/>
  <c r="V137" i="282"/>
  <c r="T16" i="266"/>
  <c r="T19" i="266" s="1"/>
  <c r="U10" i="266" s="1"/>
  <c r="T21" i="266"/>
  <c r="T24" i="266" s="1"/>
  <c r="T29" i="266" s="1"/>
  <c r="I23" i="267"/>
  <c r="I26" i="267" s="1"/>
  <c r="I19" i="267"/>
  <c r="S26" i="266"/>
  <c r="S36" i="266"/>
  <c r="L42" i="266"/>
  <c r="L45" i="266" s="1"/>
  <c r="L34" i="266"/>
  <c r="V22" i="266"/>
  <c r="N28" i="266"/>
  <c r="M30" i="266"/>
  <c r="M47" i="266" s="1"/>
  <c r="D33" i="281"/>
  <c r="D35" i="281" s="1"/>
  <c r="D447" i="281" s="1"/>
  <c r="W8" i="266"/>
  <c r="V7" i="266"/>
  <c r="J8" i="267"/>
  <c r="E29" i="281"/>
  <c r="X9" i="256"/>
  <c r="X8" i="256" s="1"/>
  <c r="W8" i="256"/>
  <c r="W17" i="256" s="1"/>
  <c r="K93" i="256"/>
  <c r="W53" i="256"/>
  <c r="W62" i="256" s="1"/>
  <c r="X48" i="256"/>
  <c r="X53" i="256" s="1"/>
  <c r="E52" i="281"/>
  <c r="M56" i="256"/>
  <c r="M59" i="256" s="1"/>
  <c r="M92" i="266"/>
  <c r="M100" i="266"/>
  <c r="M103" i="266" s="1"/>
  <c r="L21" i="256"/>
  <c r="L29" i="256"/>
  <c r="L32" i="256" s="1"/>
  <c r="K12" i="267"/>
  <c r="K14" i="267" s="1"/>
  <c r="K94" i="256"/>
  <c r="L68" i="256"/>
  <c r="L61" i="256" s="1"/>
  <c r="L63" i="256" s="1"/>
  <c r="L79" i="256" s="1"/>
  <c r="F8" i="281"/>
  <c r="F9" i="281"/>
  <c r="F7" i="281"/>
  <c r="M23" i="256"/>
  <c r="M16" i="256" s="1"/>
  <c r="M18" i="256" s="1"/>
  <c r="M34" i="256" s="1"/>
  <c r="O88" i="266"/>
  <c r="P86" i="266"/>
  <c r="L74" i="256"/>
  <c r="L77" i="256" s="1"/>
  <c r="L66" i="256"/>
  <c r="N11" i="256"/>
  <c r="N14" i="256" s="1"/>
  <c r="U194" i="282"/>
  <c r="X185" i="282"/>
  <c r="X182" i="282"/>
  <c r="X186" i="282"/>
  <c r="X187" i="282"/>
  <c r="X183" i="282"/>
  <c r="X184" i="282"/>
  <c r="T270" i="282"/>
  <c r="T335" i="282" s="1"/>
  <c r="T348" i="282" s="1"/>
  <c r="T5" i="282" s="1"/>
  <c r="T272" i="282"/>
  <c r="T337" i="282" s="1"/>
  <c r="T350" i="282" s="1"/>
  <c r="T7" i="282" s="1"/>
  <c r="T274" i="282"/>
  <c r="T339" i="282" s="1"/>
  <c r="T352" i="282" s="1"/>
  <c r="T9" i="282" s="1"/>
  <c r="T271" i="282"/>
  <c r="T336" i="282" s="1"/>
  <c r="T349" i="282" s="1"/>
  <c r="T6" i="282" s="1"/>
  <c r="I21" i="283" s="1"/>
  <c r="I23" i="283" s="1"/>
  <c r="T273" i="282"/>
  <c r="T338" i="282" s="1"/>
  <c r="T351" i="282" s="1"/>
  <c r="T8" i="282" s="1"/>
  <c r="Z109" i="282"/>
  <c r="Z87" i="282"/>
  <c r="Y108" i="282"/>
  <c r="Y86" i="282"/>
  <c r="V159" i="282"/>
  <c r="V199" i="282" s="1"/>
  <c r="V225" i="282" s="1"/>
  <c r="V155" i="282"/>
  <c r="V195" i="282" s="1"/>
  <c r="V158" i="282"/>
  <c r="V198" i="282" s="1"/>
  <c r="V224" i="282" s="1"/>
  <c r="V160" i="282"/>
  <c r="V200" i="282" s="1"/>
  <c r="V226" i="282" s="1"/>
  <c r="V156" i="282"/>
  <c r="V196" i="282" s="1"/>
  <c r="V222" i="282" s="1"/>
  <c r="V157" i="282"/>
  <c r="V197" i="282" s="1"/>
  <c r="V223" i="282" s="1"/>
  <c r="P357" i="282"/>
  <c r="Y102" i="282"/>
  <c r="Y80" i="282"/>
  <c r="Y101" i="282"/>
  <c r="Y79" i="282"/>
  <c r="U227" i="282"/>
  <c r="AA51" i="282"/>
  <c r="AA61" i="282"/>
  <c r="AA94" i="282"/>
  <c r="AA96" i="282" s="1"/>
  <c r="AA237" i="282" s="1"/>
  <c r="AA239" i="282" s="1"/>
  <c r="AA32" i="282"/>
  <c r="AA33" i="282"/>
  <c r="AA58" i="282"/>
  <c r="Z60" i="282"/>
  <c r="Z59" i="282"/>
  <c r="X84" i="282"/>
  <c r="T231" i="282"/>
  <c r="G19" i="285"/>
  <c r="J6" i="284"/>
  <c r="W133" i="282"/>
  <c r="W136" i="282"/>
  <c r="W204" i="282" s="1"/>
  <c r="AC17" i="282"/>
  <c r="AC20" i="282" s="1"/>
  <c r="AC22" i="282" s="1"/>
  <c r="AC24" i="282" s="1"/>
  <c r="AC26" i="282" s="1"/>
  <c r="AC27" i="282" s="1"/>
  <c r="AC28" i="282" s="1"/>
  <c r="AC30" i="282" s="1"/>
  <c r="AB20" i="282"/>
  <c r="AB22" i="282" s="1"/>
  <c r="AB24" i="282" s="1"/>
  <c r="AB26" i="282" s="1"/>
  <c r="AB27" i="282" s="1"/>
  <c r="AB28" i="282" s="1"/>
  <c r="AB30" i="282" s="1"/>
  <c r="D11" i="285"/>
  <c r="D12" i="285"/>
  <c r="T276" i="282"/>
  <c r="T341" i="282" s="1"/>
  <c r="T277" i="282"/>
  <c r="T342" i="282" s="1"/>
  <c r="T355" i="282" s="1"/>
  <c r="T12" i="282" s="1"/>
  <c r="V163" i="282"/>
  <c r="V203" i="282" s="1"/>
  <c r="V229" i="282" s="1"/>
  <c r="V162" i="282"/>
  <c r="V202" i="282" s="1"/>
  <c r="V228" i="282" s="1"/>
  <c r="X106" i="282"/>
  <c r="S271" i="282"/>
  <c r="S336" i="282" s="1"/>
  <c r="S349" i="282" s="1"/>
  <c r="S6" i="282" s="1"/>
  <c r="H21" i="283" s="1"/>
  <c r="H23" i="283" s="1"/>
  <c r="S269" i="282"/>
  <c r="S334" i="282" s="1"/>
  <c r="S274" i="282"/>
  <c r="S339" i="282" s="1"/>
  <c r="S352" i="282" s="1"/>
  <c r="S9" i="282" s="1"/>
  <c r="S270" i="282"/>
  <c r="S335" i="282" s="1"/>
  <c r="S348" i="282" s="1"/>
  <c r="S5" i="282" s="1"/>
  <c r="S272" i="282"/>
  <c r="S337" i="282" s="1"/>
  <c r="S350" i="282" s="1"/>
  <c r="S7" i="282" s="1"/>
  <c r="S273" i="282"/>
  <c r="S338" i="282" s="1"/>
  <c r="S351" i="282" s="1"/>
  <c r="S8" i="282" s="1"/>
  <c r="X99" i="282"/>
  <c r="U220" i="282"/>
  <c r="R340" i="282"/>
  <c r="R424" i="282" s="1"/>
  <c r="R354" i="282"/>
  <c r="Y104" i="282"/>
  <c r="Y82" i="282"/>
  <c r="Y78" i="282"/>
  <c r="Y100" i="282"/>
  <c r="U137" i="282"/>
  <c r="S276" i="282"/>
  <c r="S341" i="282" s="1"/>
  <c r="S277" i="282"/>
  <c r="S342" i="282" s="1"/>
  <c r="S355" i="282" s="1"/>
  <c r="S12" i="282" s="1"/>
  <c r="W156" i="282"/>
  <c r="W196" i="282" s="1"/>
  <c r="W222" i="282" s="1"/>
  <c r="W159" i="282"/>
  <c r="W199" i="282" s="1"/>
  <c r="W225" i="282" s="1"/>
  <c r="W157" i="282"/>
  <c r="W197" i="282" s="1"/>
  <c r="W223" i="282" s="1"/>
  <c r="W155" i="282"/>
  <c r="W195" i="282" s="1"/>
  <c r="W160" i="282"/>
  <c r="W200" i="282" s="1"/>
  <c r="W226" i="282" s="1"/>
  <c r="W158" i="282"/>
  <c r="W198" i="282" s="1"/>
  <c r="W224" i="282" s="1"/>
  <c r="R347" i="282"/>
  <c r="E6" i="285"/>
  <c r="E7" i="285"/>
  <c r="E5" i="285"/>
  <c r="E4" i="285"/>
  <c r="E9" i="285"/>
  <c r="E10" i="285"/>
  <c r="E8" i="285"/>
  <c r="X77" i="282"/>
  <c r="X88" i="282"/>
  <c r="Y181" i="282"/>
  <c r="Y188" i="282"/>
  <c r="Y189" i="282" s="1"/>
  <c r="Y190" i="282" s="1"/>
  <c r="Y191" i="282"/>
  <c r="Z53" i="282"/>
  <c r="Z50" i="282"/>
  <c r="Z57" i="282"/>
  <c r="Z52" i="282"/>
  <c r="Z54" i="282"/>
  <c r="Z56" i="282"/>
  <c r="Z55" i="282"/>
  <c r="Y107" i="282"/>
  <c r="Y85" i="282"/>
  <c r="P14" i="282"/>
  <c r="Y105" i="282"/>
  <c r="Y83" i="282"/>
  <c r="Y103" i="282"/>
  <c r="Y81" i="282"/>
  <c r="AL159" i="4"/>
  <c r="AK50" i="4"/>
  <c r="AK255" i="4"/>
  <c r="AF226" i="4"/>
  <c r="AA247" i="4"/>
  <c r="AA254" i="4" s="1"/>
  <c r="AA256" i="4"/>
  <c r="L332" i="281" l="1"/>
  <c r="L333" i="281" s="1"/>
  <c r="L334" i="281" s="1"/>
  <c r="L240" i="281"/>
  <c r="L241" i="281" s="1"/>
  <c r="L242" i="281" s="1"/>
  <c r="T112" i="291"/>
  <c r="V22" i="5"/>
  <c r="W110" i="5"/>
  <c r="F8" i="285"/>
  <c r="F4" i="285"/>
  <c r="F10" i="285"/>
  <c r="R333" i="282"/>
  <c r="R423" i="282" s="1"/>
  <c r="R426" i="282" s="1"/>
  <c r="R431" i="282" s="1"/>
  <c r="F7" i="285"/>
  <c r="F9" i="285"/>
  <c r="P415" i="282"/>
  <c r="W230" i="282"/>
  <c r="U242" i="282"/>
  <c r="U275" i="282" s="1"/>
  <c r="U276" i="282" s="1"/>
  <c r="U341" i="282" s="1"/>
  <c r="P414" i="282"/>
  <c r="Q14" i="282"/>
  <c r="Q410" i="282"/>
  <c r="Q407" i="282"/>
  <c r="Q426" i="282"/>
  <c r="K240" i="281"/>
  <c r="K241" i="281" s="1"/>
  <c r="K242" i="281" s="1"/>
  <c r="M237" i="281"/>
  <c r="M239" i="281"/>
  <c r="M238" i="281"/>
  <c r="Q13" i="291"/>
  <c r="T92" i="291"/>
  <c r="T7" i="291" s="1"/>
  <c r="V39" i="6"/>
  <c r="I8" i="284"/>
  <c r="W162" i="282"/>
  <c r="AG18" i="4"/>
  <c r="F5" i="285"/>
  <c r="S114" i="291"/>
  <c r="S121" i="291" s="1"/>
  <c r="M306" i="281"/>
  <c r="M308" i="281"/>
  <c r="M307" i="281"/>
  <c r="K309" i="281"/>
  <c r="K310" i="281" s="1"/>
  <c r="K311" i="281" s="1"/>
  <c r="U114" i="291"/>
  <c r="U121" i="291" s="1"/>
  <c r="K286" i="281"/>
  <c r="K287" i="281" s="1"/>
  <c r="K288" i="281" s="1"/>
  <c r="M285" i="281"/>
  <c r="M284" i="281"/>
  <c r="M283" i="281"/>
  <c r="K263" i="281"/>
  <c r="K264" i="281" s="1"/>
  <c r="K265" i="281" s="1"/>
  <c r="K217" i="281"/>
  <c r="K218" i="281" s="1"/>
  <c r="K219" i="281" s="1"/>
  <c r="M262" i="281"/>
  <c r="M261" i="281"/>
  <c r="M329" i="281"/>
  <c r="M330" i="281"/>
  <c r="M191" i="281"/>
  <c r="M193" i="281"/>
  <c r="AC9" i="293"/>
  <c r="X62" i="256"/>
  <c r="U87" i="266"/>
  <c r="R10" i="291"/>
  <c r="R122" i="291"/>
  <c r="P16" i="291"/>
  <c r="P19" i="291" s="1"/>
  <c r="AL23" i="4"/>
  <c r="S354" i="281"/>
  <c r="S353" i="281"/>
  <c r="S352" i="281"/>
  <c r="C20" i="293"/>
  <c r="Q356" i="281"/>
  <c r="Q357" i="281" s="1"/>
  <c r="K332" i="281"/>
  <c r="K333" i="281" s="1"/>
  <c r="K334" i="281" s="1"/>
  <c r="S147" i="281"/>
  <c r="S145" i="281"/>
  <c r="C11" i="293"/>
  <c r="S146" i="281"/>
  <c r="U84" i="266"/>
  <c r="U94" i="266"/>
  <c r="X61" i="266"/>
  <c r="W70" i="266"/>
  <c r="W64" i="266"/>
  <c r="V79" i="266"/>
  <c r="V82" i="266" s="1"/>
  <c r="V73" i="266"/>
  <c r="V76" i="266" s="1"/>
  <c r="W67" i="266" s="1"/>
  <c r="R355" i="281"/>
  <c r="M216" i="281"/>
  <c r="M215" i="281"/>
  <c r="M214" i="281"/>
  <c r="Y106" i="282"/>
  <c r="Y154" i="282" s="1"/>
  <c r="K95" i="256"/>
  <c r="K16" i="267"/>
  <c r="L57" i="266"/>
  <c r="F29" i="281" s="1"/>
  <c r="U16" i="266"/>
  <c r="U19" i="266" s="1"/>
  <c r="V10" i="266" s="1"/>
  <c r="U21" i="266"/>
  <c r="U24" i="266" s="1"/>
  <c r="U29" i="266" s="1"/>
  <c r="N30" i="266"/>
  <c r="N47" i="266" s="1"/>
  <c r="O28" i="266"/>
  <c r="X8" i="266"/>
  <c r="W7" i="266"/>
  <c r="M33" i="266"/>
  <c r="L46" i="266"/>
  <c r="E32" i="281"/>
  <c r="E31" i="281"/>
  <c r="E30" i="281"/>
  <c r="W22" i="266"/>
  <c r="J17" i="267"/>
  <c r="J9" i="267"/>
  <c r="T26" i="266"/>
  <c r="T36" i="266"/>
  <c r="L71" i="256"/>
  <c r="X17" i="256"/>
  <c r="M26" i="256"/>
  <c r="O6" i="256"/>
  <c r="N24" i="256"/>
  <c r="N51" i="256"/>
  <c r="M69" i="256"/>
  <c r="F10" i="281"/>
  <c r="F11" i="281" s="1"/>
  <c r="F12" i="281" s="1"/>
  <c r="M65" i="256"/>
  <c r="L78" i="256"/>
  <c r="L89" i="256"/>
  <c r="K24" i="267"/>
  <c r="E54" i="281"/>
  <c r="E55" i="281"/>
  <c r="E53" i="281"/>
  <c r="P88" i="266"/>
  <c r="Q86" i="266"/>
  <c r="L44" i="256"/>
  <c r="M114" i="266"/>
  <c r="L13" i="267" s="1"/>
  <c r="L33" i="256"/>
  <c r="M20" i="256"/>
  <c r="M104" i="266"/>
  <c r="N91" i="266"/>
  <c r="U231" i="282"/>
  <c r="E3" i="285"/>
  <c r="V227" i="282"/>
  <c r="Z102" i="282"/>
  <c r="Z80" i="282"/>
  <c r="AB33" i="282"/>
  <c r="AB51" i="282"/>
  <c r="AB58" i="282"/>
  <c r="AB32" i="282"/>
  <c r="AB61" i="282"/>
  <c r="AB94" i="282"/>
  <c r="AB96" i="282" s="1"/>
  <c r="AB237" i="282" s="1"/>
  <c r="AB239" i="282" s="1"/>
  <c r="Z104" i="282"/>
  <c r="Z82" i="282"/>
  <c r="Y184" i="282"/>
  <c r="Y186" i="282"/>
  <c r="Y185" i="282"/>
  <c r="Y182" i="282"/>
  <c r="Y187" i="282"/>
  <c r="Y183" i="282"/>
  <c r="Y99" i="282"/>
  <c r="R353" i="282"/>
  <c r="R11" i="282"/>
  <c r="R10" i="282" s="1"/>
  <c r="R408" i="282" s="1"/>
  <c r="S347" i="282"/>
  <c r="S333" i="282"/>
  <c r="S423" i="282" s="1"/>
  <c r="W135" i="282"/>
  <c r="W203" i="282" s="1"/>
  <c r="W229" i="282" s="1"/>
  <c r="W201" i="282"/>
  <c r="W134" i="282"/>
  <c r="W202" i="282" s="1"/>
  <c r="W228" i="282" s="1"/>
  <c r="AA59" i="282"/>
  <c r="AA60" i="282"/>
  <c r="AA109" i="282"/>
  <c r="AA87" i="282"/>
  <c r="V194" i="282"/>
  <c r="V221" i="282"/>
  <c r="T333" i="282"/>
  <c r="T423" i="282" s="1"/>
  <c r="T347" i="282"/>
  <c r="W221" i="282"/>
  <c r="W194" i="282"/>
  <c r="Y77" i="282"/>
  <c r="Y88" i="282"/>
  <c r="AG17" i="4"/>
  <c r="AA53" i="282"/>
  <c r="AA55" i="282"/>
  <c r="AA52" i="282"/>
  <c r="AA50" i="282"/>
  <c r="AA54" i="282"/>
  <c r="AA57" i="282"/>
  <c r="AA56" i="282"/>
  <c r="Z78" i="282"/>
  <c r="Z100" i="282"/>
  <c r="R346" i="282"/>
  <c r="R4" i="282"/>
  <c r="R3" i="282" s="1"/>
  <c r="S340" i="282"/>
  <c r="S424" i="282" s="1"/>
  <c r="S354" i="282"/>
  <c r="X164" i="282"/>
  <c r="X161" i="282"/>
  <c r="X154" i="282"/>
  <c r="AC61" i="282"/>
  <c r="AC51" i="282"/>
  <c r="AC32" i="282"/>
  <c r="AC94" i="282"/>
  <c r="AC96" i="282" s="1"/>
  <c r="AC237" i="282" s="1"/>
  <c r="AC239" i="282" s="1"/>
  <c r="AC58" i="282"/>
  <c r="AC33" i="282"/>
  <c r="G18" i="285"/>
  <c r="Z107" i="282"/>
  <c r="Z85" i="282"/>
  <c r="Y84" i="282"/>
  <c r="Z101" i="282"/>
  <c r="Z79" i="282"/>
  <c r="K6" i="284"/>
  <c r="H19" i="285"/>
  <c r="T340" i="282"/>
  <c r="T424" i="282" s="1"/>
  <c r="T354" i="282"/>
  <c r="Z191" i="282"/>
  <c r="Z181" i="282"/>
  <c r="Z188" i="282"/>
  <c r="Z189" i="282" s="1"/>
  <c r="Z190" i="282" s="1"/>
  <c r="Z103" i="282"/>
  <c r="Z81" i="282"/>
  <c r="Z105" i="282"/>
  <c r="Z83" i="282"/>
  <c r="X133" i="282"/>
  <c r="X136" i="282"/>
  <c r="Z108" i="282"/>
  <c r="Z86" i="282"/>
  <c r="L6" i="284"/>
  <c r="I19" i="285"/>
  <c r="AL161" i="4"/>
  <c r="AL164" i="4"/>
  <c r="AL243" i="4" s="1"/>
  <c r="AF228" i="4"/>
  <c r="AF256" i="4" s="1"/>
  <c r="AF261" i="4" s="1"/>
  <c r="AA261" i="4"/>
  <c r="AA257" i="4"/>
  <c r="X110" i="5" l="1"/>
  <c r="W22" i="5"/>
  <c r="R31" i="282"/>
  <c r="F3" i="285"/>
  <c r="F11" i="285" s="1"/>
  <c r="I13" i="284" s="1"/>
  <c r="G98" i="281" s="1"/>
  <c r="R429" i="282"/>
  <c r="R430" i="282"/>
  <c r="Q414" i="282"/>
  <c r="W242" i="282"/>
  <c r="W278" i="282" s="1"/>
  <c r="W343" i="282" s="1"/>
  <c r="Q430" i="282"/>
  <c r="Q431" i="282"/>
  <c r="Q415" i="282"/>
  <c r="Q416" i="282"/>
  <c r="V242" i="282"/>
  <c r="V268" i="282" s="1"/>
  <c r="S426" i="282"/>
  <c r="S431" i="282" s="1"/>
  <c r="Q429" i="282"/>
  <c r="U278" i="282"/>
  <c r="U343" i="282" s="1"/>
  <c r="U268" i="282"/>
  <c r="R410" i="282"/>
  <c r="R416" i="282" s="1"/>
  <c r="R407" i="282"/>
  <c r="T426" i="282"/>
  <c r="T431" i="282" s="1"/>
  <c r="H15" i="284"/>
  <c r="E13" i="285"/>
  <c r="M240" i="281"/>
  <c r="M241" i="281" s="1"/>
  <c r="M242" i="281" s="1"/>
  <c r="R16" i="291"/>
  <c r="AN23" i="4"/>
  <c r="N191" i="281"/>
  <c r="N214" i="281"/>
  <c r="R13" i="291"/>
  <c r="AL67" i="4"/>
  <c r="AL259" i="4" s="1"/>
  <c r="AL260" i="4"/>
  <c r="W39" i="6"/>
  <c r="AG19" i="4"/>
  <c r="J8" i="284"/>
  <c r="H18" i="285"/>
  <c r="AH18" i="4"/>
  <c r="AI18" i="4"/>
  <c r="I18" i="285"/>
  <c r="E12" i="285"/>
  <c r="H14" i="284" s="1"/>
  <c r="F121" i="281" s="1"/>
  <c r="E11" i="285"/>
  <c r="H13" i="284" s="1"/>
  <c r="F98" i="281" s="1"/>
  <c r="F99" i="281" s="1"/>
  <c r="R14" i="282"/>
  <c r="I15" i="284"/>
  <c r="Y161" i="282"/>
  <c r="Y163" i="282" s="1"/>
  <c r="S118" i="291"/>
  <c r="S122" i="291"/>
  <c r="S10" i="291"/>
  <c r="U118" i="291"/>
  <c r="T114" i="291"/>
  <c r="T118" i="291" s="1"/>
  <c r="M309" i="281"/>
  <c r="M310" i="281" s="1"/>
  <c r="M311" i="281" s="1"/>
  <c r="M286" i="281"/>
  <c r="M287" i="281" s="1"/>
  <c r="M288" i="281" s="1"/>
  <c r="AL25" i="4"/>
  <c r="M263" i="281"/>
  <c r="M264" i="281" s="1"/>
  <c r="M265" i="281" s="1"/>
  <c r="M332" i="281"/>
  <c r="M333" i="281" s="1"/>
  <c r="M334" i="281" s="1"/>
  <c r="M194" i="281"/>
  <c r="M195" i="281" s="1"/>
  <c r="M196" i="281" s="1"/>
  <c r="S355" i="281"/>
  <c r="S356" i="281" s="1"/>
  <c r="S357" i="281" s="1"/>
  <c r="T357" i="281" s="1"/>
  <c r="C359" i="281" s="1"/>
  <c r="S148" i="281"/>
  <c r="S149" i="281" s="1"/>
  <c r="S150" i="281" s="1"/>
  <c r="Y164" i="282"/>
  <c r="AM23" i="4"/>
  <c r="Q16" i="291"/>
  <c r="Q19" i="291" s="1"/>
  <c r="U10" i="291"/>
  <c r="R356" i="281"/>
  <c r="R357" i="281" s="1"/>
  <c r="U277" i="282"/>
  <c r="U342" i="282" s="1"/>
  <c r="U355" i="282" s="1"/>
  <c r="U12" i="282" s="1"/>
  <c r="M217" i="281"/>
  <c r="V87" i="266"/>
  <c r="V84" i="266"/>
  <c r="V94" i="266"/>
  <c r="AM24" i="4"/>
  <c r="K8" i="267"/>
  <c r="K17" i="267" s="1"/>
  <c r="W73" i="266"/>
  <c r="W76" i="266" s="1"/>
  <c r="X67" i="266" s="1"/>
  <c r="W79" i="266"/>
  <c r="W82" i="266" s="1"/>
  <c r="Y61" i="266"/>
  <c r="X70" i="266"/>
  <c r="X64" i="266"/>
  <c r="X204" i="282"/>
  <c r="E33" i="281"/>
  <c r="E35" i="281" s="1"/>
  <c r="V16" i="266"/>
  <c r="V19" i="266" s="1"/>
  <c r="W10" i="266" s="1"/>
  <c r="V21" i="266"/>
  <c r="V24" i="266" s="1"/>
  <c r="J19" i="267"/>
  <c r="J23" i="267"/>
  <c r="J26" i="267" s="1"/>
  <c r="P28" i="266"/>
  <c r="O30" i="266"/>
  <c r="O47" i="266" s="1"/>
  <c r="M34" i="266"/>
  <c r="M42" i="266"/>
  <c r="M45" i="266" s="1"/>
  <c r="F31" i="281"/>
  <c r="F30" i="281"/>
  <c r="F32" i="281"/>
  <c r="U26" i="266"/>
  <c r="U36" i="266"/>
  <c r="X22" i="266"/>
  <c r="Y8" i="266"/>
  <c r="Y7" i="266" s="1"/>
  <c r="X7" i="266"/>
  <c r="M68" i="256"/>
  <c r="M61" i="256" s="1"/>
  <c r="M63" i="256" s="1"/>
  <c r="M79" i="256" s="1"/>
  <c r="M74" i="256"/>
  <c r="M77" i="256" s="1"/>
  <c r="M66" i="256"/>
  <c r="M21" i="256"/>
  <c r="M29" i="256"/>
  <c r="M32" i="256" s="1"/>
  <c r="G6" i="281"/>
  <c r="L93" i="256"/>
  <c r="L7" i="267"/>
  <c r="E56" i="281"/>
  <c r="E58" i="281" s="1"/>
  <c r="N92" i="266"/>
  <c r="N100" i="266"/>
  <c r="N103" i="266" s="1"/>
  <c r="L12" i="267"/>
  <c r="L14" i="267" s="1"/>
  <c r="L94" i="256"/>
  <c r="N56" i="256"/>
  <c r="N59" i="256" s="1"/>
  <c r="N23" i="256"/>
  <c r="N16" i="256" s="1"/>
  <c r="N18" i="256" s="1"/>
  <c r="N34" i="256" s="1"/>
  <c r="Q88" i="266"/>
  <c r="R86" i="266"/>
  <c r="F52" i="281"/>
  <c r="O11" i="256"/>
  <c r="O14" i="256" s="1"/>
  <c r="AI17" i="4"/>
  <c r="Z106" i="282"/>
  <c r="AC59" i="282"/>
  <c r="AC50" i="282"/>
  <c r="AC60" i="282"/>
  <c r="AC109" i="282"/>
  <c r="AC87" i="282"/>
  <c r="X157" i="282"/>
  <c r="X197" i="282" s="1"/>
  <c r="X223" i="282" s="1"/>
  <c r="X156" i="282"/>
  <c r="X196" i="282" s="1"/>
  <c r="X222" i="282" s="1"/>
  <c r="X158" i="282"/>
  <c r="X198" i="282" s="1"/>
  <c r="X224" i="282" s="1"/>
  <c r="X159" i="282"/>
  <c r="X199" i="282" s="1"/>
  <c r="X225" i="282" s="1"/>
  <c r="X160" i="282"/>
  <c r="X200" i="282" s="1"/>
  <c r="X226" i="282" s="1"/>
  <c r="X155" i="282"/>
  <c r="X195" i="282" s="1"/>
  <c r="Z77" i="282"/>
  <c r="Z88" i="282"/>
  <c r="AA104" i="282"/>
  <c r="AA82" i="282"/>
  <c r="AA100" i="282"/>
  <c r="AA78" i="282"/>
  <c r="AA107" i="282"/>
  <c r="AA85" i="282"/>
  <c r="AB55" i="282"/>
  <c r="AB54" i="282"/>
  <c r="AB50" i="282"/>
  <c r="AB57" i="282"/>
  <c r="AB53" i="282"/>
  <c r="AB52" i="282"/>
  <c r="AB56" i="282"/>
  <c r="X163" i="282"/>
  <c r="X162" i="282"/>
  <c r="AA105" i="282"/>
  <c r="AA83" i="282"/>
  <c r="AA103" i="282"/>
  <c r="AA81" i="282"/>
  <c r="W220" i="282"/>
  <c r="T346" i="282"/>
  <c r="T4" i="282"/>
  <c r="T3" i="282" s="1"/>
  <c r="AB109" i="282"/>
  <c r="AB87" i="282"/>
  <c r="Z185" i="282"/>
  <c r="Z182" i="282"/>
  <c r="Z183" i="282"/>
  <c r="Z184" i="282"/>
  <c r="Z186" i="282"/>
  <c r="Z187" i="282"/>
  <c r="AH17" i="4"/>
  <c r="G7" i="285"/>
  <c r="G4" i="285"/>
  <c r="G8" i="285"/>
  <c r="G5" i="285"/>
  <c r="G6" i="285"/>
  <c r="G9" i="285"/>
  <c r="G10" i="285"/>
  <c r="R357" i="282"/>
  <c r="AA102" i="282"/>
  <c r="AA80" i="282"/>
  <c r="AA101" i="282"/>
  <c r="AA79" i="282"/>
  <c r="T31" i="282"/>
  <c r="AA188" i="282"/>
  <c r="AA189" i="282" s="1"/>
  <c r="AA190" i="282" s="1"/>
  <c r="AA191" i="282"/>
  <c r="AA181" i="282"/>
  <c r="W137" i="282"/>
  <c r="S31" i="282"/>
  <c r="X135" i="282"/>
  <c r="X134" i="282"/>
  <c r="X201" i="282"/>
  <c r="T353" i="282"/>
  <c r="T11" i="282"/>
  <c r="T10" i="282" s="1"/>
  <c r="T408" i="282" s="1"/>
  <c r="Z84" i="282"/>
  <c r="AC57" i="282"/>
  <c r="AC54" i="282"/>
  <c r="AC53" i="282"/>
  <c r="AC55" i="282"/>
  <c r="AC52" i="282"/>
  <c r="AC56" i="282"/>
  <c r="U354" i="282"/>
  <c r="S353" i="282"/>
  <c r="S11" i="282"/>
  <c r="S10" i="282" s="1"/>
  <c r="S408" i="282" s="1"/>
  <c r="Z99" i="282"/>
  <c r="Y158" i="282"/>
  <c r="Y198" i="282" s="1"/>
  <c r="Y224" i="282" s="1"/>
  <c r="Y159" i="282"/>
  <c r="Y199" i="282" s="1"/>
  <c r="Y225" i="282" s="1"/>
  <c r="Y155" i="282"/>
  <c r="Y195" i="282" s="1"/>
  <c r="Y157" i="282"/>
  <c r="Y197" i="282" s="1"/>
  <c r="Y223" i="282" s="1"/>
  <c r="Y160" i="282"/>
  <c r="Y200" i="282" s="1"/>
  <c r="Y226" i="282" s="1"/>
  <c r="Y156" i="282"/>
  <c r="Y196" i="282" s="1"/>
  <c r="Y222" i="282" s="1"/>
  <c r="V220" i="282"/>
  <c r="V231" i="282" s="1"/>
  <c r="AA108" i="282"/>
  <c r="AA86" i="282"/>
  <c r="W227" i="282"/>
  <c r="S346" i="282"/>
  <c r="S4" i="282"/>
  <c r="S3" i="282" s="1"/>
  <c r="Y133" i="282"/>
  <c r="Y136" i="282"/>
  <c r="AB60" i="282"/>
  <c r="AB59" i="282"/>
  <c r="AL255" i="4"/>
  <c r="AL50" i="4"/>
  <c r="AM159" i="4"/>
  <c r="AG226" i="4"/>
  <c r="AF247" i="4"/>
  <c r="AF254" i="4" s="1"/>
  <c r="AF231" i="4"/>
  <c r="AO24" i="4" l="1"/>
  <c r="R19" i="291"/>
  <c r="P284" i="281"/>
  <c r="X22" i="5"/>
  <c r="Y110" i="5"/>
  <c r="F13" i="285"/>
  <c r="F12" i="285"/>
  <c r="I14" i="284" s="1"/>
  <c r="G121" i="281" s="1"/>
  <c r="G123" i="281" s="1"/>
  <c r="F122" i="281"/>
  <c r="F123" i="281"/>
  <c r="F124" i="281"/>
  <c r="Y162" i="282"/>
  <c r="W275" i="282"/>
  <c r="W277" i="282" s="1"/>
  <c r="W342" i="282" s="1"/>
  <c r="W355" i="282" s="1"/>
  <c r="W12" i="282" s="1"/>
  <c r="F101" i="281"/>
  <c r="F102" i="281" s="1"/>
  <c r="F104" i="281" s="1"/>
  <c r="AH19" i="4"/>
  <c r="V278" i="282"/>
  <c r="V343" i="282" s="1"/>
  <c r="V356" i="282" s="1"/>
  <c r="V13" i="282" s="1"/>
  <c r="V409" i="282" s="1"/>
  <c r="R414" i="282"/>
  <c r="W268" i="282"/>
  <c r="W272" i="282" s="1"/>
  <c r="W337" i="282" s="1"/>
  <c r="W350" i="282" s="1"/>
  <c r="W7" i="282" s="1"/>
  <c r="V275" i="282"/>
  <c r="V276" i="282" s="1"/>
  <c r="V341" i="282" s="1"/>
  <c r="R415" i="282"/>
  <c r="X137" i="282"/>
  <c r="T429" i="282"/>
  <c r="T430" i="282"/>
  <c r="W356" i="282"/>
  <c r="W13" i="282" s="1"/>
  <c r="W409" i="282" s="1"/>
  <c r="W425" i="282"/>
  <c r="T407" i="282"/>
  <c r="T410" i="282"/>
  <c r="T416" i="282" s="1"/>
  <c r="S430" i="282"/>
  <c r="S407" i="282"/>
  <c r="S410" i="282"/>
  <c r="S416" i="282" s="1"/>
  <c r="X230" i="282"/>
  <c r="U273" i="282"/>
  <c r="U338" i="282" s="1"/>
  <c r="U351" i="282" s="1"/>
  <c r="U8" i="282" s="1"/>
  <c r="U271" i="282"/>
  <c r="U336" i="282" s="1"/>
  <c r="U349" i="282" s="1"/>
  <c r="U6" i="282" s="1"/>
  <c r="U274" i="282"/>
  <c r="U339" i="282" s="1"/>
  <c r="U352" i="282" s="1"/>
  <c r="U9" i="282" s="1"/>
  <c r="U269" i="282"/>
  <c r="U334" i="282" s="1"/>
  <c r="U270" i="282"/>
  <c r="U335" i="282" s="1"/>
  <c r="U348" i="282" s="1"/>
  <c r="U5" i="282" s="1"/>
  <c r="U272" i="282"/>
  <c r="U337" i="282" s="1"/>
  <c r="U350" i="282" s="1"/>
  <c r="U7" i="282" s="1"/>
  <c r="S429" i="282"/>
  <c r="U356" i="282"/>
  <c r="U13" i="282" s="1"/>
  <c r="U409" i="282" s="1"/>
  <c r="U425" i="282"/>
  <c r="N192" i="281"/>
  <c r="P261" i="281"/>
  <c r="P191" i="281"/>
  <c r="P216" i="281"/>
  <c r="P331" i="281"/>
  <c r="N193" i="281"/>
  <c r="N237" i="281"/>
  <c r="N238" i="281"/>
  <c r="N239" i="281"/>
  <c r="S13" i="291"/>
  <c r="T16" i="291" s="1"/>
  <c r="O193" i="281"/>
  <c r="U13" i="291"/>
  <c r="AM67" i="4"/>
  <c r="AM259" i="4" s="1"/>
  <c r="AM260" i="4"/>
  <c r="X39" i="6"/>
  <c r="AI19" i="4"/>
  <c r="K8" i="284"/>
  <c r="L8" i="284"/>
  <c r="G101" i="281"/>
  <c r="Y204" i="282"/>
  <c r="U340" i="282"/>
  <c r="U424" i="282" s="1"/>
  <c r="T121" i="291"/>
  <c r="O308" i="281"/>
  <c r="P307" i="281"/>
  <c r="P306" i="281"/>
  <c r="P308" i="281"/>
  <c r="N306" i="281"/>
  <c r="N307" i="281"/>
  <c r="N308" i="281"/>
  <c r="P285" i="281"/>
  <c r="P283" i="281"/>
  <c r="N285" i="281"/>
  <c r="N284" i="281"/>
  <c r="N283" i="281"/>
  <c r="T447" i="281"/>
  <c r="N215" i="281"/>
  <c r="N216" i="281"/>
  <c r="P193" i="281"/>
  <c r="O329" i="281"/>
  <c r="D158" i="281"/>
  <c r="C153" i="281"/>
  <c r="K9" i="267"/>
  <c r="D365" i="281"/>
  <c r="Y70" i="266"/>
  <c r="Y64" i="266"/>
  <c r="N262" i="281"/>
  <c r="N261" i="281"/>
  <c r="N260" i="281"/>
  <c r="AN24" i="4"/>
  <c r="AN25" i="4" s="1"/>
  <c r="N331" i="281"/>
  <c r="N330" i="281"/>
  <c r="N329" i="281"/>
  <c r="W87" i="266"/>
  <c r="W94" i="266"/>
  <c r="W84" i="266"/>
  <c r="P329" i="281"/>
  <c r="P215" i="281"/>
  <c r="X73" i="266"/>
  <c r="X76" i="266" s="1"/>
  <c r="Y67" i="266" s="1"/>
  <c r="X79" i="266"/>
  <c r="X82" i="266" s="1"/>
  <c r="M218" i="281"/>
  <c r="M219" i="281" s="1"/>
  <c r="AM25" i="4"/>
  <c r="E447" i="281"/>
  <c r="M71" i="256"/>
  <c r="M57" i="266"/>
  <c r="G29" i="281" s="1"/>
  <c r="F33" i="281"/>
  <c r="F35" i="281" s="1"/>
  <c r="W16" i="266"/>
  <c r="W19" i="266" s="1"/>
  <c r="X10" i="266" s="1"/>
  <c r="X21" i="266" s="1"/>
  <c r="X24" i="266" s="1"/>
  <c r="W21" i="266"/>
  <c r="W24" i="266" s="1"/>
  <c r="M46" i="266"/>
  <c r="N33" i="266"/>
  <c r="V8" i="4"/>
  <c r="V13" i="4"/>
  <c r="V30" i="4" s="1"/>
  <c r="N58" i="5" s="1"/>
  <c r="N63" i="5" s="1"/>
  <c r="V34" i="4"/>
  <c r="Y22" i="266"/>
  <c r="V26" i="266"/>
  <c r="V36" i="266"/>
  <c r="V29" i="266"/>
  <c r="P30" i="266"/>
  <c r="P47" i="266" s="1"/>
  <c r="Q28" i="266"/>
  <c r="N114" i="266"/>
  <c r="M13" i="267" s="1"/>
  <c r="M44" i="256"/>
  <c r="H6" i="281" s="1"/>
  <c r="N26" i="256"/>
  <c r="P6" i="256"/>
  <c r="O24" i="256"/>
  <c r="F53" i="281"/>
  <c r="F54" i="281"/>
  <c r="O91" i="266"/>
  <c r="N104" i="266"/>
  <c r="G8" i="281"/>
  <c r="G7" i="281"/>
  <c r="G9" i="281"/>
  <c r="R88" i="266"/>
  <c r="S86" i="266"/>
  <c r="O51" i="256"/>
  <c r="N69" i="256"/>
  <c r="L16" i="267"/>
  <c r="N20" i="256"/>
  <c r="M33" i="256"/>
  <c r="M89" i="256"/>
  <c r="L24" i="267"/>
  <c r="L95" i="256"/>
  <c r="M78" i="256"/>
  <c r="N65" i="256"/>
  <c r="X202" i="282"/>
  <c r="X228" i="282" s="1"/>
  <c r="T357" i="282"/>
  <c r="S14" i="282"/>
  <c r="Y134" i="282"/>
  <c r="Y135" i="282"/>
  <c r="Y203" i="282" s="1"/>
  <c r="Y229" i="282" s="1"/>
  <c r="Y201" i="282"/>
  <c r="Z164" i="282"/>
  <c r="Z161" i="282"/>
  <c r="Z154" i="282"/>
  <c r="S357" i="282"/>
  <c r="AC100" i="282"/>
  <c r="AC78" i="282"/>
  <c r="Z136" i="282"/>
  <c r="Z133" i="282"/>
  <c r="AC103" i="282"/>
  <c r="AC81" i="282"/>
  <c r="X203" i="282"/>
  <c r="X229" i="282" s="1"/>
  <c r="I4" i="285"/>
  <c r="I10" i="285"/>
  <c r="I6" i="285"/>
  <c r="I5" i="285"/>
  <c r="I7" i="285"/>
  <c r="I9" i="285"/>
  <c r="I8" i="285"/>
  <c r="T14" i="282"/>
  <c r="AB104" i="282"/>
  <c r="AB82" i="282"/>
  <c r="AA106" i="282"/>
  <c r="W276" i="282"/>
  <c r="W341" i="282" s="1"/>
  <c r="AA99" i="282"/>
  <c r="AC107" i="282"/>
  <c r="AC85" i="282"/>
  <c r="Y221" i="282"/>
  <c r="Y194" i="282"/>
  <c r="W231" i="282"/>
  <c r="AB102" i="282"/>
  <c r="AB80" i="282"/>
  <c r="W274" i="282"/>
  <c r="W339" i="282" s="1"/>
  <c r="W352" i="282" s="1"/>
  <c r="W9" i="282" s="1"/>
  <c r="AC181" i="282"/>
  <c r="AC188" i="282"/>
  <c r="AC189" i="282" s="1"/>
  <c r="AC190" i="282" s="1"/>
  <c r="AC191" i="282"/>
  <c r="AC104" i="282"/>
  <c r="AC82" i="282"/>
  <c r="AC102" i="282"/>
  <c r="AC80" i="282"/>
  <c r="G3" i="285"/>
  <c r="AB191" i="282"/>
  <c r="AB181" i="282"/>
  <c r="AB188" i="282"/>
  <c r="AB189" i="282" s="1"/>
  <c r="AB190" i="282" s="1"/>
  <c r="AB79" i="282"/>
  <c r="AB101" i="282"/>
  <c r="AB103" i="282"/>
  <c r="AB81" i="282"/>
  <c r="V273" i="282"/>
  <c r="V338" i="282" s="1"/>
  <c r="V351" i="282" s="1"/>
  <c r="V8" i="282" s="1"/>
  <c r="V269" i="282"/>
  <c r="V334" i="282" s="1"/>
  <c r="V270" i="282"/>
  <c r="V335" i="282" s="1"/>
  <c r="V348" i="282" s="1"/>
  <c r="V5" i="282" s="1"/>
  <c r="V271" i="282"/>
  <c r="V336" i="282" s="1"/>
  <c r="V349" i="282" s="1"/>
  <c r="V6" i="282" s="1"/>
  <c r="K21" i="283" s="1"/>
  <c r="K23" i="283" s="1"/>
  <c r="V274" i="282"/>
  <c r="V339" i="282" s="1"/>
  <c r="V352" i="282" s="1"/>
  <c r="V9" i="282" s="1"/>
  <c r="V272" i="282"/>
  <c r="V337" i="282" s="1"/>
  <c r="V350" i="282" s="1"/>
  <c r="V7" i="282" s="1"/>
  <c r="X194" i="282"/>
  <c r="X221" i="282"/>
  <c r="AC108" i="282"/>
  <c r="AC86" i="282"/>
  <c r="AC101" i="282"/>
  <c r="AC79" i="282"/>
  <c r="AB100" i="282"/>
  <c r="AB78" i="282"/>
  <c r="AB107" i="282"/>
  <c r="AB85" i="282"/>
  <c r="AB108" i="282"/>
  <c r="AB86" i="282"/>
  <c r="U353" i="282"/>
  <c r="U11" i="282"/>
  <c r="U10" i="282" s="1"/>
  <c r="U408" i="282" s="1"/>
  <c r="AC105" i="282"/>
  <c r="AC83" i="282"/>
  <c r="AA187" i="282"/>
  <c r="AA183" i="282"/>
  <c r="AA186" i="282"/>
  <c r="AA185" i="282"/>
  <c r="AA182" i="282"/>
  <c r="AA184" i="282"/>
  <c r="H8" i="285"/>
  <c r="H9" i="285"/>
  <c r="H6" i="285"/>
  <c r="H5" i="285"/>
  <c r="H7" i="285"/>
  <c r="H4" i="285"/>
  <c r="H10" i="285"/>
  <c r="AB105" i="282"/>
  <c r="AB83" i="282"/>
  <c r="AA84" i="282"/>
  <c r="AA77" i="282"/>
  <c r="AA88" i="282"/>
  <c r="AM161" i="4"/>
  <c r="AM164" i="4"/>
  <c r="AM243" i="4" s="1"/>
  <c r="AG228" i="4"/>
  <c r="AG231" i="4" s="1"/>
  <c r="AF257" i="4"/>
  <c r="W271" i="282" l="1"/>
  <c r="W336" i="282" s="1"/>
  <c r="W349" i="282" s="1"/>
  <c r="W6" i="282" s="1"/>
  <c r="L21" i="283" s="1"/>
  <c r="L23" i="283" s="1"/>
  <c r="Y202" i="282"/>
  <c r="Y228" i="282" s="1"/>
  <c r="V425" i="282"/>
  <c r="W270" i="282"/>
  <c r="W335" i="282" s="1"/>
  <c r="W348" i="282" s="1"/>
  <c r="W5" i="282" s="1"/>
  <c r="AQ24" i="4"/>
  <c r="T19" i="291"/>
  <c r="P262" i="281"/>
  <c r="O191" i="281"/>
  <c r="W273" i="282"/>
  <c r="W338" i="282" s="1"/>
  <c r="W351" i="282" s="1"/>
  <c r="W8" i="282" s="1"/>
  <c r="G124" i="281"/>
  <c r="P192" i="281"/>
  <c r="P194" i="281" s="1"/>
  <c r="P195" i="281" s="1"/>
  <c r="P196" i="281" s="1"/>
  <c r="N194" i="281"/>
  <c r="N195" i="281" s="1"/>
  <c r="N196" i="281" s="1"/>
  <c r="F125" i="281"/>
  <c r="F127" i="281" s="1"/>
  <c r="Z110" i="5"/>
  <c r="Y22" i="5"/>
  <c r="G122" i="281"/>
  <c r="W269" i="282"/>
  <c r="W334" i="282" s="1"/>
  <c r="W333" i="282" s="1"/>
  <c r="W423" i="282" s="1"/>
  <c r="V277" i="282"/>
  <c r="V342" i="282" s="1"/>
  <c r="V355" i="282" s="1"/>
  <c r="V12" i="282" s="1"/>
  <c r="J21" i="283"/>
  <c r="J23" i="283" s="1"/>
  <c r="M6" i="284"/>
  <c r="AJ17" i="4" s="1"/>
  <c r="J19" i="285"/>
  <c r="S414" i="282"/>
  <c r="T414" i="282"/>
  <c r="X242" i="282"/>
  <c r="X268" i="282" s="1"/>
  <c r="Y242" i="282"/>
  <c r="Y275" i="282" s="1"/>
  <c r="Y230" i="282"/>
  <c r="U347" i="282"/>
  <c r="U333" i="282"/>
  <c r="T415" i="282"/>
  <c r="S415" i="282"/>
  <c r="O192" i="281"/>
  <c r="P260" i="281"/>
  <c r="P330" i="281"/>
  <c r="P214" i="281"/>
  <c r="P217" i="281" s="1"/>
  <c r="P218" i="281" s="1"/>
  <c r="P219" i="281" s="1"/>
  <c r="N240" i="281"/>
  <c r="N241" i="281" s="1"/>
  <c r="N242" i="281" s="1"/>
  <c r="O238" i="281"/>
  <c r="O237" i="281"/>
  <c r="O239" i="281"/>
  <c r="R216" i="281"/>
  <c r="P239" i="281"/>
  <c r="P238" i="281"/>
  <c r="P237" i="281"/>
  <c r="AN67" i="4"/>
  <c r="AN259" i="4" s="1"/>
  <c r="G99" i="281"/>
  <c r="Z204" i="282"/>
  <c r="O306" i="281"/>
  <c r="AP23" i="4"/>
  <c r="T10" i="291"/>
  <c r="U122" i="291"/>
  <c r="T122" i="291"/>
  <c r="O307" i="281"/>
  <c r="N309" i="281"/>
  <c r="N310" i="281" s="1"/>
  <c r="N311" i="281" s="1"/>
  <c r="P309" i="281"/>
  <c r="P310" i="281" s="1"/>
  <c r="P311" i="281" s="1"/>
  <c r="P286" i="281"/>
  <c r="P287" i="281" s="1"/>
  <c r="P288" i="281" s="1"/>
  <c r="N286" i="281"/>
  <c r="N287" i="281" s="1"/>
  <c r="N288" i="281" s="1"/>
  <c r="O285" i="281"/>
  <c r="O283" i="281"/>
  <c r="O284" i="281"/>
  <c r="S16" i="291"/>
  <c r="S19" i="291" s="1"/>
  <c r="N217" i="281"/>
  <c r="N218" i="281" s="1"/>
  <c r="N219" i="281" s="1"/>
  <c r="O331" i="281"/>
  <c r="AO23" i="4"/>
  <c r="O330" i="281"/>
  <c r="R193" i="281"/>
  <c r="P332" i="281"/>
  <c r="P333" i="281" s="1"/>
  <c r="P334" i="281" s="1"/>
  <c r="G81" i="281"/>
  <c r="W29" i="266"/>
  <c r="K23" i="267"/>
  <c r="K26" i="267" s="1"/>
  <c r="K19" i="267"/>
  <c r="C155" i="281"/>
  <c r="E11" i="293"/>
  <c r="E156" i="281"/>
  <c r="X29" i="266"/>
  <c r="N332" i="281"/>
  <c r="O215" i="281"/>
  <c r="O216" i="281"/>
  <c r="O214" i="281"/>
  <c r="X84" i="266"/>
  <c r="X94" i="266"/>
  <c r="X87" i="266"/>
  <c r="Y73" i="266"/>
  <c r="Y76" i="266" s="1"/>
  <c r="Y79" i="266"/>
  <c r="Y82" i="266" s="1"/>
  <c r="O262" i="281"/>
  <c r="O261" i="281"/>
  <c r="O260" i="281"/>
  <c r="N263" i="281"/>
  <c r="N264" i="281" s="1"/>
  <c r="N265" i="281" s="1"/>
  <c r="AR23" i="4"/>
  <c r="E20" i="293"/>
  <c r="C362" i="281"/>
  <c r="E363" i="281"/>
  <c r="M7" i="267"/>
  <c r="AB106" i="282"/>
  <c r="AB164" i="282" s="1"/>
  <c r="L8" i="267"/>
  <c r="L17" i="267" s="1"/>
  <c r="Q30" i="266"/>
  <c r="Q47" i="266" s="1"/>
  <c r="R28" i="266"/>
  <c r="N42" i="266"/>
  <c r="N45" i="266" s="1"/>
  <c r="N34" i="266"/>
  <c r="X16" i="266"/>
  <c r="X19" i="266" s="1"/>
  <c r="Y10" i="266" s="1"/>
  <c r="X36" i="266"/>
  <c r="X26" i="266"/>
  <c r="V47" i="4"/>
  <c r="V38" i="4"/>
  <c r="V42" i="4"/>
  <c r="V31" i="4"/>
  <c r="W26" i="266"/>
  <c r="W36" i="266"/>
  <c r="G30" i="281"/>
  <c r="G32" i="281"/>
  <c r="G31" i="281"/>
  <c r="M93" i="256"/>
  <c r="G10" i="281"/>
  <c r="G11" i="281" s="1"/>
  <c r="G12" i="281" s="1"/>
  <c r="F56" i="281"/>
  <c r="F58" i="281" s="1"/>
  <c r="F447" i="281" s="1"/>
  <c r="N68" i="256"/>
  <c r="N61" i="256" s="1"/>
  <c r="N63" i="256" s="1"/>
  <c r="N79" i="256" s="1"/>
  <c r="G52" i="281"/>
  <c r="S88" i="266"/>
  <c r="T86" i="266"/>
  <c r="O92" i="266"/>
  <c r="O100" i="266"/>
  <c r="O103" i="266" s="1"/>
  <c r="H7" i="281"/>
  <c r="H9" i="281"/>
  <c r="H8" i="281"/>
  <c r="M12" i="267"/>
  <c r="M14" i="267" s="1"/>
  <c r="M94" i="256"/>
  <c r="O56" i="256"/>
  <c r="O59" i="256" s="1"/>
  <c r="O23" i="256"/>
  <c r="O16" i="256" s="1"/>
  <c r="O18" i="256" s="1"/>
  <c r="O34" i="256" s="1"/>
  <c r="N21" i="256"/>
  <c r="N29" i="256"/>
  <c r="N32" i="256" s="1"/>
  <c r="N74" i="256"/>
  <c r="N77" i="256" s="1"/>
  <c r="N66" i="256"/>
  <c r="P11" i="256"/>
  <c r="P14" i="256" s="1"/>
  <c r="X227" i="282"/>
  <c r="AC106" i="282"/>
  <c r="AC161" i="282" s="1"/>
  <c r="W340" i="282"/>
  <c r="W424" i="282" s="1"/>
  <c r="W354" i="282"/>
  <c r="Z156" i="282"/>
  <c r="Z196" i="282" s="1"/>
  <c r="Z222" i="282" s="1"/>
  <c r="Z155" i="282"/>
  <c r="Z195" i="282" s="1"/>
  <c r="Z158" i="282"/>
  <c r="Z198" i="282" s="1"/>
  <c r="Z224" i="282" s="1"/>
  <c r="Z157" i="282"/>
  <c r="Z197" i="282" s="1"/>
  <c r="Z223" i="282" s="1"/>
  <c r="Z160" i="282"/>
  <c r="Z200" i="282" s="1"/>
  <c r="Z226" i="282" s="1"/>
  <c r="Z159" i="282"/>
  <c r="Z199" i="282" s="1"/>
  <c r="Z225" i="282" s="1"/>
  <c r="N6" i="284"/>
  <c r="K19" i="285"/>
  <c r="L19" i="285"/>
  <c r="O6" i="284"/>
  <c r="Y220" i="282"/>
  <c r="AA136" i="282"/>
  <c r="AA133" i="282"/>
  <c r="Y137" i="282"/>
  <c r="AB99" i="282"/>
  <c r="X275" i="282"/>
  <c r="AB184" i="282"/>
  <c r="AB183" i="282"/>
  <c r="AB187" i="282"/>
  <c r="AB185" i="282"/>
  <c r="AB182" i="282"/>
  <c r="AB186" i="282"/>
  <c r="AC84" i="282"/>
  <c r="I3" i="285"/>
  <c r="Z201" i="282"/>
  <c r="Z135" i="282"/>
  <c r="Z134" i="282"/>
  <c r="V340" i="282"/>
  <c r="V424" i="282" s="1"/>
  <c r="V354" i="282"/>
  <c r="AC164" i="282"/>
  <c r="AA164" i="282"/>
  <c r="AA161" i="282"/>
  <c r="AA154" i="282"/>
  <c r="AC99" i="282"/>
  <c r="Z162" i="282"/>
  <c r="Z163" i="282"/>
  <c r="Y227" i="282"/>
  <c r="AB84" i="282"/>
  <c r="V347" i="282"/>
  <c r="V333" i="282"/>
  <c r="V423" i="282" s="1"/>
  <c r="AC77" i="282"/>
  <c r="AC88" i="282"/>
  <c r="J15" i="284"/>
  <c r="G13" i="285"/>
  <c r="G11" i="285"/>
  <c r="J13" i="284" s="1"/>
  <c r="H98" i="281" s="1"/>
  <c r="G12" i="285"/>
  <c r="J14" i="284" s="1"/>
  <c r="H121" i="281" s="1"/>
  <c r="H3" i="285"/>
  <c r="AB77" i="282"/>
  <c r="AB88" i="282"/>
  <c r="X220" i="282"/>
  <c r="AC185" i="282"/>
  <c r="AC182" i="282"/>
  <c r="AC187" i="282"/>
  <c r="AC184" i="282"/>
  <c r="AC186" i="282"/>
  <c r="AC183" i="282"/>
  <c r="AN159" i="4"/>
  <c r="AM255" i="4"/>
  <c r="AM50" i="4"/>
  <c r="AH226" i="4"/>
  <c r="AG256" i="4"/>
  <c r="AG247" i="4"/>
  <c r="AG254" i="4" s="1"/>
  <c r="G125" i="281" l="1"/>
  <c r="G126" i="281" s="1"/>
  <c r="G127" i="281" s="1"/>
  <c r="P263" i="281"/>
  <c r="P264" i="281" s="1"/>
  <c r="P265" i="281" s="1"/>
  <c r="O194" i="281"/>
  <c r="O195" i="281" s="1"/>
  <c r="O196" i="281" s="1"/>
  <c r="Z22" i="5"/>
  <c r="W347" i="282"/>
  <c r="W4" i="282" s="1"/>
  <c r="W3" i="282" s="1"/>
  <c r="Y278" i="282"/>
  <c r="Y343" i="282" s="1"/>
  <c r="Y356" i="282" s="1"/>
  <c r="X278" i="282"/>
  <c r="X343" i="282" s="1"/>
  <c r="X356" i="282" s="1"/>
  <c r="X13" i="282" s="1"/>
  <c r="X409" i="282" s="1"/>
  <c r="AC154" i="282"/>
  <c r="AC159" i="282" s="1"/>
  <c r="AC199" i="282" s="1"/>
  <c r="AC225" i="282" s="1"/>
  <c r="AA110" i="5"/>
  <c r="AB154" i="282"/>
  <c r="AB157" i="282" s="1"/>
  <c r="AB197" i="282" s="1"/>
  <c r="AB223" i="282" s="1"/>
  <c r="Y13" i="282"/>
  <c r="Y409" i="282" s="1"/>
  <c r="AB161" i="282"/>
  <c r="H124" i="281"/>
  <c r="H123" i="281"/>
  <c r="H122" i="281"/>
  <c r="Y231" i="282"/>
  <c r="X425" i="282"/>
  <c r="W426" i="282"/>
  <c r="W431" i="282" s="1"/>
  <c r="Z230" i="282"/>
  <c r="Y268" i="282"/>
  <c r="Y270" i="282" s="1"/>
  <c r="Y335" i="282" s="1"/>
  <c r="Y348" i="282" s="1"/>
  <c r="Y5" i="282" s="1"/>
  <c r="U423" i="282"/>
  <c r="U31" i="282"/>
  <c r="V426" i="282"/>
  <c r="V431" i="282" s="1"/>
  <c r="U346" i="282"/>
  <c r="U357" i="282" s="1"/>
  <c r="U4" i="282"/>
  <c r="U3" i="282" s="1"/>
  <c r="J18" i="285"/>
  <c r="O240" i="281"/>
  <c r="O241" i="281" s="1"/>
  <c r="O242" i="281" s="1"/>
  <c r="P240" i="281"/>
  <c r="P241" i="281" s="1"/>
  <c r="P242" i="281" s="1"/>
  <c r="AP24" i="4"/>
  <c r="AP25" i="4" s="1"/>
  <c r="R238" i="281"/>
  <c r="R237" i="281"/>
  <c r="R239" i="281"/>
  <c r="T13" i="291"/>
  <c r="R330" i="281" s="1"/>
  <c r="AN260" i="4"/>
  <c r="Y39" i="6"/>
  <c r="G102" i="281"/>
  <c r="G103" i="281" s="1"/>
  <c r="G104" i="281" s="1"/>
  <c r="AK18" i="4"/>
  <c r="K18" i="285"/>
  <c r="AL18" i="4"/>
  <c r="L18" i="285"/>
  <c r="O309" i="281"/>
  <c r="O310" i="281" s="1"/>
  <c r="O311" i="281" s="1"/>
  <c r="Q306" i="281"/>
  <c r="R306" i="281"/>
  <c r="R308" i="281"/>
  <c r="R307" i="281"/>
  <c r="O286" i="281"/>
  <c r="O287" i="281" s="1"/>
  <c r="O288" i="281" s="1"/>
  <c r="R285" i="281"/>
  <c r="R283" i="281"/>
  <c r="R284" i="281"/>
  <c r="Q216" i="281"/>
  <c r="Q191" i="281"/>
  <c r="Q331" i="281"/>
  <c r="Q260" i="281"/>
  <c r="O332" i="281"/>
  <c r="O333" i="281" s="1"/>
  <c r="O334" i="281" s="1"/>
  <c r="AO25" i="4"/>
  <c r="R214" i="281"/>
  <c r="R191" i="281"/>
  <c r="R215" i="281"/>
  <c r="R192" i="281"/>
  <c r="O263" i="281"/>
  <c r="O264" i="281" s="1"/>
  <c r="O265" i="281" s="1"/>
  <c r="O217" i="281"/>
  <c r="H179" i="281"/>
  <c r="C156" i="281"/>
  <c r="G11" i="293"/>
  <c r="R262" i="281"/>
  <c r="R260" i="281"/>
  <c r="R261" i="281"/>
  <c r="Y94" i="266"/>
  <c r="Y84" i="266"/>
  <c r="N333" i="281"/>
  <c r="N334" i="281" s="1"/>
  <c r="H363" i="281"/>
  <c r="G20" i="293"/>
  <c r="C363" i="281"/>
  <c r="Y87" i="266"/>
  <c r="L9" i="267"/>
  <c r="G33" i="281"/>
  <c r="G34" i="281" s="1"/>
  <c r="G35" i="281" s="1"/>
  <c r="N57" i="266"/>
  <c r="H29" i="281" s="1"/>
  <c r="M95" i="256"/>
  <c r="Y16" i="266"/>
  <c r="Y19" i="266" s="1"/>
  <c r="Y21" i="266"/>
  <c r="Y24" i="266" s="1"/>
  <c r="V48" i="4"/>
  <c r="V51" i="4"/>
  <c r="V109" i="4" s="1"/>
  <c r="V110" i="4" s="1"/>
  <c r="N46" i="266"/>
  <c r="O33" i="266"/>
  <c r="R30" i="266"/>
  <c r="R47" i="266" s="1"/>
  <c r="S28" i="266"/>
  <c r="N71" i="256"/>
  <c r="H10" i="281"/>
  <c r="H11" i="281" s="1"/>
  <c r="H12" i="281" s="1"/>
  <c r="O114" i="266"/>
  <c r="N13" i="267" s="1"/>
  <c r="P51" i="256"/>
  <c r="O69" i="256"/>
  <c r="Q6" i="256"/>
  <c r="P24" i="256"/>
  <c r="AG7" i="4"/>
  <c r="M24" i="267"/>
  <c r="T88" i="266"/>
  <c r="U86" i="266"/>
  <c r="N89" i="256"/>
  <c r="N44" i="256"/>
  <c r="O26" i="256"/>
  <c r="M16" i="267"/>
  <c r="O20" i="256"/>
  <c r="N33" i="256"/>
  <c r="N78" i="256"/>
  <c r="O65" i="256"/>
  <c r="O104" i="266"/>
  <c r="P91" i="266"/>
  <c r="G54" i="281"/>
  <c r="G53" i="281"/>
  <c r="Z203" i="282"/>
  <c r="Z229" i="282" s="1"/>
  <c r="W31" i="282"/>
  <c r="X231" i="282"/>
  <c r="V31" i="282"/>
  <c r="K15" i="284"/>
  <c r="H13" i="285"/>
  <c r="H11" i="285"/>
  <c r="K13" i="284" s="1"/>
  <c r="I98" i="281" s="1"/>
  <c r="H12" i="285"/>
  <c r="K14" i="284" s="1"/>
  <c r="I121" i="281" s="1"/>
  <c r="AG21" i="4"/>
  <c r="AA201" i="282"/>
  <c r="AA163" i="282"/>
  <c r="AA162" i="282"/>
  <c r="X272" i="282"/>
  <c r="X337" i="282" s="1"/>
  <c r="X350" i="282" s="1"/>
  <c r="X7" i="282" s="1"/>
  <c r="X270" i="282"/>
  <c r="X335" i="282" s="1"/>
  <c r="X348" i="282" s="1"/>
  <c r="X5" i="282" s="1"/>
  <c r="X273" i="282"/>
  <c r="X338" i="282" s="1"/>
  <c r="X351" i="282" s="1"/>
  <c r="X8" i="282" s="1"/>
  <c r="X269" i="282"/>
  <c r="X334" i="282" s="1"/>
  <c r="X274" i="282"/>
  <c r="X339" i="282" s="1"/>
  <c r="X352" i="282" s="1"/>
  <c r="X9" i="282" s="1"/>
  <c r="X271" i="282"/>
  <c r="X336" i="282" s="1"/>
  <c r="X349" i="282" s="1"/>
  <c r="X6" i="282" s="1"/>
  <c r="M21" i="283" s="1"/>
  <c r="M23" i="283" s="1"/>
  <c r="Z221" i="282"/>
  <c r="Z194" i="282"/>
  <c r="V346" i="282"/>
  <c r="V4" i="282"/>
  <c r="V3" i="282" s="1"/>
  <c r="AA204" i="282"/>
  <c r="AB133" i="282"/>
  <c r="AB136" i="282"/>
  <c r="AB204" i="282" s="1"/>
  <c r="Y271" i="282"/>
  <c r="Y336" i="282" s="1"/>
  <c r="Y349" i="282" s="1"/>
  <c r="Y6" i="282" s="1"/>
  <c r="N21" i="283" s="1"/>
  <c r="AC163" i="282"/>
  <c r="AC162" i="282"/>
  <c r="Z137" i="282"/>
  <c r="L15" i="284"/>
  <c r="I13" i="285"/>
  <c r="I11" i="285"/>
  <c r="L13" i="284" s="1"/>
  <c r="J98" i="281" s="1"/>
  <c r="I12" i="285"/>
  <c r="L14" i="284" s="1"/>
  <c r="J121" i="281" s="1"/>
  <c r="AB163" i="282"/>
  <c r="AB162" i="282"/>
  <c r="W353" i="282"/>
  <c r="W11" i="282"/>
  <c r="W10" i="282" s="1"/>
  <c r="W408" i="282" s="1"/>
  <c r="AA158" i="282"/>
  <c r="AA198" i="282" s="1"/>
  <c r="AA224" i="282" s="1"/>
  <c r="AA159" i="282"/>
  <c r="AA199" i="282" s="1"/>
  <c r="AA225" i="282" s="1"/>
  <c r="AA155" i="282"/>
  <c r="AA195" i="282" s="1"/>
  <c r="AA160" i="282"/>
  <c r="AA200" i="282" s="1"/>
  <c r="AA226" i="282" s="1"/>
  <c r="AA156" i="282"/>
  <c r="AA196" i="282" s="1"/>
  <c r="AA222" i="282" s="1"/>
  <c r="AA157" i="282"/>
  <c r="AA197" i="282" s="1"/>
  <c r="AA223" i="282" s="1"/>
  <c r="Y276" i="282"/>
  <c r="Y341" i="282" s="1"/>
  <c r="Y277" i="282"/>
  <c r="Y342" i="282" s="1"/>
  <c r="Y355" i="282" s="1"/>
  <c r="Y12" i="282" s="1"/>
  <c r="V353" i="282"/>
  <c r="V11" i="282"/>
  <c r="V10" i="282" s="1"/>
  <c r="V408" i="282" s="1"/>
  <c r="Z202" i="282"/>
  <c r="Z228" i="282" s="1"/>
  <c r="X276" i="282"/>
  <c r="X341" i="282" s="1"/>
  <c r="X277" i="282"/>
  <c r="X342" i="282" s="1"/>
  <c r="X355" i="282" s="1"/>
  <c r="X12" i="282" s="1"/>
  <c r="AA135" i="282"/>
  <c r="AA134" i="282"/>
  <c r="AL17" i="4"/>
  <c r="AK17" i="4"/>
  <c r="AC133" i="282"/>
  <c r="AC136" i="282"/>
  <c r="AC204" i="282" s="1"/>
  <c r="AB155" i="282"/>
  <c r="AB195" i="282" s="1"/>
  <c r="AB158" i="282"/>
  <c r="AB198" i="282" s="1"/>
  <c r="AB224" i="282" s="1"/>
  <c r="W346" i="282"/>
  <c r="AC156" i="282"/>
  <c r="AC196" i="282" s="1"/>
  <c r="AC222" i="282" s="1"/>
  <c r="AC155" i="282"/>
  <c r="AC195" i="282" s="1"/>
  <c r="AC157" i="282"/>
  <c r="AC197" i="282" s="1"/>
  <c r="AC223" i="282" s="1"/>
  <c r="AN164" i="4"/>
  <c r="AN243" i="4" s="1"/>
  <c r="AN161" i="4"/>
  <c r="AH228" i="4"/>
  <c r="AH231" i="4" s="1"/>
  <c r="AG257" i="4"/>
  <c r="AG261" i="4"/>
  <c r="AC158" i="282" l="1"/>
  <c r="AC198" i="282" s="1"/>
  <c r="AC224" i="282" s="1"/>
  <c r="Y269" i="282"/>
  <c r="Y334" i="282" s="1"/>
  <c r="AC160" i="282"/>
  <c r="AC200" i="282" s="1"/>
  <c r="AC226" i="282" s="1"/>
  <c r="Y272" i="282"/>
  <c r="Y337" i="282" s="1"/>
  <c r="Y350" i="282" s="1"/>
  <c r="Y7" i="282" s="1"/>
  <c r="R329" i="281"/>
  <c r="AB156" i="282"/>
  <c r="AB196" i="282" s="1"/>
  <c r="AB222" i="282" s="1"/>
  <c r="Y425" i="282"/>
  <c r="R331" i="281"/>
  <c r="R332" i="281" s="1"/>
  <c r="R333" i="281" s="1"/>
  <c r="R334" i="281" s="1"/>
  <c r="AB110" i="5"/>
  <c r="AA22" i="5"/>
  <c r="N23" i="283"/>
  <c r="AB160" i="282"/>
  <c r="AB200" i="282" s="1"/>
  <c r="AB226" i="282" s="1"/>
  <c r="AB159" i="282"/>
  <c r="AB199" i="282" s="1"/>
  <c r="AB225" i="282" s="1"/>
  <c r="J122" i="281"/>
  <c r="J123" i="281"/>
  <c r="J124" i="281"/>
  <c r="Y273" i="282"/>
  <c r="Y338" i="282" s="1"/>
  <c r="Y351" i="282" s="1"/>
  <c r="Y8" i="282" s="1"/>
  <c r="Y274" i="282"/>
  <c r="Y339" i="282" s="1"/>
  <c r="Y352" i="282" s="1"/>
  <c r="Y9" i="282" s="1"/>
  <c r="I124" i="281"/>
  <c r="I122" i="281"/>
  <c r="I123" i="281"/>
  <c r="H125" i="281"/>
  <c r="H126" i="281" s="1"/>
  <c r="H127" i="281" s="1"/>
  <c r="O8" i="284"/>
  <c r="AL19" i="4"/>
  <c r="W430" i="282"/>
  <c r="J4" i="285"/>
  <c r="J5" i="285"/>
  <c r="J9" i="285"/>
  <c r="J8" i="285"/>
  <c r="J6" i="285"/>
  <c r="J10" i="285"/>
  <c r="J7" i="285"/>
  <c r="AB230" i="282"/>
  <c r="W429" i="282"/>
  <c r="Z242" i="282"/>
  <c r="Z275" i="282" s="1"/>
  <c r="U410" i="282"/>
  <c r="U407" i="282"/>
  <c r="U14" i="282"/>
  <c r="U426" i="282"/>
  <c r="U429" i="282" s="1"/>
  <c r="W407" i="282"/>
  <c r="W410" i="282"/>
  <c r="W416" i="282" s="1"/>
  <c r="AC230" i="282"/>
  <c r="AA230" i="282"/>
  <c r="V429" i="282"/>
  <c r="V410" i="282"/>
  <c r="V416" i="282" s="1"/>
  <c r="V407" i="282"/>
  <c r="AJ18" i="4"/>
  <c r="AJ19" i="4" s="1"/>
  <c r="M8" i="284"/>
  <c r="V430" i="282"/>
  <c r="U16" i="291"/>
  <c r="C16" i="293" s="1"/>
  <c r="Q237" i="281"/>
  <c r="Q239" i="281"/>
  <c r="Q238" i="281"/>
  <c r="R240" i="281"/>
  <c r="R241" i="281" s="1"/>
  <c r="R242" i="281" s="1"/>
  <c r="AK19" i="4"/>
  <c r="N8" i="284"/>
  <c r="AN18" i="4"/>
  <c r="Q308" i="281"/>
  <c r="Q307" i="281"/>
  <c r="R309" i="281"/>
  <c r="R310" i="281" s="1"/>
  <c r="R311" i="281" s="1"/>
  <c r="Q193" i="281"/>
  <c r="Q192" i="281"/>
  <c r="Q215" i="281"/>
  <c r="R286" i="281"/>
  <c r="R287" i="281" s="1"/>
  <c r="R288" i="281" s="1"/>
  <c r="Q283" i="281"/>
  <c r="Q285" i="281"/>
  <c r="Q284" i="281"/>
  <c r="Q214" i="281"/>
  <c r="Q262" i="281"/>
  <c r="Q261" i="281"/>
  <c r="Q329" i="281"/>
  <c r="Q330" i="281"/>
  <c r="R217" i="281"/>
  <c r="R218" i="281" s="1"/>
  <c r="R219" i="281" s="1"/>
  <c r="R194" i="281"/>
  <c r="R195" i="281" s="1"/>
  <c r="R196" i="281" s="1"/>
  <c r="O22" i="6"/>
  <c r="O218" i="281"/>
  <c r="O219" i="281" s="1"/>
  <c r="R263" i="281"/>
  <c r="R264" i="281" s="1"/>
  <c r="R265" i="281" s="1"/>
  <c r="P56" i="5"/>
  <c r="AA35" i="4"/>
  <c r="AA46" i="4"/>
  <c r="J11" i="293"/>
  <c r="AR24" i="4"/>
  <c r="AR25" i="4" s="1"/>
  <c r="J20" i="293"/>
  <c r="L23" i="267"/>
  <c r="L26" i="267" s="1"/>
  <c r="M8" i="267"/>
  <c r="M9" i="267" s="1"/>
  <c r="L19" i="267"/>
  <c r="AA137" i="282"/>
  <c r="T28" i="266"/>
  <c r="S30" i="266"/>
  <c r="S47" i="266" s="1"/>
  <c r="H31" i="281"/>
  <c r="H32" i="281"/>
  <c r="H30" i="281"/>
  <c r="AA108" i="4"/>
  <c r="V112" i="4"/>
  <c r="V114" i="4" s="1"/>
  <c r="V53" i="4" s="1"/>
  <c r="N126" i="5" s="1"/>
  <c r="N128" i="5" s="1"/>
  <c r="N146" i="5" s="1"/>
  <c r="V113" i="4"/>
  <c r="Y26" i="266"/>
  <c r="Y36" i="266"/>
  <c r="Y29" i="266"/>
  <c r="O34" i="266"/>
  <c r="O42" i="266"/>
  <c r="O45" i="266" s="1"/>
  <c r="G56" i="281"/>
  <c r="G57" i="281" s="1"/>
  <c r="G58" i="281" s="1"/>
  <c r="G447" i="281" s="1"/>
  <c r="O74" i="256"/>
  <c r="O77" i="256" s="1"/>
  <c r="O66" i="256"/>
  <c r="N94" i="256"/>
  <c r="N12" i="267"/>
  <c r="N14" i="267" s="1"/>
  <c r="P56" i="256"/>
  <c r="P59" i="256" s="1"/>
  <c r="O21" i="256"/>
  <c r="O29" i="256"/>
  <c r="O32" i="256" s="1"/>
  <c r="U88" i="266"/>
  <c r="V86" i="266"/>
  <c r="P23" i="256"/>
  <c r="P16" i="256" s="1"/>
  <c r="P18" i="256" s="1"/>
  <c r="P34" i="256" s="1"/>
  <c r="P92" i="266"/>
  <c r="P100" i="266"/>
  <c r="P103" i="266" s="1"/>
  <c r="N7" i="267"/>
  <c r="N93" i="256"/>
  <c r="I6" i="281"/>
  <c r="Q11" i="256"/>
  <c r="Q14" i="256" s="1"/>
  <c r="AG11" i="4"/>
  <c r="H52" i="281"/>
  <c r="O68" i="256"/>
  <c r="AA203" i="282"/>
  <c r="AA229" i="282" s="1"/>
  <c r="Z220" i="282"/>
  <c r="W14" i="282"/>
  <c r="Y340" i="282"/>
  <c r="Y424" i="282" s="1"/>
  <c r="Y354" i="282"/>
  <c r="M19" i="285"/>
  <c r="P6" i="284"/>
  <c r="H101" i="281"/>
  <c r="H99" i="281"/>
  <c r="AB194" i="282"/>
  <c r="AB221" i="282"/>
  <c r="AB134" i="282"/>
  <c r="AB202" i="282" s="1"/>
  <c r="AB228" i="282" s="1"/>
  <c r="AB201" i="282"/>
  <c r="AB135" i="282"/>
  <c r="AB203" i="282" s="1"/>
  <c r="AB229" i="282" s="1"/>
  <c r="X347" i="282"/>
  <c r="X333" i="282"/>
  <c r="X423" i="282" s="1"/>
  <c r="AA202" i="282"/>
  <c r="AA228" i="282" s="1"/>
  <c r="AC134" i="282"/>
  <c r="AC201" i="282"/>
  <c r="AC135" i="282"/>
  <c r="AC203" i="282" s="1"/>
  <c r="AC229" i="282" s="1"/>
  <c r="X340" i="282"/>
  <c r="X424" i="282" s="1"/>
  <c r="X354" i="282"/>
  <c r="Z227" i="282"/>
  <c r="AA194" i="282"/>
  <c r="AA221" i="282"/>
  <c r="K6" i="285"/>
  <c r="K7" i="285"/>
  <c r="K4" i="285"/>
  <c r="K9" i="285"/>
  <c r="K8" i="285"/>
  <c r="K10" i="285"/>
  <c r="K5" i="285"/>
  <c r="AC194" i="282"/>
  <c r="AC221" i="282"/>
  <c r="W357" i="282"/>
  <c r="L7" i="285"/>
  <c r="L8" i="285"/>
  <c r="L5" i="285"/>
  <c r="L10" i="285"/>
  <c r="L6" i="285"/>
  <c r="L4" i="285"/>
  <c r="L9" i="285"/>
  <c r="V14" i="282"/>
  <c r="AI21" i="4"/>
  <c r="Q6" i="284"/>
  <c r="N19" i="285"/>
  <c r="Y347" i="282"/>
  <c r="V357" i="282"/>
  <c r="AH21" i="4"/>
  <c r="AN50" i="4"/>
  <c r="AN255" i="4"/>
  <c r="AO159" i="4"/>
  <c r="AI226" i="4"/>
  <c r="AH256" i="4"/>
  <c r="AH261" i="4" s="1"/>
  <c r="AH247" i="4"/>
  <c r="AH254" i="4" s="1"/>
  <c r="U19" i="291" l="1"/>
  <c r="P64" i="5"/>
  <c r="P11" i="5" s="1"/>
  <c r="P66" i="5"/>
  <c r="P20" i="5" s="1"/>
  <c r="C17" i="293"/>
  <c r="S307" i="281"/>
  <c r="AQ23" i="4"/>
  <c r="C15" i="293"/>
  <c r="C14" i="293"/>
  <c r="AB22" i="5"/>
  <c r="O59" i="5"/>
  <c r="I125" i="281"/>
  <c r="I126" i="281" s="1"/>
  <c r="I127" i="281" s="1"/>
  <c r="J125" i="281"/>
  <c r="J126" i="281" s="1"/>
  <c r="J127" i="281" s="1"/>
  <c r="Y333" i="282"/>
  <c r="Y423" i="282" s="1"/>
  <c r="Z278" i="282"/>
  <c r="Z343" i="282" s="1"/>
  <c r="Z425" i="282" s="1"/>
  <c r="Z268" i="282"/>
  <c r="Z270" i="282" s="1"/>
  <c r="Z335" i="282" s="1"/>
  <c r="Z348" i="282" s="1"/>
  <c r="Z5" i="282" s="1"/>
  <c r="U414" i="282"/>
  <c r="V414" i="282"/>
  <c r="W415" i="282"/>
  <c r="W414" i="282"/>
  <c r="V415" i="282"/>
  <c r="Y426" i="282"/>
  <c r="Y431" i="282" s="1"/>
  <c r="AA242" i="282"/>
  <c r="AA278" i="282" s="1"/>
  <c r="AA343" i="282" s="1"/>
  <c r="X426" i="282"/>
  <c r="X431" i="282" s="1"/>
  <c r="AC242" i="282"/>
  <c r="AC268" i="282" s="1"/>
  <c r="AB242" i="282"/>
  <c r="AB275" i="282" s="1"/>
  <c r="U430" i="282"/>
  <c r="U431" i="282"/>
  <c r="U416" i="282"/>
  <c r="U415" i="282"/>
  <c r="Z356" i="282"/>
  <c r="Z13" i="282" s="1"/>
  <c r="Z409" i="282" s="1"/>
  <c r="J3" i="285"/>
  <c r="Q240" i="281"/>
  <c r="Q241" i="281" s="1"/>
  <c r="Q242" i="281" s="1"/>
  <c r="S238" i="281"/>
  <c r="Z39" i="6"/>
  <c r="AO67" i="4"/>
  <c r="AO259" i="4" s="1"/>
  <c r="AO260" i="4"/>
  <c r="AM18" i="4"/>
  <c r="Q309" i="281"/>
  <c r="Q310" i="281" s="1"/>
  <c r="Q311" i="281" s="1"/>
  <c r="Q194" i="281"/>
  <c r="Q195" i="281" s="1"/>
  <c r="Q196" i="281" s="1"/>
  <c r="S308" i="281"/>
  <c r="C18" i="293"/>
  <c r="Q217" i="281"/>
  <c r="Q218" i="281" s="1"/>
  <c r="Q219" i="281" s="1"/>
  <c r="Q263" i="281"/>
  <c r="Q264" i="281" s="1"/>
  <c r="Q265" i="281" s="1"/>
  <c r="Q286" i="281"/>
  <c r="Q287" i="281" s="1"/>
  <c r="Q288" i="281" s="1"/>
  <c r="Q332" i="281"/>
  <c r="Q333" i="281" s="1"/>
  <c r="Q334" i="281" s="1"/>
  <c r="S329" i="281"/>
  <c r="S331" i="281"/>
  <c r="S215" i="281"/>
  <c r="C19" i="293"/>
  <c r="S330" i="281"/>
  <c r="H81" i="281"/>
  <c r="S262" i="281"/>
  <c r="S261" i="281"/>
  <c r="S260" i="281"/>
  <c r="AB7" i="293"/>
  <c r="C74" i="293"/>
  <c r="Y31" i="282"/>
  <c r="M17" i="267"/>
  <c r="H33" i="281"/>
  <c r="H34" i="281" s="1"/>
  <c r="H35" i="281" s="1"/>
  <c r="V62" i="4"/>
  <c r="V54" i="4"/>
  <c r="V73" i="4" s="1"/>
  <c r="O89" i="256"/>
  <c r="O94" i="256" s="1"/>
  <c r="O57" i="266"/>
  <c r="N8" i="267" s="1"/>
  <c r="AG6" i="4"/>
  <c r="M19" i="267"/>
  <c r="M23" i="267"/>
  <c r="M26" i="267" s="1"/>
  <c r="P33" i="266"/>
  <c r="O46" i="266"/>
  <c r="U28" i="266"/>
  <c r="T30" i="266"/>
  <c r="T47" i="266" s="1"/>
  <c r="N95" i="256"/>
  <c r="O44" i="256"/>
  <c r="O7" i="267" s="1"/>
  <c r="R6" i="256"/>
  <c r="Q24" i="256"/>
  <c r="Q51" i="256"/>
  <c r="P69" i="256"/>
  <c r="O71" i="256"/>
  <c r="O61" i="256"/>
  <c r="O63" i="256" s="1"/>
  <c r="O79" i="256" s="1"/>
  <c r="I8" i="281"/>
  <c r="I9" i="281"/>
  <c r="I7" i="281"/>
  <c r="P114" i="266"/>
  <c r="O13" i="267" s="1"/>
  <c r="P26" i="256"/>
  <c r="P20" i="256"/>
  <c r="O33" i="256"/>
  <c r="P65" i="256"/>
  <c r="O78" i="256"/>
  <c r="H54" i="281"/>
  <c r="H53" i="281"/>
  <c r="N16" i="267"/>
  <c r="Q91" i="266"/>
  <c r="P104" i="266"/>
  <c r="V88" i="266"/>
  <c r="W86" i="266"/>
  <c r="AH7" i="4"/>
  <c r="N24" i="267"/>
  <c r="H102" i="281"/>
  <c r="H103" i="281" s="1"/>
  <c r="H104" i="281" s="1"/>
  <c r="L3" i="285"/>
  <c r="L12" i="285" s="1"/>
  <c r="O14" i="284" s="1"/>
  <c r="M121" i="281" s="1"/>
  <c r="Q8" i="284"/>
  <c r="AN17" i="4"/>
  <c r="AN19" i="4" s="1"/>
  <c r="I99" i="281"/>
  <c r="I101" i="281"/>
  <c r="Y346" i="282"/>
  <c r="Y4" i="282"/>
  <c r="Y3" i="282" s="1"/>
  <c r="J101" i="281"/>
  <c r="J100" i="281"/>
  <c r="J99" i="281"/>
  <c r="AC137" i="282"/>
  <c r="AC202" i="282"/>
  <c r="AC228" i="282" s="1"/>
  <c r="X346" i="282"/>
  <c r="X4" i="282"/>
  <c r="X3" i="282" s="1"/>
  <c r="AB227" i="282"/>
  <c r="Y353" i="282"/>
  <c r="Y11" i="282"/>
  <c r="Y10" i="282" s="1"/>
  <c r="Y408" i="282" s="1"/>
  <c r="Z231" i="282"/>
  <c r="AC220" i="282"/>
  <c r="X353" i="282"/>
  <c r="X11" i="282"/>
  <c r="X10" i="282" s="1"/>
  <c r="AB137" i="282"/>
  <c r="AA227" i="282"/>
  <c r="Z274" i="282"/>
  <c r="Z339" i="282" s="1"/>
  <c r="Z352" i="282" s="1"/>
  <c r="Z9" i="282" s="1"/>
  <c r="AB220" i="282"/>
  <c r="AM17" i="4"/>
  <c r="X31" i="282"/>
  <c r="Z277" i="282"/>
  <c r="Z342" i="282" s="1"/>
  <c r="Z355" i="282" s="1"/>
  <c r="Z12" i="282" s="1"/>
  <c r="Z276" i="282"/>
  <c r="Z341" i="282" s="1"/>
  <c r="AB278" i="282"/>
  <c r="AB343" i="282" s="1"/>
  <c r="M18" i="285"/>
  <c r="N18" i="285"/>
  <c r="AA220" i="282"/>
  <c r="K3" i="285"/>
  <c r="AO164" i="4"/>
  <c r="AO243" i="4" s="1"/>
  <c r="AO161" i="4"/>
  <c r="AI228" i="4"/>
  <c r="S193" i="281" l="1"/>
  <c r="C13" i="293"/>
  <c r="S306" i="281"/>
  <c r="S309" i="281" s="1"/>
  <c r="S310" i="281" s="1"/>
  <c r="S311" i="281" s="1"/>
  <c r="D319" i="281" s="1"/>
  <c r="S239" i="281"/>
  <c r="S191" i="281"/>
  <c r="S192" i="281"/>
  <c r="S214" i="281"/>
  <c r="S237" i="281"/>
  <c r="S284" i="281"/>
  <c r="S216" i="281"/>
  <c r="S217" i="281" s="1"/>
  <c r="S218" i="281" s="1"/>
  <c r="S219" i="281" s="1"/>
  <c r="D227" i="281" s="1"/>
  <c r="S283" i="281"/>
  <c r="AG33" i="4"/>
  <c r="Q60" i="5" s="1"/>
  <c r="Q56" i="5"/>
  <c r="AC278" i="282"/>
  <c r="AC343" i="282" s="1"/>
  <c r="AC275" i="282"/>
  <c r="S285" i="281"/>
  <c r="AQ25" i="4"/>
  <c r="AF46" i="4"/>
  <c r="P59" i="5" s="1"/>
  <c r="P72" i="5" s="1"/>
  <c r="P29" i="5" s="1"/>
  <c r="P60" i="5"/>
  <c r="O72" i="5"/>
  <c r="O29" i="5" s="1"/>
  <c r="O25" i="6" s="1"/>
  <c r="O70" i="5"/>
  <c r="O26" i="5" s="1"/>
  <c r="O24" i="6" s="1"/>
  <c r="O68" i="5"/>
  <c r="O13" i="5" s="1"/>
  <c r="O23" i="6" s="1"/>
  <c r="O78" i="5"/>
  <c r="O95" i="5" s="1"/>
  <c r="O113" i="5"/>
  <c r="AA268" i="282"/>
  <c r="AA273" i="282" s="1"/>
  <c r="AA338" i="282" s="1"/>
  <c r="AA351" i="282" s="1"/>
  <c r="AA8" i="282" s="1"/>
  <c r="AB268" i="282"/>
  <c r="M122" i="281"/>
  <c r="M124" i="281"/>
  <c r="M123" i="281"/>
  <c r="Z269" i="282"/>
  <c r="Z334" i="282" s="1"/>
  <c r="Y430" i="282"/>
  <c r="AA275" i="282"/>
  <c r="AA277" i="282" s="1"/>
  <c r="AA342" i="282" s="1"/>
  <c r="AA355" i="282" s="1"/>
  <c r="AA12" i="282" s="1"/>
  <c r="Z272" i="282"/>
  <c r="Z337" i="282" s="1"/>
  <c r="Z350" i="282" s="1"/>
  <c r="Z7" i="282" s="1"/>
  <c r="Z271" i="282"/>
  <c r="Z336" i="282" s="1"/>
  <c r="Z349" i="282" s="1"/>
  <c r="Z6" i="282" s="1"/>
  <c r="O21" i="283" s="1"/>
  <c r="Z273" i="282"/>
  <c r="Z338" i="282" s="1"/>
  <c r="Z351" i="282" s="1"/>
  <c r="Z8" i="282" s="1"/>
  <c r="Y429" i="282"/>
  <c r="X407" i="282"/>
  <c r="X410" i="282"/>
  <c r="X416" i="282" s="1"/>
  <c r="Y410" i="282"/>
  <c r="Y416" i="282" s="1"/>
  <c r="Y407" i="282"/>
  <c r="J12" i="285"/>
  <c r="M14" i="284" s="1"/>
  <c r="K121" i="281" s="1"/>
  <c r="M15" i="284"/>
  <c r="J11" i="285"/>
  <c r="M13" i="284" s="1"/>
  <c r="K98" i="281" s="1"/>
  <c r="J13" i="285"/>
  <c r="AB356" i="282"/>
  <c r="AB13" i="282" s="1"/>
  <c r="AB409" i="282" s="1"/>
  <c r="AB425" i="282"/>
  <c r="AC356" i="282"/>
  <c r="AC13" i="282" s="1"/>
  <c r="AC409" i="282" s="1"/>
  <c r="AC425" i="282"/>
  <c r="AD10" i="282"/>
  <c r="X408" i="282"/>
  <c r="X415" i="282" s="1"/>
  <c r="Y415" i="282"/>
  <c r="AA356" i="282"/>
  <c r="AA13" i="282" s="1"/>
  <c r="AA409" i="282" s="1"/>
  <c r="AA425" i="282"/>
  <c r="X429" i="282"/>
  <c r="X430" i="282"/>
  <c r="AP260" i="4"/>
  <c r="AF35" i="4"/>
  <c r="P8" i="284"/>
  <c r="AM19" i="4"/>
  <c r="AO18" i="4"/>
  <c r="S332" i="281"/>
  <c r="S333" i="281" s="1"/>
  <c r="S334" i="281" s="1"/>
  <c r="J81" i="281"/>
  <c r="I81" i="281"/>
  <c r="S263" i="281"/>
  <c r="S264" i="281" s="1"/>
  <c r="S265" i="281" s="1"/>
  <c r="D273" i="281" s="1"/>
  <c r="P22" i="6"/>
  <c r="V82" i="4"/>
  <c r="V57" i="4"/>
  <c r="O12" i="267"/>
  <c r="O14" i="267" s="1"/>
  <c r="AI7" i="4" s="1"/>
  <c r="L13" i="285"/>
  <c r="O15" i="284"/>
  <c r="Y14" i="282"/>
  <c r="I29" i="281"/>
  <c r="I32" i="281" s="1"/>
  <c r="N17" i="267"/>
  <c r="N9" i="267"/>
  <c r="V56" i="4"/>
  <c r="V263" i="4"/>
  <c r="V264" i="4" s="1"/>
  <c r="L11" i="285"/>
  <c r="O13" i="284" s="1"/>
  <c r="M98" i="281" s="1"/>
  <c r="J6" i="281"/>
  <c r="J7" i="281" s="1"/>
  <c r="O93" i="256"/>
  <c r="O95" i="256" s="1"/>
  <c r="P42" i="266"/>
  <c r="P45" i="266" s="1"/>
  <c r="P34" i="266"/>
  <c r="AG10" i="4"/>
  <c r="AG13" i="4" s="1"/>
  <c r="AG30" i="4" s="1"/>
  <c r="Q58" i="5" s="1"/>
  <c r="Q62" i="5" s="1"/>
  <c r="Q10" i="5" s="1"/>
  <c r="AG8" i="4"/>
  <c r="U30" i="266"/>
  <c r="U47" i="266" s="1"/>
  <c r="V28" i="266"/>
  <c r="H56" i="281"/>
  <c r="H57" i="281" s="1"/>
  <c r="H58" i="281" s="1"/>
  <c r="H447" i="281" s="1"/>
  <c r="Q100" i="266"/>
  <c r="Q103" i="266" s="1"/>
  <c r="Q92" i="266"/>
  <c r="V61" i="4"/>
  <c r="V63" i="4"/>
  <c r="V65" i="4" s="1"/>
  <c r="W88" i="266"/>
  <c r="X86" i="266"/>
  <c r="P29" i="256"/>
  <c r="P32" i="256" s="1"/>
  <c r="P21" i="256"/>
  <c r="P68" i="256"/>
  <c r="I10" i="281"/>
  <c r="I11" i="281" s="1"/>
  <c r="I12" i="281" s="1"/>
  <c r="Q56" i="256"/>
  <c r="Q59" i="256" s="1"/>
  <c r="I52" i="281"/>
  <c r="AH11" i="4"/>
  <c r="P66" i="256"/>
  <c r="P74" i="256"/>
  <c r="P77" i="256" s="1"/>
  <c r="Q23" i="256"/>
  <c r="Q16" i="256" s="1"/>
  <c r="Q18" i="256" s="1"/>
  <c r="Q34" i="256" s="1"/>
  <c r="R11" i="256"/>
  <c r="R14" i="256" s="1"/>
  <c r="AA231" i="282"/>
  <c r="Y357" i="282"/>
  <c r="AB231" i="282"/>
  <c r="J102" i="281"/>
  <c r="J103" i="281" s="1"/>
  <c r="J104" i="281" s="1"/>
  <c r="I102" i="281"/>
  <c r="I103" i="281" s="1"/>
  <c r="I104" i="281" s="1"/>
  <c r="AB274" i="282"/>
  <c r="AB339" i="282" s="1"/>
  <c r="AB352" i="282" s="1"/>
  <c r="AB9" i="282" s="1"/>
  <c r="AB270" i="282"/>
  <c r="AB335" i="282" s="1"/>
  <c r="AB348" i="282" s="1"/>
  <c r="AB5" i="282" s="1"/>
  <c r="AB269" i="282"/>
  <c r="AB334" i="282" s="1"/>
  <c r="AB273" i="282"/>
  <c r="AB338" i="282" s="1"/>
  <c r="AB351" i="282" s="1"/>
  <c r="AB8" i="282" s="1"/>
  <c r="AB271" i="282"/>
  <c r="AB336" i="282" s="1"/>
  <c r="AB349" i="282" s="1"/>
  <c r="AB6" i="282" s="1"/>
  <c r="Q21" i="283" s="1"/>
  <c r="AB272" i="282"/>
  <c r="AB337" i="282" s="1"/>
  <c r="AB350" i="282" s="1"/>
  <c r="AB7" i="282" s="1"/>
  <c r="R6" i="284"/>
  <c r="Z347" i="282"/>
  <c r="AC277" i="282"/>
  <c r="AC342" i="282" s="1"/>
  <c r="AC355" i="282" s="1"/>
  <c r="AC12" i="282" s="1"/>
  <c r="AC276" i="282"/>
  <c r="AC341" i="282" s="1"/>
  <c r="N15" i="284"/>
  <c r="K13" i="285"/>
  <c r="K11" i="285"/>
  <c r="N13" i="284" s="1"/>
  <c r="L98" i="281" s="1"/>
  <c r="K12" i="285"/>
  <c r="N14" i="284" s="1"/>
  <c r="L121" i="281" s="1"/>
  <c r="AB277" i="282"/>
  <c r="AB342" i="282" s="1"/>
  <c r="AB355" i="282" s="1"/>
  <c r="AB12" i="282" s="1"/>
  <c r="AB276" i="282"/>
  <c r="AB341" i="282" s="1"/>
  <c r="X14" i="282"/>
  <c r="AD14" i="282" s="1"/>
  <c r="AA272" i="282"/>
  <c r="AA337" i="282" s="1"/>
  <c r="AA350" i="282" s="1"/>
  <c r="AA7" i="282" s="1"/>
  <c r="AA269" i="282"/>
  <c r="AA334" i="282" s="1"/>
  <c r="AA270" i="282"/>
  <c r="AA335" i="282" s="1"/>
  <c r="AA348" i="282" s="1"/>
  <c r="AA5" i="282" s="1"/>
  <c r="X357" i="282"/>
  <c r="AC273" i="282"/>
  <c r="AC338" i="282" s="1"/>
  <c r="AC351" i="282" s="1"/>
  <c r="AC8" i="282" s="1"/>
  <c r="AC271" i="282"/>
  <c r="AC336" i="282" s="1"/>
  <c r="AC349" i="282" s="1"/>
  <c r="AC6" i="282" s="1"/>
  <c r="R21" i="283" s="1"/>
  <c r="AC272" i="282"/>
  <c r="AC337" i="282" s="1"/>
  <c r="AC350" i="282" s="1"/>
  <c r="AC7" i="282" s="1"/>
  <c r="AC270" i="282"/>
  <c r="AC335" i="282" s="1"/>
  <c r="AC348" i="282" s="1"/>
  <c r="AC5" i="282" s="1"/>
  <c r="AC274" i="282"/>
  <c r="AC339" i="282" s="1"/>
  <c r="AC352" i="282" s="1"/>
  <c r="AC9" i="282" s="1"/>
  <c r="AC269" i="282"/>
  <c r="AC334" i="282" s="1"/>
  <c r="AC227" i="282"/>
  <c r="AC231" i="282" s="1"/>
  <c r="N7" i="285"/>
  <c r="N4" i="285"/>
  <c r="N10" i="285"/>
  <c r="N9" i="285"/>
  <c r="N5" i="285"/>
  <c r="N8" i="285"/>
  <c r="N6" i="285"/>
  <c r="M8" i="285"/>
  <c r="M4" i="285"/>
  <c r="M5" i="285"/>
  <c r="M10" i="285"/>
  <c r="M9" i="285"/>
  <c r="M7" i="285"/>
  <c r="M6" i="285"/>
  <c r="Z340" i="282"/>
  <c r="Z424" i="282" s="1"/>
  <c r="Z354" i="282"/>
  <c r="AP159" i="4"/>
  <c r="AO50" i="4"/>
  <c r="AO255" i="4"/>
  <c r="AI231" i="4"/>
  <c r="AJ226" i="4"/>
  <c r="AI256" i="4"/>
  <c r="AI261" i="4" s="1"/>
  <c r="AI247" i="4"/>
  <c r="AI254" i="4" s="1"/>
  <c r="S286" i="281" l="1"/>
  <c r="S287" i="281" s="1"/>
  <c r="S288" i="281" s="1"/>
  <c r="S240" i="281"/>
  <c r="S241" i="281" s="1"/>
  <c r="S242" i="281" s="1"/>
  <c r="D250" i="281" s="1"/>
  <c r="S194" i="281"/>
  <c r="S195" i="281" s="1"/>
  <c r="S196" i="281" s="1"/>
  <c r="C248" i="281"/>
  <c r="Q66" i="5"/>
  <c r="Q20" i="5" s="1"/>
  <c r="Q64" i="5"/>
  <c r="Q11" i="5" s="1"/>
  <c r="AA274" i="282"/>
  <c r="AA339" i="282" s="1"/>
  <c r="AA352" i="282" s="1"/>
  <c r="AA9" i="282" s="1"/>
  <c r="P78" i="5"/>
  <c r="P96" i="5" s="1"/>
  <c r="Q96" i="5" s="1"/>
  <c r="R96" i="5" s="1"/>
  <c r="S96" i="5" s="1"/>
  <c r="T96" i="5" s="1"/>
  <c r="U96" i="5" s="1"/>
  <c r="V96" i="5" s="1"/>
  <c r="W96" i="5" s="1"/>
  <c r="P70" i="5"/>
  <c r="P26" i="5" s="1"/>
  <c r="P33" i="5" s="1"/>
  <c r="P40" i="5" s="1"/>
  <c r="O30" i="6"/>
  <c r="O35" i="6" s="1"/>
  <c r="P113" i="5"/>
  <c r="P68" i="5"/>
  <c r="P13" i="5" s="1"/>
  <c r="P23" i="6" s="1"/>
  <c r="O33" i="5"/>
  <c r="O40" i="5" s="1"/>
  <c r="AF42" i="4"/>
  <c r="P58" i="5"/>
  <c r="P62" i="5" s="1"/>
  <c r="P10" i="5" s="1"/>
  <c r="P95" i="5"/>
  <c r="O109" i="5"/>
  <c r="R23" i="283"/>
  <c r="O23" i="283"/>
  <c r="M125" i="281"/>
  <c r="M126" i="281" s="1"/>
  <c r="M127" i="281" s="1"/>
  <c r="Q23" i="283"/>
  <c r="AA271" i="282"/>
  <c r="AA336" i="282" s="1"/>
  <c r="AA349" i="282" s="1"/>
  <c r="AA6" i="282" s="1"/>
  <c r="P21" i="283" s="1"/>
  <c r="L124" i="281"/>
  <c r="L123" i="281"/>
  <c r="L122" i="281"/>
  <c r="O19" i="285"/>
  <c r="O18" i="285" s="1"/>
  <c r="K122" i="281"/>
  <c r="K123" i="281"/>
  <c r="K124" i="281"/>
  <c r="AA276" i="282"/>
  <c r="AA341" i="282" s="1"/>
  <c r="AA354" i="282" s="1"/>
  <c r="Z333" i="282"/>
  <c r="Z423" i="282" s="1"/>
  <c r="Z426" i="282" s="1"/>
  <c r="Z431" i="282" s="1"/>
  <c r="X414" i="282"/>
  <c r="Y414" i="282"/>
  <c r="AL21" i="4"/>
  <c r="AJ21" i="4"/>
  <c r="E15" i="293"/>
  <c r="AP67" i="4"/>
  <c r="AP259" i="4" s="1"/>
  <c r="AA39" i="6"/>
  <c r="N6" i="6"/>
  <c r="N27" i="6" s="1"/>
  <c r="AR18" i="4"/>
  <c r="AQ18" i="4"/>
  <c r="AP18" i="4"/>
  <c r="E317" i="281"/>
  <c r="D296" i="281"/>
  <c r="D342" i="281"/>
  <c r="E17" i="293"/>
  <c r="C294" i="281"/>
  <c r="E294" i="281"/>
  <c r="C225" i="281"/>
  <c r="AF38" i="4"/>
  <c r="AF47" i="4"/>
  <c r="AF51" i="4" s="1"/>
  <c r="AF109" i="4" s="1"/>
  <c r="V66" i="4"/>
  <c r="K81" i="281"/>
  <c r="V64" i="4"/>
  <c r="V268" i="4" s="1"/>
  <c r="V269" i="4" s="1"/>
  <c r="O16" i="267"/>
  <c r="P25" i="6"/>
  <c r="AH6" i="4"/>
  <c r="R56" i="5" s="1"/>
  <c r="O24" i="267"/>
  <c r="D204" i="281"/>
  <c r="E19" i="293"/>
  <c r="C340" i="281"/>
  <c r="E340" i="281"/>
  <c r="N19" i="267"/>
  <c r="I30" i="281"/>
  <c r="I31" i="281"/>
  <c r="N23" i="267"/>
  <c r="N26" i="267" s="1"/>
  <c r="V265" i="4"/>
  <c r="P57" i="266"/>
  <c r="J29" i="281" s="1"/>
  <c r="J9" i="281"/>
  <c r="J8" i="281"/>
  <c r="AG31" i="4"/>
  <c r="AG38" i="4"/>
  <c r="AG42" i="4"/>
  <c r="P46" i="266"/>
  <c r="Q33" i="266"/>
  <c r="AG46" i="4"/>
  <c r="Q59" i="5" s="1"/>
  <c r="AG35" i="4"/>
  <c r="V30" i="266"/>
  <c r="V47" i="266" s="1"/>
  <c r="W28" i="266"/>
  <c r="R51" i="256"/>
  <c r="Q69" i="256"/>
  <c r="R24" i="256"/>
  <c r="S6" i="256"/>
  <c r="I55" i="281"/>
  <c r="I53" i="281"/>
  <c r="I54" i="281"/>
  <c r="P89" i="256"/>
  <c r="P44" i="256"/>
  <c r="P93" i="256" s="1"/>
  <c r="X88" i="266"/>
  <c r="Y86" i="266"/>
  <c r="Y88" i="266" s="1"/>
  <c r="Q114" i="266"/>
  <c r="P13" i="267" s="1"/>
  <c r="Q26" i="256"/>
  <c r="P71" i="256"/>
  <c r="P61" i="256"/>
  <c r="P63" i="256" s="1"/>
  <c r="P79" i="256" s="1"/>
  <c r="P78" i="256"/>
  <c r="Q65" i="256"/>
  <c r="P33" i="256"/>
  <c r="Q20" i="256"/>
  <c r="R91" i="266"/>
  <c r="Q104" i="266"/>
  <c r="R19" i="285"/>
  <c r="U6" i="284"/>
  <c r="AA347" i="282"/>
  <c r="Z346" i="282"/>
  <c r="Z4" i="282"/>
  <c r="Z3" i="282" s="1"/>
  <c r="AC354" i="282"/>
  <c r="AC340" i="282"/>
  <c r="AC424" i="282" s="1"/>
  <c r="Q19" i="285"/>
  <c r="T6" i="284"/>
  <c r="AC333" i="282"/>
  <c r="AC423" i="282" s="1"/>
  <c r="AC347" i="282"/>
  <c r="R8" i="284"/>
  <c r="AO17" i="4"/>
  <c r="AO19" i="4" s="1"/>
  <c r="Z353" i="282"/>
  <c r="Z11" i="282"/>
  <c r="Z10" i="282" s="1"/>
  <c r="Z408" i="282" s="1"/>
  <c r="M3" i="285"/>
  <c r="N3" i="285"/>
  <c r="P19" i="285"/>
  <c r="AB340" i="282"/>
  <c r="AB424" i="282" s="1"/>
  <c r="AB354" i="282"/>
  <c r="M99" i="281"/>
  <c r="M101" i="281"/>
  <c r="M100" i="281"/>
  <c r="AK21" i="4"/>
  <c r="AB347" i="282"/>
  <c r="AB333" i="282"/>
  <c r="AB423" i="282" s="1"/>
  <c r="AP164" i="4"/>
  <c r="AP243" i="4" s="1"/>
  <c r="AP161" i="4"/>
  <c r="AJ228" i="4"/>
  <c r="AA333" i="282" l="1"/>
  <c r="AA423" i="282" s="1"/>
  <c r="AA426" i="282" s="1"/>
  <c r="AA431" i="282" s="1"/>
  <c r="E248" i="281"/>
  <c r="P24" i="6"/>
  <c r="R64" i="5"/>
  <c r="R11" i="5" s="1"/>
  <c r="R66" i="5"/>
  <c r="R20" i="5" s="1"/>
  <c r="AF59" i="4"/>
  <c r="AF72" i="4"/>
  <c r="AF71" i="4" s="1"/>
  <c r="P30" i="6"/>
  <c r="P35" i="6" s="1"/>
  <c r="S6" i="284"/>
  <c r="S8" i="284" s="1"/>
  <c r="Q68" i="5"/>
  <c r="Q13" i="5" s="1"/>
  <c r="Q72" i="5"/>
  <c r="Q29" i="5" s="1"/>
  <c r="Q70" i="5"/>
  <c r="Q26" i="5" s="1"/>
  <c r="Q78" i="5"/>
  <c r="Q97" i="5" s="1"/>
  <c r="R97" i="5" s="1"/>
  <c r="S97" i="5" s="1"/>
  <c r="T97" i="5" s="1"/>
  <c r="U97" i="5" s="1"/>
  <c r="V97" i="5" s="1"/>
  <c r="W97" i="5" s="1"/>
  <c r="Q113" i="5"/>
  <c r="O112" i="5"/>
  <c r="O111" i="5"/>
  <c r="Q95" i="5"/>
  <c r="P109" i="5"/>
  <c r="L125" i="281"/>
  <c r="L126" i="281" s="1"/>
  <c r="L127" i="281" s="1"/>
  <c r="P23" i="283"/>
  <c r="K125" i="281"/>
  <c r="K126" i="281" s="1"/>
  <c r="K127" i="281" s="1"/>
  <c r="Z31" i="282"/>
  <c r="AA340" i="282"/>
  <c r="AA424" i="282" s="1"/>
  <c r="Z430" i="282"/>
  <c r="AB426" i="282"/>
  <c r="AB431" i="282" s="1"/>
  <c r="AC426" i="282"/>
  <c r="AC431" i="282" s="1"/>
  <c r="Z410" i="282"/>
  <c r="Z416" i="282" s="1"/>
  <c r="Z407" i="282"/>
  <c r="K101" i="281"/>
  <c r="K99" i="281"/>
  <c r="K100" i="281"/>
  <c r="Z429" i="282"/>
  <c r="G15" i="293"/>
  <c r="J15" i="293"/>
  <c r="N60" i="6"/>
  <c r="N49" i="6"/>
  <c r="N52" i="6" s="1"/>
  <c r="N6" i="5" s="1"/>
  <c r="N14" i="5" s="1"/>
  <c r="N23" i="5" s="1"/>
  <c r="N50" i="5" s="1"/>
  <c r="E18" i="293"/>
  <c r="E225" i="281"/>
  <c r="E14" i="293"/>
  <c r="G17" i="293"/>
  <c r="J17" i="293"/>
  <c r="AH8" i="4"/>
  <c r="AH33" i="4"/>
  <c r="E16" i="293"/>
  <c r="Q21" i="6"/>
  <c r="AF48" i="4"/>
  <c r="I415" i="281"/>
  <c r="E271" i="281"/>
  <c r="V270" i="4"/>
  <c r="V271" i="4" s="1"/>
  <c r="M81" i="281"/>
  <c r="AH10" i="4"/>
  <c r="AH13" i="4" s="1"/>
  <c r="AI11" i="4"/>
  <c r="J52" i="281"/>
  <c r="J53" i="281" s="1"/>
  <c r="I33" i="281"/>
  <c r="I34" i="281" s="1"/>
  <c r="I35" i="281" s="1"/>
  <c r="P12" i="267"/>
  <c r="P94" i="256"/>
  <c r="P95" i="256" s="1"/>
  <c r="E13" i="293"/>
  <c r="C202" i="281"/>
  <c r="E202" i="281"/>
  <c r="G14" i="293"/>
  <c r="G19" i="293"/>
  <c r="O8" i="267"/>
  <c r="O17" i="267" s="1"/>
  <c r="J10" i="281"/>
  <c r="J11" i="281" s="1"/>
  <c r="J12" i="281" s="1"/>
  <c r="M102" i="281"/>
  <c r="M103" i="281" s="1"/>
  <c r="M104" i="281" s="1"/>
  <c r="J30" i="281"/>
  <c r="J32" i="281"/>
  <c r="J31" i="281"/>
  <c r="O9" i="6"/>
  <c r="O80" i="5" s="1"/>
  <c r="O81" i="5" s="1"/>
  <c r="Q42" i="266"/>
  <c r="Q45" i="266" s="1"/>
  <c r="Q34" i="266"/>
  <c r="X28" i="266"/>
  <c r="W30" i="266"/>
  <c r="W47" i="266" s="1"/>
  <c r="Q22" i="6"/>
  <c r="AG47" i="4"/>
  <c r="AG75" i="4"/>
  <c r="Q21" i="256"/>
  <c r="Q29" i="256"/>
  <c r="Q32" i="256" s="1"/>
  <c r="P14" i="267"/>
  <c r="S11" i="256"/>
  <c r="S14" i="256" s="1"/>
  <c r="P7" i="267"/>
  <c r="K6" i="281"/>
  <c r="R23" i="256"/>
  <c r="R16" i="256" s="1"/>
  <c r="R18" i="256" s="1"/>
  <c r="R34" i="256" s="1"/>
  <c r="I56" i="281"/>
  <c r="I57" i="281" s="1"/>
  <c r="I58" i="281" s="1"/>
  <c r="Q68" i="256"/>
  <c r="R100" i="266"/>
  <c r="R103" i="266" s="1"/>
  <c r="R92" i="266"/>
  <c r="Q66" i="256"/>
  <c r="Q74" i="256"/>
  <c r="Q77" i="256" s="1"/>
  <c r="R56" i="256"/>
  <c r="R59" i="256" s="1"/>
  <c r="AB31" i="282"/>
  <c r="AB353" i="282"/>
  <c r="AB11" i="282"/>
  <c r="AB10" i="282" s="1"/>
  <c r="AB408" i="282" s="1"/>
  <c r="P18" i="285"/>
  <c r="P15" i="284"/>
  <c r="M13" i="285"/>
  <c r="M11" i="285"/>
  <c r="P13" i="284" s="1"/>
  <c r="N98" i="281" s="1"/>
  <c r="M12" i="285"/>
  <c r="P14" i="284" s="1"/>
  <c r="N121" i="281" s="1"/>
  <c r="Q18" i="285"/>
  <c r="AA346" i="282"/>
  <c r="AA4" i="282"/>
  <c r="AA3" i="282" s="1"/>
  <c r="AB346" i="282"/>
  <c r="AB4" i="282"/>
  <c r="AB3" i="282" s="1"/>
  <c r="L99" i="281"/>
  <c r="L100" i="281"/>
  <c r="L101" i="281"/>
  <c r="AC346" i="282"/>
  <c r="AC4" i="282"/>
  <c r="AC3" i="282" s="1"/>
  <c r="AC353" i="282"/>
  <c r="AC11" i="282"/>
  <c r="AC10" i="282" s="1"/>
  <c r="AC408" i="282" s="1"/>
  <c r="Z357" i="282"/>
  <c r="AR17" i="4"/>
  <c r="AR19" i="4" s="1"/>
  <c r="U8" i="284"/>
  <c r="AP17" i="4"/>
  <c r="AP19" i="4" s="1"/>
  <c r="Z14" i="282"/>
  <c r="O4" i="285"/>
  <c r="O7" i="285"/>
  <c r="O6" i="285"/>
  <c r="O5" i="285"/>
  <c r="O9" i="285"/>
  <c r="O8" i="285"/>
  <c r="O10" i="285"/>
  <c r="AA353" i="282"/>
  <c r="AA11" i="282"/>
  <c r="AA10" i="282" s="1"/>
  <c r="AA408" i="282" s="1"/>
  <c r="N13" i="285"/>
  <c r="Q15" i="284"/>
  <c r="N11" i="285"/>
  <c r="Q13" i="284" s="1"/>
  <c r="O98" i="281" s="1"/>
  <c r="N12" i="285"/>
  <c r="Q14" i="284" s="1"/>
  <c r="O121" i="281" s="1"/>
  <c r="AC31" i="282"/>
  <c r="T8" i="284"/>
  <c r="AQ17" i="4"/>
  <c r="AQ19" i="4" s="1"/>
  <c r="R18" i="285"/>
  <c r="AK226" i="4"/>
  <c r="AJ256" i="4"/>
  <c r="AJ261" i="4" s="1"/>
  <c r="AJ247" i="4"/>
  <c r="AJ254" i="4" s="1"/>
  <c r="AQ159" i="4"/>
  <c r="AP255" i="4"/>
  <c r="AP50" i="4"/>
  <c r="AJ231" i="4"/>
  <c r="G18" i="293" l="1"/>
  <c r="C317" i="281"/>
  <c r="J18" i="293" s="1"/>
  <c r="C271" i="281"/>
  <c r="Q33" i="5"/>
  <c r="Q40" i="5" s="1"/>
  <c r="AH46" i="4"/>
  <c r="R59" i="5" s="1"/>
  <c r="R78" i="5" s="1"/>
  <c r="R98" i="5" s="1"/>
  <c r="S98" i="5" s="1"/>
  <c r="T98" i="5" s="1"/>
  <c r="U98" i="5" s="1"/>
  <c r="V98" i="5" s="1"/>
  <c r="W98" i="5" s="1"/>
  <c r="X98" i="5" s="1"/>
  <c r="Y98" i="5" s="1"/>
  <c r="R60" i="5"/>
  <c r="X97" i="5"/>
  <c r="AG59" i="4"/>
  <c r="P112" i="5"/>
  <c r="P111" i="5"/>
  <c r="R95" i="5"/>
  <c r="Q109" i="5"/>
  <c r="P77" i="5"/>
  <c r="O21" i="5"/>
  <c r="N123" i="281"/>
  <c r="N124" i="281"/>
  <c r="N122" i="281"/>
  <c r="O123" i="281"/>
  <c r="O122" i="281"/>
  <c r="O124" i="281"/>
  <c r="Z414" i="282"/>
  <c r="AB429" i="282"/>
  <c r="AA31" i="282"/>
  <c r="AB430" i="282"/>
  <c r="AA407" i="282"/>
  <c r="AA410" i="282"/>
  <c r="AA416" i="282" s="1"/>
  <c r="Z415" i="282"/>
  <c r="AC410" i="282"/>
  <c r="AC416" i="282" s="1"/>
  <c r="AC407" i="282"/>
  <c r="AA430" i="282"/>
  <c r="AB407" i="282"/>
  <c r="AB410" i="282"/>
  <c r="AB416" i="282" s="1"/>
  <c r="K102" i="281"/>
  <c r="K103" i="281" s="1"/>
  <c r="K104" i="281" s="1"/>
  <c r="AA429" i="282"/>
  <c r="AC429" i="282"/>
  <c r="AC430" i="282"/>
  <c r="AR260" i="4"/>
  <c r="AB39" i="6"/>
  <c r="AQ260" i="4"/>
  <c r="AQ67" i="4"/>
  <c r="AQ259" i="4" s="1"/>
  <c r="AB14" i="282"/>
  <c r="AH35" i="4"/>
  <c r="AH30" i="4"/>
  <c r="G16" i="293"/>
  <c r="O50" i="6"/>
  <c r="J55" i="281"/>
  <c r="R22" i="6"/>
  <c r="J54" i="281"/>
  <c r="I447" i="281"/>
  <c r="G13" i="293"/>
  <c r="H340" i="281"/>
  <c r="AB357" i="282"/>
  <c r="J14" i="293"/>
  <c r="J19" i="293"/>
  <c r="O9" i="267"/>
  <c r="AC357" i="282"/>
  <c r="J33" i="281"/>
  <c r="J34" i="281" s="1"/>
  <c r="J35" i="281" s="1"/>
  <c r="Q57" i="266"/>
  <c r="K29" i="281" s="1"/>
  <c r="AA62" i="4"/>
  <c r="O12" i="6"/>
  <c r="AG51" i="4"/>
  <c r="AG109" i="4" s="1"/>
  <c r="AG48" i="4"/>
  <c r="Q46" i="266"/>
  <c r="R33" i="266"/>
  <c r="Q25" i="6"/>
  <c r="Q23" i="6"/>
  <c r="X30" i="266"/>
  <c r="X47" i="266" s="1"/>
  <c r="Y28" i="266"/>
  <c r="Y30" i="266" s="1"/>
  <c r="Y47" i="266" s="1"/>
  <c r="O8" i="6"/>
  <c r="Q44" i="256"/>
  <c r="R26" i="256"/>
  <c r="Q71" i="256"/>
  <c r="Q61" i="256"/>
  <c r="Q63" i="256" s="1"/>
  <c r="Q79" i="256" s="1"/>
  <c r="AH75" i="4"/>
  <c r="S51" i="256"/>
  <c r="R69" i="256"/>
  <c r="Q78" i="256"/>
  <c r="R65" i="256"/>
  <c r="S91" i="266"/>
  <c r="R104" i="266"/>
  <c r="K7" i="281"/>
  <c r="K8" i="281"/>
  <c r="K9" i="281"/>
  <c r="P16" i="267"/>
  <c r="S24" i="256"/>
  <c r="T6" i="256"/>
  <c r="N54" i="6"/>
  <c r="V117" i="4"/>
  <c r="V119" i="4" s="1"/>
  <c r="R114" i="266"/>
  <c r="Q13" i="267" s="1"/>
  <c r="Q89" i="256"/>
  <c r="P9" i="6"/>
  <c r="P80" i="5" s="1"/>
  <c r="AJ7" i="4"/>
  <c r="P24" i="267"/>
  <c r="R20" i="256"/>
  <c r="Q33" i="256"/>
  <c r="AC14" i="282"/>
  <c r="L102" i="281"/>
  <c r="L103" i="281" s="1"/>
  <c r="L104" i="281" s="1"/>
  <c r="Q9" i="285"/>
  <c r="Q4" i="285"/>
  <c r="Q8" i="285"/>
  <c r="Q10" i="285"/>
  <c r="Q6" i="285"/>
  <c r="Q5" i="285"/>
  <c r="Q7" i="285"/>
  <c r="P4" i="285"/>
  <c r="P8" i="285"/>
  <c r="P7" i="285"/>
  <c r="P10" i="285"/>
  <c r="P6" i="285"/>
  <c r="P5" i="285"/>
  <c r="P9" i="285"/>
  <c r="AA14" i="282"/>
  <c r="R6" i="285"/>
  <c r="R8" i="285"/>
  <c r="R9" i="285"/>
  <c r="R4" i="285"/>
  <c r="R5" i="285"/>
  <c r="R10" i="285"/>
  <c r="R7" i="285"/>
  <c r="AN21" i="4"/>
  <c r="O3" i="285"/>
  <c r="AA357" i="282"/>
  <c r="AM21" i="4"/>
  <c r="AK228" i="4"/>
  <c r="AK231" i="4" s="1"/>
  <c r="AQ161" i="4"/>
  <c r="AQ164" i="4"/>
  <c r="AQ243" i="4" s="1"/>
  <c r="R70" i="5" l="1"/>
  <c r="R26" i="5" s="1"/>
  <c r="R72" i="5"/>
  <c r="R29" i="5" s="1"/>
  <c r="R68" i="5"/>
  <c r="R13" i="5" s="1"/>
  <c r="R23" i="6" s="1"/>
  <c r="R113" i="5"/>
  <c r="R58" i="5"/>
  <c r="R62" i="5" s="1"/>
  <c r="R10" i="5" s="1"/>
  <c r="R21" i="6" s="1"/>
  <c r="S95" i="5"/>
  <c r="R109" i="5"/>
  <c r="AH59" i="4"/>
  <c r="Q112" i="5"/>
  <c r="Q111" i="5"/>
  <c r="P81" i="5"/>
  <c r="O125" i="281"/>
  <c r="O126" i="281" s="1"/>
  <c r="O127" i="281" s="1"/>
  <c r="N125" i="281"/>
  <c r="N126" i="281" s="1"/>
  <c r="N127" i="281" s="1"/>
  <c r="AC414" i="282"/>
  <c r="AB415" i="282"/>
  <c r="AC415" i="282"/>
  <c r="AB414" i="282"/>
  <c r="AA415" i="282"/>
  <c r="AA414" i="282"/>
  <c r="AR67" i="4"/>
  <c r="AR259" i="4" s="1"/>
  <c r="J56" i="281"/>
  <c r="J57" i="281" s="1"/>
  <c r="J58" i="281" s="1"/>
  <c r="J447" i="281" s="1"/>
  <c r="J16" i="293"/>
  <c r="AH47" i="4"/>
  <c r="AH51" i="4" s="1"/>
  <c r="AH109" i="4" s="1"/>
  <c r="AH38" i="4"/>
  <c r="AH42" i="4"/>
  <c r="AH31" i="4"/>
  <c r="L81" i="281"/>
  <c r="O19" i="267"/>
  <c r="Q12" i="267"/>
  <c r="Q14" i="267" s="1"/>
  <c r="Q94" i="256"/>
  <c r="L6" i="281"/>
  <c r="L8" i="281" s="1"/>
  <c r="Q93" i="256"/>
  <c r="J13" i="293"/>
  <c r="AI6" i="4"/>
  <c r="S56" i="5" s="1"/>
  <c r="O23" i="267"/>
  <c r="O26" i="267" s="1"/>
  <c r="P8" i="267"/>
  <c r="P17" i="267" s="1"/>
  <c r="Q7" i="267"/>
  <c r="R42" i="266"/>
  <c r="R45" i="266" s="1"/>
  <c r="R34" i="266"/>
  <c r="Q30" i="6"/>
  <c r="Q35" i="6" s="1"/>
  <c r="K32" i="281"/>
  <c r="K31" i="281"/>
  <c r="K30" i="281"/>
  <c r="Q24" i="6"/>
  <c r="K10" i="281"/>
  <c r="K11" i="281" s="1"/>
  <c r="K12" i="281" s="1"/>
  <c r="S23" i="256"/>
  <c r="S16" i="256" s="1"/>
  <c r="S18" i="256" s="1"/>
  <c r="S34" i="256" s="1"/>
  <c r="S92" i="266"/>
  <c r="S100" i="266"/>
  <c r="S103" i="266" s="1"/>
  <c r="AJ11" i="4"/>
  <c r="K52" i="281"/>
  <c r="R74" i="256"/>
  <c r="R77" i="256" s="1"/>
  <c r="R66" i="256"/>
  <c r="E421" i="281"/>
  <c r="C426" i="281"/>
  <c r="C428" i="281" s="1"/>
  <c r="T11" i="256"/>
  <c r="T14" i="256" s="1"/>
  <c r="R68" i="256"/>
  <c r="R25" i="6"/>
  <c r="S56" i="256"/>
  <c r="S59" i="256" s="1"/>
  <c r="R29" i="256"/>
  <c r="R32" i="256" s="1"/>
  <c r="R21" i="256"/>
  <c r="P8" i="6"/>
  <c r="R15" i="284"/>
  <c r="O13" i="285"/>
  <c r="O11" i="285"/>
  <c r="R13" i="284" s="1"/>
  <c r="P98" i="281" s="1"/>
  <c r="O12" i="285"/>
  <c r="R14" i="284" s="1"/>
  <c r="P121" i="281" s="1"/>
  <c r="P3" i="285"/>
  <c r="O99" i="281"/>
  <c r="O101" i="281"/>
  <c r="O100" i="281"/>
  <c r="R3" i="285"/>
  <c r="N101" i="281"/>
  <c r="N99" i="281"/>
  <c r="N100" i="281"/>
  <c r="Q3" i="285"/>
  <c r="AL226" i="4"/>
  <c r="AK256" i="4"/>
  <c r="AK261" i="4" s="1"/>
  <c r="AK247" i="4"/>
  <c r="AK254" i="4" s="1"/>
  <c r="AQ255" i="4"/>
  <c r="AQ50" i="4"/>
  <c r="AR159" i="4"/>
  <c r="S66" i="5" l="1"/>
  <c r="S20" i="5" s="1"/>
  <c r="S64" i="5"/>
  <c r="S11" i="5" s="1"/>
  <c r="R33" i="5"/>
  <c r="R40" i="5" s="1"/>
  <c r="R112" i="5"/>
  <c r="R111" i="5"/>
  <c r="T95" i="5"/>
  <c r="Q77" i="5"/>
  <c r="P21" i="5"/>
  <c r="P123" i="281"/>
  <c r="P122" i="281"/>
  <c r="P124" i="281"/>
  <c r="C73" i="293"/>
  <c r="AI10" i="4"/>
  <c r="AI13" i="4" s="1"/>
  <c r="AI30" i="4" s="1"/>
  <c r="AI33" i="4"/>
  <c r="AH48" i="4"/>
  <c r="N81" i="281"/>
  <c r="P9" i="267"/>
  <c r="AJ6" i="4" s="1"/>
  <c r="T56" i="5" s="1"/>
  <c r="Q16" i="267"/>
  <c r="Q24" i="267"/>
  <c r="AK11" i="4" s="1"/>
  <c r="L9" i="281"/>
  <c r="L7" i="281"/>
  <c r="Q95" i="256"/>
  <c r="AI8" i="4"/>
  <c r="J26" i="293"/>
  <c r="AD11" i="293" s="1"/>
  <c r="AK7" i="4"/>
  <c r="AA6" i="293"/>
  <c r="K33" i="281"/>
  <c r="K34" i="281" s="1"/>
  <c r="K35" i="281" s="1"/>
  <c r="R57" i="266"/>
  <c r="L29" i="281" s="1"/>
  <c r="S114" i="266"/>
  <c r="R13" i="267" s="1"/>
  <c r="R46" i="266"/>
  <c r="S33" i="266"/>
  <c r="R89" i="256"/>
  <c r="U6" i="256"/>
  <c r="T24" i="256"/>
  <c r="R44" i="256"/>
  <c r="R93" i="256" s="1"/>
  <c r="T51" i="256"/>
  <c r="S69" i="256"/>
  <c r="S20" i="256"/>
  <c r="R33" i="256"/>
  <c r="R24" i="6"/>
  <c r="S65" i="256"/>
  <c r="R78" i="256"/>
  <c r="R30" i="6"/>
  <c r="R35" i="6" s="1"/>
  <c r="K53" i="281"/>
  <c r="K54" i="281"/>
  <c r="K55" i="281"/>
  <c r="R71" i="256"/>
  <c r="R61" i="256"/>
  <c r="R63" i="256" s="1"/>
  <c r="R79" i="256" s="1"/>
  <c r="S104" i="266"/>
  <c r="T91" i="266"/>
  <c r="S26" i="256"/>
  <c r="O102" i="281"/>
  <c r="O103" i="281" s="1"/>
  <c r="O104" i="281" s="1"/>
  <c r="N102" i="281"/>
  <c r="N103" i="281" s="1"/>
  <c r="N104" i="281" s="1"/>
  <c r="R12" i="285"/>
  <c r="U14" i="284" s="1"/>
  <c r="S121" i="281" s="1"/>
  <c r="U15" i="284"/>
  <c r="R13" i="285"/>
  <c r="R11" i="285"/>
  <c r="U13" i="284" s="1"/>
  <c r="S98" i="281" s="1"/>
  <c r="S15" i="284"/>
  <c r="P13" i="285"/>
  <c r="P11" i="285"/>
  <c r="S13" i="284" s="1"/>
  <c r="Q98" i="281" s="1"/>
  <c r="P12" i="285"/>
  <c r="S14" i="284" s="1"/>
  <c r="Q121" i="281" s="1"/>
  <c r="Q12" i="285"/>
  <c r="T14" i="284" s="1"/>
  <c r="R121" i="281" s="1"/>
  <c r="Q13" i="285"/>
  <c r="T15" i="284"/>
  <c r="Q11" i="285"/>
  <c r="T13" i="284" s="1"/>
  <c r="R98" i="281" s="1"/>
  <c r="AO21" i="4"/>
  <c r="AL228" i="4"/>
  <c r="AR164" i="4"/>
  <c r="AR243" i="4" s="1"/>
  <c r="AR161" i="4"/>
  <c r="T64" i="5" l="1"/>
  <c r="T11" i="5" s="1"/>
  <c r="T66" i="5"/>
  <c r="T20" i="5" s="1"/>
  <c r="P125" i="281"/>
  <c r="P126" i="281" s="1"/>
  <c r="P127" i="281" s="1"/>
  <c r="S58" i="5"/>
  <c r="S62" i="5" s="1"/>
  <c r="S10" i="5" s="1"/>
  <c r="S21" i="6" s="1"/>
  <c r="AI46" i="4"/>
  <c r="S59" i="5" s="1"/>
  <c r="S68" i="5" s="1"/>
  <c r="S13" i="5" s="1"/>
  <c r="S60" i="5"/>
  <c r="U95" i="5"/>
  <c r="Q124" i="281"/>
  <c r="Q122" i="281"/>
  <c r="Q123" i="281"/>
  <c r="R124" i="281"/>
  <c r="R123" i="281"/>
  <c r="R122" i="281"/>
  <c r="S124" i="281"/>
  <c r="S122" i="281"/>
  <c r="S123" i="281"/>
  <c r="C10" i="293"/>
  <c r="AI31" i="4"/>
  <c r="AI38" i="4"/>
  <c r="AI42" i="4"/>
  <c r="AJ33" i="4"/>
  <c r="P23" i="267"/>
  <c r="P26" i="267" s="1"/>
  <c r="L10" i="281"/>
  <c r="L11" i="281" s="1"/>
  <c r="L12" i="281" s="1"/>
  <c r="O81" i="281"/>
  <c r="L52" i="281"/>
  <c r="L54" i="281" s="1"/>
  <c r="P19" i="267"/>
  <c r="AI35" i="4"/>
  <c r="R12" i="267"/>
  <c r="R14" i="267" s="1"/>
  <c r="R94" i="256"/>
  <c r="R95" i="256" s="1"/>
  <c r="S22" i="6"/>
  <c r="Q8" i="267"/>
  <c r="Q17" i="267" s="1"/>
  <c r="AJ8" i="4"/>
  <c r="AJ10" i="4"/>
  <c r="AJ13" i="4" s="1"/>
  <c r="AJ30" i="4" s="1"/>
  <c r="T58" i="5" s="1"/>
  <c r="T62" i="5" s="1"/>
  <c r="T10" i="5" s="1"/>
  <c r="S42" i="266"/>
  <c r="S45" i="266" s="1"/>
  <c r="S34" i="266"/>
  <c r="L30" i="281"/>
  <c r="L31" i="281"/>
  <c r="L32" i="281"/>
  <c r="Q9" i="6"/>
  <c r="Q80" i="5" s="1"/>
  <c r="Q81" i="5" s="1"/>
  <c r="S68" i="256"/>
  <c r="S61" i="256" s="1"/>
  <c r="S63" i="256" s="1"/>
  <c r="S79" i="256" s="1"/>
  <c r="T56" i="256"/>
  <c r="T59" i="256" s="1"/>
  <c r="T23" i="256"/>
  <c r="T16" i="256" s="1"/>
  <c r="T18" i="256" s="1"/>
  <c r="T34" i="256" s="1"/>
  <c r="M6" i="281"/>
  <c r="R7" i="267"/>
  <c r="T92" i="266"/>
  <c r="T100" i="266"/>
  <c r="T103" i="266" s="1"/>
  <c r="K56" i="281"/>
  <c r="S74" i="256"/>
  <c r="S77" i="256" s="1"/>
  <c r="S66" i="256"/>
  <c r="S29" i="256"/>
  <c r="S32" i="256" s="1"/>
  <c r="S21" i="256"/>
  <c r="U11" i="256"/>
  <c r="U14" i="256" s="1"/>
  <c r="P100" i="281"/>
  <c r="P99" i="281"/>
  <c r="P101" i="281"/>
  <c r="AR21" i="4"/>
  <c r="AQ21" i="4"/>
  <c r="AP21" i="4"/>
  <c r="AR50" i="4"/>
  <c r="AR255" i="4"/>
  <c r="AM226" i="4"/>
  <c r="AL247" i="4"/>
  <c r="AL254" i="4" s="1"/>
  <c r="AL256" i="4"/>
  <c r="AL261" i="4" s="1"/>
  <c r="AL231" i="4"/>
  <c r="Q125" i="281" l="1"/>
  <c r="Q126" i="281" s="1"/>
  <c r="Q127" i="281" s="1"/>
  <c r="S70" i="5"/>
  <c r="S26" i="5" s="1"/>
  <c r="AJ35" i="4"/>
  <c r="T60" i="5"/>
  <c r="S78" i="5"/>
  <c r="S99" i="5" s="1"/>
  <c r="T99" i="5" s="1"/>
  <c r="AI75" i="4"/>
  <c r="AI59" i="4" s="1"/>
  <c r="S72" i="5"/>
  <c r="S29" i="5" s="1"/>
  <c r="S25" i="6" s="1"/>
  <c r="AI47" i="4"/>
  <c r="AI48" i="4" s="1"/>
  <c r="S113" i="5"/>
  <c r="V95" i="5"/>
  <c r="R77" i="5"/>
  <c r="Q21" i="5"/>
  <c r="S125" i="281"/>
  <c r="S126" i="281" s="1"/>
  <c r="S127" i="281" s="1"/>
  <c r="R125" i="281"/>
  <c r="R126" i="281" s="1"/>
  <c r="R127" i="281" s="1"/>
  <c r="L53" i="281"/>
  <c r="P81" i="281"/>
  <c r="L55" i="281"/>
  <c r="AL7" i="4"/>
  <c r="R24" i="267"/>
  <c r="Q9" i="267"/>
  <c r="AJ46" i="4"/>
  <c r="AJ38" i="4"/>
  <c r="AJ42" i="4"/>
  <c r="T21" i="6"/>
  <c r="AJ31" i="4"/>
  <c r="L33" i="281"/>
  <c r="L34" i="281" s="1"/>
  <c r="L35" i="281" s="1"/>
  <c r="S23" i="6"/>
  <c r="T33" i="266"/>
  <c r="S46" i="266"/>
  <c r="Q8" i="6"/>
  <c r="S57" i="266"/>
  <c r="S44" i="256"/>
  <c r="T114" i="266"/>
  <c r="S13" i="267" s="1"/>
  <c r="T26" i="256"/>
  <c r="V6" i="256"/>
  <c r="U24" i="256"/>
  <c r="R9" i="6"/>
  <c r="R80" i="5" s="1"/>
  <c r="S89" i="256"/>
  <c r="S33" i="256"/>
  <c r="T20" i="256"/>
  <c r="S78" i="256"/>
  <c r="T65" i="256"/>
  <c r="T104" i="266"/>
  <c r="U91" i="266"/>
  <c r="R16" i="267"/>
  <c r="S71" i="256"/>
  <c r="U51" i="256"/>
  <c r="T69" i="256"/>
  <c r="T22" i="6"/>
  <c r="K57" i="281"/>
  <c r="K58" i="281" s="1"/>
  <c r="K447" i="281" s="1"/>
  <c r="M7" i="281"/>
  <c r="M8" i="281"/>
  <c r="M9" i="281"/>
  <c r="P102" i="281"/>
  <c r="P103" i="281" s="1"/>
  <c r="P104" i="281" s="1"/>
  <c r="R100" i="281"/>
  <c r="R99" i="281"/>
  <c r="R101" i="281"/>
  <c r="S101" i="281"/>
  <c r="S100" i="281"/>
  <c r="S99" i="281"/>
  <c r="Q101" i="281"/>
  <c r="Q100" i="281"/>
  <c r="Q99" i="281"/>
  <c r="C9" i="293"/>
  <c r="AM228" i="4"/>
  <c r="AM231" i="4" s="1"/>
  <c r="S109" i="5" l="1"/>
  <c r="S111" i="5" s="1"/>
  <c r="S33" i="5"/>
  <c r="S40" i="5" s="1"/>
  <c r="AI51" i="4"/>
  <c r="AI109" i="4" s="1"/>
  <c r="L56" i="281"/>
  <c r="L57" i="281" s="1"/>
  <c r="L58" i="281" s="1"/>
  <c r="L447" i="281" s="1"/>
  <c r="AJ47" i="4"/>
  <c r="AJ51" i="4" s="1"/>
  <c r="AJ109" i="4" s="1"/>
  <c r="T59" i="5"/>
  <c r="U99" i="5"/>
  <c r="R81" i="5"/>
  <c r="C130" i="281"/>
  <c r="D135" i="281"/>
  <c r="R81" i="281"/>
  <c r="S81" i="281"/>
  <c r="Q81" i="281"/>
  <c r="M52" i="281"/>
  <c r="M53" i="281" s="1"/>
  <c r="AK6" i="4"/>
  <c r="U56" i="5" s="1"/>
  <c r="AL11" i="4"/>
  <c r="S7" i="267"/>
  <c r="S93" i="256"/>
  <c r="S12" i="267"/>
  <c r="S14" i="267" s="1"/>
  <c r="S94" i="256"/>
  <c r="Q23" i="267"/>
  <c r="Q26" i="267" s="1"/>
  <c r="Q19" i="267"/>
  <c r="AJ75" i="4"/>
  <c r="Q102" i="281"/>
  <c r="Q103" i="281" s="1"/>
  <c r="Q104" i="281" s="1"/>
  <c r="N6" i="281"/>
  <c r="N9" i="281" s="1"/>
  <c r="R8" i="267"/>
  <c r="M29" i="281"/>
  <c r="S24" i="6"/>
  <c r="T34" i="266"/>
  <c r="T42" i="266"/>
  <c r="T45" i="266" s="1"/>
  <c r="S30" i="6"/>
  <c r="S35" i="6" s="1"/>
  <c r="U56" i="256"/>
  <c r="U59" i="256" s="1"/>
  <c r="U100" i="266"/>
  <c r="U103" i="266" s="1"/>
  <c r="U92" i="266"/>
  <c r="T21" i="256"/>
  <c r="T29" i="256"/>
  <c r="T32" i="256" s="1"/>
  <c r="R8" i="6"/>
  <c r="M10" i="281"/>
  <c r="U23" i="256"/>
  <c r="U16" i="256" s="1"/>
  <c r="U18" i="256" s="1"/>
  <c r="U34" i="256" s="1"/>
  <c r="T68" i="256"/>
  <c r="T61" i="256" s="1"/>
  <c r="T63" i="256" s="1"/>
  <c r="T79" i="256" s="1"/>
  <c r="T74" i="256"/>
  <c r="T77" i="256" s="1"/>
  <c r="T66" i="256"/>
  <c r="V11" i="256"/>
  <c r="V14" i="256" s="1"/>
  <c r="R102" i="281"/>
  <c r="R103" i="281" s="1"/>
  <c r="R104" i="281" s="1"/>
  <c r="S102" i="281"/>
  <c r="S103" i="281" s="1"/>
  <c r="S104" i="281" s="1"/>
  <c r="AN226" i="4"/>
  <c r="AM247" i="4"/>
  <c r="AM254" i="4" s="1"/>
  <c r="AM256" i="4"/>
  <c r="AM261" i="4" s="1"/>
  <c r="U66" i="5" l="1"/>
  <c r="U20" i="5" s="1"/>
  <c r="U64" i="5"/>
  <c r="U11" i="5" s="1"/>
  <c r="S112" i="5"/>
  <c r="V99" i="5"/>
  <c r="T68" i="5"/>
  <c r="T13" i="5" s="1"/>
  <c r="T23" i="6" s="1"/>
  <c r="T72" i="5"/>
  <c r="T29" i="5" s="1"/>
  <c r="T25" i="6" s="1"/>
  <c r="T70" i="5"/>
  <c r="T26" i="5" s="1"/>
  <c r="T24" i="6" s="1"/>
  <c r="T78" i="5"/>
  <c r="T100" i="5" s="1"/>
  <c r="T113" i="5"/>
  <c r="AJ59" i="4"/>
  <c r="S77" i="5"/>
  <c r="R21" i="5"/>
  <c r="E133" i="281"/>
  <c r="E10" i="293"/>
  <c r="C132" i="281"/>
  <c r="AK33" i="4"/>
  <c r="U60" i="5" s="1"/>
  <c r="AK10" i="4"/>
  <c r="AK13" i="4" s="1"/>
  <c r="AK8" i="4"/>
  <c r="M54" i="281"/>
  <c r="M55" i="281"/>
  <c r="S16" i="267"/>
  <c r="AM7" i="4"/>
  <c r="S24" i="267"/>
  <c r="N52" i="281" s="1"/>
  <c r="S95" i="256"/>
  <c r="C107" i="281"/>
  <c r="N8" i="281"/>
  <c r="N7" i="281"/>
  <c r="T57" i="266"/>
  <c r="S8" i="267" s="1"/>
  <c r="M31" i="281"/>
  <c r="M32" i="281"/>
  <c r="M30" i="281"/>
  <c r="T46" i="266"/>
  <c r="U33" i="266"/>
  <c r="R17" i="267"/>
  <c r="R9" i="267"/>
  <c r="T71" i="256"/>
  <c r="W6" i="256"/>
  <c r="V24" i="256"/>
  <c r="U20" i="256"/>
  <c r="T33" i="256"/>
  <c r="V91" i="266"/>
  <c r="U104" i="266"/>
  <c r="T78" i="256"/>
  <c r="U65" i="256"/>
  <c r="T89" i="256"/>
  <c r="U26" i="256"/>
  <c r="M11" i="281"/>
  <c r="M12" i="281" s="1"/>
  <c r="U114" i="266"/>
  <c r="T13" i="267" s="1"/>
  <c r="V51" i="256"/>
  <c r="U69" i="256"/>
  <c r="T44" i="256"/>
  <c r="T93" i="256" s="1"/>
  <c r="D112" i="281"/>
  <c r="AN228" i="4"/>
  <c r="AN231" i="4" s="1"/>
  <c r="T33" i="5" l="1"/>
  <c r="T40" i="5" s="1"/>
  <c r="U100" i="5"/>
  <c r="T109" i="5"/>
  <c r="W99" i="5"/>
  <c r="G10" i="293"/>
  <c r="C133" i="281"/>
  <c r="J10" i="293" s="1"/>
  <c r="U22" i="6"/>
  <c r="AK30" i="4"/>
  <c r="C109" i="281"/>
  <c r="E9" i="293"/>
  <c r="E110" i="281"/>
  <c r="T30" i="6"/>
  <c r="T35" i="6" s="1"/>
  <c r="AK46" i="4"/>
  <c r="U59" i="5" s="1"/>
  <c r="AK35" i="4"/>
  <c r="M56" i="281"/>
  <c r="M57" i="281" s="1"/>
  <c r="M58" i="281" s="1"/>
  <c r="AM11" i="4"/>
  <c r="T12" i="267"/>
  <c r="T14" i="267" s="1"/>
  <c r="T94" i="256"/>
  <c r="T95" i="256" s="1"/>
  <c r="N10" i="281"/>
  <c r="N11" i="281" s="1"/>
  <c r="N12" i="281" s="1"/>
  <c r="N29" i="281"/>
  <c r="N30" i="281" s="1"/>
  <c r="M33" i="281"/>
  <c r="M34" i="281" s="1"/>
  <c r="M35" i="281" s="1"/>
  <c r="S17" i="267"/>
  <c r="S9" i="267"/>
  <c r="S9" i="6"/>
  <c r="S80" i="5" s="1"/>
  <c r="S81" i="5" s="1"/>
  <c r="AL6" i="4"/>
  <c r="R19" i="267"/>
  <c r="R23" i="267"/>
  <c r="R26" i="267" s="1"/>
  <c r="U34" i="266"/>
  <c r="U42" i="266"/>
  <c r="U45" i="266" s="1"/>
  <c r="V56" i="256"/>
  <c r="V59" i="256" s="1"/>
  <c r="T7" i="267"/>
  <c r="O6" i="281"/>
  <c r="U68" i="256"/>
  <c r="U61" i="256" s="1"/>
  <c r="U63" i="256" s="1"/>
  <c r="U79" i="256" s="1"/>
  <c r="U29" i="256"/>
  <c r="U32" i="256" s="1"/>
  <c r="U21" i="256"/>
  <c r="V100" i="266"/>
  <c r="V103" i="266" s="1"/>
  <c r="V92" i="266"/>
  <c r="U66" i="256"/>
  <c r="U74" i="256"/>
  <c r="U77" i="256" s="1"/>
  <c r="W11" i="256"/>
  <c r="W14" i="256" s="1"/>
  <c r="N54" i="281"/>
  <c r="N55" i="281"/>
  <c r="N53" i="281"/>
  <c r="V23" i="256"/>
  <c r="V16" i="256" s="1"/>
  <c r="V18" i="256" s="1"/>
  <c r="V34" i="256" s="1"/>
  <c r="AO226" i="4"/>
  <c r="AN247" i="4"/>
  <c r="AN254" i="4" s="1"/>
  <c r="AN256" i="4"/>
  <c r="AN261" i="4" s="1"/>
  <c r="C84" i="293" l="1"/>
  <c r="M13" i="293"/>
  <c r="N13" i="293" s="1"/>
  <c r="AL33" i="4"/>
  <c r="V60" i="5" s="1"/>
  <c r="V56" i="5"/>
  <c r="AK31" i="4"/>
  <c r="U58" i="5"/>
  <c r="U62" i="5" s="1"/>
  <c r="U10" i="5" s="1"/>
  <c r="U21" i="6" s="1"/>
  <c r="X99" i="5"/>
  <c r="T112" i="5"/>
  <c r="T111" i="5"/>
  <c r="U72" i="5"/>
  <c r="U29" i="5" s="1"/>
  <c r="U68" i="5"/>
  <c r="U13" i="5" s="1"/>
  <c r="U70" i="5"/>
  <c r="U26" i="5" s="1"/>
  <c r="U78" i="5"/>
  <c r="U101" i="5" s="1"/>
  <c r="V101" i="5" s="1"/>
  <c r="W101" i="5" s="1"/>
  <c r="X101" i="5" s="1"/>
  <c r="Y101" i="5" s="1"/>
  <c r="Z101" i="5" s="1"/>
  <c r="AA101" i="5" s="1"/>
  <c r="AB101" i="5" s="1"/>
  <c r="U113" i="5"/>
  <c r="V100" i="5"/>
  <c r="T77" i="5"/>
  <c r="S21" i="5"/>
  <c r="C110" i="281"/>
  <c r="H156" i="281"/>
  <c r="G9" i="293"/>
  <c r="AK38" i="4"/>
  <c r="AK47" i="4"/>
  <c r="AK51" i="4" s="1"/>
  <c r="AK109" i="4" s="1"/>
  <c r="AK42" i="4"/>
  <c r="M447" i="281"/>
  <c r="AK75" i="4"/>
  <c r="U57" i="266"/>
  <c r="T8" i="267" s="1"/>
  <c r="T17" i="267" s="1"/>
  <c r="N31" i="281"/>
  <c r="N32" i="281"/>
  <c r="S8" i="6"/>
  <c r="U46" i="266"/>
  <c r="V33" i="266"/>
  <c r="AL10" i="4"/>
  <c r="AL13" i="4" s="1"/>
  <c r="AL30" i="4" s="1"/>
  <c r="V58" i="5" s="1"/>
  <c r="V62" i="5" s="1"/>
  <c r="V10" i="5" s="1"/>
  <c r="AL8" i="4"/>
  <c r="S23" i="267"/>
  <c r="S26" i="267" s="1"/>
  <c r="AM6" i="4"/>
  <c r="S19" i="267"/>
  <c r="U44" i="256"/>
  <c r="N56" i="281"/>
  <c r="N57" i="281" s="1"/>
  <c r="N58" i="281" s="1"/>
  <c r="V26" i="256"/>
  <c r="U78" i="256"/>
  <c r="V65" i="256"/>
  <c r="W51" i="256"/>
  <c r="V69" i="256"/>
  <c r="W91" i="266"/>
  <c r="V104" i="266"/>
  <c r="U33" i="256"/>
  <c r="V20" i="256"/>
  <c r="O7" i="281"/>
  <c r="O9" i="281"/>
  <c r="O8" i="281"/>
  <c r="T24" i="267"/>
  <c r="AN7" i="4"/>
  <c r="U89" i="256"/>
  <c r="T16" i="267"/>
  <c r="T9" i="6"/>
  <c r="T80" i="5" s="1"/>
  <c r="X6" i="256"/>
  <c r="W24" i="256"/>
  <c r="V114" i="266"/>
  <c r="U13" i="267" s="1"/>
  <c r="U71" i="256"/>
  <c r="AO228" i="4"/>
  <c r="AO231" i="4" s="1"/>
  <c r="AM33" i="4" l="1"/>
  <c r="W60" i="5" s="1"/>
  <c r="W56" i="5"/>
  <c r="V66" i="5"/>
  <c r="V20" i="5" s="1"/>
  <c r="V64" i="5"/>
  <c r="V11" i="5" s="1"/>
  <c r="U109" i="5"/>
  <c r="U111" i="5" s="1"/>
  <c r="U33" i="5"/>
  <c r="U40" i="5" s="1"/>
  <c r="Y99" i="5"/>
  <c r="AK59" i="4"/>
  <c r="W100" i="5"/>
  <c r="T81" i="5"/>
  <c r="J9" i="293"/>
  <c r="C85" i="293" s="1"/>
  <c r="U23" i="6"/>
  <c r="U25" i="6"/>
  <c r="P6" i="281"/>
  <c r="P8" i="281" s="1"/>
  <c r="U93" i="256"/>
  <c r="U12" i="267"/>
  <c r="U14" i="267" s="1"/>
  <c r="U94" i="256"/>
  <c r="O29" i="281"/>
  <c r="O32" i="281" s="1"/>
  <c r="N33" i="281"/>
  <c r="N34" i="281" s="1"/>
  <c r="N35" i="281" s="1"/>
  <c r="N447" i="281" s="1"/>
  <c r="T9" i="267"/>
  <c r="AN6" i="4" s="1"/>
  <c r="U7" i="267"/>
  <c r="U30" i="6"/>
  <c r="U35" i="6" s="1"/>
  <c r="V42" i="266"/>
  <c r="V45" i="266" s="1"/>
  <c r="V34" i="266"/>
  <c r="AL38" i="4"/>
  <c r="V21" i="6"/>
  <c r="AL31" i="4"/>
  <c r="AL42" i="4"/>
  <c r="AM10" i="4"/>
  <c r="AM13" i="4" s="1"/>
  <c r="AM30" i="4" s="1"/>
  <c r="W58" i="5" s="1"/>
  <c r="W62" i="5" s="1"/>
  <c r="W10" i="5" s="1"/>
  <c r="AM8" i="4"/>
  <c r="AL46" i="4"/>
  <c r="V59" i="5" s="1"/>
  <c r="AL35" i="4"/>
  <c r="V29" i="256"/>
  <c r="V32" i="256" s="1"/>
  <c r="V21" i="256"/>
  <c r="W23" i="256"/>
  <c r="W16" i="256" s="1"/>
  <c r="W18" i="256" s="1"/>
  <c r="W34" i="256" s="1"/>
  <c r="O52" i="281"/>
  <c r="AN11" i="4"/>
  <c r="W92" i="266"/>
  <c r="W100" i="266"/>
  <c r="W103" i="266" s="1"/>
  <c r="V74" i="256"/>
  <c r="V77" i="256" s="1"/>
  <c r="V66" i="256"/>
  <c r="X11" i="256"/>
  <c r="X14" i="256" s="1"/>
  <c r="X24" i="256" s="1"/>
  <c r="V68" i="256"/>
  <c r="T8" i="6"/>
  <c r="O10" i="281"/>
  <c r="O11" i="281" s="1"/>
  <c r="O12" i="281" s="1"/>
  <c r="W56" i="256"/>
  <c r="W59" i="256" s="1"/>
  <c r="AP226" i="4"/>
  <c r="AO247" i="4"/>
  <c r="AO254" i="4" s="1"/>
  <c r="AO256" i="4"/>
  <c r="AO261" i="4" s="1"/>
  <c r="C72" i="293" l="1"/>
  <c r="AN33" i="4"/>
  <c r="X60" i="5" s="1"/>
  <c r="X56" i="5"/>
  <c r="W64" i="5"/>
  <c r="W11" i="5" s="1"/>
  <c r="W66" i="5"/>
  <c r="W20" i="5" s="1"/>
  <c r="U112" i="5"/>
  <c r="X100" i="5"/>
  <c r="Z99" i="5"/>
  <c r="V72" i="5"/>
  <c r="V29" i="5" s="1"/>
  <c r="V68" i="5"/>
  <c r="V13" i="5" s="1"/>
  <c r="V70" i="5"/>
  <c r="V26" i="5" s="1"/>
  <c r="V78" i="5"/>
  <c r="V102" i="5" s="1"/>
  <c r="V113" i="5"/>
  <c r="U77" i="5"/>
  <c r="T21" i="5"/>
  <c r="Z5" i="293"/>
  <c r="O30" i="281"/>
  <c r="U24" i="6"/>
  <c r="P9" i="281"/>
  <c r="O31" i="281"/>
  <c r="P7" i="281"/>
  <c r="T19" i="267"/>
  <c r="U95" i="256"/>
  <c r="U16" i="267"/>
  <c r="T23" i="267"/>
  <c r="T26" i="267" s="1"/>
  <c r="W114" i="266"/>
  <c r="V13" i="267" s="1"/>
  <c r="V22" i="6"/>
  <c r="V44" i="256"/>
  <c r="AM38" i="4"/>
  <c r="W21" i="6"/>
  <c r="AM31" i="4"/>
  <c r="AM42" i="4"/>
  <c r="W33" i="266"/>
  <c r="V46" i="266"/>
  <c r="AL47" i="4"/>
  <c r="AL51" i="4" s="1"/>
  <c r="AL109" i="4" s="1"/>
  <c r="AL75" i="4"/>
  <c r="AM46" i="4"/>
  <c r="W59" i="5" s="1"/>
  <c r="AM35" i="4"/>
  <c r="V57" i="266"/>
  <c r="X51" i="256"/>
  <c r="W69" i="256"/>
  <c r="V71" i="256"/>
  <c r="V61" i="256"/>
  <c r="V63" i="256" s="1"/>
  <c r="V79" i="256" s="1"/>
  <c r="X23" i="256"/>
  <c r="X16" i="256" s="1"/>
  <c r="X18" i="256" s="1"/>
  <c r="X34" i="256" s="1"/>
  <c r="W20" i="256"/>
  <c r="V33" i="256"/>
  <c r="W65" i="256"/>
  <c r="V78" i="256"/>
  <c r="O53" i="281"/>
  <c r="O54" i="281"/>
  <c r="O55" i="281"/>
  <c r="U24" i="267"/>
  <c r="AO7" i="4"/>
  <c r="AN10" i="4"/>
  <c r="AN13" i="4" s="1"/>
  <c r="AN30" i="4" s="1"/>
  <c r="X58" i="5" s="1"/>
  <c r="X62" i="5" s="1"/>
  <c r="X10" i="5" s="1"/>
  <c r="AN8" i="4"/>
  <c r="V89" i="256"/>
  <c r="X91" i="266"/>
  <c r="W104" i="266"/>
  <c r="W26" i="256"/>
  <c r="AP228" i="4"/>
  <c r="AP231" i="4" s="1"/>
  <c r="X64" i="5" l="1"/>
  <c r="X11" i="5" s="1"/>
  <c r="X66" i="5"/>
  <c r="X20" i="5" s="1"/>
  <c r="AL59" i="4"/>
  <c r="W102" i="5"/>
  <c r="X102" i="5" s="1"/>
  <c r="Y102" i="5" s="1"/>
  <c r="Z102" i="5" s="1"/>
  <c r="AA102" i="5" s="1"/>
  <c r="AB102" i="5" s="1"/>
  <c r="V109" i="5"/>
  <c r="Y100" i="5"/>
  <c r="W68" i="5"/>
  <c r="W13" i="5" s="1"/>
  <c r="W72" i="5"/>
  <c r="W29" i="5" s="1"/>
  <c r="W70" i="5"/>
  <c r="W26" i="5" s="1"/>
  <c r="W78" i="5"/>
  <c r="W103" i="5" s="1"/>
  <c r="W113" i="5"/>
  <c r="V33" i="5"/>
  <c r="V40" i="5" s="1"/>
  <c r="O33" i="281"/>
  <c r="O34" i="281" s="1"/>
  <c r="O35" i="281" s="1"/>
  <c r="P10" i="281"/>
  <c r="P11" i="281" s="1"/>
  <c r="P12" i="281" s="1"/>
  <c r="V7" i="267"/>
  <c r="V93" i="256"/>
  <c r="V12" i="267"/>
  <c r="V14" i="267" s="1"/>
  <c r="V94" i="256"/>
  <c r="Q6" i="281"/>
  <c r="Q9" i="281" s="1"/>
  <c r="W22" i="6"/>
  <c r="U9" i="6"/>
  <c r="U80" i="5" s="1"/>
  <c r="U81" i="5" s="1"/>
  <c r="AM47" i="4"/>
  <c r="AM51" i="4" s="1"/>
  <c r="AM109" i="4" s="1"/>
  <c r="AM75" i="4"/>
  <c r="V23" i="6"/>
  <c r="V25" i="6"/>
  <c r="U8" i="267"/>
  <c r="P29" i="281"/>
  <c r="W34" i="266"/>
  <c r="W42" i="266"/>
  <c r="W45" i="266" s="1"/>
  <c r="O56" i="281"/>
  <c r="O57" i="281" s="1"/>
  <c r="O58" i="281" s="1"/>
  <c r="W29" i="256"/>
  <c r="W32" i="256" s="1"/>
  <c r="W21" i="256"/>
  <c r="W68" i="256"/>
  <c r="AN35" i="4"/>
  <c r="AN46" i="4"/>
  <c r="X92" i="266"/>
  <c r="X100" i="266"/>
  <c r="X103" i="266" s="1"/>
  <c r="X56" i="256"/>
  <c r="X59" i="256" s="1"/>
  <c r="X69" i="256" s="1"/>
  <c r="X21" i="6"/>
  <c r="AN42" i="4"/>
  <c r="AN31" i="4"/>
  <c r="AN38" i="4"/>
  <c r="AO11" i="4"/>
  <c r="P52" i="281"/>
  <c r="W74" i="256"/>
  <c r="W77" i="256" s="1"/>
  <c r="W66" i="256"/>
  <c r="X26" i="256"/>
  <c r="AQ226" i="4"/>
  <c r="AP247" i="4"/>
  <c r="AP254" i="4" s="1"/>
  <c r="AP256" i="4"/>
  <c r="AP261" i="4" s="1"/>
  <c r="W33" i="5" l="1"/>
  <c r="W40" i="5" s="1"/>
  <c r="O447" i="281"/>
  <c r="AN47" i="4"/>
  <c r="AN51" i="4" s="1"/>
  <c r="AN109" i="4" s="1"/>
  <c r="X59" i="5"/>
  <c r="X103" i="5"/>
  <c r="W109" i="5"/>
  <c r="V112" i="5"/>
  <c r="V111" i="5"/>
  <c r="Z100" i="5"/>
  <c r="AM59" i="4"/>
  <c r="V77" i="5"/>
  <c r="U21" i="5"/>
  <c r="Q8" i="281"/>
  <c r="V16" i="267"/>
  <c r="V24" i="267"/>
  <c r="Q52" i="281" s="1"/>
  <c r="Q7" i="281"/>
  <c r="V95" i="256"/>
  <c r="AP7" i="4"/>
  <c r="W57" i="266"/>
  <c r="Q29" i="281" s="1"/>
  <c r="U17" i="267"/>
  <c r="U9" i="267"/>
  <c r="V30" i="6"/>
  <c r="V35" i="6" s="1"/>
  <c r="V24" i="6"/>
  <c r="U8" i="6"/>
  <c r="X33" i="266"/>
  <c r="W46" i="266"/>
  <c r="P30" i="281"/>
  <c r="P32" i="281"/>
  <c r="P31" i="281"/>
  <c r="W25" i="6"/>
  <c r="W23" i="6"/>
  <c r="W44" i="256"/>
  <c r="X114" i="266"/>
  <c r="W13" i="267" s="1"/>
  <c r="X68" i="256"/>
  <c r="X22" i="6"/>
  <c r="W89" i="256"/>
  <c r="W33" i="256"/>
  <c r="X20" i="256"/>
  <c r="AN75" i="4"/>
  <c r="W71" i="256"/>
  <c r="W61" i="256"/>
  <c r="W63" i="256" s="1"/>
  <c r="W79" i="256" s="1"/>
  <c r="X65" i="256"/>
  <c r="W78" i="256"/>
  <c r="P55" i="281"/>
  <c r="P53" i="281"/>
  <c r="P54" i="281"/>
  <c r="Y91" i="266"/>
  <c r="X104" i="266"/>
  <c r="AQ228" i="4"/>
  <c r="AP11" i="4" l="1"/>
  <c r="W112" i="5"/>
  <c r="W111" i="5"/>
  <c r="Y103" i="5"/>
  <c r="X72" i="5"/>
  <c r="X29" i="5" s="1"/>
  <c r="X25" i="6" s="1"/>
  <c r="X68" i="5"/>
  <c r="X13" i="5" s="1"/>
  <c r="X23" i="6" s="1"/>
  <c r="X70" i="5"/>
  <c r="X26" i="5" s="1"/>
  <c r="X78" i="5"/>
  <c r="X104" i="5" s="1"/>
  <c r="Y104" i="5" s="1"/>
  <c r="Z104" i="5" s="1"/>
  <c r="AA104" i="5" s="1"/>
  <c r="AB104" i="5" s="1"/>
  <c r="X113" i="5"/>
  <c r="AA100" i="5"/>
  <c r="Q10" i="281"/>
  <c r="Q11" i="281" s="1"/>
  <c r="Q12" i="281" s="1"/>
  <c r="W12" i="267"/>
  <c r="W14" i="267" s="1"/>
  <c r="W94" i="256"/>
  <c r="W7" i="267"/>
  <c r="W93" i="256"/>
  <c r="P33" i="281"/>
  <c r="P34" i="281" s="1"/>
  <c r="P35" i="281" s="1"/>
  <c r="R6" i="281"/>
  <c r="R7" i="281" s="1"/>
  <c r="V8" i="267"/>
  <c r="V17" i="267" s="1"/>
  <c r="W24" i="6"/>
  <c r="X42" i="266"/>
  <c r="X45" i="266" s="1"/>
  <c r="X34" i="266"/>
  <c r="W30" i="6"/>
  <c r="W35" i="6" s="1"/>
  <c r="Q32" i="281"/>
  <c r="Q30" i="281"/>
  <c r="Q31" i="281"/>
  <c r="U23" i="267"/>
  <c r="U26" i="267" s="1"/>
  <c r="AO6" i="4"/>
  <c r="U19" i="267"/>
  <c r="P56" i="281"/>
  <c r="P57" i="281" s="1"/>
  <c r="P58" i="281" s="1"/>
  <c r="X66" i="256"/>
  <c r="X74" i="256"/>
  <c r="X77" i="256" s="1"/>
  <c r="X78" i="256" s="1"/>
  <c r="AN59" i="4"/>
  <c r="X21" i="256"/>
  <c r="X29" i="256"/>
  <c r="X32" i="256" s="1"/>
  <c r="X33" i="256" s="1"/>
  <c r="Y92" i="266"/>
  <c r="Y100" i="266"/>
  <c r="Y103" i="266" s="1"/>
  <c r="Y104" i="266" s="1"/>
  <c r="Q55" i="281"/>
  <c r="Q53" i="281"/>
  <c r="Q54" i="281"/>
  <c r="X71" i="256"/>
  <c r="X61" i="256"/>
  <c r="X63" i="256" s="1"/>
  <c r="X79" i="256" s="1"/>
  <c r="AR226" i="4"/>
  <c r="AQ247" i="4"/>
  <c r="AQ254" i="4" s="1"/>
  <c r="AQ256" i="4"/>
  <c r="AQ261" i="4" s="1"/>
  <c r="AQ231" i="4"/>
  <c r="AO33" i="4" l="1"/>
  <c r="Y60" i="5" s="1"/>
  <c r="Y56" i="5"/>
  <c r="Z103" i="5"/>
  <c r="X33" i="5"/>
  <c r="X40" i="5" s="1"/>
  <c r="X109" i="5"/>
  <c r="W24" i="267"/>
  <c r="AQ11" i="4" s="1"/>
  <c r="AQ7" i="4"/>
  <c r="W16" i="267"/>
  <c r="W95" i="256"/>
  <c r="V9" i="267"/>
  <c r="V23" i="267" s="1"/>
  <c r="V26" i="267" s="1"/>
  <c r="Q33" i="281"/>
  <c r="Q34" i="281" s="1"/>
  <c r="Q35" i="281" s="1"/>
  <c r="R8" i="281"/>
  <c r="R9" i="281"/>
  <c r="X89" i="256"/>
  <c r="AO10" i="4"/>
  <c r="AO13" i="4" s="1"/>
  <c r="AO30" i="4" s="1"/>
  <c r="Y58" i="5" s="1"/>
  <c r="Y62" i="5" s="1"/>
  <c r="Y10" i="5" s="1"/>
  <c r="AO8" i="4"/>
  <c r="Y33" i="266"/>
  <c r="X46" i="266"/>
  <c r="V9" i="6"/>
  <c r="V80" i="5" s="1"/>
  <c r="V81" i="5" s="1"/>
  <c r="X57" i="266"/>
  <c r="Y114" i="266"/>
  <c r="X13" i="267" s="1"/>
  <c r="P447" i="281"/>
  <c r="X44" i="256"/>
  <c r="X93" i="256" s="1"/>
  <c r="X24" i="6"/>
  <c r="Q56" i="281"/>
  <c r="Q57" i="281" s="1"/>
  <c r="Q58" i="281" s="1"/>
  <c r="X30" i="6"/>
  <c r="X35" i="6" s="1"/>
  <c r="AR228" i="4"/>
  <c r="AR231" i="4" s="1"/>
  <c r="Y64" i="5" l="1"/>
  <c r="Y11" i="5" s="1"/>
  <c r="Y66" i="5"/>
  <c r="Y20" i="5" s="1"/>
  <c r="X112" i="5"/>
  <c r="X111" i="5"/>
  <c r="AA103" i="5"/>
  <c r="W77" i="5"/>
  <c r="V21" i="5"/>
  <c r="AP6" i="4"/>
  <c r="Z56" i="5" s="1"/>
  <c r="R52" i="281"/>
  <c r="R54" i="281" s="1"/>
  <c r="X12" i="267"/>
  <c r="X14" i="267" s="1"/>
  <c r="X94" i="256"/>
  <c r="X95" i="256" s="1"/>
  <c r="Q447" i="281"/>
  <c r="V19" i="267"/>
  <c r="R10" i="281"/>
  <c r="R11" i="281" s="1"/>
  <c r="R12" i="281" s="1"/>
  <c r="AO46" i="4"/>
  <c r="AO35" i="4"/>
  <c r="R29" i="281"/>
  <c r="W8" i="267"/>
  <c r="Y42" i="266"/>
  <c r="Y45" i="266" s="1"/>
  <c r="Y46" i="266" s="1"/>
  <c r="Y34" i="266"/>
  <c r="Y21" i="6"/>
  <c r="AO38" i="4"/>
  <c r="AO31" i="4"/>
  <c r="AO42" i="4"/>
  <c r="V8" i="6"/>
  <c r="W9" i="6"/>
  <c r="W80" i="5" s="1"/>
  <c r="S6" i="281"/>
  <c r="X7" i="267"/>
  <c r="AR247" i="4"/>
  <c r="AR254" i="4" s="1"/>
  <c r="AR256" i="4"/>
  <c r="AR261" i="4" s="1"/>
  <c r="Z64" i="5" l="1"/>
  <c r="Z11" i="5" s="1"/>
  <c r="Z66" i="5"/>
  <c r="Z20" i="5" s="1"/>
  <c r="AO47" i="4"/>
  <c r="AO51" i="4" s="1"/>
  <c r="AO109" i="4" s="1"/>
  <c r="Y59" i="5"/>
  <c r="AB103" i="5"/>
  <c r="W81" i="5"/>
  <c r="AP10" i="4"/>
  <c r="AP13" i="4" s="1"/>
  <c r="AP30" i="4" s="1"/>
  <c r="AP33" i="4"/>
  <c r="R53" i="281"/>
  <c r="R55" i="281"/>
  <c r="AP8" i="4"/>
  <c r="X24" i="267"/>
  <c r="S52" i="281" s="1"/>
  <c r="AR7" i="4"/>
  <c r="W8" i="6"/>
  <c r="W9" i="267"/>
  <c r="W17" i="267"/>
  <c r="AO75" i="4"/>
  <c r="R30" i="281"/>
  <c r="R31" i="281"/>
  <c r="R32" i="281"/>
  <c r="Y22" i="6"/>
  <c r="Y57" i="266"/>
  <c r="X9" i="6"/>
  <c r="X80" i="5" s="1"/>
  <c r="X16" i="267"/>
  <c r="S9" i="281"/>
  <c r="S7" i="281"/>
  <c r="S8" i="281"/>
  <c r="C5" i="293"/>
  <c r="AR11" i="4" l="1"/>
  <c r="R56" i="281"/>
  <c r="R57" i="281" s="1"/>
  <c r="R58" i="281" s="1"/>
  <c r="AP35" i="4"/>
  <c r="Z60" i="5"/>
  <c r="Z58" i="5"/>
  <c r="Z62" i="5" s="1"/>
  <c r="Z10" i="5" s="1"/>
  <c r="Z21" i="6" s="1"/>
  <c r="Y72" i="5"/>
  <c r="Y29" i="5" s="1"/>
  <c r="Y25" i="6" s="1"/>
  <c r="Y68" i="5"/>
  <c r="Y13" i="5" s="1"/>
  <c r="Y23" i="6" s="1"/>
  <c r="Y70" i="5"/>
  <c r="Y26" i="5" s="1"/>
  <c r="Y78" i="5"/>
  <c r="Y105" i="5" s="1"/>
  <c r="Y113" i="5"/>
  <c r="AO59" i="4"/>
  <c r="X77" i="5"/>
  <c r="X81" i="5" s="1"/>
  <c r="W21" i="5"/>
  <c r="AP38" i="4"/>
  <c r="AP42" i="4"/>
  <c r="AP31" i="4"/>
  <c r="Z22" i="6"/>
  <c r="AP46" i="4"/>
  <c r="R33" i="281"/>
  <c r="R34" i="281" s="1"/>
  <c r="R35" i="281" s="1"/>
  <c r="X8" i="267"/>
  <c r="S29" i="281"/>
  <c r="W19" i="267"/>
  <c r="W23" i="267"/>
  <c r="W26" i="267" s="1"/>
  <c r="AQ6" i="4"/>
  <c r="S10" i="281"/>
  <c r="S11" i="281" s="1"/>
  <c r="S12" i="281" s="1"/>
  <c r="X8" i="6"/>
  <c r="S54" i="281"/>
  <c r="S53" i="281"/>
  <c r="S55" i="281"/>
  <c r="C7" i="293"/>
  <c r="R447" i="281" l="1"/>
  <c r="AQ33" i="4"/>
  <c r="AA60" i="5" s="1"/>
  <c r="AA56" i="5"/>
  <c r="Y33" i="5"/>
  <c r="Y40" i="5" s="1"/>
  <c r="Z105" i="5"/>
  <c r="Y109" i="5"/>
  <c r="AP47" i="4"/>
  <c r="AP51" i="4" s="1"/>
  <c r="AP109" i="4" s="1"/>
  <c r="Z59" i="5"/>
  <c r="Y77" i="5"/>
  <c r="X21" i="5"/>
  <c r="AP75" i="4"/>
  <c r="S31" i="281"/>
  <c r="S32" i="281"/>
  <c r="S30" i="281"/>
  <c r="C6" i="293"/>
  <c r="X17" i="267"/>
  <c r="X9" i="267"/>
  <c r="Y24" i="6"/>
  <c r="Y30" i="6"/>
  <c r="Y35" i="6" s="1"/>
  <c r="AQ8" i="4"/>
  <c r="AQ10" i="4"/>
  <c r="AQ13" i="4" s="1"/>
  <c r="AQ30" i="4" s="1"/>
  <c r="AA58" i="5" s="1"/>
  <c r="AA62" i="5" s="1"/>
  <c r="AA10" i="5" s="1"/>
  <c r="S56" i="281"/>
  <c r="S57" i="281" s="1"/>
  <c r="S58" i="281" s="1"/>
  <c r="C15" i="281"/>
  <c r="D20" i="281"/>
  <c r="AA64" i="5" l="1"/>
  <c r="AA11" i="5" s="1"/>
  <c r="AA66" i="5"/>
  <c r="AA20" i="5" s="1"/>
  <c r="AP59" i="4"/>
  <c r="AA105" i="5"/>
  <c r="Y112" i="5"/>
  <c r="Y111" i="5"/>
  <c r="Z68" i="5"/>
  <c r="Z13" i="5" s="1"/>
  <c r="Z23" i="6" s="1"/>
  <c r="Z72" i="5"/>
  <c r="Z29" i="5" s="1"/>
  <c r="Z25" i="6" s="1"/>
  <c r="Z70" i="5"/>
  <c r="Z26" i="5" s="1"/>
  <c r="Z78" i="5"/>
  <c r="Z106" i="5" s="1"/>
  <c r="AA106" i="5" s="1"/>
  <c r="AB106" i="5" s="1"/>
  <c r="Z113" i="5"/>
  <c r="S33" i="281"/>
  <c r="S34" i="281" s="1"/>
  <c r="S35" i="281" s="1"/>
  <c r="S447" i="281" s="1"/>
  <c r="C451" i="281" s="1"/>
  <c r="AA21" i="6"/>
  <c r="AQ38" i="4"/>
  <c r="AQ31" i="4"/>
  <c r="AQ42" i="4"/>
  <c r="AQ35" i="4"/>
  <c r="AQ46" i="4"/>
  <c r="AA59" i="5" s="1"/>
  <c r="AR6" i="4"/>
  <c r="X23" i="267"/>
  <c r="X26" i="267" s="1"/>
  <c r="X19" i="267"/>
  <c r="E5" i="293"/>
  <c r="E18" i="281"/>
  <c r="C17" i="281"/>
  <c r="D66" i="281"/>
  <c r="C61" i="281"/>
  <c r="AR33" i="4" l="1"/>
  <c r="AB60" i="5" s="1"/>
  <c r="AB56" i="5"/>
  <c r="Z30" i="6"/>
  <c r="Z35" i="6" s="1"/>
  <c r="Z109" i="5"/>
  <c r="AA68" i="5"/>
  <c r="AA13" i="5" s="1"/>
  <c r="AA72" i="5"/>
  <c r="AA29" i="5" s="1"/>
  <c r="AA70" i="5"/>
  <c r="AA26" i="5" s="1"/>
  <c r="AA78" i="5"/>
  <c r="AA107" i="5" s="1"/>
  <c r="AB107" i="5" s="1"/>
  <c r="AA113" i="5"/>
  <c r="AB105" i="5"/>
  <c r="Z33" i="5"/>
  <c r="Z40" i="5" s="1"/>
  <c r="Z24" i="6"/>
  <c r="D43" i="281"/>
  <c r="C38" i="281"/>
  <c r="AR8" i="4"/>
  <c r="AR10" i="4"/>
  <c r="AR13" i="4" s="1"/>
  <c r="AR30" i="4" s="1"/>
  <c r="AB58" i="5" s="1"/>
  <c r="AB62" i="5" s="1"/>
  <c r="AB10" i="5" s="1"/>
  <c r="AQ75" i="4"/>
  <c r="AA22" i="6"/>
  <c r="Y9" i="6"/>
  <c r="Y80" i="5" s="1"/>
  <c r="Y81" i="5" s="1"/>
  <c r="AQ47" i="4"/>
  <c r="AQ51" i="4" s="1"/>
  <c r="G5" i="293"/>
  <c r="C18" i="281"/>
  <c r="C63" i="281"/>
  <c r="E7" i="293"/>
  <c r="E64" i="281"/>
  <c r="AB64" i="5" l="1"/>
  <c r="AB11" i="5" s="1"/>
  <c r="AB66" i="5"/>
  <c r="AB20" i="5" s="1"/>
  <c r="AQ59" i="4"/>
  <c r="AA109" i="5"/>
  <c r="AA33" i="5"/>
  <c r="AA40" i="5" s="1"/>
  <c r="Z112" i="5"/>
  <c r="Z111" i="5"/>
  <c r="Z77" i="5"/>
  <c r="Y21" i="5"/>
  <c r="E6" i="293"/>
  <c r="C453" i="281"/>
  <c r="C40" i="281"/>
  <c r="G6" i="293" s="1"/>
  <c r="E41" i="281"/>
  <c r="AQ109" i="4"/>
  <c r="AA25" i="6"/>
  <c r="AA23" i="6"/>
  <c r="AB21" i="6"/>
  <c r="AR42" i="4"/>
  <c r="AR38" i="4"/>
  <c r="AR31" i="4"/>
  <c r="Y8" i="6"/>
  <c r="AR35" i="4"/>
  <c r="AR46" i="4"/>
  <c r="AB59" i="5" s="1"/>
  <c r="G7" i="293"/>
  <c r="C64" i="281"/>
  <c r="J5" i="293"/>
  <c r="AA112" i="5" l="1"/>
  <c r="AA111" i="5"/>
  <c r="AB68" i="5"/>
  <c r="AB13" i="5" s="1"/>
  <c r="AB72" i="5"/>
  <c r="AB29" i="5" s="1"/>
  <c r="AB70" i="5"/>
  <c r="AB26" i="5" s="1"/>
  <c r="AB78" i="5"/>
  <c r="AB108" i="5" s="1"/>
  <c r="AB109" i="5" s="1"/>
  <c r="AB113" i="5"/>
  <c r="Z9" i="6"/>
  <c r="C454" i="281"/>
  <c r="H64" i="281"/>
  <c r="J7" i="293"/>
  <c r="C41" i="281"/>
  <c r="AA30" i="6"/>
  <c r="AA35" i="6" s="1"/>
  <c r="AA24" i="6"/>
  <c r="AR75" i="4"/>
  <c r="AB22" i="6"/>
  <c r="AR47" i="4"/>
  <c r="AR51" i="4" s="1"/>
  <c r="AR109" i="4" s="1"/>
  <c r="AR59" i="4" l="1"/>
  <c r="AB112" i="5"/>
  <c r="AB111" i="5"/>
  <c r="AB33" i="5"/>
  <c r="AB40" i="5" s="1"/>
  <c r="Z8" i="6"/>
  <c r="Z80" i="5"/>
  <c r="Z81" i="5" s="1"/>
  <c r="J6" i="293"/>
  <c r="AB25" i="6"/>
  <c r="AB23" i="6"/>
  <c r="AA77" i="5" l="1"/>
  <c r="Z21" i="5"/>
  <c r="Y4" i="293"/>
  <c r="Y5" i="293" s="1"/>
  <c r="AG4" i="293" s="1"/>
  <c r="AH4" i="293" s="1"/>
  <c r="C71" i="293"/>
  <c r="AB30" i="6"/>
  <c r="AB35" i="6" s="1"/>
  <c r="AA9" i="6"/>
  <c r="AA80" i="5" s="1"/>
  <c r="AB24" i="6"/>
  <c r="AA81" i="5" l="1"/>
  <c r="AB9" i="6"/>
  <c r="AB80" i="5" s="1"/>
  <c r="AA8" i="6"/>
  <c r="AB77" i="5" l="1"/>
  <c r="AB81" i="5" s="1"/>
  <c r="AB21" i="5" s="1"/>
  <c r="AA21" i="5"/>
  <c r="AB8" i="6"/>
  <c r="AA61" i="4" l="1"/>
  <c r="AA30" i="4" l="1"/>
  <c r="X47" i="4"/>
  <c r="X51" i="4" s="1"/>
  <c r="X54" i="4" s="1"/>
  <c r="X73" i="4" s="1"/>
  <c r="X82" i="4" s="1"/>
  <c r="AA38" i="4" l="1"/>
  <c r="AA31" i="4"/>
  <c r="AA42" i="4"/>
  <c r="AF31" i="4"/>
  <c r="O58" i="5"/>
  <c r="O62" i="5" s="1"/>
  <c r="O10" i="5" s="1"/>
  <c r="AA47" i="4"/>
  <c r="P21" i="6" l="1"/>
  <c r="O21" i="6"/>
  <c r="AA48" i="4"/>
  <c r="AA51" i="4"/>
  <c r="AA109" i="4" l="1"/>
  <c r="AA110" i="4" s="1"/>
  <c r="AA54" i="4"/>
  <c r="AA53" i="4"/>
  <c r="O126" i="5" s="1"/>
  <c r="O128" i="5" s="1"/>
  <c r="O40" i="6" l="1"/>
  <c r="O46" i="6" s="1"/>
  <c r="O146" i="5"/>
  <c r="O43" i="5" s="1"/>
  <c r="AA112" i="4"/>
  <c r="AA114" i="4" s="1"/>
  <c r="AA113" i="4"/>
  <c r="AF108" i="4"/>
  <c r="AF110" i="4" s="1"/>
  <c r="AA56" i="4"/>
  <c r="AA57" i="4"/>
  <c r="AA263" i="4"/>
  <c r="AA63" i="4"/>
  <c r="AA65" i="4" s="1"/>
  <c r="AA73" i="4"/>
  <c r="AA82" i="4" s="1"/>
  <c r="AA265" i="4" l="1"/>
  <c r="AA264" i="4"/>
  <c r="AF113" i="4"/>
  <c r="AF112" i="4"/>
  <c r="AF114" i="4" s="1"/>
  <c r="AG108" i="4"/>
  <c r="AG110" i="4" s="1"/>
  <c r="AA66" i="4"/>
  <c r="AA64" i="4"/>
  <c r="AA268" i="4" s="1"/>
  <c r="O6" i="6"/>
  <c r="O27" i="6" s="1"/>
  <c r="AA266" i="4" l="1"/>
  <c r="O49" i="6"/>
  <c r="O52" i="6" s="1"/>
  <c r="O60" i="6"/>
  <c r="AG113" i="4"/>
  <c r="AG112" i="4"/>
  <c r="AG114" i="4" s="1"/>
  <c r="AG52" i="4" s="1"/>
  <c r="AH108" i="4"/>
  <c r="AH110" i="4" s="1"/>
  <c r="AF53" i="4"/>
  <c r="AF54" i="4"/>
  <c r="AA270" i="4"/>
  <c r="AA269" i="4"/>
  <c r="P126" i="5" l="1"/>
  <c r="P128" i="5" s="1"/>
  <c r="AF77" i="4"/>
  <c r="AG53" i="4"/>
  <c r="AG54" i="4"/>
  <c r="AA271" i="4"/>
  <c r="AF263" i="4"/>
  <c r="AF73" i="4"/>
  <c r="AF56" i="4"/>
  <c r="AH113" i="4"/>
  <c r="AH112" i="4"/>
  <c r="AH114" i="4" s="1"/>
  <c r="AH52" i="4" s="1"/>
  <c r="AI108" i="4"/>
  <c r="AI110" i="4" s="1"/>
  <c r="P50" i="6"/>
  <c r="O6" i="5"/>
  <c r="AF82" i="4" l="1"/>
  <c r="P6" i="6" s="1"/>
  <c r="AF264" i="4"/>
  <c r="AF265" i="4"/>
  <c r="AG56" i="4"/>
  <c r="AG263" i="4"/>
  <c r="AG73" i="4"/>
  <c r="AI113" i="4"/>
  <c r="AI112" i="4"/>
  <c r="AI114" i="4" s="1"/>
  <c r="AI52" i="4" s="1"/>
  <c r="AJ108" i="4"/>
  <c r="AJ110" i="4" s="1"/>
  <c r="AF62" i="4"/>
  <c r="P12" i="6"/>
  <c r="P144" i="5"/>
  <c r="P146" i="5" s="1"/>
  <c r="P43" i="5" s="1"/>
  <c r="Q126" i="5"/>
  <c r="Q128" i="5" s="1"/>
  <c r="AG77" i="4"/>
  <c r="AH54" i="4"/>
  <c r="AH53" i="4"/>
  <c r="O54" i="6"/>
  <c r="AA117" i="4"/>
  <c r="AA119" i="4" s="1"/>
  <c r="O14" i="5"/>
  <c r="O23" i="5" s="1"/>
  <c r="P40" i="6"/>
  <c r="P46" i="6" s="1"/>
  <c r="AF64" i="4" l="1"/>
  <c r="AF268" i="4" s="1"/>
  <c r="AF269" i="4" s="1"/>
  <c r="AF266" i="4"/>
  <c r="AF68" i="4" s="1"/>
  <c r="AF57" i="4" s="1"/>
  <c r="P27" i="6"/>
  <c r="P60" i="6" s="1"/>
  <c r="AG82" i="4"/>
  <c r="AG64" i="4" s="1"/>
  <c r="AG268" i="4" s="1"/>
  <c r="Q40" i="6"/>
  <c r="Q46" i="6" s="1"/>
  <c r="O45" i="5"/>
  <c r="AH263" i="4"/>
  <c r="AH56" i="4"/>
  <c r="AH73" i="4"/>
  <c r="AF63" i="4"/>
  <c r="Q12" i="6"/>
  <c r="AG62" i="4"/>
  <c r="Q144" i="5"/>
  <c r="Q146" i="5" s="1"/>
  <c r="Q43" i="5" s="1"/>
  <c r="AJ113" i="4"/>
  <c r="AJ112" i="4"/>
  <c r="AJ114" i="4" s="1"/>
  <c r="AJ52" i="4" s="1"/>
  <c r="AK108" i="4"/>
  <c r="AK110" i="4" s="1"/>
  <c r="AG264" i="4"/>
  <c r="AG265" i="4"/>
  <c r="R126" i="5"/>
  <c r="R128" i="5" s="1"/>
  <c r="AH77" i="4"/>
  <c r="AI53" i="4"/>
  <c r="AI54" i="4"/>
  <c r="AF270" i="4" l="1"/>
  <c r="P49" i="6"/>
  <c r="P52" i="6" s="1"/>
  <c r="Q50" i="6" s="1"/>
  <c r="Q6" i="6"/>
  <c r="Q27" i="6" s="1"/>
  <c r="AF66" i="4"/>
  <c r="AF65" i="4"/>
  <c r="AF61" i="4"/>
  <c r="AG266" i="4"/>
  <c r="AG57" i="4" s="1"/>
  <c r="AG269" i="4"/>
  <c r="AG270" i="4"/>
  <c r="AI77" i="4"/>
  <c r="S126" i="5"/>
  <c r="S128" i="5" s="1"/>
  <c r="R40" i="6"/>
  <c r="R46" i="6" s="1"/>
  <c r="AJ53" i="4"/>
  <c r="AJ54" i="4"/>
  <c r="AG63" i="4"/>
  <c r="AF271" i="4"/>
  <c r="O156" i="5"/>
  <c r="O46" i="5"/>
  <c r="O48" i="5" s="1"/>
  <c r="O50" i="5" s="1"/>
  <c r="AI263" i="4"/>
  <c r="AI56" i="4"/>
  <c r="AI73" i="4"/>
  <c r="R144" i="5"/>
  <c r="R146" i="5" s="1"/>
  <c r="R43" i="5" s="1"/>
  <c r="AH62" i="4"/>
  <c r="R12" i="6"/>
  <c r="AK113" i="4"/>
  <c r="AK112" i="4"/>
  <c r="AK114" i="4" s="1"/>
  <c r="AK52" i="4" s="1"/>
  <c r="AL108" i="4"/>
  <c r="AL110" i="4" s="1"/>
  <c r="AH82" i="4"/>
  <c r="AH264" i="4"/>
  <c r="AH265" i="4"/>
  <c r="P6" i="5" l="1"/>
  <c r="P14" i="5" s="1"/>
  <c r="P23" i="5" s="1"/>
  <c r="AI82" i="4"/>
  <c r="AI64" i="4" s="1"/>
  <c r="AI268" i="4" s="1"/>
  <c r="AG61" i="4"/>
  <c r="AG65" i="4"/>
  <c r="AG66" i="4"/>
  <c r="AL113" i="4"/>
  <c r="AL112" i="4"/>
  <c r="AL114" i="4" s="1"/>
  <c r="AL52" i="4" s="1"/>
  <c r="AM108" i="4"/>
  <c r="AM110" i="4" s="1"/>
  <c r="AH64" i="4"/>
  <c r="AH268" i="4" s="1"/>
  <c r="R6" i="6"/>
  <c r="R27" i="6" s="1"/>
  <c r="T126" i="5"/>
  <c r="T128" i="5" s="1"/>
  <c r="AJ77" i="4"/>
  <c r="S40" i="6"/>
  <c r="S46" i="6" s="1"/>
  <c r="AH63" i="4"/>
  <c r="Q60" i="6"/>
  <c r="Q49" i="6"/>
  <c r="Q52" i="6" s="1"/>
  <c r="S12" i="6"/>
  <c r="AI62" i="4"/>
  <c r="S144" i="5"/>
  <c r="S146" i="5" s="1"/>
  <c r="S43" i="5" s="1"/>
  <c r="AH266" i="4"/>
  <c r="AH68" i="4" s="1"/>
  <c r="AH57" i="4" s="1"/>
  <c r="AK54" i="4"/>
  <c r="AK53" i="4"/>
  <c r="AG271" i="4"/>
  <c r="AI264" i="4"/>
  <c r="AI265" i="4"/>
  <c r="AJ263" i="4"/>
  <c r="AJ56" i="4"/>
  <c r="AJ73" i="4"/>
  <c r="S6" i="6" l="1"/>
  <c r="S27" i="6" s="1"/>
  <c r="S49" i="6" s="1"/>
  <c r="P54" i="6"/>
  <c r="AF117" i="4"/>
  <c r="AF119" i="4" s="1"/>
  <c r="AJ82" i="4"/>
  <c r="AJ64" i="4" s="1"/>
  <c r="AJ268" i="4" s="1"/>
  <c r="AI266" i="4"/>
  <c r="AI68" i="4" s="1"/>
  <c r="AI57" i="4" s="1"/>
  <c r="AI269" i="4"/>
  <c r="AI270" i="4"/>
  <c r="Q6" i="5"/>
  <c r="R50" i="6"/>
  <c r="AK56" i="4"/>
  <c r="AK73" i="4"/>
  <c r="AK263" i="4"/>
  <c r="AH61" i="4"/>
  <c r="T12" i="6"/>
  <c r="T144" i="5"/>
  <c r="T146" i="5" s="1"/>
  <c r="T43" i="5" s="1"/>
  <c r="AJ62" i="4"/>
  <c r="AH66" i="4"/>
  <c r="AM113" i="4"/>
  <c r="AM112" i="4"/>
  <c r="AM114" i="4" s="1"/>
  <c r="AM52" i="4" s="1"/>
  <c r="AN108" i="4"/>
  <c r="AN110" i="4" s="1"/>
  <c r="T40" i="6"/>
  <c r="T46" i="6" s="1"/>
  <c r="AH270" i="4"/>
  <c r="AH269" i="4"/>
  <c r="AJ264" i="4"/>
  <c r="AJ265" i="4"/>
  <c r="P45" i="5"/>
  <c r="U126" i="5"/>
  <c r="U128" i="5" s="1"/>
  <c r="AK77" i="4"/>
  <c r="AI63" i="4"/>
  <c r="AH65" i="4"/>
  <c r="R60" i="6"/>
  <c r="R49" i="6"/>
  <c r="AL53" i="4"/>
  <c r="AL54" i="4"/>
  <c r="S60" i="6" l="1"/>
  <c r="T6" i="6"/>
  <c r="T27" i="6" s="1"/>
  <c r="T60" i="6" s="1"/>
  <c r="AI65" i="4"/>
  <c r="R52" i="6"/>
  <c r="R6" i="5" s="1"/>
  <c r="AI61" i="4"/>
  <c r="AI66" i="4"/>
  <c r="AN113" i="4"/>
  <c r="AO108" i="4"/>
  <c r="AO110" i="4" s="1"/>
  <c r="AN112" i="4"/>
  <c r="AN114" i="4" s="1"/>
  <c r="AN52" i="4" s="1"/>
  <c r="AK264" i="4"/>
  <c r="AK265" i="4"/>
  <c r="AJ269" i="4"/>
  <c r="AJ270" i="4"/>
  <c r="AL56" i="4"/>
  <c r="AL73" i="4"/>
  <c r="AL263" i="4"/>
  <c r="U40" i="6"/>
  <c r="U46" i="6" s="1"/>
  <c r="P156" i="5"/>
  <c r="P46" i="5"/>
  <c r="P48" i="5" s="1"/>
  <c r="P50" i="5" s="1"/>
  <c r="AH271" i="4"/>
  <c r="AM53" i="4"/>
  <c r="AM54" i="4"/>
  <c r="AK82" i="4"/>
  <c r="Q54" i="6"/>
  <c r="Q14" i="5"/>
  <c r="Q23" i="5" s="1"/>
  <c r="AG117" i="4"/>
  <c r="AG119" i="4" s="1"/>
  <c r="U144" i="5"/>
  <c r="U146" i="5" s="1"/>
  <c r="U43" i="5" s="1"/>
  <c r="U12" i="6"/>
  <c r="AK62" i="4"/>
  <c r="AJ63" i="4"/>
  <c r="AL77" i="4"/>
  <c r="V126" i="5"/>
  <c r="V128" i="5" s="1"/>
  <c r="AJ266" i="4"/>
  <c r="AJ68" i="4" s="1"/>
  <c r="AJ61" i="4" s="1"/>
  <c r="AI271" i="4"/>
  <c r="T49" i="6" l="1"/>
  <c r="S50" i="6"/>
  <c r="S52" i="6" s="1"/>
  <c r="T50" i="6" s="1"/>
  <c r="AJ271" i="4"/>
  <c r="AK266" i="4"/>
  <c r="AK68" i="4" s="1"/>
  <c r="AK57" i="4" s="1"/>
  <c r="V12" i="6"/>
  <c r="AL62" i="4"/>
  <c r="V144" i="5"/>
  <c r="V146" i="5" s="1"/>
  <c r="V43" i="5" s="1"/>
  <c r="AK64" i="4"/>
  <c r="AK268" i="4" s="1"/>
  <c r="U6" i="6"/>
  <c r="U27" i="6" s="1"/>
  <c r="Q45" i="5"/>
  <c r="AM77" i="4"/>
  <c r="W126" i="5"/>
  <c r="W128" i="5" s="1"/>
  <c r="AJ57" i="4"/>
  <c r="AJ66" i="4"/>
  <c r="V40" i="6"/>
  <c r="V46" i="6" s="1"/>
  <c r="AK63" i="4"/>
  <c r="AO113" i="4"/>
  <c r="AO112" i="4"/>
  <c r="AO114" i="4" s="1"/>
  <c r="AO52" i="4" s="1"/>
  <c r="AP108" i="4"/>
  <c r="AP110" i="4" s="1"/>
  <c r="AJ65" i="4"/>
  <c r="AM263" i="4"/>
  <c r="AM56" i="4"/>
  <c r="AM73" i="4"/>
  <c r="AL82" i="4"/>
  <c r="AL264" i="4"/>
  <c r="AL265" i="4"/>
  <c r="AN53" i="4"/>
  <c r="AN54" i="4"/>
  <c r="R54" i="6"/>
  <c r="AH117" i="4"/>
  <c r="AH119" i="4" s="1"/>
  <c r="R14" i="5"/>
  <c r="R23" i="5" s="1"/>
  <c r="T52" i="6" l="1"/>
  <c r="U50" i="6" s="1"/>
  <c r="S6" i="5"/>
  <c r="S54" i="6" s="1"/>
  <c r="AK66" i="4"/>
  <c r="AK61" i="4"/>
  <c r="AK65" i="4"/>
  <c r="AL266" i="4"/>
  <c r="AL68" i="4" s="1"/>
  <c r="AL57" i="4" s="1"/>
  <c r="AO54" i="4"/>
  <c r="AO53" i="4"/>
  <c r="W40" i="6"/>
  <c r="W46" i="6" s="1"/>
  <c r="U60" i="6"/>
  <c r="U49" i="6"/>
  <c r="AL63" i="4"/>
  <c r="AK269" i="4"/>
  <c r="AK270" i="4"/>
  <c r="AL64" i="4"/>
  <c r="AL268" i="4" s="1"/>
  <c r="V6" i="6"/>
  <c r="V27" i="6" s="1"/>
  <c r="W144" i="5"/>
  <c r="W146" i="5" s="1"/>
  <c r="W43" i="5" s="1"/>
  <c r="W12" i="6"/>
  <c r="AM62" i="4"/>
  <c r="AN56" i="4"/>
  <c r="AN263" i="4"/>
  <c r="AN73" i="4"/>
  <c r="R45" i="5"/>
  <c r="X126" i="5"/>
  <c r="X128" i="5" s="1"/>
  <c r="AN77" i="4"/>
  <c r="AM82" i="4"/>
  <c r="AM265" i="4"/>
  <c r="AM264" i="4"/>
  <c r="AP113" i="4"/>
  <c r="AQ108" i="4"/>
  <c r="AQ110" i="4" s="1"/>
  <c r="AP112" i="4"/>
  <c r="AP114" i="4" s="1"/>
  <c r="AP52" i="4" s="1"/>
  <c r="Q156" i="5"/>
  <c r="Q46" i="5"/>
  <c r="Q48" i="5" s="1"/>
  <c r="Q50" i="5" s="1"/>
  <c r="T6" i="5" l="1"/>
  <c r="T54" i="6" s="1"/>
  <c r="S14" i="5"/>
  <c r="S23" i="5" s="1"/>
  <c r="S45" i="5" s="1"/>
  <c r="AI117" i="4"/>
  <c r="AI119" i="4" s="1"/>
  <c r="AL61" i="4"/>
  <c r="AL65" i="4"/>
  <c r="AL66" i="4"/>
  <c r="AK271" i="4"/>
  <c r="AN82" i="4"/>
  <c r="X6" i="6" s="1"/>
  <c r="AQ113" i="4"/>
  <c r="AQ112" i="4"/>
  <c r="AQ114" i="4" s="1"/>
  <c r="AQ52" i="4" s="1"/>
  <c r="AR108" i="4"/>
  <c r="AR110" i="4" s="1"/>
  <c r="W6" i="6"/>
  <c r="W27" i="6" s="1"/>
  <c r="AM64" i="4"/>
  <c r="AM268" i="4" s="1"/>
  <c r="R46" i="5"/>
  <c r="R48" i="5" s="1"/>
  <c r="R50" i="5" s="1"/>
  <c r="R156" i="5"/>
  <c r="V60" i="6"/>
  <c r="V49" i="6"/>
  <c r="U52" i="6"/>
  <c r="Y126" i="5"/>
  <c r="Y128" i="5" s="1"/>
  <c r="AO77" i="4"/>
  <c r="X12" i="6"/>
  <c r="AN62" i="4"/>
  <c r="X144" i="5"/>
  <c r="X146" i="5" s="1"/>
  <c r="X43" i="5" s="1"/>
  <c r="AL270" i="4"/>
  <c r="AL269" i="4"/>
  <c r="X40" i="6"/>
  <c r="X46" i="6" s="1"/>
  <c r="AN265" i="4"/>
  <c r="AN264" i="4"/>
  <c r="AP53" i="4"/>
  <c r="AP54" i="4"/>
  <c r="AM266" i="4"/>
  <c r="AM68" i="4" s="1"/>
  <c r="AM57" i="4" s="1"/>
  <c r="AM63" i="4"/>
  <c r="AO56" i="4"/>
  <c r="AO263" i="4"/>
  <c r="AO73" i="4"/>
  <c r="T14" i="5" l="1"/>
  <c r="T23" i="5" s="1"/>
  <c r="T45" i="5" s="1"/>
  <c r="T46" i="5" s="1"/>
  <c r="T48" i="5" s="1"/>
  <c r="T50" i="5" s="1"/>
  <c r="AJ117" i="4"/>
  <c r="AJ119" i="4" s="1"/>
  <c r="AN64" i="4"/>
  <c r="AN268" i="4" s="1"/>
  <c r="AN270" i="4" s="1"/>
  <c r="AL271" i="4"/>
  <c r="AN266" i="4"/>
  <c r="AN68" i="4" s="1"/>
  <c r="AN57" i="4" s="1"/>
  <c r="AO265" i="4"/>
  <c r="AO264" i="4"/>
  <c r="AM61" i="4"/>
  <c r="AM270" i="4"/>
  <c r="AM269" i="4"/>
  <c r="AQ54" i="4"/>
  <c r="AQ53" i="4"/>
  <c r="W60" i="6"/>
  <c r="W49" i="6"/>
  <c r="Y40" i="6"/>
  <c r="Y46" i="6" s="1"/>
  <c r="X27" i="6"/>
  <c r="AM66" i="4"/>
  <c r="Y144" i="5"/>
  <c r="Y146" i="5" s="1"/>
  <c r="Y43" i="5" s="1"/>
  <c r="Y12" i="6"/>
  <c r="AO62" i="4"/>
  <c r="S156" i="5"/>
  <c r="S46" i="5"/>
  <c r="S48" i="5" s="1"/>
  <c r="S50" i="5" s="1"/>
  <c r="AP56" i="4"/>
  <c r="AP263" i="4"/>
  <c r="AP73" i="4"/>
  <c r="AO82" i="4"/>
  <c r="AM65" i="4"/>
  <c r="AP77" i="4"/>
  <c r="Z126" i="5"/>
  <c r="Z128" i="5" s="1"/>
  <c r="AN63" i="4"/>
  <c r="V50" i="6"/>
  <c r="V52" i="6" s="1"/>
  <c r="U6" i="5"/>
  <c r="AR113" i="4"/>
  <c r="AR112" i="4"/>
  <c r="AR114" i="4" s="1"/>
  <c r="AR52" i="4" s="1"/>
  <c r="AN269" i="4" l="1"/>
  <c r="AN271" i="4" s="1"/>
  <c r="AN61" i="4"/>
  <c r="AN65" i="4"/>
  <c r="AN66" i="4"/>
  <c r="AO266" i="4"/>
  <c r="AO68" i="4" s="1"/>
  <c r="AO57" i="4" s="1"/>
  <c r="W50" i="6"/>
  <c r="W52" i="6" s="1"/>
  <c r="V6" i="5"/>
  <c r="AP82" i="4"/>
  <c r="AO64" i="4"/>
  <c r="AO268" i="4" s="1"/>
  <c r="Y6" i="6"/>
  <c r="Y27" i="6" s="1"/>
  <c r="AP264" i="4"/>
  <c r="AP265" i="4"/>
  <c r="AQ77" i="4"/>
  <c r="AA126" i="5"/>
  <c r="AA128" i="5" s="1"/>
  <c r="AR53" i="4"/>
  <c r="AR54" i="4"/>
  <c r="U14" i="5"/>
  <c r="U23" i="5" s="1"/>
  <c r="U54" i="6"/>
  <c r="AK117" i="4"/>
  <c r="AK119" i="4" s="1"/>
  <c r="Z40" i="6"/>
  <c r="Z46" i="6" s="1"/>
  <c r="AO63" i="4"/>
  <c r="AQ56" i="4"/>
  <c r="AQ263" i="4"/>
  <c r="AQ73" i="4"/>
  <c r="Z144" i="5"/>
  <c r="Z146" i="5" s="1"/>
  <c r="Z43" i="5" s="1"/>
  <c r="Z12" i="6"/>
  <c r="AP62" i="4"/>
  <c r="X60" i="6"/>
  <c r="X49" i="6"/>
  <c r="AM271" i="4"/>
  <c r="AQ82" i="4" l="1"/>
  <c r="AA6" i="6" s="1"/>
  <c r="AO66" i="4"/>
  <c r="AO61" i="4"/>
  <c r="AO65" i="4"/>
  <c r="AP266" i="4"/>
  <c r="AP68" i="4" s="1"/>
  <c r="AP57" i="4" s="1"/>
  <c r="AA40" i="6"/>
  <c r="AA46" i="6" s="1"/>
  <c r="Y60" i="6"/>
  <c r="Y49" i="6"/>
  <c r="V14" i="5"/>
  <c r="V23" i="5" s="1"/>
  <c r="V54" i="6"/>
  <c r="AL117" i="4"/>
  <c r="AL119" i="4" s="1"/>
  <c r="AR56" i="4"/>
  <c r="AR263" i="4"/>
  <c r="AR73" i="4"/>
  <c r="X50" i="6"/>
  <c r="X52" i="6" s="1"/>
  <c r="W6" i="5"/>
  <c r="AQ264" i="4"/>
  <c r="AQ265" i="4"/>
  <c r="U45" i="5"/>
  <c r="U46" i="5" s="1"/>
  <c r="U48" i="5" s="1"/>
  <c r="U50" i="5" s="1"/>
  <c r="AA144" i="5"/>
  <c r="AA146" i="5" s="1"/>
  <c r="AA43" i="5" s="1"/>
  <c r="AQ62" i="4"/>
  <c r="AA12" i="6"/>
  <c r="AO269" i="4"/>
  <c r="AO270" i="4"/>
  <c r="AP63" i="4"/>
  <c r="AR77" i="4"/>
  <c r="AB126" i="5"/>
  <c r="AB128" i="5" s="1"/>
  <c r="Z6" i="6"/>
  <c r="Z27" i="6" s="1"/>
  <c r="AP64" i="4"/>
  <c r="AP268" i="4" s="1"/>
  <c r="AQ64" i="4" l="1"/>
  <c r="AQ268" i="4" s="1"/>
  <c r="AQ269" i="4" s="1"/>
  <c r="AP66" i="4"/>
  <c r="AQ266" i="4"/>
  <c r="AQ68" i="4" s="1"/>
  <c r="AQ57" i="4" s="1"/>
  <c r="AP65" i="4"/>
  <c r="AP61" i="4"/>
  <c r="AA27" i="6"/>
  <c r="AA60" i="6" s="1"/>
  <c r="Y50" i="6"/>
  <c r="Y52" i="6" s="1"/>
  <c r="X6" i="5"/>
  <c r="AB12" i="6"/>
  <c r="AR62" i="4"/>
  <c r="AB144" i="5"/>
  <c r="AB146" i="5" s="1"/>
  <c r="AB43" i="5" s="1"/>
  <c r="AQ63" i="4"/>
  <c r="AR82" i="4"/>
  <c r="V45" i="5"/>
  <c r="V46" i="5" s="1"/>
  <c r="V48" i="5" s="1"/>
  <c r="V50" i="5" s="1"/>
  <c r="AB40" i="6"/>
  <c r="AB46" i="6" s="1"/>
  <c r="Z60" i="6"/>
  <c r="Z49" i="6"/>
  <c r="AO271" i="4"/>
  <c r="AP270" i="4"/>
  <c r="AP269" i="4"/>
  <c r="W54" i="6"/>
  <c r="AM117" i="4"/>
  <c r="AM119" i="4" s="1"/>
  <c r="W14" i="5"/>
  <c r="W23" i="5" s="1"/>
  <c r="AR264" i="4"/>
  <c r="AR265" i="4"/>
  <c r="AQ270" i="4" l="1"/>
  <c r="AQ271" i="4" s="1"/>
  <c r="AQ66" i="4"/>
  <c r="AQ65" i="4"/>
  <c r="AQ61" i="4"/>
  <c r="AA49" i="6"/>
  <c r="AR266" i="4"/>
  <c r="AR68" i="4" s="1"/>
  <c r="AR57" i="4" s="1"/>
  <c r="AP271" i="4"/>
  <c r="AR64" i="4"/>
  <c r="AR268" i="4" s="1"/>
  <c r="AB6" i="6"/>
  <c r="AB27" i="6" s="1"/>
  <c r="AR63" i="4"/>
  <c r="AN117" i="4"/>
  <c r="AN119" i="4" s="1"/>
  <c r="X54" i="6"/>
  <c r="X14" i="5"/>
  <c r="X23" i="5" s="1"/>
  <c r="Z50" i="6"/>
  <c r="Z52" i="6" s="1"/>
  <c r="Y6" i="5"/>
  <c r="W45" i="5"/>
  <c r="W46" i="5" s="1"/>
  <c r="W48" i="5" s="1"/>
  <c r="W50" i="5" s="1"/>
  <c r="AR65" i="4" l="1"/>
  <c r="AR61" i="4"/>
  <c r="AR66" i="4"/>
  <c r="Z6" i="5"/>
  <c r="AA50" i="6"/>
  <c r="AA52" i="6" s="1"/>
  <c r="Y54" i="6"/>
  <c r="Y14" i="5"/>
  <c r="Y23" i="5" s="1"/>
  <c r="AO117" i="4"/>
  <c r="AO119" i="4" s="1"/>
  <c r="AB60" i="6"/>
  <c r="AB49" i="6"/>
  <c r="AR269" i="4"/>
  <c r="AR270" i="4"/>
  <c r="X45" i="5"/>
  <c r="X46" i="5" s="1"/>
  <c r="X48" i="5" s="1"/>
  <c r="X50" i="5" s="1"/>
  <c r="Y45" i="5" l="1"/>
  <c r="Y46" i="5" s="1"/>
  <c r="Y48" i="5" s="1"/>
  <c r="Y50" i="5" s="1"/>
  <c r="AB50" i="6"/>
  <c r="AB52" i="6" s="1"/>
  <c r="AB6" i="5" s="1"/>
  <c r="AA6" i="5"/>
  <c r="AR271" i="4"/>
  <c r="Z54" i="6"/>
  <c r="AP117" i="4"/>
  <c r="AP119" i="4" s="1"/>
  <c r="Z14" i="5"/>
  <c r="Z23" i="5" s="1"/>
  <c r="Z45" i="5" l="1"/>
  <c r="Z46" i="5" s="1"/>
  <c r="Z48" i="5" s="1"/>
  <c r="Z50" i="5" s="1"/>
  <c r="AA14" i="5"/>
  <c r="AA23" i="5" s="1"/>
  <c r="AA54" i="6"/>
  <c r="AQ117" i="4"/>
  <c r="AQ119" i="4" s="1"/>
  <c r="AB54" i="6"/>
  <c r="AB14" i="5"/>
  <c r="AB23" i="5" s="1"/>
  <c r="AR117" i="4"/>
  <c r="AR119" i="4" s="1"/>
  <c r="AB45" i="5" l="1"/>
  <c r="AB46" i="5" s="1"/>
  <c r="AB48" i="5" s="1"/>
  <c r="AB50" i="5" s="1"/>
  <c r="AA45" i="5"/>
  <c r="AA46" i="5" s="1"/>
  <c r="AA48" i="5" s="1"/>
  <c r="AA50" i="5" s="1"/>
  <c r="F75" i="281" l="1"/>
  <c r="F76" i="281" l="1"/>
  <c r="C8" i="293"/>
  <c r="F77" i="281"/>
  <c r="F78" i="281"/>
  <c r="R6" i="300"/>
  <c r="F79" i="281" l="1"/>
  <c r="F80" i="281"/>
  <c r="F81" i="281" s="1"/>
  <c r="C84" i="281" l="1"/>
  <c r="D89" i="281"/>
  <c r="C86" i="281" l="1"/>
  <c r="E87" i="281"/>
  <c r="E415" i="281" s="1"/>
  <c r="E431" i="281" s="1"/>
  <c r="E8" i="293"/>
  <c r="E25" i="293" s="1"/>
  <c r="J33" i="293" l="1"/>
  <c r="C87" i="281"/>
  <c r="G8" i="293"/>
  <c r="G25" i="293" s="1"/>
  <c r="C415" i="281" l="1"/>
  <c r="J8" i="293"/>
  <c r="C75" i="293" s="1"/>
  <c r="G415" i="281" l="1"/>
  <c r="C431" i="281"/>
  <c r="J25" i="293"/>
  <c r="J31" i="293" l="1"/>
  <c r="J35" i="293"/>
</calcChain>
</file>

<file path=xl/comments1.xml><?xml version="1.0" encoding="utf-8"?>
<comments xmlns="http://schemas.openxmlformats.org/spreadsheetml/2006/main">
  <authors>
    <author>David Friedman</author>
    <author>slifsara</author>
    <author>Smith, Thomas J (Research)</author>
    <author>Jeremy Joseph</author>
    <author>Brienne Kugler</author>
  </authors>
  <commentList>
    <comment ref="I28" authorId="0">
      <text>
        <r>
          <rPr>
            <sz val="8"/>
            <color indexed="81"/>
            <rFont val="Tahoma"/>
            <family val="2"/>
          </rPr>
          <t xml:space="preserve">
Assumption for amortization of NVS and LLY upfronts
</t>
        </r>
      </text>
    </comment>
    <comment ref="J28" authorId="0">
      <text>
        <r>
          <rPr>
            <sz val="8"/>
            <color indexed="81"/>
            <rFont val="Tahoma"/>
            <family val="2"/>
          </rPr>
          <t xml:space="preserve">
EU (40) approval milestones
$90mn upfront from Lilly amortized over 7 years. 
$210mn upfront/immediate milestone from Novartis amortized over 4 years (to end of 2013)</t>
        </r>
      </text>
    </comment>
    <comment ref="L28" authorId="1">
      <text>
        <r>
          <rPr>
            <sz val="8"/>
            <color indexed="81"/>
            <rFont val="Tahoma"/>
            <family val="2"/>
          </rPr>
          <t xml:space="preserve">
Assume PV filing milestone of $10mn
$60mn for Jakavi (MF) reimbursement and pricing approval in 3 of top 5 EU countries. 
Assume PV approval milestone of $30mn</t>
        </r>
      </text>
    </comment>
    <comment ref="U28" authorId="2">
      <text>
        <r>
          <rPr>
            <b/>
            <sz val="9"/>
            <color indexed="81"/>
            <rFont val="Tahoma"/>
            <family val="2"/>
          </rPr>
          <t>Smith, Thomas J (Research):</t>
        </r>
        <r>
          <rPr>
            <sz val="9"/>
            <color indexed="81"/>
            <rFont val="Tahoma"/>
            <family val="2"/>
          </rPr>
          <t xml:space="preserve">
Includes $40mn regulatory milestone from NVS related to reimbursement of Jakavi in Europe for PV</t>
        </r>
      </text>
    </comment>
    <comment ref="W28" authorId="2">
      <text>
        <r>
          <rPr>
            <b/>
            <sz val="9"/>
            <color indexed="81"/>
            <rFont val="Tahoma"/>
            <family val="2"/>
          </rPr>
          <t>Smith, Thomas J (Research):</t>
        </r>
        <r>
          <rPr>
            <sz val="9"/>
            <color indexed="81"/>
            <rFont val="Tahoma"/>
            <family val="2"/>
          </rPr>
          <t xml:space="preserve">
$65mn from LLY for EMA approval for baricitinib</t>
        </r>
      </text>
    </comment>
    <comment ref="Y28" authorId="2">
      <text>
        <r>
          <rPr>
            <b/>
            <sz val="9"/>
            <color indexed="81"/>
            <rFont val="Tahoma"/>
            <family val="2"/>
          </rPr>
          <t>Smith, Thomas J (Research):</t>
        </r>
        <r>
          <rPr>
            <sz val="9"/>
            <color indexed="81"/>
            <rFont val="Tahoma"/>
            <family val="2"/>
          </rPr>
          <t xml:space="preserve">
$15mn milestone from LLY for baricitinib JP approval</t>
        </r>
      </text>
    </comment>
    <comment ref="Z28" authorId="2">
      <text>
        <r>
          <rPr>
            <b/>
            <sz val="9"/>
            <color indexed="81"/>
            <rFont val="Tahoma"/>
            <family val="2"/>
          </rPr>
          <t>Smith, Thomas J (Research):</t>
        </r>
        <r>
          <rPr>
            <sz val="9"/>
            <color indexed="81"/>
            <rFont val="Tahoma"/>
            <family val="2"/>
          </rPr>
          <t xml:space="preserve">
$40mn milestone from NVS related to commercial performance of Jakavi
$30mn milestone from LLY related to initiation of Phase 3 baricitinib trial in atopic derm </t>
        </r>
      </text>
    </comment>
    <comment ref="AA28" authorId="2">
      <text>
        <r>
          <rPr>
            <b/>
            <sz val="9"/>
            <color indexed="81"/>
            <rFont val="Tahoma"/>
            <family val="2"/>
          </rPr>
          <t>Smith, Thomas J (Research):</t>
        </r>
        <r>
          <rPr>
            <sz val="9"/>
            <color indexed="81"/>
            <rFont val="Tahoma"/>
            <family val="2"/>
          </rPr>
          <t xml:space="preserve">
$65mn - EU approval milestone from LLY for baricitinib
Other potential milestones include baricitinib JP approval, initiation of Ph3 in PsA, initiation of Ph3 in third indication
Guidance lowered from "up to $300mn" to "up to $130mn" in 1Q17 earnings (5/4/17)
Guidance raised from "up to $130mn" to "up to $145mn" in 2Q17 earnings (8/1/17)</t>
        </r>
      </text>
    </comment>
    <comment ref="AF28" authorId="2">
      <text>
        <r>
          <rPr>
            <b/>
            <sz val="9"/>
            <color indexed="81"/>
            <rFont val="Tahoma"/>
            <family val="2"/>
          </rPr>
          <t>Smith, Thomas J (Research):</t>
        </r>
        <r>
          <rPr>
            <sz val="9"/>
            <color indexed="81"/>
            <rFont val="Tahoma"/>
            <family val="2"/>
          </rPr>
          <t xml:space="preserve">
No guidance on milestones - excluded from Non-GAAP revenues</t>
        </r>
      </text>
    </comment>
    <comment ref="B29" authorId="3">
      <text>
        <r>
          <rPr>
            <sz val="8"/>
            <color indexed="81"/>
            <rFont val="Tahoma"/>
            <family val="2"/>
          </rPr>
          <t xml:space="preserve">Per 10-K
License and royalty revenues were derived from database subscriptions and licensing of our gene- and genomic-related intellectual property. We expect that revenues generated from information products, including licensing of gene- and genomic-related intellectual property, will decline as we focus on our drug discovery and development programs. </t>
        </r>
      </text>
    </comment>
    <comment ref="AF33" authorId="2">
      <text>
        <r>
          <rPr>
            <b/>
            <sz val="9"/>
            <color indexed="81"/>
            <rFont val="Tahoma"/>
            <family val="2"/>
          </rPr>
          <t>Smith, Thomas J (Research):</t>
        </r>
        <r>
          <rPr>
            <sz val="9"/>
            <color indexed="81"/>
            <rFont val="Tahoma"/>
            <family val="2"/>
          </rPr>
          <t xml:space="preserve">
Excludes $21mn related to amortization of acquired product rights for Iclusig</t>
        </r>
      </text>
    </comment>
    <comment ref="L34" authorId="4">
      <text>
        <r>
          <rPr>
            <sz val="8"/>
            <color indexed="81"/>
            <rFont val="Tahoma"/>
            <family val="2"/>
          </rPr>
          <t xml:space="preserve">4-6% COGS at steady state incl tiered low single digit royalties to Novartis on net Jakafi sales in the US
Expect pre launch inventory to run out at some point in 2014. </t>
        </r>
      </text>
    </comment>
    <comment ref="R37" authorId="2">
      <text>
        <r>
          <rPr>
            <b/>
            <sz val="9"/>
            <color indexed="81"/>
            <rFont val="Tahoma"/>
            <family val="2"/>
          </rPr>
          <t>Smith, Thomas J (Research):</t>
        </r>
        <r>
          <rPr>
            <sz val="9"/>
            <color indexed="81"/>
            <rFont val="Tahoma"/>
            <family val="2"/>
          </rPr>
          <t xml:space="preserve">
Includes $35mn upfront to LLY for Jakafi GVHD</t>
        </r>
      </text>
    </comment>
    <comment ref="W37" authorId="2">
      <text>
        <r>
          <rPr>
            <b/>
            <sz val="9"/>
            <color indexed="81"/>
            <rFont val="Tahoma"/>
            <family val="2"/>
          </rPr>
          <t>Smith, Thomas J (Research):</t>
        </r>
        <r>
          <rPr>
            <sz val="9"/>
            <color indexed="81"/>
            <rFont val="Tahoma"/>
            <family val="2"/>
          </rPr>
          <t xml:space="preserve">
$209mn in one-time expenses, including:
- $120mn in MRUS upfront + $2mn premium on stock investment
- $45mn in CALA upfront minus $4mn  share purchase discount
- $20mn accelerated upfront to AGEN + $20mn premium on stock purchase</t>
        </r>
      </text>
    </comment>
    <comment ref="AF37" authorId="2">
      <text>
        <r>
          <rPr>
            <b/>
            <sz val="9"/>
            <color indexed="81"/>
            <rFont val="Tahoma"/>
            <family val="2"/>
          </rPr>
          <t>Smith, Thomas J (Research):</t>
        </r>
        <r>
          <rPr>
            <sz val="9"/>
            <color indexed="81"/>
            <rFont val="Tahoma"/>
            <family val="2"/>
          </rPr>
          <t xml:space="preserve">
Non-GAAP guidance: $1,077mn - $1,172mn
Excl SBC
</t>
        </r>
      </text>
    </comment>
    <comment ref="AF41" authorId="2">
      <text>
        <r>
          <rPr>
            <b/>
            <sz val="9"/>
            <color indexed="81"/>
            <rFont val="Tahoma"/>
            <family val="2"/>
          </rPr>
          <t>Smith, Thomas J (Research):</t>
        </r>
        <r>
          <rPr>
            <sz val="9"/>
            <color indexed="81"/>
            <rFont val="Tahoma"/>
            <family val="2"/>
          </rPr>
          <t xml:space="preserve">
Non-GAAP guidance: $465mn - $480mn
Excludes SBC</t>
        </r>
      </text>
    </comment>
    <comment ref="AF45" authorId="2">
      <text>
        <r>
          <rPr>
            <b/>
            <sz val="9"/>
            <color indexed="81"/>
            <rFont val="Tahoma"/>
            <family val="2"/>
          </rPr>
          <t>Smith, Thomas J (Research):</t>
        </r>
        <r>
          <rPr>
            <sz val="9"/>
            <color indexed="81"/>
            <rFont val="Tahoma"/>
            <family val="2"/>
          </rPr>
          <t xml:space="preserve">
Excl $30mn of contingent consideration expense</t>
        </r>
      </text>
    </comment>
    <comment ref="W50" authorId="2">
      <text>
        <r>
          <rPr>
            <b/>
            <sz val="9"/>
            <color indexed="81"/>
            <rFont val="Tahoma"/>
            <family val="2"/>
          </rPr>
          <t>Smith, Thomas J (Research):</t>
        </r>
        <r>
          <rPr>
            <sz val="9"/>
            <color indexed="81"/>
            <rFont val="Tahoma"/>
            <family val="2"/>
          </rPr>
          <t xml:space="preserve">
Includes $54.1mn of debt conversion expense</t>
        </r>
      </text>
    </comment>
    <comment ref="B110" authorId="4">
      <text>
        <r>
          <rPr>
            <b/>
            <sz val="8"/>
            <color indexed="81"/>
            <rFont val="Tahoma"/>
            <family val="2"/>
          </rPr>
          <t>Brienne Kugler:</t>
        </r>
        <r>
          <rPr>
            <sz val="8"/>
            <color indexed="81"/>
            <rFont val="Tahoma"/>
            <family val="2"/>
          </rPr>
          <t xml:space="preserve">
These are federal and state - not broken out separately</t>
        </r>
      </text>
    </comment>
    <comment ref="D117" authorId="3">
      <text>
        <r>
          <rPr>
            <sz val="8"/>
            <color indexed="81"/>
            <rFont val="Tahoma"/>
            <family val="2"/>
          </rPr>
          <t xml:space="preserve">
Average balance</t>
        </r>
      </text>
    </comment>
    <comment ref="K160" authorId="1">
      <text>
        <r>
          <rPr>
            <b/>
            <sz val="8"/>
            <color indexed="81"/>
            <rFont val="Tahoma"/>
            <family val="2"/>
          </rPr>
          <t>slifsara:</t>
        </r>
        <r>
          <rPr>
            <sz val="8"/>
            <color indexed="81"/>
            <rFont val="Tahoma"/>
            <family val="2"/>
          </rPr>
          <t xml:space="preserve">
2Q13 -  $143.7mn of notes converted to 16.4mn shares and 9.8mn cash
3Q13- $37.3mn exchanged for 4.2mn shares. 
With the 2018/2020 note raise:
Company agreed to purchase 2015 notes from Baker entities, for aggregate consideration of $475n ($500mn if opton granted is exercised in full).  Repurchase would result in the retirement of ~$117.4mn of the 2015 notes. </t>
        </r>
      </text>
    </comment>
    <comment ref="K161" authorId="4">
      <text>
        <r>
          <rPr>
            <b/>
            <sz val="8"/>
            <color indexed="81"/>
            <rFont val="Tahoma"/>
            <family val="2"/>
          </rPr>
          <t>Brienne Kugler:</t>
        </r>
        <r>
          <rPr>
            <sz val="8"/>
            <color indexed="81"/>
            <rFont val="Tahoma"/>
            <family val="2"/>
          </rPr>
          <t xml:space="preserve">
Per 2013 10-K, p. 89</t>
        </r>
      </text>
    </comment>
    <comment ref="B174" authorId="1">
      <text>
        <r>
          <rPr>
            <b/>
            <sz val="8"/>
            <color indexed="81"/>
            <rFont val="Tahoma"/>
            <family val="2"/>
          </rPr>
          <t>slifsara:</t>
        </r>
        <r>
          <rPr>
            <sz val="8"/>
            <color indexed="81"/>
            <rFont val="Tahoma"/>
            <family val="2"/>
          </rPr>
          <t xml:space="preserve">
Converts at $51.76/share. </t>
        </r>
      </text>
    </comment>
    <comment ref="AF176" authorId="1">
      <text>
        <r>
          <rPr>
            <b/>
            <sz val="8"/>
            <color indexed="81"/>
            <rFont val="Tahoma"/>
            <family val="2"/>
          </rPr>
          <t>slifsara:</t>
        </r>
        <r>
          <rPr>
            <sz val="8"/>
            <color indexed="81"/>
            <rFont val="Tahoma"/>
            <family val="2"/>
          </rPr>
          <t xml:space="preserve">
November 15th 2018</t>
        </r>
      </text>
    </comment>
    <comment ref="B191" authorId="1">
      <text>
        <r>
          <rPr>
            <b/>
            <sz val="8"/>
            <color indexed="81"/>
            <rFont val="Tahoma"/>
            <family val="2"/>
          </rPr>
          <t>slifsara:</t>
        </r>
        <r>
          <rPr>
            <sz val="8"/>
            <color indexed="81"/>
            <rFont val="Tahoma"/>
            <family val="2"/>
          </rPr>
          <t xml:space="preserve">
Converts at $51.76/share. </t>
        </r>
      </text>
    </comment>
    <comment ref="AH193" authorId="1">
      <text>
        <r>
          <rPr>
            <b/>
            <sz val="8"/>
            <color indexed="81"/>
            <rFont val="Tahoma"/>
            <family val="2"/>
          </rPr>
          <t>slifsara:</t>
        </r>
        <r>
          <rPr>
            <sz val="8"/>
            <color indexed="81"/>
            <rFont val="Tahoma"/>
            <family val="2"/>
          </rPr>
          <t xml:space="preserve">
November 15th 2020</t>
        </r>
      </text>
    </comment>
    <comment ref="K228" authorId="4">
      <text>
        <r>
          <rPr>
            <b/>
            <sz val="8"/>
            <color indexed="81"/>
            <rFont val="Tahoma"/>
            <family val="2"/>
          </rPr>
          <t>Brienne Kugler:</t>
        </r>
        <r>
          <rPr>
            <sz val="8"/>
            <color indexed="81"/>
            <rFont val="Tahoma"/>
            <family val="2"/>
          </rPr>
          <t xml:space="preserve">
Carrying amount as of Dec 31, 2013 was 0</t>
        </r>
      </text>
    </comment>
    <comment ref="K245" authorId="4">
      <text>
        <r>
          <rPr>
            <b/>
            <sz val="8"/>
            <color indexed="81"/>
            <rFont val="Tahoma"/>
            <family val="2"/>
          </rPr>
          <t>Brienne Kugler:</t>
        </r>
        <r>
          <rPr>
            <sz val="8"/>
            <color indexed="81"/>
            <rFont val="Tahoma"/>
            <family val="2"/>
          </rPr>
          <t xml:space="preserve">
Excluding debt exchange expense</t>
        </r>
      </text>
    </comment>
  </commentList>
</comments>
</file>

<file path=xl/comments2.xml><?xml version="1.0" encoding="utf-8"?>
<comments xmlns="http://schemas.openxmlformats.org/spreadsheetml/2006/main">
  <authors>
    <author>Jeremy Joseph</author>
    <author>slifsara</author>
    <author>Dhavle, Mandar (Research)</author>
    <author>friedmad</author>
  </authors>
  <commentList>
    <comment ref="H10" authorId="0">
      <text>
        <r>
          <rPr>
            <b/>
            <sz val="8"/>
            <color indexed="81"/>
            <rFont val="Tahoma"/>
            <family val="2"/>
          </rPr>
          <t>Jeremy Joseph:</t>
        </r>
        <r>
          <rPr>
            <sz val="8"/>
            <color indexed="81"/>
            <rFont val="Tahoma"/>
            <family val="2"/>
          </rPr>
          <t xml:space="preserve">
Recorded reimbursable costs incurred prior to the effective date of the agreement as deferred revenue on the consolidated balance sheet. These costs will be rec ognized on a straight line basis through December 2013 consistent with the aforementioned upfront and milestone payment. Future reimbursable costs incurred after the effective date of the agreement with NVS will be recorded on a net basis. At March 31, 2010, $3.5 mn of reimbursable costs are included in accounts receivable on the condensed consolidated balance sheet. </t>
        </r>
      </text>
    </comment>
    <comment ref="I30" authorId="1">
      <text>
        <r>
          <rPr>
            <b/>
            <sz val="8"/>
            <color indexed="81"/>
            <rFont val="Tahoma"/>
            <family val="2"/>
          </rPr>
          <t>slifsara:</t>
        </r>
        <r>
          <rPr>
            <sz val="8"/>
            <color indexed="81"/>
            <rFont val="Tahoma"/>
            <family val="2"/>
          </rPr>
          <t xml:space="preserve">
Novartis $210 upfront/immediate milestone amortized over 4 years (till end 2013).  Lilly's 90mn upfront over 7 years (though 2016). Rounded. 
This # includes $2.332mn in deferred product revenue</t>
        </r>
      </text>
    </comment>
    <comment ref="J30" authorId="1">
      <text>
        <r>
          <rPr>
            <b/>
            <sz val="8"/>
            <color indexed="81"/>
            <rFont val="Tahoma"/>
            <family val="2"/>
          </rPr>
          <t>slifsara:</t>
        </r>
        <r>
          <rPr>
            <sz val="8"/>
            <color indexed="81"/>
            <rFont val="Tahoma"/>
            <family val="2"/>
          </rPr>
          <t xml:space="preserve">
Novartis $210 upfront/immediate milestone amortized over 4 years (till end 2013).  Lilly's 90mn upfront over 7 years (though 2016)</t>
        </r>
      </text>
    </comment>
    <comment ref="K30" authorId="1">
      <text>
        <r>
          <rPr>
            <b/>
            <sz val="8"/>
            <color indexed="81"/>
            <rFont val="Tahoma"/>
            <family val="2"/>
          </rPr>
          <t>slifsara:</t>
        </r>
        <r>
          <rPr>
            <sz val="8"/>
            <color indexed="81"/>
            <rFont val="Tahoma"/>
            <family val="2"/>
          </rPr>
          <t xml:space="preserve">
rest of Lilly 90mn amortized over 7 years. Rounded.</t>
        </r>
      </text>
    </comment>
    <comment ref="L30" authorId="1">
      <text>
        <r>
          <rPr>
            <b/>
            <sz val="8"/>
            <color indexed="81"/>
            <rFont val="Tahoma"/>
            <family val="2"/>
          </rPr>
          <t>slifsara:</t>
        </r>
        <r>
          <rPr>
            <sz val="8"/>
            <color indexed="81"/>
            <rFont val="Tahoma"/>
            <family val="2"/>
          </rPr>
          <t xml:space="preserve">
rest of Lilly 90mn amortized over 7 years</t>
        </r>
      </text>
    </comment>
    <comment ref="N32" authorId="2">
      <text>
        <r>
          <rPr>
            <sz val="9"/>
            <color indexed="81"/>
            <rFont val="Tahoma"/>
            <family val="2"/>
          </rPr>
          <t>Includes Acquisition related contingent consideration.</t>
        </r>
      </text>
    </comment>
    <comment ref="R35" authorId="1">
      <text>
        <r>
          <rPr>
            <sz val="8"/>
            <color indexed="81"/>
            <rFont val="Tahoma"/>
            <family val="2"/>
          </rPr>
          <t>for modelware</t>
        </r>
      </text>
    </comment>
    <comment ref="D119" authorId="3">
      <text>
        <r>
          <rPr>
            <b/>
            <sz val="8"/>
            <color indexed="81"/>
            <rFont val="Tahoma"/>
            <family val="2"/>
          </rPr>
          <t>josejere:</t>
        </r>
        <r>
          <rPr>
            <sz val="8"/>
            <color indexed="81"/>
            <rFont val="Tahoma"/>
            <family val="2"/>
          </rPr>
          <t xml:space="preserve">
End of Period
</t>
        </r>
      </text>
    </comment>
    <comment ref="C126" authorId="0">
      <text>
        <r>
          <rPr>
            <b/>
            <sz val="8"/>
            <color indexed="81"/>
            <rFont val="Tahoma"/>
            <family val="2"/>
          </rPr>
          <t>Jeremy Joseph:</t>
        </r>
        <r>
          <rPr>
            <sz val="8"/>
            <color indexed="81"/>
            <rFont val="Tahoma"/>
            <family val="2"/>
          </rPr>
          <t xml:space="preserve">
Effective tax rate
</t>
        </r>
      </text>
    </comment>
    <comment ref="K133" authorId="1">
      <text>
        <r>
          <rPr>
            <sz val="8"/>
            <color indexed="81"/>
            <rFont val="Tahoma"/>
            <family val="2"/>
          </rPr>
          <t>2013 Pfizer convert: $10mn at conversion price of $6.84.</t>
        </r>
      </text>
    </comment>
    <comment ref="L133" authorId="1">
      <text>
        <r>
          <rPr>
            <sz val="8"/>
            <color indexed="81"/>
            <rFont val="Tahoma"/>
            <family val="2"/>
          </rPr>
          <t>Pfizer convert $10mn at conversion price of $9.75</t>
        </r>
      </text>
    </comment>
    <comment ref="M133" authorId="1">
      <text>
        <r>
          <rPr>
            <sz val="8"/>
            <color indexed="81"/>
            <rFont val="Tahoma"/>
            <family val="2"/>
          </rPr>
          <t>Incyte 2015 debt. Conversion price of $8.78</t>
        </r>
      </text>
    </comment>
    <comment ref="N133" authorId="1">
      <text>
        <r>
          <rPr>
            <sz val="8"/>
            <color indexed="81"/>
            <rFont val="Tahoma"/>
            <family val="2"/>
          </rPr>
          <t>Incyte 2015 debt. Conversion price of $8.78</t>
        </r>
      </text>
    </comment>
    <comment ref="G143" authorId="1">
      <text>
        <r>
          <rPr>
            <sz val="8"/>
            <color indexed="81"/>
            <rFont val="Tahoma"/>
            <family val="2"/>
          </rPr>
          <t>Reclassification of embedded derivative liability</t>
        </r>
        <r>
          <rPr>
            <sz val="8"/>
            <color indexed="81"/>
            <rFont val="Tahoma"/>
            <family val="2"/>
          </rPr>
          <t xml:space="preserve">
</t>
        </r>
      </text>
    </comment>
  </commentList>
</comments>
</file>

<file path=xl/comments3.xml><?xml version="1.0" encoding="utf-8"?>
<comments xmlns="http://schemas.openxmlformats.org/spreadsheetml/2006/main">
  <authors>
    <author>Jeremy Joseph</author>
    <author>Dhavle, Mandar (Research)</author>
  </authors>
  <commentList>
    <comment ref="D17" authorId="0">
      <text>
        <r>
          <rPr>
            <b/>
            <sz val="8"/>
            <color indexed="81"/>
            <rFont val="Tahoma"/>
            <family val="2"/>
          </rPr>
          <t>Jeremy Joseph:</t>
        </r>
        <r>
          <rPr>
            <sz val="8"/>
            <color indexed="81"/>
            <rFont val="Tahoma"/>
            <family val="2"/>
          </rPr>
          <t xml:space="preserve">
Executive Loan Compensation Expense</t>
        </r>
      </text>
    </comment>
    <comment ref="N18" authorId="1">
      <text>
        <r>
          <rPr>
            <sz val="9"/>
            <color indexed="81"/>
            <rFont val="Tahoma"/>
            <family val="2"/>
          </rPr>
          <t>Includes $17.422 Mn on account of Change in fair value of acquisition-related contingent consideration</t>
        </r>
      </text>
    </comment>
  </commentList>
</comments>
</file>

<file path=xl/comments4.xml><?xml version="1.0" encoding="utf-8"?>
<comments xmlns="http://schemas.openxmlformats.org/spreadsheetml/2006/main">
  <authors>
    <author>Smith, Thomas J (Research)</author>
  </authors>
  <commentList>
    <comment ref="T12" authorId="0">
      <text>
        <r>
          <rPr>
            <b/>
            <sz val="9"/>
            <color indexed="81"/>
            <rFont val="Tahoma"/>
            <family val="2"/>
          </rPr>
          <t>Smith, Thomas J (Research):</t>
        </r>
        <r>
          <rPr>
            <sz val="9"/>
            <color indexed="81"/>
            <rFont val="Tahoma"/>
            <family val="2"/>
          </rPr>
          <t xml:space="preserve">
No terminal value, given US patent expiry in 2026</t>
        </r>
      </text>
    </comment>
    <comment ref="T35" authorId="0">
      <text>
        <r>
          <rPr>
            <b/>
            <sz val="9"/>
            <color indexed="81"/>
            <rFont val="Tahoma"/>
            <family val="2"/>
          </rPr>
          <t>Smith, Thomas J (Research):</t>
        </r>
        <r>
          <rPr>
            <sz val="9"/>
            <color indexed="81"/>
            <rFont val="Tahoma"/>
            <family val="2"/>
          </rPr>
          <t xml:space="preserve">
No terminal value, given US patent expiry in 2026</t>
        </r>
      </text>
    </comment>
    <comment ref="T58" authorId="0">
      <text>
        <r>
          <rPr>
            <b/>
            <sz val="9"/>
            <color indexed="81"/>
            <rFont val="Tahoma"/>
            <family val="2"/>
          </rPr>
          <t>Smith, Thomas J (Research):</t>
        </r>
        <r>
          <rPr>
            <sz val="9"/>
            <color indexed="81"/>
            <rFont val="Tahoma"/>
            <family val="2"/>
          </rPr>
          <t xml:space="preserve">
No terminal value, given patent EU / JP expiry in 2026</t>
        </r>
      </text>
    </comment>
    <comment ref="T81" authorId="0">
      <text>
        <r>
          <rPr>
            <b/>
            <sz val="9"/>
            <color indexed="81"/>
            <rFont val="Tahoma"/>
            <family val="2"/>
          </rPr>
          <t>Smith, Thomas J (Research):</t>
        </r>
        <r>
          <rPr>
            <sz val="9"/>
            <color indexed="81"/>
            <rFont val="Tahoma"/>
            <family val="2"/>
          </rPr>
          <t xml:space="preserve">
Terminal value of 2.5x 2030 NOPAT</t>
        </r>
      </text>
    </comment>
    <comment ref="B92" authorId="0">
      <text>
        <r>
          <rPr>
            <b/>
            <sz val="9"/>
            <color indexed="81"/>
            <rFont val="Tahoma"/>
            <family val="2"/>
          </rPr>
          <t>Smith, Thomas J (Research):</t>
        </r>
        <r>
          <rPr>
            <sz val="9"/>
            <color indexed="81"/>
            <rFont val="Tahoma"/>
            <family val="2"/>
          </rPr>
          <t xml:space="preserve">
Owe tiered double-digit royalties to ARIA 32%-50%</t>
        </r>
      </text>
    </comment>
    <comment ref="F98" authorId="0">
      <text>
        <r>
          <rPr>
            <b/>
            <sz val="9"/>
            <color indexed="81"/>
            <rFont val="Tahoma"/>
            <family val="2"/>
          </rPr>
          <t>Smith, Thomas J (Research):</t>
        </r>
        <r>
          <rPr>
            <sz val="9"/>
            <color indexed="81"/>
            <rFont val="Tahoma"/>
            <family val="2"/>
          </rPr>
          <t xml:space="preserve">
Includes $100mn milestone for FDA approval + $65mn milestone for Europe approval</t>
        </r>
      </text>
    </comment>
    <comment ref="H98" authorId="0">
      <text>
        <r>
          <rPr>
            <b/>
            <sz val="9"/>
            <color indexed="81"/>
            <rFont val="Tahoma"/>
            <family val="2"/>
          </rPr>
          <t>Smith, Thomas J (Research):</t>
        </r>
        <r>
          <rPr>
            <sz val="9"/>
            <color indexed="81"/>
            <rFont val="Tahoma"/>
            <family val="2"/>
          </rPr>
          <t xml:space="preserve">
$100mn milestone on US approval</t>
        </r>
      </text>
    </comment>
    <comment ref="T104" authorId="0">
      <text>
        <r>
          <rPr>
            <b/>
            <sz val="9"/>
            <color indexed="81"/>
            <rFont val="Tahoma"/>
            <family val="2"/>
          </rPr>
          <t>Smith, Thomas J (Research):</t>
        </r>
        <r>
          <rPr>
            <sz val="9"/>
            <color indexed="81"/>
            <rFont val="Tahoma"/>
            <family val="2"/>
          </rPr>
          <t xml:space="preserve">
Terminal value of 2.5x 2030 NOPAT</t>
        </r>
      </text>
    </comment>
    <comment ref="F121" authorId="0">
      <text>
        <r>
          <rPr>
            <b/>
            <sz val="9"/>
            <color indexed="81"/>
            <rFont val="Tahoma"/>
            <family val="2"/>
          </rPr>
          <t>Smith, Thomas J (Research):</t>
        </r>
        <r>
          <rPr>
            <sz val="9"/>
            <color indexed="81"/>
            <rFont val="Tahoma"/>
            <family val="2"/>
          </rPr>
          <t xml:space="preserve">
Includes $65mn milestone for Europe approval</t>
        </r>
      </text>
    </comment>
    <comment ref="T127" authorId="0">
      <text>
        <r>
          <rPr>
            <b/>
            <sz val="9"/>
            <color indexed="81"/>
            <rFont val="Tahoma"/>
            <family val="2"/>
          </rPr>
          <t>Smith, Thomas J (Research):</t>
        </r>
        <r>
          <rPr>
            <sz val="9"/>
            <color indexed="81"/>
            <rFont val="Tahoma"/>
            <family val="2"/>
          </rPr>
          <t xml:space="preserve">
Terminal value of 2.5x 2030 NOPAT</t>
        </r>
      </text>
    </comment>
    <comment ref="T150" authorId="0">
      <text>
        <r>
          <rPr>
            <b/>
            <sz val="9"/>
            <color indexed="81"/>
            <rFont val="Tahoma"/>
            <family val="2"/>
          </rPr>
          <t>Smith, Thomas J (Research):</t>
        </r>
        <r>
          <rPr>
            <sz val="9"/>
            <color indexed="81"/>
            <rFont val="Tahoma"/>
            <family val="2"/>
          </rPr>
          <t xml:space="preserve">
Terminal value of 2.5x 2030 NOPAT</t>
        </r>
      </text>
    </comment>
    <comment ref="T173" authorId="0">
      <text>
        <r>
          <rPr>
            <b/>
            <sz val="9"/>
            <color indexed="81"/>
            <rFont val="Tahoma"/>
            <family val="2"/>
          </rPr>
          <t>Smith, Thomas J (Research):</t>
        </r>
        <r>
          <rPr>
            <sz val="9"/>
            <color indexed="81"/>
            <rFont val="Tahoma"/>
            <family val="2"/>
          </rPr>
          <t xml:space="preserve">
Terminal value of 2.5x 2030 NOPAT</t>
        </r>
      </text>
    </comment>
    <comment ref="T196" authorId="0">
      <text>
        <r>
          <rPr>
            <b/>
            <sz val="9"/>
            <color indexed="81"/>
            <rFont val="Tahoma"/>
            <family val="2"/>
          </rPr>
          <t>Smith, Thomas J (Research):</t>
        </r>
        <r>
          <rPr>
            <sz val="9"/>
            <color indexed="81"/>
            <rFont val="Tahoma"/>
            <family val="2"/>
          </rPr>
          <t xml:space="preserve">
Terminal value of 2.5x 2030 NOPAT</t>
        </r>
      </text>
    </comment>
    <comment ref="T219" authorId="0">
      <text>
        <r>
          <rPr>
            <b/>
            <sz val="9"/>
            <color indexed="81"/>
            <rFont val="Tahoma"/>
            <family val="2"/>
          </rPr>
          <t>Smith, Thomas J (Research):</t>
        </r>
        <r>
          <rPr>
            <sz val="9"/>
            <color indexed="81"/>
            <rFont val="Tahoma"/>
            <family val="2"/>
          </rPr>
          <t xml:space="preserve">
Terminal value of 2.5x 2030 NOPAT</t>
        </r>
      </text>
    </comment>
    <comment ref="T242" authorId="0">
      <text>
        <r>
          <rPr>
            <b/>
            <sz val="9"/>
            <color indexed="81"/>
            <rFont val="Tahoma"/>
            <family val="2"/>
          </rPr>
          <t>Smith, Thomas J (Research):</t>
        </r>
        <r>
          <rPr>
            <sz val="9"/>
            <color indexed="81"/>
            <rFont val="Tahoma"/>
            <family val="2"/>
          </rPr>
          <t xml:space="preserve">
Terminal value of 2.5x 2030 NOPAT</t>
        </r>
      </text>
    </comment>
    <comment ref="T265" authorId="0">
      <text>
        <r>
          <rPr>
            <b/>
            <sz val="9"/>
            <color indexed="81"/>
            <rFont val="Tahoma"/>
            <family val="2"/>
          </rPr>
          <t>Smith, Thomas J (Research):</t>
        </r>
        <r>
          <rPr>
            <sz val="9"/>
            <color indexed="81"/>
            <rFont val="Tahoma"/>
            <family val="2"/>
          </rPr>
          <t xml:space="preserve">
Terminal value of 2.5x 2030 NOPAT</t>
        </r>
      </text>
    </comment>
    <comment ref="T288" authorId="0">
      <text>
        <r>
          <rPr>
            <b/>
            <sz val="9"/>
            <color indexed="81"/>
            <rFont val="Tahoma"/>
            <family val="2"/>
          </rPr>
          <t>Smith, Thomas J (Research):</t>
        </r>
        <r>
          <rPr>
            <sz val="9"/>
            <color indexed="81"/>
            <rFont val="Tahoma"/>
            <family val="2"/>
          </rPr>
          <t xml:space="preserve">
Terminal value of 2.5x 2030 NOPAT</t>
        </r>
      </text>
    </comment>
    <comment ref="T311" authorId="0">
      <text>
        <r>
          <rPr>
            <b/>
            <sz val="9"/>
            <color indexed="81"/>
            <rFont val="Tahoma"/>
            <family val="2"/>
          </rPr>
          <t>Smith, Thomas J (Research):</t>
        </r>
        <r>
          <rPr>
            <sz val="9"/>
            <color indexed="81"/>
            <rFont val="Tahoma"/>
            <family val="2"/>
          </rPr>
          <t xml:space="preserve">
Terminal value of 2.5x 2030 NOPAT</t>
        </r>
      </text>
    </comment>
    <comment ref="T334" authorId="0">
      <text>
        <r>
          <rPr>
            <b/>
            <sz val="9"/>
            <color indexed="81"/>
            <rFont val="Tahoma"/>
            <family val="2"/>
          </rPr>
          <t>Smith, Thomas J (Research):</t>
        </r>
        <r>
          <rPr>
            <sz val="9"/>
            <color indexed="81"/>
            <rFont val="Tahoma"/>
            <family val="2"/>
          </rPr>
          <t xml:space="preserve">
Terminal value of 2.5x 2030 NOPAT</t>
        </r>
      </text>
    </comment>
    <comment ref="T357" authorId="0">
      <text>
        <r>
          <rPr>
            <b/>
            <sz val="9"/>
            <color indexed="81"/>
            <rFont val="Tahoma"/>
            <family val="2"/>
          </rPr>
          <t>Smith, Thomas J (Research):</t>
        </r>
        <r>
          <rPr>
            <sz val="9"/>
            <color indexed="81"/>
            <rFont val="Tahoma"/>
            <family val="2"/>
          </rPr>
          <t xml:space="preserve">
Terminal value of 1.25x 2030 NOPAT - patent expiry 2031</t>
        </r>
      </text>
    </comment>
    <comment ref="T380" authorId="0">
      <text>
        <r>
          <rPr>
            <b/>
            <sz val="9"/>
            <color indexed="81"/>
            <rFont val="Tahoma"/>
            <family val="2"/>
          </rPr>
          <t>Smith, Thomas J (Research):</t>
        </r>
        <r>
          <rPr>
            <sz val="9"/>
            <color indexed="81"/>
            <rFont val="Tahoma"/>
            <family val="2"/>
          </rPr>
          <t xml:space="preserve">
Terminal value of 2.5x 2030 NOPAT</t>
        </r>
      </text>
    </comment>
    <comment ref="T403" authorId="0">
      <text>
        <r>
          <rPr>
            <b/>
            <sz val="9"/>
            <color indexed="81"/>
            <rFont val="Tahoma"/>
            <family val="2"/>
          </rPr>
          <t>Smith, Thomas J (Research):</t>
        </r>
        <r>
          <rPr>
            <sz val="9"/>
            <color indexed="81"/>
            <rFont val="Tahoma"/>
            <family val="2"/>
          </rPr>
          <t xml:space="preserve">
Terminal value of 2.5x 2030 NOPAT</t>
        </r>
      </text>
    </comment>
    <comment ref="C421" authorId="0">
      <text>
        <r>
          <rPr>
            <b/>
            <sz val="9"/>
            <color indexed="81"/>
            <rFont val="Tahoma"/>
            <family val="2"/>
          </rPr>
          <t>Smith, Thomas J (Research):</t>
        </r>
        <r>
          <rPr>
            <sz val="9"/>
            <color indexed="81"/>
            <rFont val="Tahoma"/>
            <family val="2"/>
          </rPr>
          <t xml:space="preserve">
Expect 2016 YE Cash &amp; Equiv of $650mn</t>
        </r>
      </text>
    </comment>
    <comment ref="H422" authorId="0">
      <text>
        <r>
          <rPr>
            <b/>
            <sz val="9"/>
            <color indexed="81"/>
            <rFont val="Tahoma"/>
            <family val="2"/>
          </rPr>
          <t>Smith, Thomas J (Research):</t>
        </r>
        <r>
          <rPr>
            <sz val="9"/>
            <color indexed="81"/>
            <rFont val="Tahoma"/>
            <family val="2"/>
          </rPr>
          <t xml:space="preserve">
Discounted cash burn until profitability - CFO + Capex</t>
        </r>
      </text>
    </comment>
    <comment ref="C449" authorId="0">
      <text>
        <r>
          <rPr>
            <b/>
            <sz val="9"/>
            <color indexed="81"/>
            <rFont val="Tahoma"/>
            <family val="2"/>
          </rPr>
          <t>Smith, Thomas J (Research):</t>
        </r>
        <r>
          <rPr>
            <sz val="9"/>
            <color indexed="81"/>
            <rFont val="Tahoma"/>
            <family val="2"/>
          </rPr>
          <t xml:space="preserve">
Implied discount rate needed for SOP valuation</t>
        </r>
      </text>
    </comment>
  </commentList>
</comments>
</file>

<file path=xl/comments5.xml><?xml version="1.0" encoding="utf-8"?>
<comments xmlns="http://schemas.openxmlformats.org/spreadsheetml/2006/main">
  <authors>
    <author>David Friedman</author>
    <author>Jeremy Joseph</author>
  </authors>
  <commentList>
    <comment ref="D6" authorId="0">
      <text>
        <r>
          <rPr>
            <sz val="8"/>
            <color indexed="81"/>
            <rFont val="Tahoma"/>
            <family val="2"/>
          </rPr>
          <t xml:space="preserve">
Average of multiple sources - INCY, EMEA documents, Literature</t>
        </r>
      </text>
    </comment>
    <comment ref="D9" authorId="1">
      <text>
        <r>
          <rPr>
            <sz val="8"/>
            <color indexed="81"/>
            <rFont val="Tahoma"/>
            <family val="2"/>
          </rPr>
          <t>NEJM 2000, Vol: 342(17):1255-1265
Population-based epidemiologic studies estimate the incidence of agnogenic myeloid metaplasia at between 0.5 and 1.5 per 100,000 population.</t>
        </r>
      </text>
    </comment>
    <comment ref="K27" authorId="0">
      <text>
        <r>
          <rPr>
            <sz val="8"/>
            <color indexed="81"/>
            <rFont val="Tahoma"/>
            <family val="2"/>
          </rPr>
          <t xml:space="preserve">
Gilead enters</t>
        </r>
      </text>
    </comment>
    <comment ref="G39" authorId="0">
      <text>
        <r>
          <rPr>
            <sz val="8"/>
            <color indexed="81"/>
            <rFont val="Tahoma"/>
            <family val="2"/>
          </rPr>
          <t xml:space="preserve">
Increased gross to net</t>
        </r>
      </text>
    </comment>
    <comment ref="D51" authorId="0">
      <text>
        <r>
          <rPr>
            <sz val="8"/>
            <color indexed="81"/>
            <rFont val="Tahoma"/>
            <family val="2"/>
          </rPr>
          <t xml:space="preserve">
Average of multiple sources - INCY, EMEA documents, Literature</t>
        </r>
      </text>
    </comment>
    <comment ref="D54" authorId="1">
      <text>
        <r>
          <rPr>
            <b/>
            <sz val="8"/>
            <color indexed="81"/>
            <rFont val="Tahoma"/>
            <family val="2"/>
          </rPr>
          <t>Jeremy Joseph:</t>
        </r>
        <r>
          <rPr>
            <sz val="8"/>
            <color indexed="81"/>
            <rFont val="Tahoma"/>
            <family val="2"/>
          </rPr>
          <t xml:space="preserve">
NEJM 2000, Vol: 342(17):1255-1265
Population-based epidemiologic studies estimate the incidence of agnogenic myeloid metaplasia at between 0.5 and 1.5 per 100,000 population.</t>
        </r>
      </text>
    </comment>
  </commentList>
</comments>
</file>

<file path=xl/comments6.xml><?xml version="1.0" encoding="utf-8"?>
<comments xmlns="http://schemas.openxmlformats.org/spreadsheetml/2006/main">
  <authors>
    <author>Jeremy Joseph</author>
    <author>slifsara</author>
  </authors>
  <commentList>
    <comment ref="C8" authorId="0">
      <text>
        <r>
          <rPr>
            <sz val="8"/>
            <color indexed="81"/>
            <rFont val="Tahoma"/>
            <family val="2"/>
          </rPr>
          <t xml:space="preserve">
Per Incyte Slides (Cowen Presentation)
Average of MPD Foundation (124,300) and Mesa (65,000)</t>
        </r>
      </text>
    </comment>
    <comment ref="C14" authorId="1">
      <text>
        <r>
          <rPr>
            <b/>
            <sz val="8"/>
            <color indexed="81"/>
            <rFont val="Tahoma"/>
            <family val="2"/>
          </rPr>
          <t>slifsara:</t>
        </r>
        <r>
          <rPr>
            <sz val="8"/>
            <color indexed="81"/>
            <rFont val="Tahoma"/>
            <family val="2"/>
          </rPr>
          <t xml:space="preserve">
Incidence of at least 2 per 100,000 (Blood, Polycythemia vera: myths, mechanisms, and management, Spivak)</t>
        </r>
      </text>
    </comment>
    <comment ref="C17" authorId="1">
      <text>
        <r>
          <rPr>
            <b/>
            <sz val="8"/>
            <color indexed="81"/>
            <rFont val="Tahoma"/>
            <family val="2"/>
          </rPr>
          <t>slifsara:</t>
        </r>
        <r>
          <rPr>
            <sz val="8"/>
            <color indexed="81"/>
            <rFont val="Tahoma"/>
            <family val="2"/>
          </rPr>
          <t xml:space="preserve">
A European study by Marchioli and colleagues attempted to further define the prognosis of this disease;[8] 1,638 patients were prospectively followed in an attempt to describe the clinical history of polycythemia vera. The primary limitation of this study is a mean follow-up of 2.7 years. The overall mortality rate was 3.7 death per 100 persons per year.</t>
        </r>
      </text>
    </comment>
    <comment ref="B21" authorId="0">
      <text>
        <r>
          <rPr>
            <sz val="8"/>
            <color indexed="81"/>
            <rFont val="Tahoma"/>
            <family val="2"/>
          </rPr>
          <t xml:space="preserve">HU first line therapy at any age (Considered Interferon in younger (&lt;50 yrs) and Busufula or Radiophosph. In elderly (&gt;75 yrs.) patients. 
Also Phlebotomy to main hematocrit&lt;0.45 + Aspirin 100 mg / die is considered prior to HU.
Intern Emerg Med (2007) 2:13-18
</t>
        </r>
      </text>
    </comment>
    <comment ref="B22" authorId="0">
      <text>
        <r>
          <rPr>
            <sz val="8"/>
            <color indexed="81"/>
            <rFont val="Tahoma"/>
            <family val="2"/>
          </rPr>
          <t>Up to 10% of the patients do not attain desired reduction of platelet number with recommend dose…some will develop unacceptable side effects, demonstrating clinical intolerance.
Leukemia (2007) 21: 277-280
Unifired definition of clinical resistance / intolerance to HU in ET, Barbui T</t>
        </r>
      </text>
    </comment>
    <comment ref="C22" authorId="0">
      <text>
        <r>
          <rPr>
            <sz val="8"/>
            <color indexed="81"/>
            <rFont val="Tahoma"/>
            <family val="2"/>
          </rPr>
          <t>Burden of Fatigue and Quality of Life in MPDS - Mesa et al, Cancer 2007</t>
        </r>
      </text>
    </comment>
    <comment ref="B25" authorId="0">
      <text>
        <r>
          <rPr>
            <sz val="8"/>
            <color indexed="81"/>
            <rFont val="Tahoma"/>
            <family val="2"/>
          </rPr>
          <t xml:space="preserve">
Multiple sources on failure rates of HU:
45% - Blood 2007 PV management
25% - EU J Heme</t>
        </r>
      </text>
    </comment>
    <comment ref="B59" authorId="0">
      <text>
        <r>
          <rPr>
            <b/>
            <sz val="8"/>
            <color indexed="81"/>
            <rFont val="Tahoma"/>
            <family val="2"/>
          </rPr>
          <t>Jeremy Joseph:</t>
        </r>
        <r>
          <rPr>
            <sz val="8"/>
            <color indexed="81"/>
            <rFont val="Tahoma"/>
            <family val="2"/>
          </rPr>
          <t xml:space="preserve">
http://emedicine.medscape.com/article/957343-overview
Similar incidence to US</t>
        </r>
      </text>
    </comment>
    <comment ref="B65" authorId="0">
      <text>
        <r>
          <rPr>
            <b/>
            <sz val="8"/>
            <color indexed="81"/>
            <rFont val="Tahoma"/>
            <family val="2"/>
          </rPr>
          <t>Jeremy Joseph:</t>
        </r>
        <r>
          <rPr>
            <sz val="8"/>
            <color indexed="81"/>
            <rFont val="Tahoma"/>
            <family val="2"/>
          </rPr>
          <t xml:space="preserve">
Per Incyte Slides (Cowen Presentation)
Average of MPD Foundation (124,300) and Mesa (65,000)</t>
        </r>
      </text>
    </comment>
    <comment ref="C71" authorId="1">
      <text>
        <r>
          <rPr>
            <b/>
            <sz val="8"/>
            <color indexed="81"/>
            <rFont val="Tahoma"/>
            <family val="2"/>
          </rPr>
          <t>slifsara:</t>
        </r>
        <r>
          <rPr>
            <sz val="8"/>
            <color indexed="81"/>
            <rFont val="Tahoma"/>
            <family val="2"/>
          </rPr>
          <t xml:space="preserve">
Incidence of at least 2 per 100,000 (Blood, Polycythemia vera: myths, mechanisms, and management, Spivak)</t>
        </r>
      </text>
    </comment>
    <comment ref="C74" authorId="1">
      <text>
        <r>
          <rPr>
            <b/>
            <sz val="8"/>
            <color indexed="81"/>
            <rFont val="Tahoma"/>
            <family val="2"/>
          </rPr>
          <t>slifsara:</t>
        </r>
        <r>
          <rPr>
            <sz val="8"/>
            <color indexed="81"/>
            <rFont val="Tahoma"/>
            <family val="2"/>
          </rPr>
          <t xml:space="preserve">
A European study by Marchioli and colleagues attempted to further define the prognosis of this disease;[8] 1,638 patients were prospectively followed in an attempt to describe the clinical history of polycythemia vera. The primary limitation of this study is a mean follow-up of 2.7 years. The overall mortality rate was 3.7 death per 100 persons per year.</t>
        </r>
      </text>
    </comment>
    <comment ref="B79" authorId="0">
      <text>
        <r>
          <rPr>
            <sz val="8"/>
            <color indexed="81"/>
            <rFont val="Tahoma"/>
            <family val="2"/>
          </rPr>
          <t xml:space="preserve">
HU first line therapy at any age (Considered Interferon in younger (&lt;50 yrs) and Busufula or Radiophosph. In elderly (&gt;75 yrs.) patients. 
Also Phlebotomy to main hematocrit&lt;0.45 + Aspirin 100 mg / die is considered prior to HU.
Intern Emerg Med (2007) 2:13-18
</t>
        </r>
      </text>
    </comment>
    <comment ref="B80" authorId="0">
      <text>
        <r>
          <rPr>
            <sz val="8"/>
            <color indexed="81"/>
            <rFont val="Tahoma"/>
            <family val="2"/>
          </rPr>
          <t xml:space="preserve">
Up to 10% of the patients do not attain desired reduction of platelet number with recommend dose…some will develop unacceptable side effects, demonstrating clinical intolerance.
Leukemia (2007) 21: 277-280
Unifired definition of clinical resistance / intolerance to HU in ET, Barbui T</t>
        </r>
      </text>
    </comment>
    <comment ref="B83" authorId="0">
      <text>
        <r>
          <rPr>
            <sz val="8"/>
            <color indexed="81"/>
            <rFont val="Tahoma"/>
            <family val="2"/>
          </rPr>
          <t xml:space="preserve">
Multiple sources on failure rates of HU:
45% - Blood 2007 PV management
25% - EU J Heme</t>
        </r>
      </text>
    </comment>
  </commentList>
</comments>
</file>

<file path=xl/comments7.xml><?xml version="1.0" encoding="utf-8"?>
<comments xmlns="http://schemas.openxmlformats.org/spreadsheetml/2006/main">
  <authors>
    <author>Smith, Thomas J (Research)</author>
    <author>Le, Amy M (Research)</author>
  </authors>
  <commentList>
    <comment ref="T4" authorId="0">
      <text>
        <r>
          <rPr>
            <b/>
            <sz val="9"/>
            <color indexed="81"/>
            <rFont val="Tahoma"/>
            <family val="2"/>
          </rPr>
          <t>Smith, Thomas J (Research):</t>
        </r>
        <r>
          <rPr>
            <sz val="9"/>
            <color indexed="81"/>
            <rFont val="Tahoma"/>
            <family val="2"/>
          </rPr>
          <t xml:space="preserve">
Epacadostat patent expiration</t>
        </r>
      </text>
    </comment>
    <comment ref="T23" authorId="1">
      <text>
        <r>
          <rPr>
            <b/>
            <sz val="9"/>
            <color indexed="81"/>
            <rFont val="Tahoma"/>
            <family val="2"/>
          </rPr>
          <t>Le, Amy M (Research):</t>
        </r>
        <r>
          <rPr>
            <sz val="9"/>
            <color indexed="81"/>
            <rFont val="Tahoma"/>
            <family val="2"/>
          </rPr>
          <t xml:space="preserve">
Epacadostat patent expiration</t>
        </r>
      </text>
    </comment>
    <comment ref="B25" authorId="1">
      <text>
        <r>
          <rPr>
            <b/>
            <sz val="9"/>
            <color indexed="81"/>
            <rFont val="Tahoma"/>
            <family val="2"/>
          </rPr>
          <t>Le, Amy M (Research):</t>
        </r>
        <r>
          <rPr>
            <sz val="9"/>
            <color indexed="81"/>
            <rFont val="Tahoma"/>
            <family val="2"/>
          </rPr>
          <t xml:space="preserve">
ACS/SEERS estimate</t>
        </r>
      </text>
    </comment>
    <comment ref="B27" authorId="1">
      <text>
        <r>
          <rPr>
            <b/>
            <sz val="9"/>
            <color indexed="81"/>
            <rFont val="Tahoma"/>
            <family val="2"/>
          </rPr>
          <t>Le, Amy M (Research):</t>
        </r>
        <r>
          <rPr>
            <sz val="9"/>
            <color indexed="81"/>
            <rFont val="Tahoma"/>
            <family val="2"/>
          </rPr>
          <t xml:space="preserve">
ACS/SEERS estimate</t>
        </r>
      </text>
    </comment>
    <comment ref="E32" authorId="1">
      <text>
        <r>
          <rPr>
            <b/>
            <sz val="9"/>
            <color indexed="81"/>
            <rFont val="Tahoma"/>
            <family val="2"/>
          </rPr>
          <t>Le, Amy M (Research):</t>
        </r>
        <r>
          <rPr>
            <sz val="9"/>
            <color indexed="81"/>
            <rFont val="Tahoma"/>
            <family val="2"/>
          </rPr>
          <t xml:space="preserve">
Cancer Facts &amp; Figures estimate 2014-2015</t>
        </r>
      </text>
    </comment>
    <comment ref="E34" authorId="1">
      <text>
        <r>
          <rPr>
            <b/>
            <sz val="9"/>
            <color indexed="81"/>
            <rFont val="Tahoma"/>
            <family val="2"/>
          </rPr>
          <t>Le, Amy M (Research):</t>
        </r>
        <r>
          <rPr>
            <sz val="9"/>
            <color indexed="81"/>
            <rFont val="Tahoma"/>
            <family val="2"/>
          </rPr>
          <t xml:space="preserve">
Cancer Facts &amp; Figures estimate 2014-2015</t>
        </r>
      </text>
    </comment>
    <comment ref="B42" authorId="1">
      <text>
        <r>
          <rPr>
            <b/>
            <sz val="9"/>
            <color indexed="81"/>
            <rFont val="Tahoma"/>
            <family val="2"/>
          </rPr>
          <t>Le, Amy M (Research):</t>
        </r>
        <r>
          <rPr>
            <sz val="9"/>
            <color indexed="81"/>
            <rFont val="Tahoma"/>
            <family val="2"/>
          </rPr>
          <t xml:space="preserve">
Ph3 of epacadostat + Keytruda in 1L adv/met melanoma to begin in 1H16</t>
        </r>
      </text>
    </comment>
    <comment ref="T54" authorId="1">
      <text>
        <r>
          <rPr>
            <b/>
            <sz val="9"/>
            <color indexed="81"/>
            <rFont val="Tahoma"/>
            <family val="2"/>
          </rPr>
          <t>Le, Amy M (Research):</t>
        </r>
        <r>
          <rPr>
            <sz val="9"/>
            <color indexed="81"/>
            <rFont val="Tahoma"/>
            <family val="2"/>
          </rPr>
          <t xml:space="preserve">
Epacadostat patent expiration</t>
        </r>
      </text>
    </comment>
    <comment ref="B56" authorId="1">
      <text>
        <r>
          <rPr>
            <b/>
            <sz val="9"/>
            <color indexed="81"/>
            <rFont val="Tahoma"/>
            <family val="2"/>
          </rPr>
          <t>Le, Amy M (Research):</t>
        </r>
        <r>
          <rPr>
            <sz val="9"/>
            <color indexed="81"/>
            <rFont val="Tahoma"/>
            <family val="2"/>
          </rPr>
          <t xml:space="preserve">
ACS/SEERS estimate</t>
        </r>
      </text>
    </comment>
    <comment ref="B58" authorId="1">
      <text>
        <r>
          <rPr>
            <b/>
            <sz val="9"/>
            <color indexed="81"/>
            <rFont val="Tahoma"/>
            <family val="2"/>
          </rPr>
          <t>Le, Amy M (Research):</t>
        </r>
        <r>
          <rPr>
            <sz val="9"/>
            <color indexed="81"/>
            <rFont val="Tahoma"/>
            <family val="2"/>
          </rPr>
          <t xml:space="preserve">
ACS/SEERS estimate</t>
        </r>
      </text>
    </comment>
    <comment ref="E63" authorId="1">
      <text>
        <r>
          <rPr>
            <b/>
            <sz val="9"/>
            <color indexed="81"/>
            <rFont val="Tahoma"/>
            <family val="2"/>
          </rPr>
          <t>Le, Amy M (Research):</t>
        </r>
        <r>
          <rPr>
            <sz val="9"/>
            <color indexed="81"/>
            <rFont val="Tahoma"/>
            <family val="2"/>
          </rPr>
          <t xml:space="preserve">
Cancer Facts &amp; Figures estimate 2014-2015</t>
        </r>
      </text>
    </comment>
    <comment ref="E66" authorId="1">
      <text>
        <r>
          <rPr>
            <b/>
            <sz val="9"/>
            <color indexed="81"/>
            <rFont val="Tahoma"/>
            <family val="2"/>
          </rPr>
          <t>Le, Amy M (Research):</t>
        </r>
        <r>
          <rPr>
            <sz val="9"/>
            <color indexed="81"/>
            <rFont val="Tahoma"/>
            <family val="2"/>
          </rPr>
          <t xml:space="preserve">
Cancer Facts &amp; Figures estimate 2014-2015</t>
        </r>
      </text>
    </comment>
    <comment ref="E68" authorId="1">
      <text>
        <r>
          <rPr>
            <b/>
            <sz val="9"/>
            <color indexed="81"/>
            <rFont val="Tahoma"/>
            <family val="2"/>
          </rPr>
          <t>Le, Amy M (Research):</t>
        </r>
        <r>
          <rPr>
            <sz val="9"/>
            <color indexed="81"/>
            <rFont val="Tahoma"/>
            <family val="2"/>
          </rPr>
          <t xml:space="preserve">
Cancer Facts &amp; Figures estimate 2014-2015</t>
        </r>
      </text>
    </comment>
    <comment ref="E71" authorId="1">
      <text>
        <r>
          <rPr>
            <b/>
            <sz val="9"/>
            <color indexed="81"/>
            <rFont val="Tahoma"/>
            <family val="2"/>
          </rPr>
          <t>Le, Amy M (Research):</t>
        </r>
        <r>
          <rPr>
            <sz val="9"/>
            <color indexed="81"/>
            <rFont val="Tahoma"/>
            <family val="2"/>
          </rPr>
          <t xml:space="preserve">
Est. based on Cancer Facts &amp; Figures 2014-2015
</t>
        </r>
      </text>
    </comment>
    <comment ref="E74" authorId="1">
      <text>
        <r>
          <rPr>
            <b/>
            <sz val="9"/>
            <color indexed="81"/>
            <rFont val="Tahoma"/>
            <family val="2"/>
          </rPr>
          <t>Le, Amy M (Research):</t>
        </r>
        <r>
          <rPr>
            <sz val="9"/>
            <color indexed="81"/>
            <rFont val="Tahoma"/>
            <family val="2"/>
          </rPr>
          <t xml:space="preserve">
Est. based on Cancer Facts &amp; Figures 2014-2015
</t>
        </r>
      </text>
    </comment>
    <comment ref="T96" authorId="1">
      <text>
        <r>
          <rPr>
            <b/>
            <sz val="9"/>
            <color indexed="81"/>
            <rFont val="Tahoma"/>
            <family val="2"/>
          </rPr>
          <t>Le, Amy M (Research):</t>
        </r>
        <r>
          <rPr>
            <sz val="9"/>
            <color indexed="81"/>
            <rFont val="Tahoma"/>
            <family val="2"/>
          </rPr>
          <t xml:space="preserve">
Epacadostat patent expiration</t>
        </r>
      </text>
    </comment>
    <comment ref="B98" authorId="1">
      <text>
        <r>
          <rPr>
            <b/>
            <sz val="9"/>
            <color indexed="81"/>
            <rFont val="Tahoma"/>
            <family val="2"/>
          </rPr>
          <t>Le, Amy M (Research):</t>
        </r>
        <r>
          <rPr>
            <sz val="9"/>
            <color indexed="81"/>
            <rFont val="Tahoma"/>
            <family val="2"/>
          </rPr>
          <t xml:space="preserve">
ACS/SEERS estimate</t>
        </r>
      </text>
    </comment>
    <comment ref="B100" authorId="1">
      <text>
        <r>
          <rPr>
            <b/>
            <sz val="9"/>
            <color indexed="81"/>
            <rFont val="Tahoma"/>
            <family val="2"/>
          </rPr>
          <t>Le, Amy M (Research):</t>
        </r>
        <r>
          <rPr>
            <sz val="9"/>
            <color indexed="81"/>
            <rFont val="Tahoma"/>
            <family val="2"/>
          </rPr>
          <t xml:space="preserve">
ACS/SEERS estimate</t>
        </r>
      </text>
    </comment>
    <comment ref="B105" authorId="1">
      <text>
        <r>
          <rPr>
            <b/>
            <sz val="9"/>
            <color indexed="81"/>
            <rFont val="Tahoma"/>
            <family val="2"/>
          </rPr>
          <t>Le, Amy M (Research):</t>
        </r>
        <r>
          <rPr>
            <sz val="9"/>
            <color indexed="81"/>
            <rFont val="Tahoma"/>
            <family val="2"/>
          </rPr>
          <t xml:space="preserve">
ACS/SEERS estimate</t>
        </r>
      </text>
    </comment>
    <comment ref="C108" authorId="1">
      <text>
        <r>
          <rPr>
            <b/>
            <sz val="9"/>
            <color indexed="81"/>
            <rFont val="Tahoma"/>
            <family val="2"/>
          </rPr>
          <t>Le, Amy M (Research):</t>
        </r>
        <r>
          <rPr>
            <sz val="9"/>
            <color indexed="81"/>
            <rFont val="Tahoma"/>
            <family val="2"/>
          </rPr>
          <t xml:space="preserve">
Cancer Facts &amp; Figures estimate 2012</t>
        </r>
      </text>
    </comment>
    <comment ref="C110" authorId="1">
      <text>
        <r>
          <rPr>
            <b/>
            <sz val="9"/>
            <color indexed="81"/>
            <rFont val="Tahoma"/>
            <family val="2"/>
          </rPr>
          <t>Le, Amy M (Research):</t>
        </r>
        <r>
          <rPr>
            <sz val="9"/>
            <color indexed="81"/>
            <rFont val="Tahoma"/>
            <family val="2"/>
          </rPr>
          <t xml:space="preserve">
Cancer Facts &amp; Figures estimate 2012</t>
        </r>
      </text>
    </comment>
    <comment ref="T125" authorId="1">
      <text>
        <r>
          <rPr>
            <b/>
            <sz val="9"/>
            <color indexed="81"/>
            <rFont val="Tahoma"/>
            <family val="2"/>
          </rPr>
          <t>Le, Amy M (Research):</t>
        </r>
        <r>
          <rPr>
            <sz val="9"/>
            <color indexed="81"/>
            <rFont val="Tahoma"/>
            <family val="2"/>
          </rPr>
          <t xml:space="preserve">
Epacadostat patent expiration</t>
        </r>
      </text>
    </comment>
    <comment ref="B127" authorId="1">
      <text>
        <r>
          <rPr>
            <b/>
            <sz val="9"/>
            <color indexed="81"/>
            <rFont val="Tahoma"/>
            <family val="2"/>
          </rPr>
          <t>Le, Amy M (Research):</t>
        </r>
        <r>
          <rPr>
            <sz val="9"/>
            <color indexed="81"/>
            <rFont val="Tahoma"/>
            <family val="2"/>
          </rPr>
          <t xml:space="preserve">
ACS/SEERS estimate</t>
        </r>
      </text>
    </comment>
    <comment ref="B129" authorId="1">
      <text>
        <r>
          <rPr>
            <b/>
            <sz val="9"/>
            <color indexed="81"/>
            <rFont val="Tahoma"/>
            <family val="2"/>
          </rPr>
          <t>Le, Amy M (Research):</t>
        </r>
        <r>
          <rPr>
            <sz val="9"/>
            <color indexed="81"/>
            <rFont val="Tahoma"/>
            <family val="2"/>
          </rPr>
          <t xml:space="preserve">
ACS/SEERS estimate</t>
        </r>
      </text>
    </comment>
    <comment ref="C134" authorId="1">
      <text>
        <r>
          <rPr>
            <b/>
            <sz val="9"/>
            <color indexed="81"/>
            <rFont val="Tahoma"/>
            <family val="2"/>
          </rPr>
          <t>Le, Amy M (Research):</t>
        </r>
        <r>
          <rPr>
            <sz val="9"/>
            <color indexed="81"/>
            <rFont val="Tahoma"/>
            <family val="2"/>
          </rPr>
          <t xml:space="preserve">
Cancer Facts &amp; Figures estimate 2012</t>
        </r>
      </text>
    </comment>
    <comment ref="C136" authorId="1">
      <text>
        <r>
          <rPr>
            <b/>
            <sz val="9"/>
            <color indexed="81"/>
            <rFont val="Tahoma"/>
            <family val="2"/>
          </rPr>
          <t>Le, Amy M (Research):</t>
        </r>
        <r>
          <rPr>
            <sz val="9"/>
            <color indexed="81"/>
            <rFont val="Tahoma"/>
            <family val="2"/>
          </rPr>
          <t xml:space="preserve">
Cancer Facts &amp; Figures estimate 2012</t>
        </r>
      </text>
    </comment>
    <comment ref="C139" authorId="1">
      <text>
        <r>
          <rPr>
            <b/>
            <sz val="9"/>
            <color indexed="81"/>
            <rFont val="Tahoma"/>
            <family val="2"/>
          </rPr>
          <t>Le, Amy M (Research):</t>
        </r>
        <r>
          <rPr>
            <sz val="9"/>
            <color indexed="81"/>
            <rFont val="Tahoma"/>
            <family val="2"/>
          </rPr>
          <t xml:space="preserve">
Cancer Facts &amp; Figures estimate 2012</t>
        </r>
      </text>
    </comment>
    <comment ref="T156" authorId="1">
      <text>
        <r>
          <rPr>
            <b/>
            <sz val="9"/>
            <color indexed="81"/>
            <rFont val="Tahoma"/>
            <family val="2"/>
          </rPr>
          <t>Le, Amy M (Research):</t>
        </r>
        <r>
          <rPr>
            <sz val="9"/>
            <color indexed="81"/>
            <rFont val="Tahoma"/>
            <family val="2"/>
          </rPr>
          <t xml:space="preserve">
Epacadostat patent expiration</t>
        </r>
      </text>
    </comment>
    <comment ref="B158" authorId="0">
      <text>
        <r>
          <rPr>
            <b/>
            <sz val="9"/>
            <color indexed="81"/>
            <rFont val="Tahoma"/>
            <family val="2"/>
          </rPr>
          <t>Smith, Thomas J (Research):</t>
        </r>
        <r>
          <rPr>
            <sz val="9"/>
            <color indexed="81"/>
            <rFont val="Tahoma"/>
            <family val="2"/>
          </rPr>
          <t xml:space="preserve">
FosterRosenblatt</t>
        </r>
      </text>
    </comment>
    <comment ref="B160" authorId="1">
      <text>
        <r>
          <rPr>
            <b/>
            <sz val="9"/>
            <color indexed="81"/>
            <rFont val="Tahoma"/>
            <family val="2"/>
          </rPr>
          <t>Le, Amy M (Research):</t>
        </r>
        <r>
          <rPr>
            <sz val="9"/>
            <color indexed="81"/>
            <rFont val="Tahoma"/>
            <family val="2"/>
          </rPr>
          <t xml:space="preserve">
ACS/SEERS estimate</t>
        </r>
      </text>
    </comment>
    <comment ref="C165" authorId="1">
      <text>
        <r>
          <rPr>
            <b/>
            <sz val="9"/>
            <color indexed="81"/>
            <rFont val="Tahoma"/>
            <family val="2"/>
          </rPr>
          <t>Le, Amy M (Research):</t>
        </r>
        <r>
          <rPr>
            <sz val="9"/>
            <color indexed="81"/>
            <rFont val="Tahoma"/>
            <family val="2"/>
          </rPr>
          <t xml:space="preserve">
Cancer Facts &amp; Figures estimate 2012</t>
        </r>
      </text>
    </comment>
    <comment ref="C167" authorId="1">
      <text>
        <r>
          <rPr>
            <b/>
            <sz val="9"/>
            <color indexed="81"/>
            <rFont val="Tahoma"/>
            <family val="2"/>
          </rPr>
          <t>Le, Amy M (Research):</t>
        </r>
        <r>
          <rPr>
            <sz val="9"/>
            <color indexed="81"/>
            <rFont val="Tahoma"/>
            <family val="2"/>
          </rPr>
          <t xml:space="preserve">
Cancer Facts &amp; Figures estimate 2012</t>
        </r>
      </text>
    </comment>
    <comment ref="C169" authorId="1">
      <text>
        <r>
          <rPr>
            <b/>
            <sz val="9"/>
            <color indexed="81"/>
            <rFont val="Tahoma"/>
            <family val="2"/>
          </rPr>
          <t>Le, Amy M (Research):</t>
        </r>
        <r>
          <rPr>
            <sz val="9"/>
            <color indexed="81"/>
            <rFont val="Tahoma"/>
            <family val="2"/>
          </rPr>
          <t xml:space="preserve">
Cancer Facts &amp; Figures estimate 2012</t>
        </r>
      </text>
    </comment>
  </commentList>
</comments>
</file>

<file path=xl/comments8.xml><?xml version="1.0" encoding="utf-8"?>
<comments xmlns="http://schemas.openxmlformats.org/spreadsheetml/2006/main">
  <authors>
    <author>Smith, Thomas J (Research)</author>
    <author>Berens, Andrew S (Research)</author>
  </authors>
  <commentList>
    <comment ref="B21" authorId="0">
      <text>
        <r>
          <rPr>
            <b/>
            <sz val="9"/>
            <color indexed="81"/>
            <rFont val="Tahoma"/>
            <family val="2"/>
          </rPr>
          <t>Smith, Thomas J (Research):</t>
        </r>
        <r>
          <rPr>
            <sz val="9"/>
            <color indexed="81"/>
            <rFont val="Tahoma"/>
            <family val="2"/>
          </rPr>
          <t xml:space="preserve">
Foster-Rosenblatt </t>
        </r>
      </text>
    </comment>
    <comment ref="B365" authorId="1">
      <text>
        <r>
          <rPr>
            <b/>
            <sz val="9"/>
            <color indexed="81"/>
            <rFont val="Tahoma"/>
            <family val="2"/>
          </rPr>
          <t>Berens, Andrew S (Research):</t>
        </r>
        <r>
          <rPr>
            <sz val="9"/>
            <color indexed="81"/>
            <rFont val="Tahoma"/>
            <family val="2"/>
          </rPr>
          <t xml:space="preserve">
 ( The recommended dose of XELJANZ is 5 mg twice daily and the recommended dose of XELJANZ XR is 11 mg once daily)</t>
        </r>
      </text>
    </comment>
  </commentList>
</comments>
</file>

<file path=xl/comments9.xml><?xml version="1.0" encoding="utf-8"?>
<comments xmlns="http://schemas.openxmlformats.org/spreadsheetml/2006/main">
  <authors>
    <author>Smith, Thomas J (Research)</author>
  </authors>
  <commentList>
    <comment ref="B8" authorId="0">
      <text>
        <r>
          <rPr>
            <b/>
            <sz val="9"/>
            <color indexed="81"/>
            <rFont val="Tahoma"/>
            <family val="2"/>
          </rPr>
          <t>Smith, Thomas J (Research):</t>
        </r>
        <r>
          <rPr>
            <sz val="9"/>
            <color indexed="81"/>
            <rFont val="Tahoma"/>
            <family val="2"/>
          </rPr>
          <t xml:space="preserve">
Foster Rosenblatt</t>
        </r>
      </text>
    </comment>
    <comment ref="D13" authorId="0">
      <text>
        <r>
          <rPr>
            <b/>
            <sz val="9"/>
            <color indexed="81"/>
            <rFont val="Tahoma"/>
            <family val="2"/>
          </rPr>
          <t>Smith, Thomas J (Research):</t>
        </r>
        <r>
          <rPr>
            <sz val="9"/>
            <color indexed="81"/>
            <rFont val="Tahoma"/>
            <family val="2"/>
          </rPr>
          <t xml:space="preserve">
Launch in 4Q16</t>
        </r>
      </text>
    </comment>
  </commentList>
</comments>
</file>

<file path=xl/comments10.xml><?xml version="1.0" encoding="utf-8"?>
<comments xmlns="http://schemas.openxmlformats.org/spreadsheetml/2006/main">
  <authors>
    <author>Smith, Thomas J (Research)</author>
  </authors>
  <commentList>
    <comment ref="B3" authorId="0">
      <text>
        <r>
          <rPr>
            <b/>
            <sz val="9"/>
            <color indexed="81"/>
            <rFont val="Tahoma"/>
            <family val="2"/>
          </rPr>
          <t>Smith, Thomas J (Research):</t>
        </r>
        <r>
          <rPr>
            <sz val="9"/>
            <color indexed="81"/>
            <rFont val="Tahoma"/>
            <family val="2"/>
          </rPr>
          <t xml:space="preserve">
JAMA. 2010 April 28; 303(16): 1617–1624. doi:10.1001/jama.2010.491.</t>
        </r>
      </text>
    </comment>
  </commentList>
</comments>
</file>

<file path=xl/comments11.xml><?xml version="1.0" encoding="utf-8"?>
<comments xmlns="http://schemas.openxmlformats.org/spreadsheetml/2006/main">
  <authors>
    <author>Jeremy Joseph</author>
  </authors>
  <commentList>
    <comment ref="A1" authorId="0">
      <text>
        <r>
          <rPr>
            <b/>
            <sz val="8"/>
            <color indexed="81"/>
            <rFont val="Tahoma"/>
            <family val="2"/>
          </rPr>
          <t>卟䙄_x0001_＀＀ꏇ䲛;义奃䙞彅卅䥔䅍䕔✨偅❓✬䕍乁Ⱗ䌧䱁彁佒䱌Ⱗ㈧奃Ⱗ〴㐴ⰴⰬ✧착_x0018_＀＀_x0018_＀＀_x0008_＀＀_x0001_＀＀_x0001_＀＀늕뿰믟䵒;义奃䙞彅卅䥔䅍䕔✨偅❓✬䕍乁Ⱗ䌧䱁彁佒䱌Ⱗㄧ奃Ⱗ〴㠵ⰲⰬ✧착_x0018_＀＀_x0018_＀＀_x0008_＀＀_x0001_＀＀_x0001_＀＀됿衅_xD9E1_뿓썠䳷;义奃䙞彅卅䥔䅍䕔✨偅❓✬䕍乁Ⱗ䌧䱁彁佒䱌Ⱗ㌧奃Ⱗ〴ㄵⰳⰬ✧착_x0018_＀＀_x0018_＀＀_x0008_＀＀_x0001_＀＀_x0001_＀＀珃฀ퟫ뿞ꟸ䳙;义奃䙞彅卅䥔䅍䕔✨偅❓✬䕍乁Ⱗ䌧䱁彁佒䱌Ⱗㄧ奃Ⱗ〴㤴ⰰⰬ✧착_x0018_＀＀_x0018_＀＀_x0008_＀＀_x0001_＀＀_x0001_＀＀⻺墋뿭鳸䳀_x001C_义奃䙞彇䭍彔䅖啌Ņ〱㈯⼰〲〱_x0018_＀＀_x0018_＀＀_x0008_＀＀_x0001_＀＀_x0001_＀＀嘄ⴎ㰲䂠ꏇ䲛;义奃䙞彅卅䥔䅍䕔✨偅❓✬䕍乁Ⱗ䌧䱁彁佒䱌Ⱗㄧ奃Ⱗ〴㐴ⰴⰬ✧착_x0018_＀＀_x0018_＀＀_x0008_＀＀_x0001_＀＀_x0001_＀＀냍辬㟢뿭薸䳉;义奃䙞彅卅䥔䅍䕔✨偅❓✬䕍乁Ⱗ䌧䱁彁佒䱌Ⱗ㌧奃Ⱗ〴㜴ⰸⰬ✧착_x0018_＀＀_x0018_＀＀_x0008_＀＀_x0001_＀＀_x0001_＀＀⏓ﭗ梅뿗썠䳷_x001C_义奃䙞彇䭍彔䅖啌Ņ㈱〯⼱〲〱_x0018_＀＀_x0018_＀＀_x0008_＀＀_x0001_＀＀_x0001_＀＀ݟ᧎ɑ䂝썠䳷;义奃䙞彅卅䥔䅍䕔✨偅❓✬䕍乁Ⱗ䌧䱁彁佒䱌Ⱗ㈧奃Ⱗ〴ㄵⰳⰬ✧착_x0018_＀＀_x0018_＀＀_x0008_＀＀_x0001_＀＀_x0001_＀＀Ḙ姻뿰썠䳷_x0017_义奃偞偟楲散㄁⼲ㄳ㈯〰찹_x0018_＀＀_x0018_＀＀_x0008_＀＀_x0001_＀＀_x0001_＀＀Ẹ㡑䀢ⷃ䲯_x001C_义奃䙞彇䭍彔䅖啌Ņ〱〯⼷〲〱_x0018_＀＀_x0018_＀＀_x0008_＀＀_x0001_＀＀_x0001_＀＀_xDD97_窓䂟ꟸ䳙_x001C_义奃䙞彇䭍彔䅖啌Ņㄱ〯⼸〲〱_x0018_＀＀_x0018_＀＀_x0008_＀＀_x0001_＀＀_x0001_＀＀썡⯓膥䂞받䵒_x0017_义奃偞偟楲散㄁⼲ㄳ㈯㄰찰_x0018_＀＀_x0018_＀＀_x0008_＀＀_x0001_＀＀_x0001_＀＀슏⣵轜䀰鳸䳀;义奃䙞彅卅䥔䅍䕔✨偅❓✬䕍乁Ⱗ䌧䱁彁佒䱌Ⱗ㌧奃Ⱗ〴㜴ⰱⰬ✧착_x0018_＀＀_x0018_＀＀_x0008_＀＀_x0001_＀＀_x0001_＀＀⏓ﭗ梅뿗ⷃ䲯;义奃䙞彅卅䥔䅍䕔✨偅❓✬䕍乁Ⱗ䌧䱁彁佒䱌Ⱗ㌧奃Ⱗ〴㔴ⰸⰬ✧착_x0018_＀＀_x0018_＀＀_x0008_＀＀_x0001_＀＀_x0001_＀＀⏓ﭗ梅뿗薸䳉_x001C_义奃䙞彇䭍彔䅖啌Ņ〱㈯⼷〲〱_x0018_＀＀_x0018_＀＀_x0008_＀＀_x0001_＀＀_x0001_＀＀ㄧ갈⬜䂠받䵒_x001C_义奃䙞彇䭍彔䅖啌Ņ㈠〯⼸〲ㄱ_x0018_＀＀_x0018_＀＀_x0008_＀＀_x0001_＀＀_x0001_＀＀娝㭤뵟䂜薸䳉;义奃䙞彅卅䥔䅍䕔✨偅❓✬䕍乁Ⱗ䌧䱁彁佒䱌Ⱗ㈧奃Ⱗ〴㜴ⰸⰬ✧착_x0018_＀＀_x0018_＀＀_x0008_＀＀_x0001_＀＀_x0001_＀＀퟇妞ꀒ뿰믟䵒;义奃䙞彅卅䥔䅍䕔✨偅❓✬䕍乁Ⱗ䌧䱁彁佒䱌Ⱗ㌧奃Ⱗ〴㠵ⰲⰬ✧착_x0018_＀＀_x0018_＀＀_x0008_＀＀_x0001_＀＀_x0001_＀＀핫ম൩뿜썠䳷;义奃䙞彅卅䥔䅍䕔✨偅❓✬䕍乁Ⱗ䌧䱁彁佒䱌Ⱗㄧ奃Ⱗ〴ㄵⰳⰬ✧착_x0018_＀＀_x0018_＀＀_x0008_＀＀_x0001_＀＀_x0001_＀＀畷軘䣳뿛鳸䳀_x0017_义奃偞偟楲散㄁⼰〲㈯〰찹_x0018_＀＀_x0018_＀＀_x0008_＀＀_x0001_＀＀_x0001_＀＀㵱휊炣䀗鳸䳀_x0017_义奃偞偟楲散㄁⼰〲㈯㄰찰_x0018_＀＀_x0018_＀＀_x0008_＀＀_x0001_＀＀_x0001_＀＀ᑺޮ䀱鳸䳀;义奃䙞彅卅䥔䅍䕔✨偅❓✬䕍乁Ⱗ䌧䱁彁佒䱌Ⱗ㈧奃Ⱗ〴㜴ⰱⰬ✧착_x0018_＀＀_x0018_＀＀_x0008_＀＀_x0001_＀＀_x0001_＀＀퟇妞ꀒ뿰ⷃ䲯;义奃䙞彅卅䥔䅍䕔✨偅❓✬䕍乁Ⱗ䌧䱁彁佒䱌Ⱗ㈧奃Ⱗ〴㔴ⰸⰬ✧착_x0018_＀＀_x0018_＀＀_x0008_＀＀_x0001_＀＀_x0001_＀＀廲㊵韡뿰ꟸ䳙;义奃䙞彅卅䥔䅍䕔✨偅❓✬䕍乁Ⱗ䌧䱁彁佒䱌Ⱗ㌧奃Ⱗ〴㤴ⰰⰬ✧착_x0018_＀＀_x0018_＀＀_x0008_＀＀_x0001_＀＀_x0001_＀＀晕९뿖썠䳷_x0017_义奃偞偟楲散㄁⼲㄰㈯〰찹_x0018_＀＀_x0018_＀＀_x0008_＀＀_x0001_＀＀_x0001_＀＀쳍쳌쳌䀠ⷃ䲯_x0017_义奃偞偟楲散㄁⼰㜰㈯〰찹_x0018_＀＀_x0018_＀＀_x0008_＀＀_x0001_＀＀_x0001_＀＀尩슏⣵䀛썠䳷_x0017_义奃偞偟楲散㄁⼲㄰㈯㄰찰_x0018_＀＀_x0018_＀＀_x0008_＀＀_x0001_＀＀_x0001_＀＀尩슏⣵䀮ꏇ䲛;义奃䙞彅卅䥔䅍䕔✨偅❓✬䕍乁Ⱗ䌧䱁彁佒䱌Ⱗ㌧奃Ⱗ〴㐴ⰴⰬ✧착_x0018_＀＀_x0018_＀＀_x0008_＀＀_x0001_＀＀_x0001_＀＀뼒ൢ뤗뿖ꏇ䲛_x0017_义奃偞偟楲散 ⼹㌲㈯〰찹_x0018_＀＀_x0018_＀＀_x0008_＀＀_x0001_＀＀_x0001_＀＀긕ᑺ䀝薸䳉;义奃䙞彅卅䥔䅍䕔✨偅❓✬䕍乁Ⱗ䌧䱁彁佒䱌Ⱗㄧ奃Ⱗ〴㜴ⰸⰬ✧착_x0018_＀＀_x0018_＀＀_x0008_＀＀_x0001_＀＀_x0001_＀＀⻺墋뿭ⷃ䲯_x0017_义奃偞偟楲散㄁⼰㜰㈯㄰찰_x0018_＀＀_x0018_＀＀_x0008_＀＀_x0001_＀＀_x0001_＀＀尨芏䀰ꏇ䲛_x0017_义奃偞偟楲散 ⼹㌲㈯㄰찰_x0018_＀＀_x0018_＀＀_x0008_＀＀_x0001_＀＀_x0001_＀＀긕ᑺ䀮믟䵒;义奃䙞彅卅䥔䅍䕔✨偅❓✬䕍乁Ⱗ䌧䱁彁佒䱌Ⱗ㈧奃Ⱗ〴㠵ⰲⰬ✧착_x0018_＀＀_x0018_＀＀_x0008_＀＀_x0001_＀＀_x0001_＀＀鏿箿赇뿰ꟸ䳙_x0017_义奃偞偟楲散㄁⼱㠰㈯〰찹_x0018_＀＀_x0018_＀＀_x0008_＀＀_x0001_＀＀_x0001_＀＀＀＀＀＀＀＀䀝ꟸ䳙_x0017_义奃偞偟楲散㄁⼱㠰㈯㄰찰_x0018_＀＀_x0018_＀＀_x0008_＀＀_x0001_＀＀_x0001_＀＀＀＀＀＀＀＀䀰薸䳉_x0017_义奃偞偟楲散㄁⼰㜲㈯〰찹_x0018_＀＀_x0018_＀＀_x0008_＀＀_x0001_＀＀_x0001_＀＀蔟凫Ẹ䀗밍䵒:义奃䙞彅卅䥔䅍䕔✨偅❓✬䕍乁Ⱗ䌧䱁彁佒䱌Ⱗ䌧❙㐬㔰㈸Ⱜ✬⤧_x0018_＀＀_x0018_＀＀_x0008_＀＀_x0001_＀＀_x0001_＀＀ᑻ䞮竡쀀鳸䳀;义奃䙞彅卅䥔䅍䕔✨偅❓✬䕍乁Ⱗ䌧䱁彁佒䱌Ⱗㄧ奃Ⱗ〴㜴ⰱⰬ✧착_x0018_＀＀_x0018_＀＀_x0008_＀＀_x0001_＀＀_x0001_＀＀⻺墋뿭ⷃ䲯;义奃䙞彅卅䥔䅍䕔✨偅❓✬䕍乁Ⱗ䌧䱁彁佒䱌Ⱗㄧ奃Ⱗ〴㔴ⰸⰬ✧착_x0018_＀＀_x0018_＀＀_x0008_＀＀_x0001_＀＀_x0001_＀＀⻺墋뿭薸䳉_x0017_义奃偞偟楲散㄁⼰㜲㈯㄰찰_x0018_＀＀_x0018_＀＀_x0008_＀＀_x0001_＀＀_x0001_＀＀⣶轜䀰ꟸ䳙;义奃䙞彅卅䥔䅍䕔✨偅❓✬䕍乁Ⱗ䌧䱁彁佒䱌Ⱗ㈧奃Ⱗ〴㤴ⰰⰬ✧착_x0018_＀＀_x0018_＀＀_x0008_＀＀_x0001_＀＀_x0001_＀＀퟇妞ꀒ뿰받䵒_x0017_义奃偞偟楲散 ⼲㠰㈯㄰찰_x0018_＀＀_x0018_＀＀_x0008_＀＀_x0001_＀＀_x0001_＀＀凬Ẹ䀣받䵒_x0017_义奃偞偟楲散 ⼲㠰㈯㄰찱_x0018_＀＀_x0018_＀＀_x0008_＀＀_x0001_＀＀_x0001_＀＀竡긔䀭</t>
        </r>
      </text>
    </comment>
    <comment ref="B1" authorId="0">
      <text>
        <r>
          <rPr>
            <b/>
            <sz val="8"/>
            <color indexed="81"/>
            <rFont val="Tahoma"/>
            <family val="2"/>
          </rPr>
          <t>1914</t>
        </r>
      </text>
    </comment>
  </commentList>
</comments>
</file>

<file path=xl/sharedStrings.xml><?xml version="1.0" encoding="utf-8"?>
<sst xmlns="http://schemas.openxmlformats.org/spreadsheetml/2006/main" count="2542" uniqueCount="1245">
  <si>
    <t>Net realized (gains) losses on sales and writedowns of marketable securities</t>
  </si>
  <si>
    <t>Other accrued liabilities</t>
  </si>
  <si>
    <t>Accounts payable and accrued compensation</t>
  </si>
  <si>
    <t>Accrued expenses</t>
  </si>
  <si>
    <t xml:space="preserve"> </t>
  </si>
  <si>
    <t>Intangible Assets Amortization</t>
  </si>
  <si>
    <t>Options Balance (Beginning Year)</t>
  </si>
  <si>
    <t>GAAP Net Income</t>
  </si>
  <si>
    <t>Cash and Equivalents</t>
  </si>
  <si>
    <t>Test</t>
  </si>
  <si>
    <t>Modelware Requirements</t>
  </si>
  <si>
    <t>Balance Check</t>
  </si>
  <si>
    <t>Total Revenue</t>
  </si>
  <si>
    <t>Stock option expense (Net of Tax Benefit)</t>
  </si>
  <si>
    <t>If-converted shares</t>
  </si>
  <si>
    <t>Ending Patients</t>
  </si>
  <si>
    <t xml:space="preserve">   Incidence - %</t>
  </si>
  <si>
    <t xml:space="preserve">   Deaths  - %</t>
  </si>
  <si>
    <t>CASH FLOWS FROM INVESTING ACTIVITIES</t>
  </si>
  <si>
    <t>Net cash used in investing activities</t>
  </si>
  <si>
    <t>CASH FLOWS FROM FINANCING ACTIVITIES</t>
  </si>
  <si>
    <t>Proceeds from Issuance of Common Stock</t>
  </si>
  <si>
    <t>Proceeds from exercise of stock options</t>
  </si>
  <si>
    <t>% revenue</t>
  </si>
  <si>
    <t>Property Plant &amp; Equipment (net)</t>
  </si>
  <si>
    <t>Depreciation and Amortization from</t>
  </si>
  <si>
    <t xml:space="preserve">Cash and Cash Equivalents </t>
  </si>
  <si>
    <t>Existing PP&amp;E</t>
  </si>
  <si>
    <t>Cash Option Expense</t>
  </si>
  <si>
    <t>Accounts Receivable</t>
  </si>
  <si>
    <t>Expenses (excluding options expenses)</t>
  </si>
  <si>
    <t>SG&amp;A</t>
  </si>
  <si>
    <t>Stock Compensation Expense</t>
  </si>
  <si>
    <t>One-Time Gains (Losses)</t>
  </si>
  <si>
    <t>Reconciliation to GAAP Income/Loss</t>
  </si>
  <si>
    <t>Write-off of Acquired in-Process R&amp;D</t>
  </si>
  <si>
    <t>Shares Outstanding - Basic</t>
  </si>
  <si>
    <t>US Population</t>
  </si>
  <si>
    <t xml:space="preserve">   US Population Growth - %</t>
  </si>
  <si>
    <t>Myelofibrosis Market  - US</t>
  </si>
  <si>
    <t xml:space="preserve">   Prevalence of PV - %</t>
  </si>
  <si>
    <t>Shares Outstanding - Diluted</t>
  </si>
  <si>
    <t>GAAP Net Income (Loss)</t>
  </si>
  <si>
    <t>Amortization of Intangible Assets</t>
  </si>
  <si>
    <t>Tax Effects of Adjustments</t>
  </si>
  <si>
    <t>Interest payable</t>
  </si>
  <si>
    <t>2018 capital expenditures</t>
  </si>
  <si>
    <t>Revenue to INCY</t>
  </si>
  <si>
    <t>US sales</t>
  </si>
  <si>
    <t>US Sales</t>
  </si>
  <si>
    <t xml:space="preserve">     % of Product Revenues</t>
  </si>
  <si>
    <t>ex-US population</t>
  </si>
  <si>
    <t xml:space="preserve">   ex-US Population Growth - %</t>
  </si>
  <si>
    <t>Impairment of long-term investments and marketable securities</t>
  </si>
  <si>
    <t xml:space="preserve">     % Growth</t>
  </si>
  <si>
    <t>Taxes</t>
  </si>
  <si>
    <t>Common Dividend</t>
  </si>
  <si>
    <t>Net issuance and repurchase</t>
  </si>
  <si>
    <t>INCY.O,mscalc:sedolCodeCalc</t>
  </si>
  <si>
    <t>INCY.O,mscalc:targetPrice,,,,USD</t>
  </si>
  <si>
    <t>INCY.O,mscalc:closePriceCurrencyCalc</t>
  </si>
  <si>
    <t>% price increase</t>
  </si>
  <si>
    <t>Price / month</t>
  </si>
  <si>
    <t>Other Expenses / (Income)</t>
  </si>
  <si>
    <t>Deferred revenue</t>
  </si>
  <si>
    <t>Accrued restructuring</t>
  </si>
  <si>
    <t>Convertible Senior Notes</t>
  </si>
  <si>
    <t>Ex-US sales</t>
  </si>
  <si>
    <t>WW MF Sales</t>
  </si>
  <si>
    <t>Ex-US royalty</t>
  </si>
  <si>
    <t>Drop Outs/Deaths</t>
  </si>
  <si>
    <t>Convertible Subordinated Notes</t>
  </si>
  <si>
    <t>Other liabilities</t>
  </si>
  <si>
    <t>Intangible &amp; other assets, net</t>
  </si>
  <si>
    <t>Non-cash restructuring charges &amp; impairment of long-lived assets</t>
  </si>
  <si>
    <t>Loss on embedded derivative liability</t>
  </si>
  <si>
    <t>Loss on repurchase of convertible senior &amp; sub notes</t>
  </si>
  <si>
    <t>Prepaid expenses and other assets</t>
  </si>
  <si>
    <t>Change in currency translation adjustment</t>
  </si>
  <si>
    <t>Tax Benefits of Options</t>
  </si>
  <si>
    <t>Collaboration / Milestone Revenue</t>
  </si>
  <si>
    <t>Royalties (Ex-US Sales)</t>
  </si>
  <si>
    <t xml:space="preserve">   Beginning Year Market Share - %</t>
  </si>
  <si>
    <t xml:space="preserve">   End of Year Market Share - %</t>
  </si>
  <si>
    <t>INCY 3.5% Senior Convert due 2011</t>
  </si>
  <si>
    <t>Pfizer Convert due October 2014</t>
  </si>
  <si>
    <t>Pfizer Convert due February 2013</t>
  </si>
  <si>
    <t>INCY 4.75% Senior Convert due October 2015</t>
  </si>
  <si>
    <t xml:space="preserve">     YoY Growth (%)</t>
  </si>
  <si>
    <t>Marketable Securities</t>
  </si>
  <si>
    <t>Prepaid expenses and other current</t>
  </si>
  <si>
    <t>Total current assets</t>
  </si>
  <si>
    <t>Property and equipment, net</t>
  </si>
  <si>
    <t>Cash Burn</t>
  </si>
  <si>
    <t>USD</t>
  </si>
  <si>
    <t>Total Contract &amp; Milestone Revenue</t>
  </si>
  <si>
    <t>Deaths</t>
  </si>
  <si>
    <t>Royalty Rate</t>
  </si>
  <si>
    <t>NOL carryforwards</t>
  </si>
  <si>
    <t>Income taxes owed</t>
  </si>
  <si>
    <t>Income taxes paid</t>
  </si>
  <si>
    <t>Statutory tax rate</t>
  </si>
  <si>
    <t>Pretax Income</t>
  </si>
  <si>
    <t>Ending NOL</t>
  </si>
  <si>
    <t>Taxable Income</t>
  </si>
  <si>
    <t>Ending Patients on Drug</t>
  </si>
  <si>
    <t>MF</t>
  </si>
  <si>
    <t>PV</t>
  </si>
  <si>
    <t xml:space="preserve"> Average Options Exercisable</t>
  </si>
  <si>
    <t xml:space="preserve">   % Exercisable</t>
  </si>
  <si>
    <t xml:space="preserve">   Effective Tax Rate</t>
  </si>
  <si>
    <t>Change in cash and cash equivalents</t>
  </si>
  <si>
    <t>Cash and cash equivalents at beginning of year</t>
  </si>
  <si>
    <t>INCY.O</t>
  </si>
  <si>
    <t>Incidence</t>
  </si>
  <si>
    <t>EPS, Basic (Non-GAAP, Pre-ESO)</t>
  </si>
  <si>
    <t>Conversion value of debt converts</t>
  </si>
  <si>
    <t>Bear</t>
  </si>
  <si>
    <t>Base</t>
  </si>
  <si>
    <t>Bull</t>
  </si>
  <si>
    <t>This sheet contains Factset binary data for use with this workbook's =FDS codes.  Modifying the worksheet's contents may damage the workbook's =FDS functionality.</t>
  </si>
  <si>
    <t>50</t>
  </si>
  <si>
    <t>ALXN.O,mscalc:targetPrice,,,,USD</t>
  </si>
  <si>
    <t>ALXN.O,mscalc:sedolCodeCalc</t>
  </si>
  <si>
    <t>ALXN.O,mscalc:closePriceCurrencyCalc</t>
  </si>
  <si>
    <t>2036070</t>
  </si>
  <si>
    <t>Total stockholders' equity</t>
  </si>
  <si>
    <t>CALCULATIONS</t>
  </si>
  <si>
    <t>-</t>
  </si>
  <si>
    <t>Sale of marketable securities</t>
  </si>
  <si>
    <t>Maturity of marketable securities</t>
  </si>
  <si>
    <t>Purchase of marketable securities</t>
  </si>
  <si>
    <t>Purchase of PP&amp;E</t>
  </si>
  <si>
    <t>EPS - Diluted (GAAP, Post ESO)</t>
  </si>
  <si>
    <t>Working Capital</t>
  </si>
  <si>
    <t>COGS</t>
  </si>
  <si>
    <t>Prepaid expenses and other</t>
  </si>
  <si>
    <t xml:space="preserve">Accounts Payable </t>
  </si>
  <si>
    <t>% of Expenses</t>
  </si>
  <si>
    <t>Product Revenue</t>
  </si>
  <si>
    <t>Issuance of Debt</t>
  </si>
  <si>
    <t>Repayment of Debt</t>
  </si>
  <si>
    <t>Inventory</t>
  </si>
  <si>
    <t>Fair Value Options Expenses</t>
  </si>
  <si>
    <t xml:space="preserve">Accounts payable </t>
  </si>
  <si>
    <t>Total current liabilities</t>
  </si>
  <si>
    <t>Total liabilities</t>
  </si>
  <si>
    <t>Stockholders' equity:</t>
  </si>
  <si>
    <t>Common stock (Plus APIC)</t>
  </si>
  <si>
    <t>2011 capital expenditures</t>
  </si>
  <si>
    <t>2012 capital expenditures</t>
  </si>
  <si>
    <t>2013 capital expenditures</t>
  </si>
  <si>
    <t>2014 capital expenditures</t>
  </si>
  <si>
    <t>Accumulated deficit</t>
  </si>
  <si>
    <t>Total assets</t>
  </si>
  <si>
    <t>Current liabilities:</t>
  </si>
  <si>
    <t>Discount Rate</t>
  </si>
  <si>
    <t>Statuatory Tax</t>
  </si>
  <si>
    <t>Unrecorded Goodwill</t>
  </si>
  <si>
    <t>Change in assets and liabilities:</t>
  </si>
  <si>
    <t>Change in Inventory</t>
  </si>
  <si>
    <t>Net cash provided by (used in) operating activities</t>
  </si>
  <si>
    <t xml:space="preserve">Non-GAAP Net Income (Loss) </t>
  </si>
  <si>
    <t>EPS Impact or % of Operating Expenses</t>
  </si>
  <si>
    <t>Return on assets</t>
  </si>
  <si>
    <t>Convertible Interest Add-Back</t>
  </si>
  <si>
    <t xml:space="preserve">   Hydroxyurea (HU) Failures - %</t>
  </si>
  <si>
    <t>Interest Income</t>
  </si>
  <si>
    <t xml:space="preserve">Accounts receivable </t>
  </si>
  <si>
    <t xml:space="preserve">     Depreciation as % operating expenses</t>
  </si>
  <si>
    <t xml:space="preserve">    Amortization as % of operating expenses</t>
  </si>
  <si>
    <t>Employee Stock Option Analysis</t>
  </si>
  <si>
    <t xml:space="preserve">Stock Price (average) </t>
  </si>
  <si>
    <t>Options Exercised</t>
  </si>
  <si>
    <t xml:space="preserve">   % of Exercisable Options</t>
  </si>
  <si>
    <t>Weighted Average Exercise Price</t>
  </si>
  <si>
    <t>Proceeds from option</t>
  </si>
  <si>
    <t>Tax Benefit from Options</t>
  </si>
  <si>
    <t>Options Granted</t>
  </si>
  <si>
    <t xml:space="preserve">     % of Outstanding Options</t>
  </si>
  <si>
    <t>Total Revenues</t>
  </si>
  <si>
    <t>NA</t>
  </si>
  <si>
    <t>Total Operating Expenses</t>
  </si>
  <si>
    <t>Operating Income (Loss)</t>
  </si>
  <si>
    <t xml:space="preserve">   Interest, Other Income</t>
  </si>
  <si>
    <t xml:space="preserve">   Interest, Other Expense</t>
  </si>
  <si>
    <t>Pretax Income (Loss)</t>
  </si>
  <si>
    <t xml:space="preserve">   Provision For Income Taxes</t>
  </si>
  <si>
    <t>Cash and cash equivalents at end of year</t>
  </si>
  <si>
    <t xml:space="preserve">   Cash and marketable securities at end of year</t>
  </si>
  <si>
    <t>2015 capital expenditures</t>
  </si>
  <si>
    <t>2016 capital expenditures</t>
  </si>
  <si>
    <t>2017 capital expenditures</t>
  </si>
  <si>
    <t>Tax Benefit from Amortization of Intangible Assets</t>
  </si>
  <si>
    <t>Non-GAAP Net Income (w/ ESO, w/Amortization)</t>
  </si>
  <si>
    <t>EPS - Diluted (Non-GAAP, Post ESO, Amortization)</t>
  </si>
  <si>
    <t>Change in A/R</t>
  </si>
  <si>
    <t>Tax Rate</t>
  </si>
  <si>
    <t>Beginning Period Shares</t>
  </si>
  <si>
    <t>End of Period Shares</t>
  </si>
  <si>
    <t xml:space="preserve">Average Shares Outstanding-basic </t>
  </si>
  <si>
    <t>Average Shares Outstanding-diluted</t>
  </si>
  <si>
    <t>CASH FLOWS FROM OPERATING ACTIVITIES</t>
  </si>
  <si>
    <t>Net Income (Loss)</t>
  </si>
  <si>
    <t>Depreciation + Amortization</t>
  </si>
  <si>
    <t xml:space="preserve">    Depreciation</t>
  </si>
  <si>
    <t>Net cash provided by financing activities</t>
  </si>
  <si>
    <t>Beginning Balance</t>
  </si>
  <si>
    <t>Mandatory Payment</t>
  </si>
  <si>
    <t>Ending Balance</t>
  </si>
  <si>
    <t>Non-GAAP, Pre ESO Income</t>
  </si>
  <si>
    <t>EPS, Diluted (Non-GAAP, Pre-ESO)</t>
  </si>
  <si>
    <t>Diluted shares</t>
  </si>
  <si>
    <t xml:space="preserve">Basic shares </t>
  </si>
  <si>
    <t>Debt</t>
  </si>
  <si>
    <t>If-Converted Shares</t>
  </si>
  <si>
    <t>GAAP Income</t>
  </si>
  <si>
    <t>Dilutive?</t>
  </si>
  <si>
    <t>EPS Diluted</t>
  </si>
  <si>
    <t>EPS If Converted</t>
  </si>
  <si>
    <t>As if Converted Calculations</t>
  </si>
  <si>
    <t>Modelware Adjustment for Dilution</t>
  </si>
  <si>
    <t>Tax Benefit from Stock Options</t>
  </si>
  <si>
    <t>Coupon rate</t>
  </si>
  <si>
    <t>Interest expense</t>
  </si>
  <si>
    <t>Year of maturity</t>
  </si>
  <si>
    <t>Market interest rate assumption</t>
  </si>
  <si>
    <t>Fair Value of liability (present value)</t>
  </si>
  <si>
    <t>Adjusted annual interest expense</t>
  </si>
  <si>
    <t>Value of equity component</t>
  </si>
  <si>
    <t>Amortization of bond discount</t>
  </si>
  <si>
    <r>
      <t xml:space="preserve">  </t>
    </r>
    <r>
      <rPr>
        <i/>
        <sz val="9"/>
        <rFont val="Arial"/>
        <family val="2"/>
      </rPr>
      <t>years to maturity</t>
    </r>
  </si>
  <si>
    <t xml:space="preserve">Interest Add Back </t>
  </si>
  <si>
    <t xml:space="preserve">     % of Total Revenues</t>
  </si>
  <si>
    <t>Free Cash Flow To Equity Holders</t>
  </si>
  <si>
    <t>Proceeds from share issuance</t>
  </si>
  <si>
    <t>Shares Repurchased (mm)</t>
  </si>
  <si>
    <t>Share Repurchase Cost</t>
  </si>
  <si>
    <t>Total Change in APIC</t>
  </si>
  <si>
    <t>Options Cancelled</t>
  </si>
  <si>
    <t xml:space="preserve">   % Cancelled </t>
  </si>
  <si>
    <t>Statutory Tax Rate</t>
  </si>
  <si>
    <t>2008 capital expenditures</t>
  </si>
  <si>
    <t>2009 capital expenditures</t>
  </si>
  <si>
    <t>2010 capital expenditures</t>
  </si>
  <si>
    <t>Total depreciation</t>
  </si>
  <si>
    <t>Total depreciation and amortization</t>
  </si>
  <si>
    <t>Marketable securities</t>
  </si>
  <si>
    <t>R&amp;D</t>
  </si>
  <si>
    <t>Common Dividends</t>
  </si>
  <si>
    <t>Accrued Compensation</t>
  </si>
  <si>
    <t>Accrued Liabilities</t>
  </si>
  <si>
    <t>Deferred collaboration revenue</t>
  </si>
  <si>
    <t>Noncurrent Market Securities</t>
  </si>
  <si>
    <t>Restricted Cash</t>
  </si>
  <si>
    <t xml:space="preserve">       Operating Margin</t>
  </si>
  <si>
    <t>Description</t>
  </si>
  <si>
    <t xml:space="preserve">   Drop Outs/Deaths  - %</t>
  </si>
  <si>
    <t>Treatment duration - New Additions (mos)</t>
  </si>
  <si>
    <t>Treatment Duration - Chronic Pts (mos)</t>
  </si>
  <si>
    <t xml:space="preserve">    Diagnosed Pts  - %</t>
  </si>
  <si>
    <t xml:space="preserve">   Hydroxyurea (HU) Pts - %</t>
  </si>
  <si>
    <t>PV Prevalence</t>
  </si>
  <si>
    <t>Total</t>
  </si>
  <si>
    <t>Beginning MF Patients</t>
  </si>
  <si>
    <t xml:space="preserve">   Competitor New Pt Share - %</t>
  </si>
  <si>
    <t xml:space="preserve">   All Drugs New Pt Share - %</t>
  </si>
  <si>
    <t>Beginning MF Pts</t>
  </si>
  <si>
    <t>US</t>
  </si>
  <si>
    <t>Operating Expense Scenarios</t>
  </si>
  <si>
    <t>R&amp;D - YoY Growth Rate</t>
  </si>
  <si>
    <t>SG&amp;A - YoY Growth Rate</t>
  </si>
  <si>
    <t>Beginning PV Patients</t>
  </si>
  <si>
    <t>Pts on Hydroxyurea</t>
  </si>
  <si>
    <t>Hydroxyurea Failures</t>
  </si>
  <si>
    <t>Addressable Market - HU Failures</t>
  </si>
  <si>
    <t>EU sales</t>
  </si>
  <si>
    <t>US Polycythemia Vera</t>
  </si>
  <si>
    <t>EU Polycythemia Vera</t>
  </si>
  <si>
    <t>EU PV Sales</t>
  </si>
  <si>
    <t>US PV Sales</t>
  </si>
  <si>
    <t>Shares Issued (equity raise)</t>
  </si>
  <si>
    <t>Shares per debt conversion</t>
  </si>
  <si>
    <t>R&amp;D-Check</t>
  </si>
  <si>
    <t>SG&amp;A Check</t>
  </si>
  <si>
    <t xml:space="preserve">SG&amp;A </t>
  </si>
  <si>
    <t xml:space="preserve">    Convert Price</t>
  </si>
  <si>
    <t xml:space="preserve">   Beginning Year Market Share - % of addressable mkt</t>
  </si>
  <si>
    <t xml:space="preserve">   Competitor New Pt Share - % of addressable mkt</t>
  </si>
  <si>
    <t xml:space="preserve">   Drop Outs/Deaths  - % of beg. Yr pts</t>
  </si>
  <si>
    <t>Myelofibrosis Market - Ex-US</t>
  </si>
  <si>
    <t>Ex-US population</t>
  </si>
  <si>
    <t>Other License &amp; Royalty Revenue</t>
  </si>
  <si>
    <t>INCY.O,mscalc:targetPrice</t>
  </si>
  <si>
    <t>16</t>
  </si>
  <si>
    <t>,mscalc:targetPrice,,,,USD</t>
  </si>
  <si>
    <t>,mscalc:closePriceCurrencyCalc</t>
  </si>
  <si>
    <t>,mscalc:sedolCodeCalc</t>
  </si>
  <si>
    <t>$T$2</t>
  </si>
  <si>
    <t>Other</t>
  </si>
  <si>
    <t>2016E</t>
  </si>
  <si>
    <t>2015E</t>
  </si>
  <si>
    <t>2014E</t>
  </si>
  <si>
    <t>WW Revenue to INCY</t>
  </si>
  <si>
    <t>2019 capital expenditures</t>
  </si>
  <si>
    <t>2020 capital expenditures</t>
  </si>
  <si>
    <t>Net Cash</t>
  </si>
  <si>
    <t>Cum adds</t>
  </si>
  <si>
    <t>Cum Pts</t>
  </si>
  <si>
    <t>Cum % Penetration</t>
  </si>
  <si>
    <t xml:space="preserve">   Cumulative penetration - %</t>
  </si>
  <si>
    <t>2021 capital expenditures</t>
  </si>
  <si>
    <t>2017E</t>
  </si>
  <si>
    <t>2018E</t>
  </si>
  <si>
    <t>Ending Patients (Addressable market)</t>
  </si>
  <si>
    <t>Total Treated Pts - All drugs</t>
  </si>
  <si>
    <t>Cum Total adds</t>
  </si>
  <si>
    <t xml:space="preserve">   End of Year Cumulative Add Share - Total Mkt</t>
  </si>
  <si>
    <t>Competitor New Pt Share - % of addressable mkt</t>
  </si>
  <si>
    <t xml:space="preserve">   Drop Outs/Death</t>
  </si>
  <si>
    <t xml:space="preserve">    Amortization (Pfizer)</t>
  </si>
  <si>
    <t>($ in millions)</t>
  </si>
  <si>
    <t>($ in millions except per-share data)</t>
  </si>
  <si>
    <t>2019E</t>
  </si>
  <si>
    <t>2020E</t>
  </si>
  <si>
    <t>2021E</t>
  </si>
  <si>
    <t>Accumulated OCI</t>
  </si>
  <si>
    <t>Inventories - Non-Current</t>
  </si>
  <si>
    <t>Inventories - Current</t>
  </si>
  <si>
    <t>Jakafi US Sales</t>
  </si>
  <si>
    <t>Conversion value of senior notes</t>
  </si>
  <si>
    <t>Shares from senior note convert</t>
  </si>
  <si>
    <t xml:space="preserve">Total Debt </t>
  </si>
  <si>
    <t>INCY 1.25% Senior convert Due November 2020</t>
  </si>
  <si>
    <t xml:space="preserve">    Amortization (converts)</t>
  </si>
  <si>
    <t>Pipeline Revenue Scenarios</t>
  </si>
  <si>
    <t xml:space="preserve">Bull </t>
  </si>
  <si>
    <t>$ Add per yr</t>
  </si>
  <si>
    <t>Multiplier for base case</t>
  </si>
  <si>
    <t>1Q14</t>
  </si>
  <si>
    <t>Currency</t>
  </si>
  <si>
    <t>Current Stock Price</t>
  </si>
  <si>
    <t>Count</t>
  </si>
  <si>
    <t>Purchase of restricted investments</t>
  </si>
  <si>
    <t>Cash paid exchange of 4.75% converts due 2015</t>
  </si>
  <si>
    <t>Debt exchange expense on senior note conversion</t>
  </si>
  <si>
    <t>Restricted Investments</t>
  </si>
  <si>
    <t>Deferred Income Taxes</t>
  </si>
  <si>
    <t>Deferred income taxes</t>
  </si>
  <si>
    <t>Capital expenditures</t>
  </si>
  <si>
    <t>% of expenses</t>
  </si>
  <si>
    <t>Depreciation</t>
  </si>
  <si>
    <t>Ending balance</t>
  </si>
  <si>
    <t>Beginning balance</t>
  </si>
  <si>
    <t>Total Fair Value of Debt</t>
  </si>
  <si>
    <t>Actual on B/S</t>
  </si>
  <si>
    <t>Jakafi ex-US Sales</t>
  </si>
  <si>
    <t>Total Jakafi Sales</t>
  </si>
  <si>
    <t>Total Jakafi Revenue to INCY</t>
  </si>
  <si>
    <t>Baricitinib US Sales</t>
  </si>
  <si>
    <t>Baricitinib Ex-US Sales</t>
  </si>
  <si>
    <t>Total Baricitinib Sales</t>
  </si>
  <si>
    <r>
      <t>Total Baricitinib</t>
    </r>
    <r>
      <rPr>
        <sz val="9"/>
        <rFont val="Arial"/>
        <family val="2"/>
      </rPr>
      <t xml:space="preserve"> </t>
    </r>
    <r>
      <rPr>
        <b/>
        <sz val="9"/>
        <rFont val="Arial"/>
        <family val="2"/>
      </rPr>
      <t>Royalties to INCY</t>
    </r>
  </si>
  <si>
    <t>Carrying Amount on B/S @ Dec 31</t>
  </si>
  <si>
    <t>INCY 0.375% Senior convert Due November 2018</t>
  </si>
  <si>
    <t>Actual Interest Expense</t>
  </si>
  <si>
    <t>Cash Interest Expense</t>
  </si>
  <si>
    <t>Interest Expense + Amortiz</t>
  </si>
  <si>
    <t>Duration of Treatment</t>
  </si>
  <si>
    <t>% of US Revenue</t>
  </si>
  <si>
    <t>WW MF total</t>
  </si>
  <si>
    <t>WW PV total</t>
  </si>
  <si>
    <t>2013E</t>
  </si>
  <si>
    <t>2Q14</t>
  </si>
  <si>
    <t>3Q14</t>
  </si>
  <si>
    <t>1Q15A</t>
  </si>
  <si>
    <t>2Q15A</t>
  </si>
  <si>
    <t>Convertible senior notes</t>
  </si>
  <si>
    <t>2Q15</t>
  </si>
  <si>
    <t>1Q15</t>
  </si>
  <si>
    <t>4Q14</t>
  </si>
  <si>
    <t>ND</t>
  </si>
  <si>
    <t>New Jakafi Pts</t>
  </si>
  <si>
    <t xml:space="preserve">   Jakafi New Pt Share - % of addressable mkt</t>
  </si>
  <si>
    <t xml:space="preserve">  Jakafi Share of Pts Treated</t>
  </si>
  <si>
    <t>Jakafi Drop Outs/Deaths</t>
  </si>
  <si>
    <t xml:space="preserve">US Jakafi Sales </t>
  </si>
  <si>
    <t xml:space="preserve">   End of Year Market Share - Jakafi</t>
  </si>
  <si>
    <t>Beginning Patients on Jakafi</t>
  </si>
  <si>
    <t>Jakafi Myelofibrosis Summary</t>
  </si>
  <si>
    <t>Beginning Patients on Jakavi</t>
  </si>
  <si>
    <t>EU Sales Jakavi</t>
  </si>
  <si>
    <t>2022E</t>
  </si>
  <si>
    <t>2023E</t>
  </si>
  <si>
    <t>2024E</t>
  </si>
  <si>
    <t>2025E</t>
  </si>
  <si>
    <t>2026E</t>
  </si>
  <si>
    <t>2027E</t>
  </si>
  <si>
    <t>2028E</t>
  </si>
  <si>
    <t>2029E</t>
  </si>
  <si>
    <t>2030E</t>
  </si>
  <si>
    <t>2022 capital expenditures</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</si>
  <si>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</si>
  <si>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</si>
  <si>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</si>
  <si>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</si>
  <si>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</si>
  <si>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</si>
  <si>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</si>
  <si>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</si>
  <si>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3Q15A</t>
  </si>
  <si>
    <t>3Q15</t>
  </si>
  <si>
    <t>Jakafi Price WAC $</t>
  </si>
  <si>
    <t xml:space="preserve">   Jakafi New Pt Share (HU Refractory)- %</t>
  </si>
  <si>
    <t xml:space="preserve">   Jakafi New Pt Share (HU eligible)- %</t>
  </si>
  <si>
    <t>Jakafi Sales Summary</t>
  </si>
  <si>
    <t>Baricitinib</t>
  </si>
  <si>
    <t>4Q15</t>
  </si>
  <si>
    <t>1Q16</t>
  </si>
  <si>
    <t>2Q16</t>
  </si>
  <si>
    <t>3Q16</t>
  </si>
  <si>
    <t>4Q15A</t>
  </si>
  <si>
    <t>Epacadostat in Melanoma</t>
  </si>
  <si>
    <t>Revenues</t>
  </si>
  <si>
    <t>SGA</t>
  </si>
  <si>
    <t>EBIT</t>
  </si>
  <si>
    <t>Net</t>
  </si>
  <si>
    <t>TV</t>
  </si>
  <si>
    <t>NPV (No Risk Adjustment)</t>
  </si>
  <si>
    <t>Probability of Success</t>
  </si>
  <si>
    <t>Unadjusted</t>
  </si>
  <si>
    <t>Risk-Adjusted NPV</t>
  </si>
  <si>
    <t>Per Share Value</t>
  </si>
  <si>
    <t>Epacadostat in RCC</t>
  </si>
  <si>
    <t>Epacadostat in Other Tumors</t>
  </si>
  <si>
    <t>Shares Outstanding (2016E)</t>
  </si>
  <si>
    <t>Clinical &amp; Regulatory</t>
  </si>
  <si>
    <t>Risk Adjustment</t>
  </si>
  <si>
    <t>Risk-Adjusted Technology Value per Share</t>
  </si>
  <si>
    <t>2016 YE Net</t>
  </si>
  <si>
    <t>Cash / Share</t>
  </si>
  <si>
    <t>Current Q</t>
  </si>
  <si>
    <t>Less:</t>
  </si>
  <si>
    <t>Discounted</t>
  </si>
  <si>
    <t>Current &amp; Long-Term Liabilities</t>
  </si>
  <si>
    <t>Cash Burn Until Profitable</t>
  </si>
  <si>
    <t>CFO</t>
  </si>
  <si>
    <t>Capex</t>
  </si>
  <si>
    <t>Cash Per Share</t>
  </si>
  <si>
    <t>Fundamental Value</t>
  </si>
  <si>
    <t>Net Cash Flows</t>
  </si>
  <si>
    <t>NPV</t>
  </si>
  <si>
    <t>Risk-Unadjusted NPV Total</t>
  </si>
  <si>
    <t>Risk Adjusted NPV Total</t>
  </si>
  <si>
    <t>Incyte Risk-Adjusted Sum-of-the-Parts Analysis</t>
  </si>
  <si>
    <t>Jakafi in PV</t>
  </si>
  <si>
    <t>Jakavi Royalties (from Novartis)</t>
  </si>
  <si>
    <t>INCY Implied Discount Rate Analysis</t>
  </si>
  <si>
    <t>Jakafi COGS</t>
  </si>
  <si>
    <t>Jakafi SG&amp;A</t>
  </si>
  <si>
    <t>Jakafi R&amp;D</t>
  </si>
  <si>
    <t>Jakavi COGS</t>
  </si>
  <si>
    <t>Jakavi SG&amp;A</t>
  </si>
  <si>
    <t>Jakavi R&amp;D</t>
  </si>
  <si>
    <t>Baricitinib COGS</t>
  </si>
  <si>
    <t>Baricitinib SG&amp;A</t>
  </si>
  <si>
    <t>Baricitinib R&amp;D</t>
  </si>
  <si>
    <t>Epacadostat COGS</t>
  </si>
  <si>
    <t>Epacadostat SG&amp;A</t>
  </si>
  <si>
    <t>Epacadostat R&amp;D</t>
  </si>
  <si>
    <t>Epacadostat in RCC Cost Assumptions</t>
  </si>
  <si>
    <t>US Jakafi in MF Valuation Implied Discount Rate</t>
  </si>
  <si>
    <t>US Jakafi in PV Valuation Implied Discount Rate</t>
  </si>
  <si>
    <t>US Jakafi in Myelofibrosis</t>
  </si>
  <si>
    <t>US Jakafi in MF Cost Assumptions</t>
  </si>
  <si>
    <t>US Jakafi in PV Cost Assumptions</t>
  </si>
  <si>
    <t>Ex-US Jakavi Royalties (from Novartis)</t>
  </si>
  <si>
    <t>Generic Erosion</t>
  </si>
  <si>
    <t>WW Jakafi/Jakavi Sales</t>
  </si>
  <si>
    <t>Total U.S. RA Revenues</t>
  </si>
  <si>
    <t>CAGR 2016-25</t>
  </si>
  <si>
    <t>Jak Inhibitors</t>
  </si>
  <si>
    <t xml:space="preserve">     Xeljanz</t>
  </si>
  <si>
    <t xml:space="preserve">     Generic Xeljanz</t>
  </si>
  <si>
    <t xml:space="preserve">     Baricitinib</t>
  </si>
  <si>
    <t xml:space="preserve">     ABT494</t>
  </si>
  <si>
    <t xml:space="preserve">     Filgotinib</t>
  </si>
  <si>
    <t>Generic Baricitinib</t>
  </si>
  <si>
    <t>Anti-TNF Agent</t>
  </si>
  <si>
    <t xml:space="preserve">     Branded Anti-TNF Inhibitors</t>
  </si>
  <si>
    <t xml:space="preserve">     Biosimilar Anti-TNF Agents</t>
  </si>
  <si>
    <t>Other Biologic/Targeted Agents</t>
  </si>
  <si>
    <t>TOTAL BIOLOGIC/TARGETED THERAPY MARKET</t>
  </si>
  <si>
    <t>Growth</t>
  </si>
  <si>
    <t>U.S. Population</t>
  </si>
  <si>
    <t>US population growth rate (%)</t>
  </si>
  <si>
    <t>Ages 00-17</t>
  </si>
  <si>
    <t>U.S. Adult Population</t>
  </si>
  <si>
    <t>Adult Prevalence Rate</t>
  </si>
  <si>
    <t>U.S. RA Population</t>
  </si>
  <si>
    <t>Diagnosis Rate</t>
  </si>
  <si>
    <t># of Diagnosed Adult RA Patients</t>
  </si>
  <si>
    <t>Treatment Rate</t>
  </si>
  <si>
    <t># RA Patients Treated</t>
  </si>
  <si>
    <t>MTX/SSZ Treated RA Patients</t>
  </si>
  <si>
    <t>MTX/SSZ Failures</t>
  </si>
  <si>
    <t>Started on Biologic/Targeted Therapy (%)</t>
  </si>
  <si>
    <t>Patients Started on Biologic/Targeted Therapy</t>
  </si>
  <si>
    <t>Overall Biologic/Targeted Therapy Usage in MTX Failures (%)</t>
  </si>
  <si>
    <t>Overall Biologic/Targeted Therapy Usage (%)</t>
  </si>
  <si>
    <t>Front-Line Biologic/Targeted Therapy Penetration (%)</t>
  </si>
  <si>
    <t>Market Share (%)</t>
  </si>
  <si>
    <t># Patients Front-Line Treated</t>
  </si>
  <si>
    <t>Annual Cost ($)</t>
  </si>
  <si>
    <t>Front-Line Revenues ($000's)</t>
  </si>
  <si>
    <t>Second-Line Biologic/Targeted Therapy</t>
  </si>
  <si>
    <t>Front-Line Therapy Failure Rate</t>
  </si>
  <si>
    <t>Front-Line Biologic/Targeted Therapy Failures</t>
  </si>
  <si>
    <t>Drop-Out Rate</t>
  </si>
  <si>
    <t>Second-Line Candidates</t>
  </si>
  <si>
    <t># Failed Patients (Front-Line)</t>
  </si>
  <si>
    <t>Second-Line Penetration (%) JAK Failures</t>
  </si>
  <si>
    <t># Treated Second-Line Patients (Front-Line JAK Failures)</t>
  </si>
  <si>
    <t>Second-Line Penetration (%) TNF Failures</t>
  </si>
  <si>
    <t># Treated Second-Line Patients (Front-Line TNF Failures)</t>
  </si>
  <si>
    <t>Second-Line Penetration (%) Other Biologic Failures</t>
  </si>
  <si>
    <t># Treated Second-Line Patients (Front-Line Other Biologic Failures)</t>
  </si>
  <si>
    <t>Total Second-Line Treated Patients (JAK + TNF + Other Biologic Failures)</t>
  </si>
  <si>
    <t>Second-Line Treated Revenues ($000's)</t>
  </si>
  <si>
    <t>Third-Line Biologic/Targeted Therapy</t>
  </si>
  <si>
    <t>Second-Line Therapy Failure Rate</t>
  </si>
  <si>
    <t>Second-Line Biologic/Targeted Therapy Failures</t>
  </si>
  <si>
    <t>Third-Line Candidates</t>
  </si>
  <si>
    <t># Third Line JAK Naïve Patients</t>
  </si>
  <si>
    <t>Jak Inhibitors Naïve Patients</t>
  </si>
  <si>
    <t>Third-Line Penetration JAK Naive (%)</t>
  </si>
  <si>
    <t># Third Line Treated Patients (JAK Naives)</t>
  </si>
  <si>
    <t>Third-Line Penetration into TNF-Failures (%)</t>
  </si>
  <si>
    <t xml:space="preserve">     Other JAK Inhibitor</t>
  </si>
  <si>
    <t xml:space="preserve">     Generic Anti-TNF Agents</t>
  </si>
  <si>
    <t># Third Line Treated Patients (TNF-Failures)</t>
  </si>
  <si>
    <t>Third-Line Penetration into Other Biologics (%)</t>
  </si>
  <si>
    <t># Third Line Treated Patients (Other biologics)</t>
  </si>
  <si>
    <t># Total Third Line Treated Patients</t>
  </si>
  <si>
    <t>Revenues ($000's)</t>
  </si>
  <si>
    <t>AWP Annually</t>
  </si>
  <si>
    <t>Enbrel  25mg 2x weekly or 50mg s.c. weekly</t>
  </si>
  <si>
    <t>Price Per 25 mg Injection</t>
  </si>
  <si>
    <t>Humira 40mg q2w</t>
  </si>
  <si>
    <t>Price Per 20 mg Injection</t>
  </si>
  <si>
    <t>Xeljanz</t>
  </si>
  <si>
    <t>Monthly Price per 5 mg</t>
  </si>
  <si>
    <t>Xeljanz XR</t>
  </si>
  <si>
    <t>Monthly Price per 11 mg</t>
  </si>
  <si>
    <t xml:space="preserve">Gross to Net Calculation from CMS </t>
  </si>
  <si>
    <t>Enbrel  ASP</t>
  </si>
  <si>
    <t>Gorss to Net Adjustment</t>
  </si>
  <si>
    <t>Humira ASP</t>
  </si>
  <si>
    <t>Gross to Net Adjustment</t>
  </si>
  <si>
    <t>ASP Annually</t>
  </si>
  <si>
    <t>Average</t>
  </si>
  <si>
    <t>Estimated Xeljanz ASP</t>
  </si>
  <si>
    <t>Baracitinib ASP</t>
  </si>
  <si>
    <t>Filgotinib ASP</t>
  </si>
  <si>
    <t>ABT 494 ASP</t>
  </si>
  <si>
    <t>Generic Anti-TNF</t>
  </si>
  <si>
    <t>Generic Xeljanz</t>
  </si>
  <si>
    <t>Generic Baracitinib</t>
  </si>
  <si>
    <t>Other Biologics/Targeted Agents</t>
  </si>
  <si>
    <t>Baricitinib EU Revenues</t>
  </si>
  <si>
    <t>US RA Diagnosed Prevalence</t>
  </si>
  <si>
    <t>EU RA Diagnosed Prevalence</t>
  </si>
  <si>
    <t>% Difference</t>
  </si>
  <si>
    <t>EU Treated Patients</t>
  </si>
  <si>
    <t>Treatment Rate (%)</t>
  </si>
  <si>
    <t>US Baricitinib Annual Pricing ($)</t>
  </si>
  <si>
    <t>EU Baricitinib Annual Pricing ($)</t>
  </si>
  <si>
    <t>EU Pricing Discount (%)</t>
  </si>
  <si>
    <t>WW Baricitinib Revenues</t>
  </si>
  <si>
    <t>Baricitinib WW Market Opportunity</t>
  </si>
  <si>
    <t>2012E</t>
  </si>
  <si>
    <t xml:space="preserve">WW Revenue Summary ($mn) </t>
  </si>
  <si>
    <t>U.S. Rheumatoid Arthritis</t>
  </si>
  <si>
    <t>Ex-US Rheumatoid Arthritis</t>
  </si>
  <si>
    <t xml:space="preserve">Total Baricitinib Sales ($mn) </t>
  </si>
  <si>
    <t>Baricitinib Royalty Calculator</t>
  </si>
  <si>
    <t>Baricitinib Royalties to Incyte</t>
  </si>
  <si>
    <t xml:space="preserve">           Tier 1</t>
  </si>
  <si>
    <t xml:space="preserve">           Tier 2</t>
  </si>
  <si>
    <t xml:space="preserve">           Tier 3</t>
  </si>
  <si>
    <t xml:space="preserve">           Tier 4</t>
  </si>
  <si>
    <t xml:space="preserve">           Tier 5</t>
  </si>
  <si>
    <t xml:space="preserve">           Tier 6</t>
  </si>
  <si>
    <t xml:space="preserve">           Tier 7</t>
  </si>
  <si>
    <t>Royalties on US Sales</t>
  </si>
  <si>
    <t>Royalties on Ex-US Sales</t>
  </si>
  <si>
    <t>Baricitinib Effective Royalty Rate (%)</t>
  </si>
  <si>
    <t>Worldwide Sales</t>
  </si>
  <si>
    <t>Ex-US Sales</t>
  </si>
  <si>
    <t xml:space="preserve"> ROYALTY TIERS</t>
  </si>
  <si>
    <t>Sales Greater Than</t>
  </si>
  <si>
    <t>Sales Less Than</t>
  </si>
  <si>
    <t>Sales @ Rate</t>
  </si>
  <si>
    <t>%</t>
  </si>
  <si>
    <t>*Tiered royalties from 20-29%</t>
  </si>
  <si>
    <t>ACE-536 Effective Royalty Rate</t>
  </si>
  <si>
    <t>Sotatercept Effective Royalty Rate</t>
  </si>
  <si>
    <t>US Atopic Dermatitis Model</t>
  </si>
  <si>
    <t>US Adult Population</t>
  </si>
  <si>
    <t>Atopic Dermatitis Rate</t>
  </si>
  <si>
    <t>Adults with AD</t>
  </si>
  <si>
    <t>Diagnosed AD Patients</t>
  </si>
  <si>
    <t>Diagnosed Prevalence AD</t>
  </si>
  <si>
    <t>Moderate Diagnosed AD Patients</t>
  </si>
  <si>
    <t>Severe Diagnosed AD Patients</t>
  </si>
  <si>
    <t>Treatment Rates</t>
  </si>
  <si>
    <t>Moderate Treated AD Patients</t>
  </si>
  <si>
    <t>Severe Treated AD Patients</t>
  </si>
  <si>
    <t>Baricitinib Penetration</t>
  </si>
  <si>
    <t>Moderate AD Patients</t>
  </si>
  <si>
    <t>Severe AD Patients</t>
  </si>
  <si>
    <t>Baricitinib Treated Patients</t>
  </si>
  <si>
    <t>Baricitinib Cost</t>
  </si>
  <si>
    <t>WW Atopic Dermatitis Revenue</t>
  </si>
  <si>
    <t>Population Growth</t>
  </si>
  <si>
    <t>EU Adult Population</t>
  </si>
  <si>
    <t>EU Adults with AD</t>
  </si>
  <si>
    <t>Diagnosed AD Adult Patients</t>
  </si>
  <si>
    <t>Atopic Dermatitis Diagnosis Rate</t>
  </si>
  <si>
    <t>EU Diagnosed Prevalence AD</t>
  </si>
  <si>
    <t>Total EU Revenue</t>
  </si>
  <si>
    <t>Total US Revenue</t>
  </si>
  <si>
    <t>Baricitinib RA Royalties (from Lilly)</t>
  </si>
  <si>
    <t>Baricitinib AD Royalties (from Lilly)</t>
  </si>
  <si>
    <t>Epacadostat US Market Opportunity</t>
  </si>
  <si>
    <t xml:space="preserve">US Revenue Summary ($mn) </t>
  </si>
  <si>
    <t xml:space="preserve">Melanoma </t>
  </si>
  <si>
    <t xml:space="preserve">NSCLC </t>
  </si>
  <si>
    <t>RCC</t>
  </si>
  <si>
    <t>Other Tumors</t>
  </si>
  <si>
    <t xml:space="preserve">Total US Epacadostat Revenue ($mn) </t>
  </si>
  <si>
    <t xml:space="preserve">Total Ex-US Epacadostat Revenue ($mn) </t>
  </si>
  <si>
    <t xml:space="preserve">Total WW Epacadostat Revenue ($mn) </t>
  </si>
  <si>
    <t xml:space="preserve">Prevalence </t>
  </si>
  <si>
    <t xml:space="preserve">Incidence </t>
  </si>
  <si>
    <t xml:space="preserve">% Growth </t>
  </si>
  <si>
    <t xml:space="preserve">Deaths </t>
  </si>
  <si>
    <t>% of Prevalence</t>
  </si>
  <si>
    <t>End of the Year Patients</t>
  </si>
  <si>
    <t>Patients with Regional Disease (~Stage III)</t>
  </si>
  <si>
    <t xml:space="preserve">% of Patients </t>
  </si>
  <si>
    <t>Patients with Distant Disease (Stage IV)</t>
  </si>
  <si>
    <t xml:space="preserve">% Adv/Metastatic Melanoma Patients </t>
  </si>
  <si>
    <t xml:space="preserve"># Patients on PD1/PDL1 </t>
  </si>
  <si>
    <t xml:space="preserve">% PD1/PDL1 Penentration </t>
  </si>
  <si>
    <t xml:space="preserve"># of Patients on Epacadostat </t>
  </si>
  <si>
    <t xml:space="preserve">% Epacadostat Penetration </t>
  </si>
  <si>
    <t xml:space="preserve">Average Duration </t>
  </si>
  <si>
    <t>TRx</t>
  </si>
  <si>
    <t xml:space="preserve">$ Cost/Month </t>
  </si>
  <si>
    <t>% Price Increase</t>
  </si>
  <si>
    <t>Epacadostat Melanoma Revenue ($mn)</t>
  </si>
  <si>
    <t>% growth</t>
  </si>
  <si>
    <t xml:space="preserve">Lung &amp; Bronchus Cancer Prevalence </t>
  </si>
  <si>
    <t xml:space="preserve">Lung &amp; Bronchus Cancer Incidence </t>
  </si>
  <si>
    <t>End of the Year Lung &amp; Bronchus Patients</t>
  </si>
  <si>
    <t>Patients with NSCLC Incidence</t>
  </si>
  <si>
    <t xml:space="preserve">% of Lung Cancer </t>
  </si>
  <si>
    <t xml:space="preserve">RCC </t>
  </si>
  <si>
    <t xml:space="preserve">Kidney Cancer Prevalence </t>
  </si>
  <si>
    <t xml:space="preserve">Kidney Cancer Incidence </t>
  </si>
  <si>
    <t>End of the Year Kidney Cancer Patients</t>
  </si>
  <si>
    <t>Patients with RCC Incidence</t>
  </si>
  <si>
    <t>% of Kidney Cancer</t>
  </si>
  <si>
    <t>Epacadostat RCC Revenue ($mn)</t>
  </si>
  <si>
    <t>Epacadostat in Melanoma Cost Assumptions</t>
  </si>
  <si>
    <t>Epacadostat in NSCLC Cost Assumptions</t>
  </si>
  <si>
    <t>Epacadostat in Other Tumors Cost Assumptions</t>
  </si>
  <si>
    <t>Epacadostat</t>
  </si>
  <si>
    <t>ROW</t>
  </si>
  <si>
    <t>Allogenic HSCT's</t>
  </si>
  <si>
    <t>Steroid Refractory GVHD</t>
  </si>
  <si>
    <t>Penetration</t>
  </si>
  <si>
    <t>INCB39110 WW GVHD Revenue</t>
  </si>
  <si>
    <t>GVHD Incidence</t>
  </si>
  <si>
    <t>Pricing Assumptions</t>
  </si>
  <si>
    <t>Ex-US Jakavi Royalties Valuation Implied Discount Rate</t>
  </si>
  <si>
    <t>Baricitinib RA Royalties Valuation Implied Discount Rate</t>
  </si>
  <si>
    <t>Baricitinib AD Royalties Valuation Implied Discount Rate</t>
  </si>
  <si>
    <t>Epacadostat - Melanoma Valuation Implied Discount Rate</t>
  </si>
  <si>
    <t>Epacadostat - Melanoma</t>
  </si>
  <si>
    <t>Epacadostat - NSCLC Valuation Implied Discount Rate</t>
  </si>
  <si>
    <t>Epacadostat - RCC Valuation Implied Discount Rate</t>
  </si>
  <si>
    <t>Epacadostat - Other Tumors Valuation Implied Discount Rate</t>
  </si>
  <si>
    <t>Jakafi/Jakavi</t>
  </si>
  <si>
    <t>INCB39110</t>
  </si>
  <si>
    <t>INCB50465 (PI3K) B-Cell Malignancies</t>
  </si>
  <si>
    <t>CLL</t>
  </si>
  <si>
    <t>CLL 1st Line</t>
  </si>
  <si>
    <t>CLL 2nd Line Patients</t>
  </si>
  <si>
    <t>CLL 3rd Line Patients</t>
  </si>
  <si>
    <t>Rituxan Relapsers</t>
  </si>
  <si>
    <t>INCB050465/INCB039110  Cost/Patient/Month</t>
  </si>
  <si>
    <t>INCB050465/INCB039110 Cost/Patient</t>
  </si>
  <si>
    <t>Zydelig Revnues ($)</t>
  </si>
  <si>
    <t>US CLL Revenues ($'s)</t>
  </si>
  <si>
    <t>Follicular B-Cell Lymphoma</t>
  </si>
  <si>
    <t>Follicular B-Cell Chemo Candidates</t>
  </si>
  <si>
    <t>US Follicular B-Cell Revenues ($s)</t>
  </si>
  <si>
    <t>Small Cell Lymphoma Chemo Candidates</t>
  </si>
  <si>
    <t>US Small Cell Revenues ($s)</t>
  </si>
  <si>
    <t>Hodgkins Lymphoma</t>
  </si>
  <si>
    <t>Hodgkin Lymphoma Patients</t>
  </si>
  <si>
    <t>Front-line Failures (No remission or relapse to ABVD)</t>
  </si>
  <si>
    <t>US Hodgkins Revenues ($s)</t>
  </si>
  <si>
    <t>US Aggregate Revenues ($s)</t>
  </si>
  <si>
    <t>EU5</t>
  </si>
  <si>
    <t>Total Ex US Revenues</t>
  </si>
  <si>
    <t>Global Revenues</t>
  </si>
  <si>
    <t>RA Royalties to Incyte ($mn)</t>
  </si>
  <si>
    <t>INCB50465</t>
  </si>
  <si>
    <t>INCB50465 (PI3K) B-Cell Malignancies Cost Assumptions</t>
  </si>
  <si>
    <t>Other, net</t>
  </si>
  <si>
    <t>Cash, Cash Equivalents YE 2016</t>
  </si>
  <si>
    <t>Early Pipeline / Platform Technology</t>
  </si>
  <si>
    <t>Platform Tech</t>
  </si>
  <si>
    <t>Product</t>
  </si>
  <si>
    <t>Peak Revenues 
($ mn)</t>
  </si>
  <si>
    <t>Phase of Development</t>
  </si>
  <si>
    <t>Risk-Adjusted NPV ($ mn)</t>
  </si>
  <si>
    <t>Expected Launch</t>
  </si>
  <si>
    <t>SOP Implied Discount Rate</t>
  </si>
  <si>
    <t>Net Current Value/Share</t>
  </si>
  <si>
    <t>Launched</t>
  </si>
  <si>
    <t>III</t>
  </si>
  <si>
    <t>II</t>
  </si>
  <si>
    <t>Risk-Adjusted Asset Value</t>
  </si>
  <si>
    <t>Residual Cash*</t>
  </si>
  <si>
    <t>Share Count (mn)</t>
  </si>
  <si>
    <t>TOTAL EQUITY VALUE - NO RISK ADJUSTMENT (2016E)</t>
  </si>
  <si>
    <t>Clinical/Regulatory Risk Adjustment</t>
  </si>
  <si>
    <t>* Residual Cash = Non-Depleted Cash Until Profitability</t>
  </si>
  <si>
    <t>Jakafi - Myelofibrosis</t>
  </si>
  <si>
    <t>Jakafi - Polycythemia Vera</t>
  </si>
  <si>
    <t>Jakavi - Royalties</t>
  </si>
  <si>
    <t>Baricitinib - AD Royalties</t>
  </si>
  <si>
    <t>Epacadostat - RCC</t>
  </si>
  <si>
    <t>Epacadostat - Other Tumors</t>
  </si>
  <si>
    <t>I / II / Pre-Clin</t>
  </si>
  <si>
    <t>I / II</t>
  </si>
  <si>
    <t>Incyte Corporation Valuation</t>
  </si>
  <si>
    <t>I /II</t>
  </si>
  <si>
    <t>NPV to INCY
($ mn)</t>
  </si>
  <si>
    <t>Early Clinical &amp; Pre-Clin Assets &amp; Drug Discovery</t>
  </si>
  <si>
    <r>
      <t>JAK1 / PI3K</t>
    </r>
    <r>
      <rPr>
        <sz val="11"/>
        <color indexed="8"/>
        <rFont val="Calibri"/>
        <family val="2"/>
      </rPr>
      <t>δ</t>
    </r>
  </si>
  <si>
    <t>Early Clin / Pre-Clin / Discovery</t>
  </si>
  <si>
    <t>Epacadostat US Sales</t>
  </si>
  <si>
    <t>Epacadostat Ex-US Sales</t>
  </si>
  <si>
    <t>Total Epacadostat Sales</t>
  </si>
  <si>
    <t>Long Term Investment</t>
  </si>
  <si>
    <t>New Patients to Biologic/Targeted Therapies</t>
  </si>
  <si>
    <t>Treasury Method Conversion Proceeds</t>
  </si>
  <si>
    <t>N</t>
  </si>
  <si>
    <t>Baricitinib Other Indications Royalties (from Lilly)</t>
  </si>
  <si>
    <t>Baricitinib - Other Indication Royalties</t>
  </si>
  <si>
    <t>INCB50465 (PI3Kδ) - B-Cell Lymph</t>
  </si>
  <si>
    <t>Epacadostat (IDO1)</t>
  </si>
  <si>
    <t>Cash</t>
  </si>
  <si>
    <t>Total Incyte Valuation</t>
  </si>
  <si>
    <t>Incyte Corporation Income Statement</t>
  </si>
  <si>
    <t>Incyte Corporation Balance Sheet</t>
  </si>
  <si>
    <t>Incyte Corporation Cash Flow Statement</t>
  </si>
  <si>
    <t>Myelofibrosis (MF)</t>
  </si>
  <si>
    <t>Polycythemia Vera (PV)</t>
  </si>
  <si>
    <t>Filgotinib</t>
  </si>
  <si>
    <t>ABT494</t>
  </si>
  <si>
    <t>Branded Anti-TNF Inhibitors</t>
  </si>
  <si>
    <t>Biosimilar Anti-TNF Agents</t>
  </si>
  <si>
    <t>US Bari AD Revenue</t>
  </si>
  <si>
    <t>EU Bari AD Revenue</t>
  </si>
  <si>
    <t>WW Bari AD Revenue</t>
  </si>
  <si>
    <t>Royalties to Incyte on Bari in AD</t>
  </si>
  <si>
    <t>Iclusig Ex-US Net Sales</t>
  </si>
  <si>
    <t>4Q16</t>
  </si>
  <si>
    <t>1Q16A</t>
  </si>
  <si>
    <t>Total Iclusig Revenue (Ex-US)</t>
  </si>
  <si>
    <t>EU Iclusig Revenues</t>
  </si>
  <si>
    <t>EU Iclusig Valuation Implied Discount Rate</t>
  </si>
  <si>
    <t>Iclusig COGS</t>
  </si>
  <si>
    <t>Iclusig SG&amp;A</t>
  </si>
  <si>
    <t>Iclusig R&amp;D</t>
  </si>
  <si>
    <t>EU Iclusig Cost Assumptions</t>
  </si>
  <si>
    <t>Iclusig Net Sales (Europe)</t>
  </si>
  <si>
    <t>Iclusig Net Revenues (INCY)</t>
  </si>
  <si>
    <t>YoY Growth (%)</t>
  </si>
  <si>
    <t>Iclusig - EU Revenues</t>
  </si>
  <si>
    <t>Acquisitions, Net</t>
  </si>
  <si>
    <t>Iclusig</t>
  </si>
  <si>
    <t>2Q16A</t>
  </si>
  <si>
    <t>JAK in Graft vs Host Disease</t>
  </si>
  <si>
    <t>JAK in GVHD Cost Assumptions</t>
  </si>
  <si>
    <t>JAK Valuation Implied Discount Rate</t>
  </si>
  <si>
    <t>JAK Inhibition - GVHD</t>
  </si>
  <si>
    <t>GVHD INCY JAK-Treated Patients</t>
  </si>
  <si>
    <t>INCY-JAK Penetration (%)</t>
  </si>
  <si>
    <t xml:space="preserve"># of Adv Mel Patients Addressable with IO </t>
  </si>
  <si>
    <t>3Q16A</t>
  </si>
  <si>
    <t>HNSCC</t>
  </si>
  <si>
    <t>Bladder</t>
  </si>
  <si>
    <t>Head &amp; Neck - Squamous Cell Carcinoma</t>
  </si>
  <si>
    <t>Head &amp; Neck Cancer Incidence</t>
  </si>
  <si>
    <t>Epacadostat HNSCC Revenue ($mn)</t>
  </si>
  <si>
    <t>Bladder Cancer</t>
  </si>
  <si>
    <t>Bladder Cancer Incidence</t>
  </si>
  <si>
    <t>Epacadostat Bladder Revenue ($mn)</t>
  </si>
  <si>
    <t>Patients with Regional/Distant Disease</t>
  </si>
  <si>
    <t>Epacadostat in HNSCC</t>
  </si>
  <si>
    <t>Epacadostat in Bladder Cancer</t>
  </si>
  <si>
    <t>Epacadostat - HNSCC Valuation Implied Discount Rate</t>
  </si>
  <si>
    <t>Epacadostat in HNSCC Cost Assumptions</t>
  </si>
  <si>
    <t>Epacadostat - Bladder Valuation Implied Discount Rate</t>
  </si>
  <si>
    <t>Epacadostat in Bladder Cost Assumptions</t>
  </si>
  <si>
    <t>Epacadostat - HNSCC</t>
  </si>
  <si>
    <t>Epacadostat - Bladder</t>
  </si>
  <si>
    <t>Patients with Regional Disease</t>
  </si>
  <si>
    <t>Patients with Distant Disease</t>
  </si>
  <si>
    <t>Recurrence Rate for Regional Disease</t>
  </si>
  <si>
    <t>Recurrence Rate for Distant Disease</t>
  </si>
  <si>
    <t># of Patients Addressable with Epacadostat</t>
  </si>
  <si>
    <t>Patients with Localized Disease</t>
  </si>
  <si>
    <t>Total Liabilities + Equity</t>
  </si>
  <si>
    <t>JAK</t>
  </si>
  <si>
    <t>Anti-TNF</t>
  </si>
  <si>
    <t>Other Biologic/Targeted</t>
  </si>
  <si>
    <t>JAK % Share</t>
  </si>
  <si>
    <t>Anti-TNF % Share</t>
  </si>
  <si>
    <t>Other Bio/Target % Share</t>
  </si>
  <si>
    <t>Patients</t>
  </si>
  <si>
    <t xml:space="preserve">Total HSCT </t>
  </si>
  <si>
    <t>4Q16A</t>
  </si>
  <si>
    <t xml:space="preserve">Payment of contingent consideration
</t>
  </si>
  <si>
    <t># of Patients PD-L1 High Expressors</t>
  </si>
  <si>
    <t># of Patients PD-L1 Low Expressors</t>
  </si>
  <si>
    <t xml:space="preserve"># of High PD-L1 Expressors on Epacadostat </t>
  </si>
  <si>
    <t xml:space="preserve"># of Low PD-L1 Expressors on Epacadostat </t>
  </si>
  <si>
    <t>Total Epacadostat Patients</t>
  </si>
  <si>
    <t>Epacadostat NSCLC Revenue ($mn) - High Expressor</t>
  </si>
  <si>
    <t>Epacadostat NSCLC Revenue ($mn) - Low Expressor</t>
  </si>
  <si>
    <t>Epacadostat NSCLC Revenue ($mn) - Total</t>
  </si>
  <si>
    <t>Epacadostat in NSCLC - High PD-L1</t>
  </si>
  <si>
    <t>Epacadostat in NSCLC - Low PD-L1</t>
  </si>
  <si>
    <t>High Expressor</t>
  </si>
  <si>
    <t>Low Expressor</t>
  </si>
  <si>
    <t>Epacadostat - NSCLC High PD-L1</t>
  </si>
  <si>
    <t>Epacadostat - NSCLC Low PD-L1</t>
  </si>
  <si>
    <t>bari launch goes well</t>
  </si>
  <si>
    <t>Competing products have safety issues</t>
  </si>
  <si>
    <t>Another pipeline asset</t>
  </si>
  <si>
    <t>Partnership with Roche/Astra + tumor type</t>
  </si>
  <si>
    <t>US Baricitinib RA Royalties (from Lilly)</t>
  </si>
  <si>
    <t>EU Baricitinib RA Royalties (from Lilly)</t>
  </si>
  <si>
    <t>Baricitinib - US RA Royalties</t>
  </si>
  <si>
    <t>Baricitinib - EU RA Royalties</t>
  </si>
  <si>
    <t>Approved</t>
  </si>
  <si>
    <t>US RA Royalties</t>
  </si>
  <si>
    <t>EU RA Royalties</t>
  </si>
  <si>
    <t>EU Bari Penetration (%)</t>
  </si>
  <si>
    <t>EU Bari Revenues ($)</t>
  </si>
  <si>
    <t>US Baritinib Revenues ($)</t>
  </si>
  <si>
    <t>1Q17A</t>
  </si>
  <si>
    <t>$103</t>
  </si>
  <si>
    <t>$84</t>
  </si>
  <si>
    <t>2Q17A</t>
  </si>
  <si>
    <t>2471950</t>
  </si>
  <si>
    <t>3Q17A</t>
  </si>
  <si>
    <t>1Q18E</t>
  </si>
  <si>
    <t>2Q18E</t>
  </si>
  <si>
    <t>3Q18E</t>
  </si>
  <si>
    <t>4Q18E</t>
  </si>
  <si>
    <t>4Q17A</t>
  </si>
  <si>
    <t>Total Risk-Adjusted Equity Value (2018E)</t>
  </si>
  <si>
    <t>Base Business (Jakafi, Iclusig, Olumiant)</t>
  </si>
  <si>
    <t>Residual Cash</t>
  </si>
  <si>
    <t>Pipeline (GVHD, PI3Kδ, Drug Discovery)</t>
  </si>
  <si>
    <t>76</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</si>
  <si>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</si>
  <si>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</si>
  <si>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</si>
  <si>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</si>
  <si>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</si>
  <si>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</si>
  <si>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</si>
  <si>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</si>
  <si>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Thomas Smith, Matthew Harrison</t>
  </si>
  <si>
    <t>Date: 13 Apr 2018</t>
  </si>
  <si>
    <t>Ticker: INCY.O</t>
  </si>
  <si>
    <t>Stock Rating: Overweight</t>
  </si>
  <si>
    <t>Industry: Biotechnology</t>
  </si>
  <si>
    <t>Industry View: In-Line</t>
  </si>
  <si>
    <t>Price as of 13 Apr 2018: 69.83</t>
  </si>
  <si>
    <t>Target Price: 76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</si>
  <si>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</si>
  <si>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</si>
  <si>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</si>
  <si>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</si>
  <si>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Incyte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</si>
  <si>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</si>
  <si>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</si>
  <si>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</si>
  <si>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</si>
  <si>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</si>
  <si>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</si>
  <si>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</si>
  <si>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</si>
  <si>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</si>
  <si>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</si>
  <si>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</si>
  <si>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</si>
  <si>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</si>
  <si>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</si>
  <si>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</si>
  <si>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</si>
  <si>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</si>
  <si>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</si>
  <si>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</si>
  <si>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</si>
  <si>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</si>
  <si>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</si>
  <si>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</si>
  <si>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</si>
  <si>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</si>
  <si>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</si>
  <si>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</si>
  <si>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</si>
  <si>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</si>
  <si>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</si>
  <si>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</si>
  <si>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</si>
  <si>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</si>
  <si>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</si>
  <si>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</si>
  <si>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</si>
  <si>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</si>
  <si>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</si>
  <si>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</si>
  <si>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</si>
  <si>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</si>
  <si>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</si>
  <si>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</si>
  <si>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</si>
  <si>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</si>
  <si>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</si>
  <si>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</si>
  <si>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</si>
  <si>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</si>
  <si>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</si>
  <si>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</si>
  <si>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</si>
  <si>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</si>
  <si>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</si>
  <si>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</si>
  <si>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</si>
  <si>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</si>
  <si>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</si>
  <si>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</si>
  <si>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</si>
  <si>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</si>
  <si>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</si>
  <si>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</si>
  <si>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</si>
  <si>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</si>
  <si>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</si>
  <si>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</si>
  <si>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</si>
  <si>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</si>
  <si>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</si>
  <si>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</si>
  <si>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</si>
  <si>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</si>
  <si>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</si>
  <si>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</si>
  <si>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</si>
  <si>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</si>
  <si>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</si>
  <si>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</si>
  <si>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</si>
  <si>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</si>
  <si>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</si>
  <si>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</si>
  <si>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</si>
  <si>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</si>
  <si>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</si>
  <si>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</si>
  <si>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</si>
  <si>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</si>
  <si>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</si>
  <si>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</si>
  <si>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</si>
  <si>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</si>
  <si>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</si>
  <si>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</si>
  <si>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</si>
  <si>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</si>
  <si>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</si>
  <si>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</si>
  <si>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</si>
  <si>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</si>
  <si>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</si>
  <si>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</si>
  <si>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</si>
  <si>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</si>
  <si>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</si>
  <si>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</si>
  <si>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</si>
  <si>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</si>
  <si>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</si>
  <si>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</si>
  <si>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</si>
  <si>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</si>
  <si>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</si>
  <si>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</si>
  <si>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</si>
  <si>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</si>
  <si>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</si>
  <si>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</si>
  <si>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</si>
  <si>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</si>
  <si>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</si>
  <si>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</si>
  <si>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</si>
  <si>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</si>
  <si>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</si>
  <si>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</si>
  <si>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</si>
  <si>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</si>
  <si>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</si>
  <si>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</si>
  <si>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</si>
  <si>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</si>
  <si>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</si>
  <si>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</si>
  <si>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</si>
  <si>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</si>
  <si>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</si>
  <si>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</si>
  <si>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</si>
  <si>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</si>
  <si>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</si>
  <si>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</si>
  <si>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</si>
  <si>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</si>
  <si>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</si>
  <si>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</si>
  <si>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</si>
  <si>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</si>
  <si>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</si>
  <si>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</si>
  <si>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</si>
  <si>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</si>
  <si>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</si>
  <si>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</si>
  <si>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</si>
  <si>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</si>
  <si>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</si>
  <si>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</si>
  <si>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</si>
  <si>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</si>
  <si>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</si>
  <si>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</si>
  <si>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</si>
  <si>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</si>
  <si>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</si>
  <si>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</si>
  <si>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</si>
  <si>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</si>
  <si>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</si>
  <si>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</si>
  <si>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</si>
  <si>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</si>
  <si>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</si>
  <si>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</si>
  <si>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</si>
  <si>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</si>
  <si>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</si>
  <si>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</si>
  <si>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</si>
  <si>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</si>
  <si>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</si>
  <si>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</si>
  <si>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</si>
  <si>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</si>
  <si>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</si>
  <si>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</si>
  <si>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</si>
  <si>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</si>
  <si>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</si>
  <si>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</si>
  <si>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</si>
  <si>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</si>
  <si>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</si>
  <si>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</si>
  <si>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</si>
  <si>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</si>
  <si>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</si>
  <si>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</si>
  <si>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</si>
  <si>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</si>
  <si>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</si>
  <si>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</si>
  <si>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</si>
  <si>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</si>
  <si>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</si>
  <si>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</si>
  <si>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</si>
  <si>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</si>
  <si>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</si>
  <si>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</si>
  <si>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</si>
  <si>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</si>
  <si>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</si>
  <si>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</si>
  <si>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</si>
  <si>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</si>
  <si>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</si>
  <si>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</si>
  <si>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</si>
  <si>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</si>
  <si>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</si>
  <si>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</si>
  <si>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</si>
  <si>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</si>
  <si>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</si>
  <si>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</si>
  <si>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</si>
  <si>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</si>
  <si>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</si>
  <si>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</si>
  <si>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</si>
  <si>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</si>
  <si>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</si>
  <si>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</si>
  <si>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</si>
  <si>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</si>
  <si>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</si>
  <si>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</si>
  <si>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</si>
  <si>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</si>
  <si>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</si>
  <si>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Incyte Corp.</t>
  </si>
  <si>
    <t>In the next 3 months, Morgan Stanley expects to receive or intends to seek compensation for investment</t>
  </si>
  <si>
    <t>banking services from Incyte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</si>
  <si>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</si>
  <si>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</si>
  <si>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</si>
  <si>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</si>
  <si>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</si>
  <si>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Thomas J Smith.</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</si>
  <si>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</si>
  <si>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</si>
  <si>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</si>
  <si>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</si>
  <si>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</si>
  <si>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</si>
  <si>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</si>
  <si>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</si>
  <si>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</si>
  <si>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</si>
  <si>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</si>
  <si>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</si>
  <si>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</si>
  <si>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</si>
  <si>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</si>
  <si>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</si>
  <si>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</si>
  <si>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</si>
  <si>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</si>
  <si>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</si>
  <si>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</si>
  <si>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</si>
  <si>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</si>
  <si>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</si>
  <si>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</si>
  <si>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</si>
  <si>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</si>
  <si>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</si>
  <si>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</si>
  <si>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</si>
  <si>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</si>
  <si>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</si>
  <si>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</si>
  <si>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</si>
  <si>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</si>
  <si>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</si>
  <si>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</si>
  <si>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</si>
  <si>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</si>
  <si>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</si>
  <si>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</si>
  <si>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</si>
  <si>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</si>
  <si>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</si>
  <si>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</si>
  <si>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</si>
  <si>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</si>
  <si>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</si>
  <si>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</si>
  <si>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</si>
  <si>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</si>
  <si>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</si>
  <si>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</si>
  <si>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</si>
  <si>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</si>
  <si>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</si>
  <si>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</si>
  <si>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</si>
  <si>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</si>
  <si>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</si>
  <si>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</si>
  <si>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</si>
  <si>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</si>
  <si>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</si>
  <si>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</si>
  <si>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</si>
  <si>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</si>
  <si>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</si>
  <si>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</si>
  <si>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</si>
  <si>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smithtj</t>
  </si>
  <si>
    <t>Incyte Corp</t>
  </si>
  <si>
    <t>MSA45LMK, MSA72HLP</t>
  </si>
  <si>
    <t>45337C102</t>
  </si>
  <si>
    <t>L:\HEALTH\Biotech\Berens\Working Models\INCY_AB - 1Q18 preview.xlsm</t>
  </si>
  <si>
    <t>[BRO MSA]</t>
  </si>
  <si>
    <t>[PRODUCT MODEL]</t>
  </si>
  <si>
    <t>[EMAIL_ALERT YES]</t>
  </si>
  <si>
    <t>[DISCIPLINE Company]</t>
  </si>
  <si>
    <t>[SUPPRESSED NO]</t>
  </si>
  <si>
    <t>[DOCDAT 2018-04-13]</t>
  </si>
  <si>
    <t>[DOCTIME 14:52]</t>
  </si>
  <si>
    <t>[PSYM INCY.O(S&amp;P) (None)]</t>
  </si>
  <si>
    <t>[COU 1]</t>
  </si>
  <si>
    <t>[ANA MSA72HLP]</t>
  </si>
  <si>
    <t>[HL INCY.O Model]</t>
  </si>
  <si>
    <t>[IND BIOTEC]</t>
  </si>
  <si>
    <t>[PANA MSA45LMK]</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</si>
</sst>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_);\(#,##0.0\)"/>
    <numFmt numFmtId="166" formatCode="0.0%"/>
    <numFmt numFmtId="167" formatCode="_(* #,##0.0_);_(* \(#,##0.0\);_(* &quot;-&quot;??_);_(@_)"/>
    <numFmt numFmtId="168" formatCode="0%_);\(0%\)"/>
    <numFmt numFmtId="169" formatCode="0.0%_);\(0.0%\)"/>
    <numFmt numFmtId="170" formatCode="#,##0.0_);[Red]\(#,##0.0\)"/>
    <numFmt numFmtId="171" formatCode="0.00%_);\(0.00%\)"/>
    <numFmt numFmtId="172" formatCode="0.000"/>
    <numFmt numFmtId="173" formatCode="&quot;$&quot;#,##0"/>
    <numFmt numFmtId="174" formatCode="&quot;$&quot;#,##0.00"/>
    <numFmt numFmtId="175" formatCode="#,##0.0"/>
    <numFmt numFmtId="176" formatCode="0_);[Red]\(0\)"/>
    <numFmt numFmtId="177" formatCode="0.0"/>
    <numFmt numFmtId="178" formatCode="_(&quot;$&quot;* #,##0_);_(&quot;$&quot;* \(#,##0\);_(&quot;$&quot;* &quot;-&quot;??_);_(@_)"/>
    <numFmt numFmtId="179" formatCode="0.00_);\(0.00\)"/>
    <numFmt numFmtId="180" formatCode="0_);\(0\)"/>
    <numFmt numFmtId="181" formatCode="_(* #,##0.0000_);_(* \(#,##0.0000\);_(* &quot;-&quot;??_);_(@_)"/>
    <numFmt numFmtId="183" formatCode="0&quot;A&quot;;[Red]\(0\)"/>
    <numFmt numFmtId="184" formatCode="0&quot;E&quot;;[Red]\(0\)"/>
    <numFmt numFmtId="185" formatCode="#,##0.000"/>
    <numFmt numFmtId="186" formatCode="0.000_);\(0.000\)"/>
    <numFmt numFmtId="187" formatCode="0.00_);[Red]\(0.00\)"/>
    <numFmt numFmtId="188" formatCode="&quot;$&quot;#,##0.0"/>
    <numFmt numFmtId="189" formatCode="_(* #,##0_);_(* \(#,##0\);_(* &quot;-&quot;??_);_(@_)"/>
    <numFmt numFmtId="191" formatCode="#,##0.000_);\(#,##0.000\)"/>
    <numFmt numFmtId="193" formatCode="0.0000%"/>
    <numFmt numFmtId="194" formatCode="0000&quot;E&quot;"/>
    <numFmt numFmtId="195" formatCode="#,##0.0000_);\(#,##0.0000\)"/>
    <numFmt numFmtId="197" formatCode="&quot;$&quot;#,##0.000_);\(&quot;$&quot;#,##0.000\)"/>
    <numFmt numFmtId="198" formatCode="0.0000_);\(0.0000\)"/>
    <numFmt numFmtId="199" formatCode="0.00000_);\(0.00000\)"/>
    <numFmt numFmtId="200" formatCode="0.0000"/>
    <numFmt numFmtId="201" formatCode="&quot;$&quot;#,##0.0_);\(&quot;$&quot;#,##0.0\)"/>
    <numFmt numFmtId="202" formatCode="0.0_);\(0.0\)"/>
    <numFmt numFmtId="203" formatCode="&quot;$&quot;#,##0.000"/>
    <numFmt numFmtId="209" formatCode="0_)"/>
    <numFmt numFmtId="210" formatCode="General_)"/>
    <numFmt numFmtId="211" formatCode="0.00_)"/>
    <numFmt numFmtId="212" formatCode="&quot;$&quot;#,##0.00000_);\(&quot;$&quot;#,##0.00000\)"/>
    <numFmt numFmtId="220" formatCode="mm/dd/yy\ hh:mm"/>
  </numFmts>
  <fonts count="13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MS Sans Serif"/>
      <family val="2"/>
    </font>
    <font>
      <b/>
      <sz val="10"/>
      <name val="Arial"/>
      <family val="2"/>
    </font>
    <font>
      <sz val="9"/>
      <name val="Arial"/>
      <family val="2"/>
    </font>
    <font>
      <sz val="8"/>
      <name val="Arial"/>
      <family val="2"/>
    </font>
    <font>
      <sz val="9"/>
      <name val="Times New Roman"/>
      <family val="1"/>
    </font>
    <font>
      <b/>
      <sz val="8"/>
      <color indexed="81"/>
      <name val="Tahoma"/>
      <family val="2"/>
    </font>
    <font>
      <sz val="8"/>
      <color indexed="81"/>
      <name val="Tahoma"/>
      <family val="2"/>
    </font>
    <font>
      <i/>
      <sz val="10"/>
      <name val="Arial"/>
      <family val="2"/>
    </font>
    <font>
      <i/>
      <sz val="10"/>
      <color indexed="12"/>
      <name val="Arial"/>
      <family val="2"/>
    </font>
    <font>
      <sz val="10"/>
      <name val="Arial"/>
      <family val="2"/>
    </font>
    <font>
      <b/>
      <sz val="9"/>
      <name val="Arial"/>
      <family val="2"/>
    </font>
    <font>
      <i/>
      <sz val="9"/>
      <name val="Arial"/>
      <family val="2"/>
    </font>
    <font>
      <sz val="9"/>
      <color indexed="12"/>
      <name val="Arial"/>
      <family val="2"/>
    </font>
    <font>
      <b/>
      <sz val="9"/>
      <color indexed="12"/>
      <name val="Arial"/>
      <family val="2"/>
    </font>
    <font>
      <b/>
      <i/>
      <sz val="9"/>
      <name val="Arial"/>
      <family val="2"/>
    </font>
    <font>
      <b/>
      <sz val="9"/>
      <color indexed="56"/>
      <name val="Arial"/>
      <family val="2"/>
    </font>
    <font>
      <sz val="9"/>
      <color indexed="56"/>
      <name val="Arial"/>
      <family val="2"/>
    </font>
    <font>
      <b/>
      <sz val="9"/>
      <color indexed="61"/>
      <name val="Arial"/>
      <family val="2"/>
    </font>
    <font>
      <i/>
      <sz val="9"/>
      <color indexed="12"/>
      <name val="Arial"/>
      <family val="2"/>
    </font>
    <font>
      <b/>
      <sz val="9"/>
      <color indexed="17"/>
      <name val="Arial"/>
      <family val="2"/>
    </font>
    <font>
      <i/>
      <sz val="9"/>
      <color indexed="10"/>
      <name val="Arial"/>
      <family val="2"/>
    </font>
    <font>
      <i/>
      <sz val="9"/>
      <color indexed="48"/>
      <name val="Arial"/>
      <family val="2"/>
    </font>
    <font>
      <sz val="9"/>
      <color indexed="48"/>
      <name val="Arial"/>
      <family val="2"/>
    </font>
    <font>
      <b/>
      <sz val="9"/>
      <color indexed="50"/>
      <name val="Arial"/>
      <family val="2"/>
    </font>
    <font>
      <b/>
      <sz val="10"/>
      <color indexed="8"/>
      <name val="Times New Roman"/>
      <family val="1"/>
    </font>
    <font>
      <sz val="10"/>
      <color indexed="8"/>
      <name val="Times New Roman"/>
      <family val="1"/>
    </font>
    <font>
      <i/>
      <sz val="8"/>
      <name val="Times New Roman"/>
      <family val="1"/>
    </font>
    <font>
      <i/>
      <sz val="8"/>
      <name val="Arial"/>
      <family val="2"/>
    </font>
    <font>
      <sz val="10"/>
      <color indexed="9"/>
      <name val="Arial"/>
      <family val="2"/>
    </font>
    <font>
      <sz val="10"/>
      <color indexed="12"/>
      <name val="Arial"/>
      <family val="2"/>
    </font>
    <font>
      <sz val="9"/>
      <color indexed="22"/>
      <name val="Arial"/>
      <family val="2"/>
    </font>
    <font>
      <sz val="8.5"/>
      <name val="Times New Roman"/>
      <family val="1"/>
    </font>
    <font>
      <sz val="11"/>
      <name val="Arial"/>
      <family val="2"/>
    </font>
    <font>
      <b/>
      <sz val="11"/>
      <name val="Arial"/>
      <family val="2"/>
    </font>
    <font>
      <sz val="8"/>
      <name val="Arial Narrow"/>
      <family val="2"/>
    </font>
    <font>
      <sz val="9"/>
      <color indexed="57"/>
      <name val="Arial"/>
      <family val="2"/>
    </font>
    <font>
      <sz val="9"/>
      <color indexed="17"/>
      <name val="Arial"/>
      <family val="2"/>
    </font>
    <font>
      <sz val="9"/>
      <color indexed="18"/>
      <name val="Arial"/>
      <family val="2"/>
    </font>
    <font>
      <sz val="10"/>
      <color indexed="10"/>
      <name val="Arial"/>
      <family val="2"/>
    </font>
    <font>
      <b/>
      <i/>
      <sz val="10"/>
      <name val="Arial"/>
      <family val="2"/>
    </font>
    <font>
      <i/>
      <sz val="10"/>
      <color indexed="18"/>
      <name val="Arial"/>
      <family val="2"/>
    </font>
    <font>
      <sz val="12"/>
      <name val="Arial Narrow"/>
      <family val="2"/>
    </font>
    <font>
      <sz val="9"/>
      <color indexed="21"/>
      <name val="Arial"/>
      <family val="2"/>
    </font>
    <font>
      <b/>
      <sz val="11"/>
      <name val="Arial Narrow"/>
      <family val="2"/>
    </font>
    <font>
      <b/>
      <sz val="8"/>
      <name val="Arial"/>
      <family val="2"/>
    </font>
    <font>
      <i/>
      <sz val="10"/>
      <color indexed="9"/>
      <name val="Arial"/>
      <family val="2"/>
    </font>
    <font>
      <sz val="10"/>
      <color indexed="12"/>
      <name val="Arial"/>
      <family val="2"/>
    </font>
    <font>
      <i/>
      <sz val="10"/>
      <color indexed="10"/>
      <name val="Arial"/>
      <family val="2"/>
    </font>
    <font>
      <sz val="9"/>
      <color indexed="8"/>
      <name val="Arial"/>
      <family val="2"/>
    </font>
    <font>
      <sz val="10"/>
      <name val="Arial"/>
      <family val="2"/>
    </font>
    <font>
      <i/>
      <sz val="10"/>
      <color indexed="8"/>
      <name val="Arial"/>
      <family val="2"/>
    </font>
    <font>
      <b/>
      <sz val="9"/>
      <color indexed="8"/>
      <name val="Arial"/>
      <family val="2"/>
    </font>
    <font>
      <b/>
      <u/>
      <sz val="9"/>
      <name val="Arial"/>
      <family val="2"/>
    </font>
    <font>
      <sz val="10"/>
      <color indexed="55"/>
      <name val="Arial"/>
      <family val="2"/>
    </font>
    <font>
      <sz val="9"/>
      <color indexed="55"/>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i/>
      <sz val="10"/>
      <color indexed="8"/>
      <name val="Arial"/>
      <family val="2"/>
    </font>
    <font>
      <b/>
      <sz val="10"/>
      <color indexed="22"/>
      <name val="Arial"/>
      <family val="2"/>
    </font>
    <font>
      <sz val="8"/>
      <color indexed="55"/>
      <name val="Arial Narrow"/>
      <family val="2"/>
    </font>
    <font>
      <sz val="9"/>
      <color indexed="81"/>
      <name val="Tahoma"/>
      <family val="2"/>
    </font>
    <font>
      <b/>
      <sz val="9"/>
      <color indexed="81"/>
      <name val="Tahoma"/>
      <family val="2"/>
    </font>
    <font>
      <sz val="10"/>
      <name val="Arial"/>
      <family val="2"/>
    </font>
    <font>
      <b/>
      <i/>
      <sz val="8"/>
      <name val="Arial"/>
      <family val="2"/>
    </font>
    <font>
      <sz val="9"/>
      <color indexed="55"/>
      <name val="Arial"/>
      <family val="2"/>
    </font>
    <font>
      <sz val="8"/>
      <name val="Times New Roman"/>
      <family val="1"/>
    </font>
    <font>
      <b/>
      <i/>
      <sz val="16"/>
      <name val="Helv"/>
    </font>
    <font>
      <sz val="8.5"/>
      <name val="Arial Narrow"/>
      <family val="2"/>
    </font>
    <font>
      <sz val="10"/>
      <name val="Arial"/>
      <family val="2"/>
      <charset val="204"/>
    </font>
    <font>
      <sz val="10"/>
      <name val="Arial"/>
      <family val="2"/>
    </font>
    <font>
      <b/>
      <u/>
      <sz val="10"/>
      <name val="Arial"/>
      <family val="2"/>
    </font>
    <font>
      <b/>
      <u/>
      <sz val="11"/>
      <name val="Arial"/>
      <family val="2"/>
    </font>
    <font>
      <b/>
      <sz val="8"/>
      <name val="Arial Narrow MT"/>
      <family val="2"/>
    </font>
    <font>
      <sz val="10"/>
      <name val="Arial"/>
      <family val="2"/>
    </font>
    <font>
      <sz val="11"/>
      <color theme="1"/>
      <name val="Calibri"/>
      <family val="2"/>
      <scheme val="minor"/>
    </font>
    <font>
      <sz val="10"/>
      <color theme="0" tint="-0.499984740745262"/>
      <name val="Arial"/>
      <family val="2"/>
    </font>
    <font>
      <b/>
      <sz val="14"/>
      <color theme="1"/>
      <name val="Calibri"/>
      <family val="2"/>
      <scheme val="minor"/>
    </font>
    <font>
      <b/>
      <sz val="11"/>
      <color theme="1"/>
      <name val="Calibri"/>
      <family val="2"/>
      <scheme val="minor"/>
    </font>
    <font>
      <i/>
      <sz val="11"/>
      <color theme="1"/>
      <name val="Calibri"/>
      <family val="2"/>
      <scheme val="minor"/>
    </font>
    <font>
      <b/>
      <sz val="11"/>
      <color rgb="FF0070C0"/>
      <name val="Calibri"/>
      <family val="2"/>
      <scheme val="minor"/>
    </font>
    <font>
      <sz val="11"/>
      <color theme="0"/>
      <name val="Calibri"/>
      <family val="2"/>
      <scheme val="minor"/>
    </font>
    <font>
      <sz val="11"/>
      <name val="Calibri"/>
      <family val="2"/>
      <scheme val="minor"/>
    </font>
    <font>
      <b/>
      <i/>
      <sz val="10"/>
      <color rgb="FF0070C0"/>
      <name val="Arial"/>
      <family val="2"/>
    </font>
    <font>
      <b/>
      <u/>
      <sz val="14"/>
      <color theme="1"/>
      <name val="Calibri"/>
      <family val="2"/>
      <scheme val="minor"/>
    </font>
    <font>
      <b/>
      <sz val="11"/>
      <name val="Calibri"/>
      <family val="2"/>
      <scheme val="minor"/>
    </font>
    <font>
      <b/>
      <sz val="14"/>
      <color theme="0"/>
      <name val="Calibri"/>
      <family val="2"/>
      <scheme val="minor"/>
    </font>
    <font>
      <b/>
      <sz val="11"/>
      <color theme="0"/>
      <name val="Calibri"/>
      <family val="2"/>
      <scheme val="minor"/>
    </font>
    <font>
      <b/>
      <i/>
      <sz val="10"/>
      <color theme="1"/>
      <name val="Calibri"/>
      <family val="2"/>
      <scheme val="minor"/>
    </font>
    <font>
      <b/>
      <i/>
      <sz val="9"/>
      <color theme="1"/>
      <name val="Calibri"/>
      <family val="2"/>
      <scheme val="minor"/>
    </font>
    <font>
      <b/>
      <u/>
      <sz val="11"/>
      <color theme="1"/>
      <name val="Calibri"/>
      <family val="2"/>
      <scheme val="minor"/>
    </font>
    <font>
      <b/>
      <i/>
      <sz val="11"/>
      <color theme="1"/>
      <name val="Calibri"/>
      <family val="2"/>
      <scheme val="minor"/>
    </font>
    <font>
      <i/>
      <sz val="11"/>
      <color rgb="FF0000FF"/>
      <name val="Calibri"/>
      <family val="2"/>
      <scheme val="minor"/>
    </font>
    <font>
      <b/>
      <i/>
      <sz val="11"/>
      <name val="Calibri"/>
      <family val="2"/>
      <scheme val="minor"/>
    </font>
    <font>
      <i/>
      <sz val="11"/>
      <name val="Calibri"/>
      <family val="2"/>
      <scheme val="minor"/>
    </font>
    <font>
      <b/>
      <sz val="12"/>
      <color theme="1"/>
      <name val="Calibri"/>
      <family val="2"/>
      <scheme val="minor"/>
    </font>
    <font>
      <sz val="11"/>
      <color rgb="FFFF0000"/>
      <name val="Calibri"/>
      <family val="2"/>
      <scheme val="minor"/>
    </font>
    <font>
      <i/>
      <sz val="11"/>
      <color rgb="FFFF0000"/>
      <name val="Calibri"/>
      <family val="2"/>
      <scheme val="minor"/>
    </font>
    <font>
      <b/>
      <sz val="10"/>
      <color theme="1"/>
      <name val="Arial"/>
      <family val="2"/>
    </font>
    <font>
      <b/>
      <u/>
      <sz val="16"/>
      <color theme="1"/>
      <name val="Calibri"/>
      <family val="2"/>
      <scheme val="minor"/>
    </font>
    <font>
      <sz val="11"/>
      <color theme="1"/>
      <name val="Calibri"/>
      <family val="2"/>
    </font>
    <font>
      <b/>
      <sz val="8"/>
      <color rgb="FF0070C0"/>
      <name val="Arial"/>
      <family val="2"/>
    </font>
    <font>
      <b/>
      <sz val="9"/>
      <color rgb="FF0070C0"/>
      <name val="Arial"/>
      <family val="2"/>
    </font>
    <font>
      <b/>
      <sz val="16"/>
      <color theme="1"/>
      <name val="Calibri"/>
      <family val="2"/>
      <scheme val="minor"/>
    </font>
    <font>
      <b/>
      <i/>
      <sz val="12"/>
      <name val="Arial"/>
      <family val="2"/>
    </font>
    <font>
      <b/>
      <sz val="10"/>
      <color theme="0"/>
      <name val="Arial"/>
      <family val="2"/>
    </font>
    <font>
      <b/>
      <i/>
      <sz val="11"/>
      <name val="Arial"/>
      <family val="2"/>
    </font>
    <font>
      <b/>
      <sz val="10"/>
      <color theme="4"/>
      <name val="Arial"/>
      <family val="2"/>
    </font>
    <font>
      <b/>
      <i/>
      <sz val="9"/>
      <color theme="4"/>
      <name val="Arial"/>
      <family val="2"/>
    </font>
    <font>
      <b/>
      <sz val="11"/>
      <color theme="0"/>
      <name val="Arial"/>
      <family val="2"/>
    </font>
    <font>
      <sz val="10"/>
      <color theme="4"/>
      <name val="Arial"/>
      <family val="2"/>
    </font>
    <font>
      <sz val="9"/>
      <color theme="1"/>
      <name val="Arial"/>
      <family val="2"/>
    </font>
    <font>
      <sz val="10"/>
      <name val="Courier"/>
      <family val="3"/>
    </font>
    <font>
      <sz val="10"/>
      <color rgb="FF000000"/>
      <name val="Arial"/>
      <family val="2"/>
    </font>
    <font>
      <b/>
      <sz val="12"/>
      <color rgb="FF000080"/>
      <name val="Arial"/>
      <family val="2"/>
    </font>
  </fonts>
  <fills count="30">
    <fill>
      <patternFill patternType="none"/>
    </fill>
    <fill>
      <patternFill patternType="gray125"/>
    </fill>
    <fill>
      <patternFill patternType="solid">
        <fgColor indexed="22"/>
        <bgColor indexed="64"/>
      </patternFill>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43"/>
        <bgColor indexed="64"/>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8"/>
        <bgColor indexed="64"/>
      </patternFill>
    </fill>
    <fill>
      <patternFill patternType="solid">
        <fgColor indexed="63"/>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
      <patternFill patternType="solid">
        <fgColor theme="4" tint="0.79998168889431442"/>
        <bgColor indexed="64"/>
      </patternFill>
    </fill>
    <fill>
      <patternFill patternType="solid">
        <fgColor theme="4"/>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3"/>
        <bgColor indexed="64"/>
      </patternFill>
    </fill>
    <fill>
      <patternFill patternType="solid">
        <fgColor indexed="65"/>
        <bgColor indexed="64"/>
      </patternFill>
    </fill>
  </fills>
  <borders count="79">
    <border>
      <left/>
      <right/>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medium">
        <color indexed="64"/>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8"/>
      </bottom>
      <diagonal/>
    </border>
    <border>
      <left/>
      <right/>
      <top style="thin">
        <color indexed="64"/>
      </top>
      <bottom style="medium">
        <color indexed="64"/>
      </bottom>
      <diagonal/>
    </border>
    <border>
      <left/>
      <right/>
      <top style="thin">
        <color indexed="49"/>
      </top>
      <bottom style="double">
        <color indexed="49"/>
      </bottom>
      <diagonal/>
    </border>
    <border>
      <left/>
      <right/>
      <top style="thin">
        <color indexed="64"/>
      </top>
      <bottom style="double">
        <color indexed="64"/>
      </bottom>
      <diagonal/>
    </border>
    <border>
      <left/>
      <right/>
      <top/>
      <bottom style="dotted">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8"/>
      </bottom>
      <diagonal/>
    </border>
    <border>
      <left style="medium">
        <color indexed="64"/>
      </left>
      <right/>
      <top style="medium">
        <color indexed="64"/>
      </top>
      <bottom/>
      <diagonal/>
    </border>
    <border>
      <left style="medium">
        <color indexed="64"/>
      </left>
      <right/>
      <top/>
      <bottom/>
      <diagonal/>
    </border>
    <border>
      <left style="medium">
        <color indexed="64"/>
      </left>
      <right/>
      <top style="thin">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style="double">
        <color indexed="64"/>
      </top>
      <bottom style="thin">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top style="double">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2">
    <xf numFmtId="0" fontId="0" fillId="0" borderId="0"/>
    <xf numFmtId="0" fontId="9" fillId="11" borderId="0" applyNumberFormat="0" applyFont="0" applyBorder="0" applyAlignment="0" applyProtection="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5" fillId="3" borderId="0" applyNumberFormat="0" applyBorder="0" applyAlignment="0" applyProtection="0"/>
    <xf numFmtId="0" fontId="65" fillId="4" borderId="0" applyNumberFormat="0" applyBorder="0" applyAlignment="0" applyProtection="0"/>
    <xf numFmtId="0" fontId="65" fillId="5" borderId="0" applyNumberFormat="0" applyBorder="0" applyAlignment="0" applyProtection="0"/>
    <xf numFmtId="0" fontId="65" fillId="3" borderId="0" applyNumberFormat="0" applyBorder="0" applyAlignment="0" applyProtection="0"/>
    <xf numFmtId="0" fontId="65" fillId="6" borderId="0" applyNumberFormat="0" applyBorder="0" applyAlignment="0" applyProtection="0"/>
    <xf numFmtId="0" fontId="65" fillId="5" borderId="0" applyNumberFormat="0" applyBorder="0" applyAlignment="0" applyProtection="0"/>
    <xf numFmtId="0" fontId="65" fillId="7" borderId="0" applyNumberFormat="0" applyBorder="0" applyAlignment="0" applyProtection="0"/>
    <xf numFmtId="0" fontId="65" fillId="4" borderId="0" applyNumberFormat="0" applyBorder="0" applyAlignment="0" applyProtection="0"/>
    <xf numFmtId="0" fontId="65" fillId="5" borderId="0" applyNumberFormat="0" applyBorder="0" applyAlignment="0" applyProtection="0"/>
    <xf numFmtId="0" fontId="65" fillId="7" borderId="0" applyNumberFormat="0" applyBorder="0" applyAlignment="0" applyProtection="0"/>
    <xf numFmtId="0" fontId="65" fillId="8" borderId="0" applyNumberFormat="0" applyBorder="0" applyAlignment="0" applyProtection="0"/>
    <xf numFmtId="0" fontId="65" fillId="5" borderId="0" applyNumberFormat="0" applyBorder="0" applyAlignment="0" applyProtection="0"/>
    <xf numFmtId="0" fontId="66" fillId="9" borderId="0" applyNumberFormat="0" applyBorder="0" applyAlignment="0" applyProtection="0"/>
    <xf numFmtId="0" fontId="66" fillId="4" borderId="0" applyNumberFormat="0" applyBorder="0" applyAlignment="0" applyProtection="0"/>
    <xf numFmtId="0" fontId="66" fillId="10" borderId="0" applyNumberFormat="0" applyBorder="0" applyAlignment="0" applyProtection="0"/>
    <xf numFmtId="0" fontId="66" fillId="7" borderId="0" applyNumberFormat="0" applyBorder="0" applyAlignment="0" applyProtection="0"/>
    <xf numFmtId="0" fontId="66" fillId="9" borderId="0" applyNumberFormat="0" applyBorder="0" applyAlignment="0" applyProtection="0"/>
    <xf numFmtId="0" fontId="66" fillId="5" borderId="0" applyNumberFormat="0" applyBorder="0" applyAlignment="0" applyProtection="0"/>
    <xf numFmtId="0" fontId="66" fillId="9" borderId="0" applyNumberFormat="0" applyBorder="0" applyAlignment="0" applyProtection="0"/>
    <xf numFmtId="0" fontId="66" fillId="4" borderId="0" applyNumberFormat="0" applyBorder="0" applyAlignment="0" applyProtection="0"/>
    <xf numFmtId="0" fontId="66" fillId="10" borderId="0" applyNumberFormat="0" applyBorder="0" applyAlignment="0" applyProtection="0"/>
    <xf numFmtId="0" fontId="66" fillId="12" borderId="0" applyNumberFormat="0" applyBorder="0" applyAlignment="0" applyProtection="0"/>
    <xf numFmtId="0" fontId="66" fillId="9" borderId="0" applyNumberFormat="0" applyBorder="0" applyAlignment="0" applyProtection="0"/>
    <xf numFmtId="0" fontId="66" fillId="4" borderId="0" applyNumberFormat="0" applyBorder="0" applyAlignment="0" applyProtection="0"/>
    <xf numFmtId="0" fontId="19" fillId="0" borderId="0"/>
    <xf numFmtId="0" fontId="67" fillId="13" borderId="0" applyNumberFormat="0" applyBorder="0" applyAlignment="0" applyProtection="0"/>
    <xf numFmtId="0" fontId="34" fillId="0" borderId="0"/>
    <xf numFmtId="0" fontId="68" fillId="14" borderId="6" applyNumberFormat="0" applyAlignment="0" applyProtection="0"/>
    <xf numFmtId="0" fontId="69" fillId="15" borderId="7" applyNumberFormat="0" applyAlignment="0" applyProtection="0"/>
    <xf numFmtId="43" fontId="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99" fillId="0" borderId="0" applyFont="0" applyFill="0" applyBorder="0" applyAlignment="0" applyProtection="0"/>
    <xf numFmtId="43" fontId="99" fillId="0" borderId="0" applyFont="0" applyFill="0" applyBorder="0" applyAlignment="0" applyProtection="0"/>
    <xf numFmtId="43" fontId="99" fillId="0" borderId="0" applyFont="0" applyFill="0" applyBorder="0" applyAlignment="0" applyProtection="0"/>
    <xf numFmtId="44" fontId="9" fillId="0" borderId="0" applyFont="0" applyFill="0" applyBorder="0" applyAlignment="0" applyProtection="0"/>
    <xf numFmtId="44" fontId="87" fillId="0" borderId="0" applyFont="0" applyFill="0" applyBorder="0" applyAlignment="0" applyProtection="0"/>
    <xf numFmtId="44" fontId="99" fillId="0" borderId="0" applyFont="0" applyFill="0" applyBorder="0" applyAlignment="0" applyProtection="0"/>
    <xf numFmtId="6" fontId="9" fillId="0" borderId="0" applyFont="0" applyFill="0" applyBorder="0" applyAlignment="0" applyProtection="0"/>
    <xf numFmtId="0" fontId="70" fillId="0" borderId="0" applyNumberFormat="0" applyFill="0" applyBorder="0" applyAlignment="0" applyProtection="0"/>
    <xf numFmtId="0" fontId="71" fillId="16" borderId="0" applyNumberFormat="0" applyBorder="0" applyAlignment="0" applyProtection="0"/>
    <xf numFmtId="0" fontId="72" fillId="0" borderId="13" applyNumberFormat="0" applyFill="0" applyAlignment="0" applyProtection="0"/>
    <xf numFmtId="0" fontId="73" fillId="0" borderId="14" applyNumberFormat="0" applyFill="0" applyAlignment="0" applyProtection="0"/>
    <xf numFmtId="0" fontId="74" fillId="0" borderId="15" applyNumberFormat="0" applyFill="0" applyAlignment="0" applyProtection="0"/>
    <xf numFmtId="0" fontId="74" fillId="0" borderId="0" applyNumberFormat="0" applyFill="0" applyBorder="0" applyAlignment="0" applyProtection="0"/>
    <xf numFmtId="0" fontId="75" fillId="5" borderId="6" applyNumberFormat="0" applyAlignment="0" applyProtection="0"/>
    <xf numFmtId="0" fontId="76" fillId="0" borderId="17" applyNumberFormat="0" applyFill="0" applyAlignment="0" applyProtection="0"/>
    <xf numFmtId="0" fontId="77" fillId="5" borderId="0" applyNumberFormat="0" applyBorder="0" applyAlignment="0" applyProtection="0"/>
    <xf numFmtId="211" fontId="91" fillId="0" borderId="0"/>
    <xf numFmtId="0" fontId="99" fillId="0" borderId="0"/>
    <xf numFmtId="0" fontId="99" fillId="0" borderId="0"/>
    <xf numFmtId="0" fontId="93" fillId="0" borderId="0"/>
    <xf numFmtId="0" fontId="19" fillId="0" borderId="0"/>
    <xf numFmtId="0" fontId="10" fillId="0" borderId="0"/>
    <xf numFmtId="0" fontId="99" fillId="0" borderId="0"/>
    <xf numFmtId="0" fontId="19" fillId="0" borderId="0">
      <alignment vertical="center"/>
    </xf>
    <xf numFmtId="0" fontId="9" fillId="0" borderId="0"/>
    <xf numFmtId="38" fontId="9" fillId="0" borderId="0" applyFont="0" applyFill="0" applyBorder="0" applyAlignment="0" applyProtection="0"/>
    <xf numFmtId="0" fontId="41" fillId="0" borderId="0"/>
    <xf numFmtId="38" fontId="9" fillId="0" borderId="0" applyFont="0" applyFill="0" applyBorder="0" applyAlignment="0" applyProtection="0"/>
    <xf numFmtId="0" fontId="9" fillId="0" borderId="0"/>
    <xf numFmtId="0" fontId="9" fillId="0" borderId="0"/>
    <xf numFmtId="38" fontId="9" fillId="0" borderId="0" applyFont="0" applyFill="0" applyBorder="0" applyAlignment="0" applyProtection="0"/>
    <xf numFmtId="0" fontId="9" fillId="0" borderId="0"/>
    <xf numFmtId="38" fontId="9" fillId="0" borderId="0" applyFont="0" applyFill="0" applyBorder="0" applyAlignment="0" applyProtection="0"/>
    <xf numFmtId="0" fontId="9" fillId="5" borderId="18" applyNumberFormat="0" applyFont="0" applyAlignment="0" applyProtection="0"/>
    <xf numFmtId="0" fontId="78" fillId="14" borderId="19" applyNumberFormat="0" applyAlignment="0" applyProtection="0"/>
    <xf numFmtId="0" fontId="14" fillId="0" borderId="0">
      <alignment vertical="center"/>
    </xf>
    <xf numFmtId="9" fontId="9" fillId="0" borderId="0" applyFont="0" applyFill="0" applyBorder="0" applyAlignment="0" applyProtection="0"/>
    <xf numFmtId="9" fontId="19" fillId="0" borderId="0" applyFont="0" applyFill="0" applyBorder="0" applyAlignment="0" applyProtection="0"/>
    <xf numFmtId="9" fontId="99" fillId="0" borderId="0" applyFont="0" applyFill="0" applyBorder="0" applyAlignment="0" applyProtection="0"/>
    <xf numFmtId="9" fontId="99" fillId="0" borderId="0" applyFont="0" applyFill="0" applyBorder="0" applyAlignment="0" applyProtection="0"/>
    <xf numFmtId="9" fontId="9" fillId="0" borderId="0" applyFont="0" applyFill="0" applyBorder="0" applyAlignment="0" applyProtection="0"/>
    <xf numFmtId="168" fontId="9" fillId="0" borderId="0" applyFont="0" applyFill="0" applyBorder="0" applyAlignment="0" applyProtection="0"/>
    <xf numFmtId="0" fontId="19" fillId="11" borderId="0" applyNumberFormat="0" applyFont="0" applyBorder="0" applyAlignment="0" applyProtection="0"/>
    <xf numFmtId="0" fontId="35" fillId="0" borderId="0"/>
    <xf numFmtId="0" fontId="35" fillId="0" borderId="22">
      <alignment horizontal="centerContinuous"/>
    </xf>
    <xf numFmtId="0" fontId="36" fillId="0" borderId="22"/>
    <xf numFmtId="0" fontId="79" fillId="0" borderId="0" applyNumberFormat="0" applyFill="0" applyBorder="0" applyAlignment="0" applyProtection="0"/>
    <xf numFmtId="0" fontId="80" fillId="0" borderId="24" applyNumberFormat="0" applyFill="0" applyAlignment="0" applyProtection="0"/>
    <xf numFmtId="0" fontId="81" fillId="0" borderId="0" applyNumberFormat="0" applyFill="0" applyBorder="0" applyAlignment="0" applyProtection="0"/>
    <xf numFmtId="0" fontId="9" fillId="0" borderId="0"/>
    <xf numFmtId="0" fontId="136" fillId="0" borderId="0"/>
  </cellStyleXfs>
  <cellXfs count="1588">
    <xf numFmtId="0" fontId="0" fillId="0" borderId="0" xfId="0"/>
    <xf numFmtId="0" fontId="9" fillId="0" borderId="0" xfId="90"/>
    <xf numFmtId="0" fontId="11" fillId="0" borderId="0" xfId="0" applyFont="1"/>
    <xf numFmtId="0" fontId="12" fillId="17" borderId="0" xfId="72" applyFont="1" applyFill="1" applyBorder="1"/>
    <xf numFmtId="169" fontId="12" fillId="17" borderId="0" xfId="82" applyNumberFormat="1" applyFont="1" applyFill="1" applyBorder="1"/>
    <xf numFmtId="38" fontId="12" fillId="17" borderId="0" xfId="69" applyNumberFormat="1" applyFont="1" applyFill="1" applyBorder="1" applyAlignment="1">
      <alignment horizontal="left" wrapText="1" indent="1"/>
    </xf>
    <xf numFmtId="38" fontId="12" fillId="17" borderId="0" xfId="69" applyNumberFormat="1" applyFont="1" applyFill="1" applyBorder="1" applyAlignment="1">
      <alignment horizontal="left"/>
    </xf>
    <xf numFmtId="0" fontId="20" fillId="17" borderId="0" xfId="69" applyFont="1" applyFill="1" applyBorder="1" applyAlignment="1">
      <alignment horizontal="left" wrapText="1"/>
    </xf>
    <xf numFmtId="0" fontId="12" fillId="17" borderId="0" xfId="0" applyFont="1" applyFill="1" applyBorder="1"/>
    <xf numFmtId="0" fontId="21" fillId="17" borderId="0" xfId="72" quotePrefix="1" applyFont="1" applyFill="1"/>
    <xf numFmtId="0" fontId="12" fillId="17" borderId="0" xfId="72" applyFont="1" applyFill="1" applyAlignment="1">
      <alignment wrapText="1"/>
    </xf>
    <xf numFmtId="0" fontId="20" fillId="17" borderId="0" xfId="72" applyFont="1" applyFill="1" applyBorder="1"/>
    <xf numFmtId="0" fontId="12" fillId="17" borderId="0" xfId="72" applyFont="1" applyFill="1" applyAlignment="1">
      <alignment horizontal="left" wrapText="1" indent="1"/>
    </xf>
    <xf numFmtId="0" fontId="20" fillId="17" borderId="0" xfId="72" applyFont="1" applyFill="1" applyBorder="1" applyAlignment="1">
      <alignment wrapText="1"/>
    </xf>
    <xf numFmtId="0" fontId="12" fillId="17" borderId="0" xfId="72" applyFont="1" applyFill="1" applyAlignment="1">
      <alignment horizontal="left" wrapText="1"/>
    </xf>
    <xf numFmtId="166" fontId="12" fillId="17" borderId="0" xfId="0" applyNumberFormat="1" applyFont="1" applyFill="1" applyBorder="1"/>
    <xf numFmtId="0" fontId="21" fillId="17" borderId="0" xfId="72" applyFont="1" applyFill="1" applyAlignment="1">
      <alignment horizontal="right" wrapText="1"/>
    </xf>
    <xf numFmtId="0" fontId="21" fillId="17" borderId="0" xfId="72" applyFont="1" applyFill="1"/>
    <xf numFmtId="43" fontId="12" fillId="17" borderId="0" xfId="38" applyNumberFormat="1" applyFont="1" applyFill="1"/>
    <xf numFmtId="176" fontId="20" fillId="17" borderId="0" xfId="72" applyNumberFormat="1" applyFont="1" applyFill="1" applyBorder="1" applyAlignment="1">
      <alignment horizontal="left" wrapText="1"/>
    </xf>
    <xf numFmtId="176" fontId="20" fillId="17" borderId="0" xfId="72" applyNumberFormat="1" applyFont="1" applyFill="1" applyBorder="1" applyAlignment="1">
      <alignment horizontal="center"/>
    </xf>
    <xf numFmtId="0" fontId="12" fillId="17" borderId="0" xfId="65" applyFont="1" applyFill="1" applyBorder="1"/>
    <xf numFmtId="0" fontId="12" fillId="17" borderId="0" xfId="70" applyFont="1" applyFill="1" applyBorder="1"/>
    <xf numFmtId="38" fontId="24" fillId="17" borderId="0" xfId="71" applyFont="1" applyFill="1" applyBorder="1"/>
    <xf numFmtId="38" fontId="12" fillId="17" borderId="0" xfId="71" applyFont="1" applyFill="1" applyBorder="1"/>
    <xf numFmtId="38" fontId="12" fillId="17" borderId="0" xfId="71" applyFont="1" applyFill="1" applyBorder="1" applyAlignment="1">
      <alignment horizontal="center"/>
    </xf>
    <xf numFmtId="38" fontId="20" fillId="17" borderId="0" xfId="71" applyFont="1" applyFill="1" applyBorder="1" applyAlignment="1">
      <alignment horizontal="center"/>
    </xf>
    <xf numFmtId="38" fontId="20" fillId="17" borderId="0" xfId="71" applyFont="1" applyFill="1" applyBorder="1" applyAlignment="1">
      <alignment horizontal="centerContinuous"/>
    </xf>
    <xf numFmtId="38" fontId="20" fillId="17" borderId="0" xfId="71" applyFont="1" applyFill="1" applyBorder="1" applyAlignment="1">
      <alignment horizontal="left" wrapText="1"/>
    </xf>
    <xf numFmtId="164" fontId="12" fillId="17" borderId="0" xfId="71" applyNumberFormat="1" applyFont="1" applyFill="1" applyBorder="1" applyAlignment="1">
      <alignment horizontal="center"/>
    </xf>
    <xf numFmtId="166" fontId="12" fillId="17" borderId="0" xfId="82" applyNumberFormat="1" applyFont="1" applyFill="1" applyBorder="1" applyAlignment="1">
      <alignment horizontal="center"/>
    </xf>
    <xf numFmtId="37" fontId="12" fillId="17" borderId="0" xfId="71" applyNumberFormat="1" applyFont="1" applyFill="1" applyBorder="1" applyAlignment="1">
      <alignment horizontal="center"/>
    </xf>
    <xf numFmtId="9" fontId="25" fillId="17" borderId="0" xfId="71" applyNumberFormat="1" applyFont="1" applyFill="1" applyBorder="1" applyAlignment="1" applyProtection="1">
      <alignment horizontal="center"/>
    </xf>
    <xf numFmtId="37" fontId="20" fillId="17" borderId="0" xfId="71" applyNumberFormat="1" applyFont="1" applyFill="1" applyBorder="1" applyAlignment="1">
      <alignment horizontal="center"/>
    </xf>
    <xf numFmtId="9" fontId="26" fillId="17" borderId="0" xfId="71" applyNumberFormat="1" applyFont="1" applyFill="1" applyBorder="1" applyAlignment="1" applyProtection="1">
      <alignment horizontal="center"/>
    </xf>
    <xf numFmtId="166" fontId="20" fillId="17" borderId="0" xfId="82" applyNumberFormat="1" applyFont="1" applyFill="1" applyBorder="1" applyAlignment="1">
      <alignment horizontal="center"/>
    </xf>
    <xf numFmtId="38" fontId="20" fillId="17" borderId="0" xfId="71" applyFont="1" applyFill="1" applyBorder="1"/>
    <xf numFmtId="169" fontId="21" fillId="17" borderId="0" xfId="82" applyNumberFormat="1" applyFont="1" applyFill="1" applyBorder="1" applyAlignment="1">
      <alignment horizontal="center"/>
    </xf>
    <xf numFmtId="169" fontId="21" fillId="17" borderId="0" xfId="71" applyNumberFormat="1" applyFont="1" applyFill="1" applyBorder="1" applyAlignment="1">
      <alignment horizontal="center"/>
    </xf>
    <xf numFmtId="37" fontId="22" fillId="17" borderId="0" xfId="71" applyNumberFormat="1" applyFont="1" applyFill="1" applyBorder="1" applyAlignment="1">
      <alignment horizontal="center"/>
    </xf>
    <xf numFmtId="9" fontId="23" fillId="17" borderId="0" xfId="71" applyNumberFormat="1" applyFont="1" applyFill="1" applyBorder="1" applyAlignment="1" applyProtection="1">
      <alignment horizontal="center"/>
    </xf>
    <xf numFmtId="38" fontId="22" fillId="17" borderId="0" xfId="71" applyFont="1" applyFill="1" applyBorder="1"/>
    <xf numFmtId="38" fontId="23" fillId="17" borderId="0" xfId="71" applyFont="1" applyFill="1" applyBorder="1" applyAlignment="1">
      <alignment horizontal="center"/>
    </xf>
    <xf numFmtId="166" fontId="12" fillId="17" borderId="0" xfId="77" applyNumberFormat="1" applyFont="1" applyFill="1" applyBorder="1" applyAlignment="1">
      <alignment horizontal="center"/>
    </xf>
    <xf numFmtId="5" fontId="20" fillId="17" borderId="0" xfId="71" applyNumberFormat="1" applyFont="1" applyFill="1" applyBorder="1" applyAlignment="1">
      <alignment horizontal="center"/>
    </xf>
    <xf numFmtId="7" fontId="20" fillId="17" borderId="0" xfId="71" applyNumberFormat="1" applyFont="1" applyFill="1" applyBorder="1" applyAlignment="1">
      <alignment horizontal="center"/>
    </xf>
    <xf numFmtId="38" fontId="27" fillId="17" borderId="0" xfId="71" applyFont="1" applyFill="1" applyBorder="1"/>
    <xf numFmtId="37" fontId="27" fillId="17" borderId="0" xfId="71" applyNumberFormat="1" applyFont="1" applyFill="1" applyBorder="1" applyAlignment="1">
      <alignment horizontal="center"/>
    </xf>
    <xf numFmtId="9" fontId="27" fillId="17" borderId="0" xfId="71" applyNumberFormat="1" applyFont="1" applyFill="1" applyBorder="1" applyAlignment="1" applyProtection="1">
      <alignment horizontal="center"/>
    </xf>
    <xf numFmtId="38" fontId="12" fillId="17" borderId="0" xfId="71" applyNumberFormat="1" applyFont="1" applyFill="1" applyBorder="1"/>
    <xf numFmtId="38" fontId="12" fillId="17" borderId="0" xfId="71" applyNumberFormat="1" applyFont="1" applyFill="1" applyBorder="1" applyAlignment="1">
      <alignment horizontal="center"/>
    </xf>
    <xf numFmtId="38" fontId="20" fillId="17" borderId="0" xfId="71" applyNumberFormat="1" applyFont="1" applyFill="1" applyBorder="1" applyAlignment="1">
      <alignment horizontal="center"/>
    </xf>
    <xf numFmtId="38" fontId="12" fillId="17" borderId="0" xfId="0" applyNumberFormat="1" applyFont="1" applyFill="1" applyBorder="1"/>
    <xf numFmtId="168" fontId="20" fillId="17" borderId="0" xfId="82" applyFont="1" applyFill="1" applyBorder="1" applyAlignment="1">
      <alignment horizontal="center"/>
    </xf>
    <xf numFmtId="9" fontId="12" fillId="17" borderId="0" xfId="77" applyFont="1" applyFill="1" applyBorder="1" applyAlignment="1">
      <alignment horizontal="center"/>
    </xf>
    <xf numFmtId="166" fontId="21" fillId="17" borderId="0" xfId="71" applyNumberFormat="1" applyFont="1" applyFill="1" applyBorder="1"/>
    <xf numFmtId="38" fontId="11" fillId="17" borderId="0" xfId="66" applyFont="1" applyFill="1" applyBorder="1" applyAlignment="1">
      <alignment horizontal="left"/>
    </xf>
    <xf numFmtId="170" fontId="21" fillId="17" borderId="0" xfId="71" applyNumberFormat="1" applyFont="1" applyFill="1" applyBorder="1"/>
    <xf numFmtId="180" fontId="12" fillId="17" borderId="0" xfId="71" applyNumberFormat="1" applyFont="1" applyFill="1" applyBorder="1" applyAlignment="1">
      <alignment horizontal="center"/>
    </xf>
    <xf numFmtId="176" fontId="12" fillId="17" borderId="0" xfId="72" applyNumberFormat="1" applyFont="1" applyFill="1" applyAlignment="1">
      <alignment horizontal="left" wrapText="1" indent="1"/>
    </xf>
    <xf numFmtId="38" fontId="19" fillId="17" borderId="0" xfId="66" applyFont="1" applyFill="1" applyBorder="1" applyAlignment="1">
      <alignment horizontal="left"/>
    </xf>
    <xf numFmtId="176" fontId="12" fillId="17" borderId="0" xfId="72" applyNumberFormat="1" applyFont="1" applyFill="1" applyAlignment="1">
      <alignment wrapText="1"/>
    </xf>
    <xf numFmtId="176" fontId="20" fillId="17" borderId="0" xfId="72" applyNumberFormat="1" applyFont="1" applyFill="1" applyAlignment="1">
      <alignment wrapText="1"/>
    </xf>
    <xf numFmtId="176" fontId="20" fillId="17" borderId="0" xfId="72" applyNumberFormat="1" applyFont="1" applyFill="1" applyBorder="1" applyAlignment="1">
      <alignment wrapText="1"/>
    </xf>
    <xf numFmtId="176" fontId="12" fillId="17" borderId="0" xfId="72" applyNumberFormat="1" applyFont="1" applyFill="1" applyBorder="1" applyAlignment="1">
      <alignment wrapText="1"/>
    </xf>
    <xf numFmtId="38" fontId="21" fillId="17" borderId="0" xfId="73" applyFont="1" applyFill="1" applyBorder="1" applyAlignment="1">
      <alignment horizontal="left" wrapText="1"/>
    </xf>
    <xf numFmtId="38" fontId="20" fillId="17" borderId="0" xfId="69" applyNumberFormat="1" applyFont="1" applyFill="1" applyBorder="1" applyAlignment="1">
      <alignment horizontal="left" wrapText="1"/>
    </xf>
    <xf numFmtId="38" fontId="21" fillId="17" borderId="0" xfId="71" quotePrefix="1" applyFont="1" applyFill="1" applyBorder="1" applyAlignment="1">
      <alignment horizontal="left"/>
    </xf>
    <xf numFmtId="0" fontId="12" fillId="17" borderId="0" xfId="0" applyFont="1" applyFill="1" applyBorder="1" applyAlignment="1">
      <alignment horizontal="left" wrapText="1"/>
    </xf>
    <xf numFmtId="38" fontId="21" fillId="17" borderId="0" xfId="71" applyFont="1" applyFill="1" applyBorder="1" applyAlignment="1">
      <alignment horizontal="left" wrapText="1"/>
    </xf>
    <xf numFmtId="38" fontId="12" fillId="17" borderId="0" xfId="71" applyFont="1" applyFill="1" applyBorder="1" applyAlignment="1">
      <alignment horizontal="left" wrapText="1"/>
    </xf>
    <xf numFmtId="165" fontId="12" fillId="17" borderId="0" xfId="71" applyNumberFormat="1" applyFont="1" applyFill="1" applyBorder="1" applyAlignment="1">
      <alignment horizontal="left"/>
    </xf>
    <xf numFmtId="169" fontId="21" fillId="17" borderId="0" xfId="82" applyNumberFormat="1" applyFont="1" applyFill="1" applyBorder="1" applyAlignment="1">
      <alignment horizontal="left"/>
    </xf>
    <xf numFmtId="38" fontId="20" fillId="17" borderId="0" xfId="71" applyFont="1" applyFill="1" applyBorder="1" applyAlignment="1">
      <alignment horizontal="left"/>
    </xf>
    <xf numFmtId="38" fontId="21" fillId="17" borderId="0" xfId="71" applyFont="1" applyFill="1" applyBorder="1" applyAlignment="1">
      <alignment horizontal="left"/>
    </xf>
    <xf numFmtId="0" fontId="12" fillId="17" borderId="0" xfId="0" applyFont="1" applyFill="1" applyBorder="1" applyAlignment="1">
      <alignment horizontal="left"/>
    </xf>
    <xf numFmtId="181" fontId="12" fillId="17" borderId="0" xfId="72" applyNumberFormat="1" applyFont="1" applyFill="1" applyBorder="1"/>
    <xf numFmtId="43" fontId="12" fillId="17" borderId="0" xfId="72" applyNumberFormat="1" applyFont="1" applyFill="1" applyBorder="1"/>
    <xf numFmtId="166" fontId="12" fillId="17" borderId="0" xfId="0" applyNumberFormat="1" applyFont="1" applyFill="1" applyAlignment="1">
      <alignment horizontal="center"/>
    </xf>
    <xf numFmtId="2" fontId="12" fillId="17" borderId="0" xfId="72" applyNumberFormat="1" applyFont="1" applyFill="1" applyBorder="1"/>
    <xf numFmtId="49" fontId="0" fillId="0" borderId="0" xfId="0" applyNumberFormat="1"/>
    <xf numFmtId="0" fontId="19" fillId="0" borderId="0" xfId="0" applyFont="1" applyFill="1" applyBorder="1"/>
    <xf numFmtId="0" fontId="11" fillId="0" borderId="0" xfId="0" applyFont="1" applyFill="1" applyBorder="1"/>
    <xf numFmtId="178" fontId="12" fillId="17" borderId="0" xfId="44" applyNumberFormat="1" applyFont="1" applyFill="1" applyBorder="1"/>
    <xf numFmtId="180" fontId="12" fillId="17" borderId="1" xfId="71" applyNumberFormat="1" applyFont="1" applyFill="1" applyBorder="1" applyAlignment="1">
      <alignment horizontal="center"/>
    </xf>
    <xf numFmtId="180" fontId="12" fillId="17" borderId="4" xfId="71" applyNumberFormat="1" applyFont="1" applyFill="1" applyBorder="1" applyAlignment="1">
      <alignment horizontal="center"/>
    </xf>
    <xf numFmtId="0" fontId="44" fillId="0" borderId="0" xfId="33" applyFont="1" applyFill="1"/>
    <xf numFmtId="169" fontId="12" fillId="0" borderId="0" xfId="82" applyNumberFormat="1" applyFont="1" applyFill="1" applyBorder="1"/>
    <xf numFmtId="37" fontId="12" fillId="0" borderId="0" xfId="71" applyNumberFormat="1" applyFont="1" applyFill="1" applyBorder="1" applyAlignment="1">
      <alignment horizontal="center"/>
    </xf>
    <xf numFmtId="43" fontId="12" fillId="0" borderId="0" xfId="38" applyFont="1" applyFill="1" applyBorder="1" applyAlignment="1">
      <alignment horizontal="center"/>
    </xf>
    <xf numFmtId="0" fontId="19" fillId="0" borderId="0" xfId="0" applyFont="1"/>
    <xf numFmtId="38" fontId="30" fillId="0" borderId="0" xfId="68" applyFont="1" applyFill="1" applyBorder="1" applyAlignment="1">
      <alignment horizontal="left" indent="2"/>
    </xf>
    <xf numFmtId="9" fontId="30" fillId="0" borderId="0" xfId="81" applyFont="1" applyFill="1" applyBorder="1"/>
    <xf numFmtId="0" fontId="0" fillId="0" borderId="0" xfId="0" applyFill="1"/>
    <xf numFmtId="0" fontId="12" fillId="0" borderId="0" xfId="65" applyFont="1" applyFill="1" applyBorder="1"/>
    <xf numFmtId="0" fontId="20" fillId="0" borderId="0" xfId="72" applyFont="1" applyFill="1" applyBorder="1"/>
    <xf numFmtId="0" fontId="20" fillId="0" borderId="0" xfId="65" applyFont="1" applyFill="1" applyBorder="1"/>
    <xf numFmtId="173" fontId="12" fillId="0" borderId="0" xfId="65" applyNumberFormat="1" applyFont="1" applyFill="1" applyBorder="1" applyAlignment="1">
      <alignment horizontal="right"/>
    </xf>
    <xf numFmtId="185" fontId="22" fillId="0" borderId="0" xfId="65" applyNumberFormat="1" applyFont="1" applyFill="1" applyBorder="1" applyAlignment="1">
      <alignment horizontal="right"/>
    </xf>
    <xf numFmtId="185" fontId="12" fillId="0" borderId="0" xfId="65" applyNumberFormat="1" applyFont="1" applyFill="1" applyBorder="1" applyAlignment="1">
      <alignment horizontal="right"/>
    </xf>
    <xf numFmtId="168" fontId="21" fillId="0" borderId="0" xfId="82" applyFont="1" applyFill="1" applyBorder="1" applyAlignment="1">
      <alignment horizontal="right"/>
    </xf>
    <xf numFmtId="7" fontId="22" fillId="0" borderId="0" xfId="47" applyNumberFormat="1" applyFont="1" applyFill="1" applyBorder="1" applyAlignment="1">
      <alignment horizontal="right"/>
    </xf>
    <xf numFmtId="169" fontId="31" fillId="0" borderId="0" xfId="82" applyNumberFormat="1" applyFont="1" applyFill="1" applyBorder="1" applyAlignment="1">
      <alignment horizontal="right"/>
    </xf>
    <xf numFmtId="169" fontId="21" fillId="0" borderId="0" xfId="82" applyNumberFormat="1" applyFont="1" applyFill="1" applyBorder="1" applyAlignment="1">
      <alignment horizontal="right"/>
    </xf>
    <xf numFmtId="9" fontId="12" fillId="0" borderId="0" xfId="81" applyFont="1" applyFill="1" applyBorder="1" applyAlignment="1">
      <alignment horizontal="right"/>
    </xf>
    <xf numFmtId="168" fontId="12" fillId="0" borderId="0" xfId="82" applyFont="1" applyFill="1" applyBorder="1" applyAlignment="1">
      <alignment horizontal="right"/>
    </xf>
    <xf numFmtId="6" fontId="12" fillId="0" borderId="0" xfId="47" applyFont="1" applyFill="1" applyBorder="1"/>
    <xf numFmtId="6" fontId="12" fillId="0" borderId="0" xfId="47" applyFont="1" applyFill="1" applyBorder="1" applyAlignment="1">
      <alignment horizontal="right"/>
    </xf>
    <xf numFmtId="1" fontId="12" fillId="0" borderId="0" xfId="65" applyNumberFormat="1" applyFont="1" applyFill="1" applyBorder="1"/>
    <xf numFmtId="43" fontId="12" fillId="0" borderId="0" xfId="38" applyFont="1" applyFill="1" applyBorder="1" applyAlignment="1">
      <alignment horizontal="right"/>
    </xf>
    <xf numFmtId="167" fontId="32" fillId="0" borderId="0" xfId="65" applyNumberFormat="1" applyFont="1" applyFill="1" applyBorder="1" applyAlignment="1">
      <alignment horizontal="right"/>
    </xf>
    <xf numFmtId="0" fontId="12" fillId="0" borderId="0" xfId="72" applyFont="1" applyFill="1" applyBorder="1"/>
    <xf numFmtId="43" fontId="20" fillId="0" borderId="0" xfId="38" applyFont="1" applyFill="1" applyBorder="1"/>
    <xf numFmtId="43" fontId="12" fillId="0" borderId="0" xfId="38" applyFont="1" applyFill="1" applyBorder="1"/>
    <xf numFmtId="176" fontId="12" fillId="0" borderId="0" xfId="72" applyNumberFormat="1" applyFont="1" applyFill="1" applyBorder="1" applyAlignment="1">
      <alignment horizontal="right"/>
    </xf>
    <xf numFmtId="176" fontId="12" fillId="0" borderId="0" xfId="38" applyNumberFormat="1" applyFont="1" applyFill="1" applyBorder="1"/>
    <xf numFmtId="43" fontId="12" fillId="0" borderId="1" xfId="38" applyFont="1" applyFill="1" applyBorder="1"/>
    <xf numFmtId="176" fontId="12" fillId="0" borderId="0" xfId="72" applyNumberFormat="1" applyFont="1" applyFill="1" applyBorder="1" applyAlignment="1">
      <alignment horizontal="left" wrapText="1"/>
    </xf>
    <xf numFmtId="169" fontId="21" fillId="0" borderId="0" xfId="82" applyNumberFormat="1" applyFont="1" applyFill="1" applyBorder="1"/>
    <xf numFmtId="169" fontId="45" fillId="0" borderId="0" xfId="82" applyNumberFormat="1" applyFont="1" applyFill="1" applyBorder="1"/>
    <xf numFmtId="169" fontId="12" fillId="0" borderId="4" xfId="82" applyNumberFormat="1" applyFont="1" applyFill="1" applyBorder="1"/>
    <xf numFmtId="38" fontId="31" fillId="0" borderId="0" xfId="68" applyFont="1" applyFill="1" applyBorder="1" applyAlignment="1">
      <alignment horizontal="left"/>
    </xf>
    <xf numFmtId="175" fontId="21" fillId="0" borderId="0" xfId="81" applyNumberFormat="1" applyFont="1" applyFill="1" applyBorder="1"/>
    <xf numFmtId="38" fontId="12" fillId="0" borderId="0" xfId="68" applyFont="1" applyFill="1" applyBorder="1"/>
    <xf numFmtId="168" fontId="20" fillId="0" borderId="0" xfId="82" applyFont="1" applyFill="1" applyBorder="1" applyAlignment="1">
      <alignment horizontal="center"/>
    </xf>
    <xf numFmtId="177" fontId="12" fillId="0" borderId="0" xfId="70" applyNumberFormat="1" applyFont="1" applyFill="1" applyBorder="1" applyAlignment="1">
      <alignment horizontal="right"/>
    </xf>
    <xf numFmtId="38" fontId="20" fillId="0" borderId="0" xfId="71" applyFont="1" applyFill="1" applyBorder="1"/>
    <xf numFmtId="171" fontId="12" fillId="0" borderId="0" xfId="82" applyNumberFormat="1" applyFont="1" applyFill="1" applyBorder="1"/>
    <xf numFmtId="180" fontId="12" fillId="0" borderId="0" xfId="0" applyNumberFormat="1" applyFont="1" applyFill="1" applyBorder="1" applyAlignment="1">
      <alignment horizontal="right"/>
    </xf>
    <xf numFmtId="0" fontId="12" fillId="17" borderId="0" xfId="3" applyFont="1" applyFill="1" applyBorder="1"/>
    <xf numFmtId="38" fontId="12" fillId="17" borderId="0" xfId="3" applyNumberFormat="1" applyFont="1" applyFill="1" applyBorder="1"/>
    <xf numFmtId="10" fontId="47" fillId="17" borderId="0" xfId="3" applyNumberFormat="1" applyFont="1" applyFill="1" applyBorder="1"/>
    <xf numFmtId="10" fontId="46" fillId="17" borderId="0" xfId="3" applyNumberFormat="1" applyFont="1" applyFill="1" applyBorder="1"/>
    <xf numFmtId="176" fontId="22" fillId="17" borderId="0" xfId="3" applyNumberFormat="1" applyFont="1" applyFill="1" applyBorder="1"/>
    <xf numFmtId="0" fontId="12" fillId="17" borderId="4" xfId="3" applyFont="1" applyFill="1" applyBorder="1"/>
    <xf numFmtId="170" fontId="12" fillId="17" borderId="0" xfId="3" applyNumberFormat="1" applyFont="1" applyFill="1" applyBorder="1"/>
    <xf numFmtId="0" fontId="20" fillId="17" borderId="0" xfId="3" applyFont="1" applyFill="1" applyBorder="1"/>
    <xf numFmtId="38" fontId="20" fillId="17" borderId="0" xfId="3" applyNumberFormat="1" applyFont="1" applyFill="1" applyBorder="1"/>
    <xf numFmtId="180" fontId="46" fillId="0" borderId="1" xfId="0" applyNumberFormat="1" applyFont="1" applyFill="1" applyBorder="1" applyAlignment="1">
      <alignment horizontal="right"/>
    </xf>
    <xf numFmtId="186" fontId="12" fillId="0" borderId="0" xfId="0" applyNumberFormat="1" applyFont="1" applyFill="1" applyBorder="1" applyAlignment="1">
      <alignment horizontal="right"/>
    </xf>
    <xf numFmtId="38" fontId="12" fillId="0" borderId="0" xfId="71" applyFont="1" applyFill="1" applyBorder="1" applyAlignment="1">
      <alignment horizontal="center"/>
    </xf>
    <xf numFmtId="2" fontId="12" fillId="17" borderId="0" xfId="71" applyNumberFormat="1" applyFont="1" applyFill="1" applyBorder="1" applyAlignment="1">
      <alignment horizontal="center"/>
    </xf>
    <xf numFmtId="2" fontId="20" fillId="17" borderId="0" xfId="82" applyNumberFormat="1" applyFont="1" applyFill="1" applyBorder="1" applyAlignment="1">
      <alignment horizontal="center"/>
    </xf>
    <xf numFmtId="39" fontId="22" fillId="0" borderId="0" xfId="71" applyNumberFormat="1" applyFont="1" applyFill="1" applyBorder="1" applyAlignment="1">
      <alignment horizontal="center"/>
    </xf>
    <xf numFmtId="39" fontId="12" fillId="0" borderId="0" xfId="71" applyNumberFormat="1" applyFont="1" applyFill="1" applyBorder="1" applyAlignment="1">
      <alignment horizontal="center"/>
    </xf>
    <xf numFmtId="40" fontId="20" fillId="0" borderId="0" xfId="71" applyNumberFormat="1" applyFont="1" applyFill="1" applyBorder="1"/>
    <xf numFmtId="40" fontId="12" fillId="0" borderId="0" xfId="71" applyNumberFormat="1" applyFont="1" applyFill="1" applyBorder="1"/>
    <xf numFmtId="39" fontId="22" fillId="17" borderId="0" xfId="71" applyNumberFormat="1" applyFont="1" applyFill="1" applyBorder="1" applyAlignment="1">
      <alignment horizontal="center"/>
    </xf>
    <xf numFmtId="39" fontId="46" fillId="0" borderId="0" xfId="71" applyNumberFormat="1" applyFont="1" applyFill="1" applyBorder="1" applyAlignment="1">
      <alignment horizontal="center"/>
    </xf>
    <xf numFmtId="0" fontId="20" fillId="17" borderId="0" xfId="0" applyFont="1" applyFill="1" applyBorder="1" applyAlignment="1">
      <alignment horizontal="left" wrapText="1"/>
    </xf>
    <xf numFmtId="39" fontId="23" fillId="17" borderId="0" xfId="71" applyNumberFormat="1" applyFont="1" applyFill="1" applyBorder="1" applyAlignment="1">
      <alignment horizontal="center"/>
    </xf>
    <xf numFmtId="37" fontId="23" fillId="17" borderId="0" xfId="71" applyNumberFormat="1" applyFont="1" applyFill="1" applyBorder="1" applyAlignment="1">
      <alignment horizontal="center"/>
    </xf>
    <xf numFmtId="0" fontId="20" fillId="0" borderId="0" xfId="3" applyFont="1" applyFill="1" applyBorder="1"/>
    <xf numFmtId="0" fontId="12" fillId="17" borderId="26" xfId="3" applyFont="1" applyFill="1" applyBorder="1"/>
    <xf numFmtId="38" fontId="12" fillId="17" borderId="26" xfId="3" applyNumberFormat="1" applyFont="1" applyFill="1" applyBorder="1"/>
    <xf numFmtId="38" fontId="22" fillId="17" borderId="0" xfId="3" applyNumberFormat="1" applyFont="1" applyFill="1" applyBorder="1"/>
    <xf numFmtId="38" fontId="46" fillId="17" borderId="0" xfId="3" applyNumberFormat="1" applyFont="1" applyFill="1" applyBorder="1"/>
    <xf numFmtId="170" fontId="12" fillId="17" borderId="26" xfId="3" applyNumberFormat="1" applyFont="1" applyFill="1" applyBorder="1"/>
    <xf numFmtId="179" fontId="46" fillId="0" borderId="0" xfId="0" applyNumberFormat="1" applyFont="1" applyFill="1" applyBorder="1" applyAlignment="1">
      <alignment horizontal="right"/>
    </xf>
    <xf numFmtId="2" fontId="20" fillId="17" borderId="0" xfId="3" applyNumberFormat="1" applyFont="1" applyFill="1" applyBorder="1"/>
    <xf numFmtId="2" fontId="22" fillId="17" borderId="0" xfId="71" applyNumberFormat="1" applyFont="1" applyFill="1" applyBorder="1" applyAlignment="1">
      <alignment horizontal="center"/>
    </xf>
    <xf numFmtId="2" fontId="12" fillId="0" borderId="0" xfId="70" applyNumberFormat="1" applyFont="1" applyFill="1" applyBorder="1" applyAlignment="1">
      <alignment horizontal="right"/>
    </xf>
    <xf numFmtId="166" fontId="12" fillId="0" borderId="0" xfId="82" applyNumberFormat="1" applyFont="1" applyFill="1" applyBorder="1" applyAlignment="1">
      <alignment horizontal="right"/>
    </xf>
    <xf numFmtId="38" fontId="12" fillId="0" borderId="0" xfId="70" applyNumberFormat="1" applyFont="1" applyFill="1" applyBorder="1" applyAlignment="1">
      <alignment horizontal="right"/>
    </xf>
    <xf numFmtId="2" fontId="22" fillId="0" borderId="0" xfId="70" applyNumberFormat="1" applyFont="1" applyFill="1" applyBorder="1" applyAlignment="1">
      <alignment horizontal="right"/>
    </xf>
    <xf numFmtId="43" fontId="22" fillId="0" borderId="0" xfId="38" applyFont="1" applyFill="1" applyBorder="1" applyAlignment="1">
      <alignment horizontal="center"/>
    </xf>
    <xf numFmtId="172" fontId="12" fillId="0" borderId="0" xfId="65" applyNumberFormat="1" applyFont="1" applyFill="1" applyBorder="1" applyAlignment="1">
      <alignment horizontal="right"/>
    </xf>
    <xf numFmtId="174" fontId="12" fillId="0" borderId="0" xfId="65" applyNumberFormat="1" applyFont="1" applyFill="1" applyBorder="1" applyAlignment="1">
      <alignment horizontal="right"/>
    </xf>
    <xf numFmtId="8" fontId="12" fillId="0" borderId="0" xfId="47" applyNumberFormat="1" applyFont="1" applyFill="1" applyBorder="1" applyAlignment="1">
      <alignment horizontal="right"/>
    </xf>
    <xf numFmtId="169" fontId="21" fillId="0" borderId="0" xfId="82" applyNumberFormat="1" applyFont="1" applyFill="1" applyBorder="1" applyAlignment="1">
      <alignment horizontal="center"/>
    </xf>
    <xf numFmtId="179" fontId="12" fillId="0" borderId="0" xfId="0" applyNumberFormat="1" applyFont="1" applyFill="1" applyBorder="1" applyAlignment="1">
      <alignment horizontal="right"/>
    </xf>
    <xf numFmtId="186" fontId="46" fillId="0" borderId="0" xfId="0" applyNumberFormat="1" applyFont="1" applyFill="1" applyBorder="1" applyAlignment="1">
      <alignment horizontal="right"/>
    </xf>
    <xf numFmtId="0" fontId="19" fillId="0" borderId="0" xfId="0" applyFont="1" applyAlignment="1">
      <alignment horizontal="center"/>
    </xf>
    <xf numFmtId="0" fontId="19" fillId="0" borderId="0" xfId="0" applyFont="1" applyBorder="1"/>
    <xf numFmtId="0" fontId="12" fillId="0" borderId="0" xfId="72" applyFont="1" applyFill="1" applyAlignment="1">
      <alignment horizontal="left" wrapText="1"/>
    </xf>
    <xf numFmtId="166" fontId="17" fillId="0" borderId="0" xfId="0" applyNumberFormat="1" applyFont="1" applyBorder="1" applyAlignment="1">
      <alignment horizontal="center"/>
    </xf>
    <xf numFmtId="39" fontId="23" fillId="0" borderId="0" xfId="71" applyNumberFormat="1" applyFont="1" applyFill="1" applyBorder="1" applyAlignment="1">
      <alignment horizontal="center"/>
    </xf>
    <xf numFmtId="38" fontId="12" fillId="0" borderId="0" xfId="3" applyNumberFormat="1" applyFont="1" applyFill="1" applyBorder="1"/>
    <xf numFmtId="38" fontId="12" fillId="0" borderId="26" xfId="3" applyNumberFormat="1" applyFont="1" applyFill="1" applyBorder="1"/>
    <xf numFmtId="9" fontId="18" fillId="0" borderId="0" xfId="0" applyNumberFormat="1" applyFont="1" applyFill="1" applyBorder="1" applyAlignment="1">
      <alignment horizontal="center"/>
    </xf>
    <xf numFmtId="9" fontId="17" fillId="0" borderId="1" xfId="0" applyNumberFormat="1" applyFont="1" applyFill="1" applyBorder="1" applyAlignment="1">
      <alignment horizontal="center"/>
    </xf>
    <xf numFmtId="172" fontId="22" fillId="17" borderId="0" xfId="71" applyNumberFormat="1" applyFont="1" applyFill="1" applyBorder="1" applyAlignment="1">
      <alignment horizontal="center"/>
    </xf>
    <xf numFmtId="7" fontId="0" fillId="0" borderId="0" xfId="0" applyNumberFormat="1"/>
    <xf numFmtId="38" fontId="23" fillId="17" borderId="0" xfId="3" applyNumberFormat="1" applyFont="1" applyFill="1" applyBorder="1"/>
    <xf numFmtId="2" fontId="52" fillId="0" borderId="0" xfId="71" applyNumberFormat="1" applyFont="1" applyFill="1" applyBorder="1" applyAlignment="1">
      <alignment horizontal="center"/>
    </xf>
    <xf numFmtId="9" fontId="20" fillId="17" borderId="0" xfId="71" applyNumberFormat="1" applyFont="1" applyFill="1" applyBorder="1" applyAlignment="1">
      <alignment horizontal="center"/>
    </xf>
    <xf numFmtId="166" fontId="22" fillId="17" borderId="0" xfId="71" applyNumberFormat="1" applyFont="1" applyFill="1" applyBorder="1" applyAlignment="1">
      <alignment horizontal="center"/>
    </xf>
    <xf numFmtId="0" fontId="0" fillId="0" borderId="0" xfId="0" applyAlignment="1">
      <alignment horizontal="center"/>
    </xf>
    <xf numFmtId="0" fontId="0" fillId="0" borderId="0" xfId="0" quotePrefix="1" applyAlignment="1">
      <alignment horizontal="center"/>
    </xf>
    <xf numFmtId="3" fontId="19" fillId="0" borderId="0" xfId="0" applyNumberFormat="1" applyFont="1" applyAlignment="1">
      <alignment horizontal="center"/>
    </xf>
    <xf numFmtId="6" fontId="19" fillId="0" borderId="0" xfId="0" applyNumberFormat="1" applyFont="1" applyAlignment="1">
      <alignment horizontal="center"/>
    </xf>
    <xf numFmtId="0" fontId="11" fillId="2" borderId="28" xfId="0" applyFont="1" applyFill="1" applyBorder="1"/>
    <xf numFmtId="6" fontId="11" fillId="2" borderId="2" xfId="0" applyNumberFormat="1" applyFont="1" applyFill="1" applyBorder="1" applyAlignment="1">
      <alignment horizontal="center"/>
    </xf>
    <xf numFmtId="9" fontId="19" fillId="0" borderId="0" xfId="0" applyNumberFormat="1" applyFont="1" applyAlignment="1">
      <alignment horizontal="center"/>
    </xf>
    <xf numFmtId="6" fontId="11" fillId="0" borderId="0" xfId="0" applyNumberFormat="1" applyFont="1" applyFill="1" applyBorder="1" applyAlignment="1">
      <alignment horizontal="center"/>
    </xf>
    <xf numFmtId="0" fontId="12" fillId="0" borderId="0" xfId="0" applyFont="1"/>
    <xf numFmtId="0" fontId="38" fillId="0" borderId="0" xfId="0" applyFont="1"/>
    <xf numFmtId="9" fontId="19" fillId="0" borderId="0" xfId="0" applyNumberFormat="1" applyFont="1"/>
    <xf numFmtId="43" fontId="0" fillId="0" borderId="0" xfId="0" applyNumberFormat="1"/>
    <xf numFmtId="0" fontId="0" fillId="0" borderId="0" xfId="0" applyAlignment="1">
      <alignment horizontal="right"/>
    </xf>
    <xf numFmtId="0" fontId="0" fillId="0" borderId="0" xfId="0" applyFill="1" applyBorder="1"/>
    <xf numFmtId="0" fontId="19" fillId="17" borderId="0" xfId="0" applyFont="1" applyFill="1" applyBorder="1"/>
    <xf numFmtId="0" fontId="38" fillId="17" borderId="0" xfId="0" applyFont="1" applyFill="1" applyBorder="1"/>
    <xf numFmtId="0" fontId="19" fillId="0" borderId="0" xfId="0" applyFont="1" applyFill="1"/>
    <xf numFmtId="0" fontId="17" fillId="0" borderId="0" xfId="0" applyFont="1"/>
    <xf numFmtId="193" fontId="17" fillId="0" borderId="0" xfId="0" applyNumberFormat="1" applyFont="1" applyAlignment="1">
      <alignment horizontal="center"/>
    </xf>
    <xf numFmtId="165" fontId="17" fillId="0" borderId="0" xfId="0" applyNumberFormat="1" applyFont="1" applyAlignment="1">
      <alignment horizontal="center"/>
    </xf>
    <xf numFmtId="0" fontId="55" fillId="0" borderId="0" xfId="0" applyFont="1"/>
    <xf numFmtId="9" fontId="17" fillId="0" borderId="0" xfId="0" applyNumberFormat="1" applyFont="1" applyAlignment="1">
      <alignment horizontal="center"/>
    </xf>
    <xf numFmtId="9" fontId="50" fillId="0" borderId="0" xfId="0" applyNumberFormat="1" applyFont="1" applyAlignment="1">
      <alignment horizontal="center"/>
    </xf>
    <xf numFmtId="0" fontId="49" fillId="0" borderId="0" xfId="0" applyFont="1"/>
    <xf numFmtId="1" fontId="19" fillId="0" borderId="0" xfId="0" applyNumberFormat="1" applyFont="1" applyAlignment="1">
      <alignment horizontal="center"/>
    </xf>
    <xf numFmtId="0" fontId="39" fillId="0" borderId="0" xfId="0" applyFont="1" applyAlignment="1">
      <alignment horizontal="center"/>
    </xf>
    <xf numFmtId="0" fontId="17" fillId="0" borderId="0" xfId="0" applyFont="1" applyFill="1"/>
    <xf numFmtId="193" fontId="39" fillId="0" borderId="0" xfId="0" applyNumberFormat="1" applyFont="1" applyAlignment="1">
      <alignment horizontal="center"/>
    </xf>
    <xf numFmtId="37" fontId="39" fillId="0" borderId="0" xfId="0" applyNumberFormat="1" applyFont="1" applyAlignment="1">
      <alignment horizontal="center"/>
    </xf>
    <xf numFmtId="37" fontId="19" fillId="0" borderId="0" xfId="0" applyNumberFormat="1" applyFont="1" applyAlignment="1">
      <alignment horizontal="center"/>
    </xf>
    <xf numFmtId="6" fontId="19" fillId="0" borderId="0" xfId="0" applyNumberFormat="1" applyFont="1" applyFill="1" applyAlignment="1">
      <alignment horizontal="center"/>
    </xf>
    <xf numFmtId="6" fontId="39" fillId="0" borderId="0" xfId="0" applyNumberFormat="1" applyFont="1" applyFill="1" applyAlignment="1">
      <alignment horizontal="center"/>
    </xf>
    <xf numFmtId="9" fontId="39" fillId="0" borderId="0" xfId="0" applyNumberFormat="1" applyFont="1" applyFill="1" applyAlignment="1">
      <alignment horizontal="center"/>
    </xf>
    <xf numFmtId="9" fontId="18" fillId="0" borderId="0" xfId="0" applyNumberFormat="1" applyFont="1" applyFill="1" applyAlignment="1">
      <alignment horizontal="center"/>
    </xf>
    <xf numFmtId="1" fontId="12" fillId="0" borderId="0" xfId="0" applyNumberFormat="1" applyFont="1" applyFill="1" applyBorder="1" applyAlignment="1">
      <alignment horizontal="center"/>
    </xf>
    <xf numFmtId="6" fontId="0" fillId="0" borderId="0" xfId="0" applyNumberFormat="1"/>
    <xf numFmtId="4" fontId="0" fillId="0" borderId="0" xfId="0" applyNumberFormat="1"/>
    <xf numFmtId="9" fontId="0" fillId="0" borderId="0" xfId="0" applyNumberFormat="1"/>
    <xf numFmtId="0" fontId="19" fillId="0" borderId="0" xfId="0" applyFont="1" applyAlignment="1">
      <alignment horizontal="left"/>
    </xf>
    <xf numFmtId="0" fontId="17" fillId="0" borderId="0" xfId="0" applyFont="1" applyAlignment="1">
      <alignment horizontal="left"/>
    </xf>
    <xf numFmtId="0" fontId="17" fillId="17" borderId="0" xfId="0" applyFont="1" applyFill="1" applyAlignment="1">
      <alignment horizontal="left"/>
    </xf>
    <xf numFmtId="9" fontId="57" fillId="0" borderId="0" xfId="0" applyNumberFormat="1" applyFont="1" applyAlignment="1">
      <alignment horizontal="center"/>
    </xf>
    <xf numFmtId="3" fontId="19" fillId="0" borderId="0" xfId="0" applyNumberFormat="1" applyFont="1" applyFill="1" applyAlignment="1">
      <alignment horizontal="center"/>
    </xf>
    <xf numFmtId="9" fontId="20" fillId="17" borderId="0" xfId="71" applyNumberFormat="1" applyFont="1" applyFill="1" applyBorder="1" applyAlignment="1" applyProtection="1">
      <alignment horizontal="left"/>
    </xf>
    <xf numFmtId="9" fontId="17" fillId="0" borderId="0" xfId="0" applyNumberFormat="1" applyFont="1" applyFill="1" applyAlignment="1">
      <alignment horizontal="center"/>
    </xf>
    <xf numFmtId="9" fontId="18" fillId="0" borderId="0" xfId="0" applyNumberFormat="1" applyFont="1" applyAlignment="1">
      <alignment horizontal="center"/>
    </xf>
    <xf numFmtId="169" fontId="28" fillId="0" borderId="0" xfId="82" applyNumberFormat="1" applyFont="1" applyFill="1" applyBorder="1" applyAlignment="1">
      <alignment horizontal="center"/>
    </xf>
    <xf numFmtId="4" fontId="25" fillId="17" borderId="0" xfId="71" applyNumberFormat="1" applyFont="1" applyFill="1" applyBorder="1" applyAlignment="1" applyProtection="1">
      <alignment horizontal="center"/>
    </xf>
    <xf numFmtId="4" fontId="20" fillId="17" borderId="0" xfId="71" applyNumberFormat="1" applyFont="1" applyFill="1" applyBorder="1" applyAlignment="1" applyProtection="1">
      <alignment horizontal="left"/>
    </xf>
    <xf numFmtId="4" fontId="20" fillId="17" borderId="0" xfId="71" applyNumberFormat="1" applyFont="1" applyFill="1" applyBorder="1"/>
    <xf numFmtId="4" fontId="26" fillId="17" borderId="0" xfId="71" applyNumberFormat="1" applyFont="1" applyFill="1" applyBorder="1" applyAlignment="1" applyProtection="1">
      <alignment horizontal="center"/>
    </xf>
    <xf numFmtId="4" fontId="12" fillId="17" borderId="0" xfId="71" applyNumberFormat="1" applyFont="1" applyFill="1" applyBorder="1"/>
    <xf numFmtId="39" fontId="20" fillId="0" borderId="0" xfId="71" applyNumberFormat="1" applyFont="1" applyFill="1" applyBorder="1" applyAlignment="1">
      <alignment horizontal="center"/>
    </xf>
    <xf numFmtId="4" fontId="20" fillId="0" borderId="0" xfId="71" applyNumberFormat="1" applyFont="1" applyFill="1" applyBorder="1" applyAlignment="1">
      <alignment horizontal="center"/>
    </xf>
    <xf numFmtId="0" fontId="0" fillId="0" borderId="0" xfId="0" applyBorder="1"/>
    <xf numFmtId="43" fontId="58" fillId="0" borderId="0" xfId="38" applyFont="1" applyFill="1" applyBorder="1" applyAlignment="1">
      <alignment horizontal="center"/>
    </xf>
    <xf numFmtId="0" fontId="11" fillId="17" borderId="0" xfId="0" applyFont="1" applyFill="1" applyBorder="1"/>
    <xf numFmtId="6" fontId="11" fillId="17" borderId="0" xfId="0" applyNumberFormat="1" applyFont="1" applyFill="1" applyBorder="1" applyAlignment="1">
      <alignment horizontal="center"/>
    </xf>
    <xf numFmtId="3" fontId="48" fillId="17" borderId="0" xfId="0" applyNumberFormat="1" applyFont="1" applyFill="1" applyBorder="1"/>
    <xf numFmtId="6" fontId="11" fillId="17" borderId="0" xfId="0" quotePrefix="1" applyNumberFormat="1" applyFont="1" applyFill="1" applyBorder="1" applyAlignment="1">
      <alignment horizontal="center"/>
    </xf>
    <xf numFmtId="0" fontId="19" fillId="0" borderId="1" xfId="0" applyFont="1" applyBorder="1"/>
    <xf numFmtId="193" fontId="19" fillId="0" borderId="0" xfId="0" applyNumberFormat="1" applyFont="1" applyAlignment="1">
      <alignment horizontal="center"/>
    </xf>
    <xf numFmtId="39" fontId="12" fillId="17" borderId="0" xfId="71" applyNumberFormat="1" applyFont="1" applyFill="1" applyBorder="1" applyAlignment="1">
      <alignment horizontal="center"/>
    </xf>
    <xf numFmtId="4" fontId="20" fillId="17" borderId="0" xfId="71" applyNumberFormat="1" applyFont="1" applyFill="1" applyBorder="1" applyAlignment="1" applyProtection="1">
      <alignment horizontal="center"/>
    </xf>
    <xf numFmtId="0" fontId="19" fillId="17" borderId="0" xfId="0" applyFont="1" applyFill="1"/>
    <xf numFmtId="0" fontId="38" fillId="17" borderId="0" xfId="0" applyFont="1" applyFill="1"/>
    <xf numFmtId="38" fontId="12" fillId="0" borderId="0" xfId="69" applyNumberFormat="1" applyFont="1" applyFill="1" applyBorder="1" applyAlignment="1">
      <alignment horizontal="left" wrapText="1" indent="1"/>
    </xf>
    <xf numFmtId="6" fontId="19" fillId="17" borderId="0" xfId="0" applyNumberFormat="1" applyFont="1" applyFill="1" applyBorder="1" applyAlignment="1">
      <alignment horizontal="center"/>
    </xf>
    <xf numFmtId="2" fontId="12" fillId="0" borderId="0" xfId="68" applyNumberFormat="1" applyFont="1" applyFill="1" applyBorder="1" applyAlignment="1">
      <alignment horizontal="right"/>
    </xf>
    <xf numFmtId="172" fontId="12" fillId="0" borderId="0" xfId="38" applyNumberFormat="1" applyFont="1" applyFill="1" applyBorder="1"/>
    <xf numFmtId="43" fontId="40" fillId="0" borderId="0" xfId="38" applyFont="1" applyFill="1" applyBorder="1"/>
    <xf numFmtId="10" fontId="47" fillId="0" borderId="0" xfId="3" applyNumberFormat="1" applyFont="1" applyFill="1" applyBorder="1"/>
    <xf numFmtId="9" fontId="22" fillId="0" borderId="0" xfId="3" applyNumberFormat="1" applyFont="1" applyFill="1" applyBorder="1"/>
    <xf numFmtId="0" fontId="9" fillId="0" borderId="0" xfId="0" applyFont="1"/>
    <xf numFmtId="197" fontId="20" fillId="17" borderId="0" xfId="71" applyNumberFormat="1" applyFont="1" applyFill="1" applyBorder="1" applyAlignment="1">
      <alignment horizontal="center"/>
    </xf>
    <xf numFmtId="10" fontId="25" fillId="17" borderId="0" xfId="71" applyNumberFormat="1" applyFont="1" applyFill="1" applyBorder="1" applyAlignment="1" applyProtection="1">
      <alignment horizontal="center"/>
    </xf>
    <xf numFmtId="0" fontId="0" fillId="0" borderId="10" xfId="0" applyBorder="1"/>
    <xf numFmtId="0" fontId="0" fillId="0" borderId="3" xfId="0" applyBorder="1"/>
    <xf numFmtId="38" fontId="11" fillId="0" borderId="0" xfId="66" applyFont="1" applyFill="1" applyBorder="1" applyAlignment="1">
      <alignment horizontal="left"/>
    </xf>
    <xf numFmtId="0" fontId="53" fillId="0" borderId="0" xfId="33" applyFont="1" applyFill="1"/>
    <xf numFmtId="9" fontId="12" fillId="0" borderId="0" xfId="77" applyFont="1" applyFill="1" applyBorder="1"/>
    <xf numFmtId="184" fontId="20" fillId="0" borderId="0" xfId="72" applyNumberFormat="1" applyFont="1" applyFill="1" applyBorder="1" applyAlignment="1"/>
    <xf numFmtId="43" fontId="12" fillId="0" borderId="0" xfId="38" applyNumberFormat="1" applyFont="1" applyFill="1" applyBorder="1" applyAlignment="1">
      <alignment horizontal="center"/>
    </xf>
    <xf numFmtId="181" fontId="12" fillId="0" borderId="0" xfId="72" applyNumberFormat="1" applyFont="1" applyFill="1" applyBorder="1"/>
    <xf numFmtId="43" fontId="12" fillId="0" borderId="0" xfId="38" applyNumberFormat="1" applyFont="1" applyFill="1"/>
    <xf numFmtId="176" fontId="20" fillId="0" borderId="0" xfId="72" applyNumberFormat="1" applyFont="1" applyFill="1" applyBorder="1" applyAlignment="1">
      <alignment horizontal="center"/>
    </xf>
    <xf numFmtId="184" fontId="20" fillId="0" borderId="0" xfId="72" applyNumberFormat="1" applyFont="1" applyFill="1" applyBorder="1" applyAlignment="1">
      <alignment horizontal="center"/>
    </xf>
    <xf numFmtId="0" fontId="12" fillId="0" borderId="0" xfId="70" applyFont="1" applyFill="1" applyBorder="1" applyAlignment="1">
      <alignment horizontal="center"/>
    </xf>
    <xf numFmtId="38" fontId="12" fillId="0" borderId="0" xfId="68" applyFont="1" applyFill="1" applyBorder="1" applyAlignment="1">
      <alignment horizontal="right"/>
    </xf>
    <xf numFmtId="2" fontId="20" fillId="0" borderId="0" xfId="65" applyNumberFormat="1" applyFont="1" applyFill="1" applyBorder="1" applyAlignment="1">
      <alignment horizontal="right"/>
    </xf>
    <xf numFmtId="43" fontId="0" fillId="0" borderId="0" xfId="0" applyNumberFormat="1" applyFill="1"/>
    <xf numFmtId="0" fontId="12" fillId="0" borderId="0" xfId="0" applyFont="1" applyFill="1" applyBorder="1"/>
    <xf numFmtId="2" fontId="20" fillId="0" borderId="0" xfId="82" applyNumberFormat="1" applyFont="1" applyFill="1" applyBorder="1" applyAlignment="1">
      <alignment horizontal="center"/>
    </xf>
    <xf numFmtId="166" fontId="21" fillId="17" borderId="0" xfId="71" applyNumberFormat="1" applyFont="1" applyFill="1" applyBorder="1" applyAlignment="1">
      <alignment horizontal="center"/>
    </xf>
    <xf numFmtId="43" fontId="25" fillId="17" borderId="0" xfId="38" applyFont="1" applyFill="1" applyBorder="1" applyAlignment="1" applyProtection="1">
      <alignment horizontal="center"/>
    </xf>
    <xf numFmtId="0" fontId="0" fillId="0" borderId="0" xfId="0" applyAlignment="1"/>
    <xf numFmtId="0" fontId="9" fillId="17" borderId="0" xfId="0" applyFont="1" applyFill="1" applyAlignment="1"/>
    <xf numFmtId="0" fontId="51" fillId="0" borderId="0" xfId="33" applyFont="1" applyFill="1" applyAlignment="1"/>
    <xf numFmtId="176" fontId="12" fillId="17" borderId="0" xfId="72" applyNumberFormat="1" applyFont="1" applyFill="1" applyBorder="1" applyAlignment="1"/>
    <xf numFmtId="176" fontId="21" fillId="17" borderId="0" xfId="72" quotePrefix="1" applyNumberFormat="1" applyFont="1" applyFill="1" applyAlignment="1"/>
    <xf numFmtId="176" fontId="20" fillId="17" borderId="0" xfId="72" applyNumberFormat="1" applyFont="1" applyFill="1" applyBorder="1" applyAlignment="1"/>
    <xf numFmtId="176" fontId="12" fillId="17" borderId="0" xfId="72" applyNumberFormat="1" applyFont="1" applyFill="1" applyAlignment="1"/>
    <xf numFmtId="43" fontId="12" fillId="0" borderId="0" xfId="38" applyFont="1" applyFill="1" applyAlignment="1"/>
    <xf numFmtId="43" fontId="12" fillId="0" borderId="0" xfId="38" applyNumberFormat="1" applyFont="1" applyFill="1" applyAlignment="1"/>
    <xf numFmtId="180" fontId="12" fillId="17" borderId="0" xfId="38" applyNumberFormat="1" applyFont="1" applyFill="1" applyAlignment="1"/>
    <xf numFmtId="43" fontId="12" fillId="17" borderId="0" xfId="38" applyFont="1" applyFill="1" applyAlignment="1"/>
    <xf numFmtId="187" fontId="12" fillId="17" borderId="0" xfId="72" applyNumberFormat="1" applyFont="1" applyFill="1" applyBorder="1" applyAlignment="1"/>
    <xf numFmtId="176" fontId="20" fillId="17" borderId="9" xfId="72" applyNumberFormat="1" applyFont="1" applyFill="1" applyBorder="1" applyAlignment="1"/>
    <xf numFmtId="37" fontId="12" fillId="17" borderId="0" xfId="38" applyNumberFormat="1" applyFont="1" applyFill="1" applyAlignment="1"/>
    <xf numFmtId="195" fontId="12" fillId="17" borderId="0" xfId="38" applyNumberFormat="1" applyFont="1" applyFill="1" applyAlignment="1"/>
    <xf numFmtId="176" fontId="12" fillId="17" borderId="9" xfId="72" applyNumberFormat="1" applyFont="1" applyFill="1" applyBorder="1" applyAlignment="1"/>
    <xf numFmtId="39" fontId="12" fillId="17" borderId="0" xfId="38" applyNumberFormat="1" applyFont="1" applyFill="1" applyBorder="1" applyAlignment="1"/>
    <xf numFmtId="37" fontId="12" fillId="17" borderId="0" xfId="38" applyNumberFormat="1" applyFont="1" applyFill="1" applyBorder="1" applyAlignment="1"/>
    <xf numFmtId="180" fontId="12" fillId="17" borderId="0" xfId="38" applyNumberFormat="1" applyFont="1" applyFill="1" applyBorder="1" applyAlignment="1"/>
    <xf numFmtId="176" fontId="21" fillId="17" borderId="0" xfId="72" applyNumberFormat="1" applyFont="1" applyFill="1" applyAlignment="1"/>
    <xf numFmtId="199" fontId="12" fillId="17" borderId="0" xfId="38" applyNumberFormat="1" applyFont="1" applyFill="1" applyBorder="1" applyAlignment="1"/>
    <xf numFmtId="198" fontId="12" fillId="17" borderId="0" xfId="38" applyNumberFormat="1" applyFont="1" applyFill="1" applyBorder="1" applyAlignment="1"/>
    <xf numFmtId="0" fontId="59" fillId="17" borderId="0" xfId="0" applyFont="1" applyFill="1" applyAlignment="1"/>
    <xf numFmtId="10" fontId="12" fillId="17" borderId="0" xfId="3" applyNumberFormat="1" applyFont="1" applyFill="1" applyBorder="1"/>
    <xf numFmtId="9" fontId="20" fillId="17" borderId="0" xfId="71" applyNumberFormat="1" applyFont="1" applyFill="1" applyBorder="1" applyAlignment="1" applyProtection="1">
      <alignment horizontal="center"/>
    </xf>
    <xf numFmtId="2" fontId="12" fillId="0" borderId="0" xfId="71" applyNumberFormat="1" applyFont="1" applyFill="1" applyBorder="1" applyAlignment="1">
      <alignment horizontal="center"/>
    </xf>
    <xf numFmtId="9" fontId="17" fillId="17" borderId="0" xfId="77" applyFont="1" applyFill="1" applyBorder="1" applyAlignment="1">
      <alignment horizontal="center"/>
    </xf>
    <xf numFmtId="37" fontId="22" fillId="17" borderId="0" xfId="38" applyNumberFormat="1" applyFont="1" applyFill="1" applyBorder="1" applyAlignment="1"/>
    <xf numFmtId="37" fontId="33" fillId="17" borderId="0" xfId="38" applyNumberFormat="1" applyFont="1" applyFill="1" applyBorder="1" applyAlignment="1"/>
    <xf numFmtId="0" fontId="51" fillId="17" borderId="0" xfId="33" applyFont="1" applyFill="1" applyBorder="1" applyAlignment="1"/>
    <xf numFmtId="43" fontId="20" fillId="17" borderId="0" xfId="38" applyFont="1" applyFill="1" applyBorder="1" applyAlignment="1"/>
    <xf numFmtId="0" fontId="0" fillId="17" borderId="0" xfId="0" applyFill="1" applyBorder="1" applyAlignment="1"/>
    <xf numFmtId="9" fontId="60" fillId="0" borderId="0" xfId="0" applyNumberFormat="1" applyFont="1" applyAlignment="1">
      <alignment horizontal="center"/>
    </xf>
    <xf numFmtId="39" fontId="58" fillId="17" borderId="0" xfId="71" applyNumberFormat="1" applyFont="1" applyFill="1" applyBorder="1" applyAlignment="1">
      <alignment horizontal="center"/>
    </xf>
    <xf numFmtId="9" fontId="61" fillId="0" borderId="0" xfId="71" applyNumberFormat="1" applyFont="1" applyFill="1" applyBorder="1" applyAlignment="1">
      <alignment horizontal="center"/>
    </xf>
    <xf numFmtId="8" fontId="61" fillId="0" borderId="0" xfId="71" applyNumberFormat="1" applyFont="1" applyFill="1" applyBorder="1" applyAlignment="1">
      <alignment horizontal="center"/>
    </xf>
    <xf numFmtId="0" fontId="44" fillId="0" borderId="0" xfId="33" applyFont="1" applyFill="1" applyAlignment="1">
      <alignment horizontal="center"/>
    </xf>
    <xf numFmtId="9" fontId="44" fillId="0" borderId="0" xfId="33" applyNumberFormat="1" applyFont="1" applyFill="1" applyAlignment="1">
      <alignment horizontal="center"/>
    </xf>
    <xf numFmtId="43" fontId="12" fillId="17" borderId="0" xfId="72" applyNumberFormat="1" applyFont="1" applyFill="1" applyBorder="1" applyAlignment="1">
      <alignment horizontal="center"/>
    </xf>
    <xf numFmtId="43" fontId="12" fillId="17" borderId="0" xfId="38" applyFont="1" applyFill="1" applyBorder="1" applyAlignment="1">
      <alignment horizontal="center"/>
    </xf>
    <xf numFmtId="43" fontId="12" fillId="17" borderId="0" xfId="38" applyFont="1" applyFill="1" applyAlignment="1">
      <alignment horizontal="center"/>
    </xf>
    <xf numFmtId="43" fontId="12" fillId="0" borderId="0" xfId="38" applyFont="1" applyFill="1" applyAlignment="1">
      <alignment horizontal="center"/>
    </xf>
    <xf numFmtId="176" fontId="12" fillId="17" borderId="0" xfId="38" applyNumberFormat="1" applyFont="1" applyFill="1" applyAlignment="1">
      <alignment horizontal="center"/>
    </xf>
    <xf numFmtId="167" fontId="12" fillId="17" borderId="0" xfId="38" applyNumberFormat="1" applyFont="1" applyFill="1" applyBorder="1" applyAlignment="1">
      <alignment horizontal="center"/>
    </xf>
    <xf numFmtId="167" fontId="12" fillId="17" borderId="0" xfId="38" applyNumberFormat="1" applyFont="1" applyFill="1" applyAlignment="1">
      <alignment horizontal="center"/>
    </xf>
    <xf numFmtId="0" fontId="12" fillId="17" borderId="0" xfId="72" applyFont="1" applyFill="1" applyBorder="1" applyAlignment="1">
      <alignment horizontal="center"/>
    </xf>
    <xf numFmtId="181" fontId="12" fillId="17" borderId="0" xfId="72" applyNumberFormat="1" applyFont="1" applyFill="1" applyBorder="1" applyAlignment="1">
      <alignment horizontal="center"/>
    </xf>
    <xf numFmtId="43" fontId="12" fillId="17" borderId="0" xfId="38" applyNumberFormat="1" applyFont="1" applyFill="1" applyAlignment="1">
      <alignment horizontal="center"/>
    </xf>
    <xf numFmtId="43" fontId="12" fillId="0" borderId="1" xfId="38" applyFont="1" applyFill="1" applyBorder="1" applyAlignment="1">
      <alignment horizontal="center"/>
    </xf>
    <xf numFmtId="175" fontId="21" fillId="0" borderId="0" xfId="81" applyNumberFormat="1" applyFont="1" applyFill="1" applyBorder="1" applyAlignment="1">
      <alignment horizontal="center"/>
    </xf>
    <xf numFmtId="169" fontId="12" fillId="0" borderId="4" xfId="82" applyNumberFormat="1" applyFont="1" applyFill="1" applyBorder="1" applyAlignment="1">
      <alignment horizontal="center"/>
    </xf>
    <xf numFmtId="175" fontId="21" fillId="0" borderId="1" xfId="81" applyNumberFormat="1" applyFont="1" applyFill="1" applyBorder="1" applyAlignment="1">
      <alignment horizontal="center"/>
    </xf>
    <xf numFmtId="2" fontId="12" fillId="0" borderId="0" xfId="70" applyNumberFormat="1" applyFont="1" applyFill="1" applyBorder="1" applyAlignment="1">
      <alignment horizontal="center"/>
    </xf>
    <xf numFmtId="2" fontId="45" fillId="0" borderId="0" xfId="70" applyNumberFormat="1" applyFont="1" applyFill="1" applyBorder="1" applyAlignment="1">
      <alignment horizontal="center"/>
    </xf>
    <xf numFmtId="2" fontId="22" fillId="0" borderId="0" xfId="70" applyNumberFormat="1" applyFont="1" applyFill="1" applyBorder="1" applyAlignment="1">
      <alignment horizontal="center"/>
    </xf>
    <xf numFmtId="166" fontId="12" fillId="0" borderId="0" xfId="82" applyNumberFormat="1" applyFont="1" applyFill="1" applyBorder="1" applyAlignment="1">
      <alignment horizontal="center"/>
    </xf>
    <xf numFmtId="38" fontId="12" fillId="0" borderId="0" xfId="70" applyNumberFormat="1" applyFont="1" applyFill="1" applyBorder="1" applyAlignment="1">
      <alignment horizontal="center"/>
    </xf>
    <xf numFmtId="177" fontId="12" fillId="0" borderId="0" xfId="70" applyNumberFormat="1" applyFont="1" applyFill="1" applyBorder="1" applyAlignment="1">
      <alignment horizontal="center"/>
    </xf>
    <xf numFmtId="9" fontId="30" fillId="0" borderId="0" xfId="81" applyFont="1" applyFill="1" applyBorder="1" applyAlignment="1">
      <alignment horizontal="center"/>
    </xf>
    <xf numFmtId="43" fontId="30" fillId="0" borderId="0" xfId="38" applyFont="1" applyFill="1" applyBorder="1" applyAlignment="1">
      <alignment horizontal="center"/>
    </xf>
    <xf numFmtId="174" fontId="12" fillId="0" borderId="0" xfId="65" applyNumberFormat="1" applyFont="1" applyFill="1" applyBorder="1" applyAlignment="1">
      <alignment horizontal="center"/>
    </xf>
    <xf numFmtId="185" fontId="12" fillId="0" borderId="0" xfId="65" applyNumberFormat="1" applyFont="1" applyFill="1" applyBorder="1" applyAlignment="1">
      <alignment horizontal="center"/>
    </xf>
    <xf numFmtId="168" fontId="21" fillId="0" borderId="0" xfId="82" applyFont="1" applyFill="1" applyBorder="1" applyAlignment="1">
      <alignment horizontal="center"/>
    </xf>
    <xf numFmtId="9" fontId="12" fillId="0" borderId="0" xfId="81" applyFont="1" applyFill="1" applyBorder="1" applyAlignment="1">
      <alignment horizontal="center"/>
    </xf>
    <xf numFmtId="172" fontId="12" fillId="0" borderId="0" xfId="65" applyNumberFormat="1" applyFont="1" applyFill="1" applyBorder="1" applyAlignment="1">
      <alignment horizontal="center"/>
    </xf>
    <xf numFmtId="168" fontId="12" fillId="0" borderId="0" xfId="82" applyFont="1" applyFill="1" applyBorder="1" applyAlignment="1">
      <alignment horizontal="center"/>
    </xf>
    <xf numFmtId="6" fontId="12" fillId="0" borderId="0" xfId="47" applyFont="1" applyFill="1" applyBorder="1" applyAlignment="1">
      <alignment horizontal="center"/>
    </xf>
    <xf numFmtId="8" fontId="12" fillId="0" borderId="0" xfId="47" applyNumberFormat="1" applyFont="1" applyFill="1" applyBorder="1" applyAlignment="1">
      <alignment horizontal="center"/>
    </xf>
    <xf numFmtId="173" fontId="12" fillId="0" borderId="0" xfId="65" applyNumberFormat="1" applyFont="1" applyFill="1" applyBorder="1" applyAlignment="1">
      <alignment horizontal="center"/>
    </xf>
    <xf numFmtId="167" fontId="32" fillId="0" borderId="0" xfId="65" applyNumberFormat="1" applyFont="1" applyFill="1" applyBorder="1" applyAlignment="1">
      <alignment horizontal="center"/>
    </xf>
    <xf numFmtId="172" fontId="12" fillId="0" borderId="0" xfId="72" applyNumberFormat="1" applyFont="1" applyFill="1" applyBorder="1" applyAlignment="1">
      <alignment horizontal="center"/>
    </xf>
    <xf numFmtId="43" fontId="0" fillId="0" borderId="0" xfId="0" applyNumberFormat="1" applyAlignment="1">
      <alignment horizontal="center"/>
    </xf>
    <xf numFmtId="179" fontId="12" fillId="17" borderId="0" xfId="38" applyNumberFormat="1" applyFont="1" applyFill="1" applyBorder="1" applyAlignment="1"/>
    <xf numFmtId="179" fontId="12" fillId="17" borderId="0" xfId="72" applyNumberFormat="1" applyFont="1" applyFill="1" applyBorder="1" applyAlignment="1"/>
    <xf numFmtId="0" fontId="0" fillId="17" borderId="0" xfId="0" applyFill="1" applyBorder="1"/>
    <xf numFmtId="172" fontId="58" fillId="17" borderId="0" xfId="71" applyNumberFormat="1" applyFont="1" applyFill="1" applyBorder="1" applyAlignment="1">
      <alignment horizontal="center"/>
    </xf>
    <xf numFmtId="200" fontId="0" fillId="0" borderId="0" xfId="0" applyNumberFormat="1" applyAlignment="1">
      <alignment horizontal="center"/>
    </xf>
    <xf numFmtId="0" fontId="12" fillId="0" borderId="0" xfId="72" applyFont="1" applyFill="1" applyAlignment="1">
      <alignment horizontal="left" wrapText="1" indent="1"/>
    </xf>
    <xf numFmtId="9" fontId="22" fillId="0" borderId="0" xfId="81" applyFont="1" applyFill="1" applyBorder="1" applyAlignment="1">
      <alignment horizontal="center"/>
    </xf>
    <xf numFmtId="43" fontId="12" fillId="0" borderId="1" xfId="38" applyFont="1" applyFill="1" applyBorder="1" applyAlignment="1">
      <alignment horizontal="left"/>
    </xf>
    <xf numFmtId="169" fontId="12" fillId="0" borderId="4" xfId="82" applyNumberFormat="1" applyFont="1" applyFill="1" applyBorder="1" applyAlignment="1">
      <alignment horizontal="right"/>
    </xf>
    <xf numFmtId="169" fontId="12" fillId="0" borderId="0" xfId="82" applyNumberFormat="1" applyFont="1" applyFill="1" applyBorder="1" applyAlignment="1">
      <alignment horizontal="right"/>
    </xf>
    <xf numFmtId="176" fontId="20" fillId="0" borderId="10" xfId="72" applyNumberFormat="1" applyFont="1" applyFill="1" applyBorder="1" applyAlignment="1">
      <alignment horizontal="left" wrapText="1"/>
    </xf>
    <xf numFmtId="176" fontId="12" fillId="0" borderId="3" xfId="72" applyNumberFormat="1" applyFont="1" applyFill="1" applyBorder="1" applyAlignment="1">
      <alignment horizontal="left" wrapText="1"/>
    </xf>
    <xf numFmtId="176" fontId="12" fillId="0" borderId="27" xfId="72" applyNumberFormat="1" applyFont="1" applyFill="1" applyBorder="1" applyAlignment="1">
      <alignment horizontal="left" wrapText="1"/>
    </xf>
    <xf numFmtId="176" fontId="20" fillId="0" borderId="3" xfId="72" applyNumberFormat="1" applyFont="1" applyFill="1" applyBorder="1" applyAlignment="1">
      <alignment horizontal="left" wrapText="1"/>
    </xf>
    <xf numFmtId="38" fontId="20" fillId="0" borderId="0" xfId="71" applyFont="1" applyFill="1" applyBorder="1" applyAlignment="1">
      <alignment horizontal="left" wrapText="1"/>
    </xf>
    <xf numFmtId="166" fontId="20" fillId="0" borderId="0" xfId="82" applyNumberFormat="1" applyFont="1" applyFill="1" applyBorder="1" applyAlignment="1">
      <alignment horizontal="center"/>
    </xf>
    <xf numFmtId="7" fontId="20" fillId="0" borderId="0" xfId="71" applyNumberFormat="1" applyFont="1" applyFill="1" applyBorder="1" applyAlignment="1">
      <alignment horizontal="center"/>
    </xf>
    <xf numFmtId="177" fontId="12" fillId="17" borderId="0" xfId="38" applyNumberFormat="1" applyFont="1" applyFill="1" applyAlignment="1">
      <alignment horizontal="center"/>
    </xf>
    <xf numFmtId="38" fontId="12" fillId="0" borderId="1" xfId="71" applyFont="1" applyFill="1" applyBorder="1" applyAlignment="1">
      <alignment horizontal="center"/>
    </xf>
    <xf numFmtId="40" fontId="12" fillId="0" borderId="0" xfId="71" applyNumberFormat="1" applyFont="1" applyFill="1" applyBorder="1" applyAlignment="1">
      <alignment horizontal="center"/>
    </xf>
    <xf numFmtId="165" fontId="20" fillId="0" borderId="0" xfId="71" applyNumberFormat="1" applyFont="1" applyFill="1" applyBorder="1" applyAlignment="1">
      <alignment horizontal="center"/>
    </xf>
    <xf numFmtId="37" fontId="20" fillId="0" borderId="0" xfId="71" applyNumberFormat="1" applyFont="1" applyFill="1" applyBorder="1" applyAlignment="1">
      <alignment horizontal="center"/>
    </xf>
    <xf numFmtId="0" fontId="0" fillId="17" borderId="0" xfId="0" applyFill="1"/>
    <xf numFmtId="177" fontId="39" fillId="17" borderId="0" xfId="0" applyNumberFormat="1" applyFont="1" applyFill="1" applyBorder="1" applyAlignment="1">
      <alignment horizontal="center"/>
    </xf>
    <xf numFmtId="9" fontId="50" fillId="0" borderId="1" xfId="0" applyNumberFormat="1" applyFont="1" applyBorder="1" applyAlignment="1">
      <alignment horizontal="center"/>
    </xf>
    <xf numFmtId="9" fontId="60" fillId="0" borderId="1" xfId="0" applyNumberFormat="1" applyFont="1" applyBorder="1" applyAlignment="1">
      <alignment horizontal="center"/>
    </xf>
    <xf numFmtId="3" fontId="19" fillId="0" borderId="1" xfId="0" applyNumberFormat="1" applyFont="1" applyBorder="1" applyAlignment="1">
      <alignment horizontal="center"/>
    </xf>
    <xf numFmtId="0" fontId="17" fillId="17" borderId="4" xfId="0" applyFont="1" applyFill="1" applyBorder="1" applyAlignment="1">
      <alignment horizontal="left"/>
    </xf>
    <xf numFmtId="9" fontId="50" fillId="0" borderId="4" xfId="0" applyNumberFormat="1" applyFont="1" applyBorder="1" applyAlignment="1">
      <alignment horizontal="center"/>
    </xf>
    <xf numFmtId="9" fontId="60" fillId="0" borderId="4" xfId="0" applyNumberFormat="1" applyFont="1" applyBorder="1" applyAlignment="1">
      <alignment horizontal="center"/>
    </xf>
    <xf numFmtId="9" fontId="17" fillId="0" borderId="4" xfId="0" applyNumberFormat="1" applyFont="1" applyBorder="1" applyAlignment="1">
      <alignment horizontal="center"/>
    </xf>
    <xf numFmtId="9" fontId="18" fillId="17" borderId="4" xfId="0" applyNumberFormat="1" applyFont="1" applyFill="1" applyBorder="1" applyAlignment="1">
      <alignment horizontal="center"/>
    </xf>
    <xf numFmtId="0" fontId="17" fillId="17" borderId="4" xfId="0" applyFont="1" applyFill="1" applyBorder="1"/>
    <xf numFmtId="0" fontId="11" fillId="17" borderId="0" xfId="0" applyFont="1" applyFill="1" applyAlignment="1">
      <alignment horizontal="left"/>
    </xf>
    <xf numFmtId="0" fontId="11" fillId="17" borderId="1" xfId="0" applyFont="1" applyFill="1" applyBorder="1" applyAlignment="1">
      <alignment horizontal="left"/>
    </xf>
    <xf numFmtId="0" fontId="17" fillId="0" borderId="0" xfId="0" applyFont="1" applyBorder="1"/>
    <xf numFmtId="3" fontId="19" fillId="0" borderId="0" xfId="0" applyNumberFormat="1" applyFont="1" applyBorder="1" applyAlignment="1">
      <alignment horizontal="center"/>
    </xf>
    <xf numFmtId="0" fontId="17" fillId="17" borderId="0" xfId="0" applyFont="1" applyFill="1" applyBorder="1" applyAlignment="1">
      <alignment horizontal="left"/>
    </xf>
    <xf numFmtId="0" fontId="21" fillId="0" borderId="0" xfId="0" applyFont="1" applyFill="1"/>
    <xf numFmtId="6" fontId="21" fillId="0" borderId="0" xfId="0" applyNumberFormat="1" applyFont="1" applyFill="1" applyAlignment="1">
      <alignment horizontal="center"/>
    </xf>
    <xf numFmtId="9" fontId="28" fillId="0" borderId="0" xfId="0" applyNumberFormat="1" applyFont="1" applyFill="1" applyAlignment="1">
      <alignment horizontal="center"/>
    </xf>
    <xf numFmtId="9" fontId="21" fillId="0" borderId="0" xfId="0" applyNumberFormat="1" applyFont="1" applyFill="1" applyAlignment="1">
      <alignment horizontal="center"/>
    </xf>
    <xf numFmtId="9" fontId="50" fillId="0" borderId="0" xfId="0" applyNumberFormat="1" applyFont="1" applyFill="1" applyBorder="1" applyAlignment="1">
      <alignment horizontal="center"/>
    </xf>
    <xf numFmtId="9" fontId="17" fillId="0" borderId="0" xfId="0" applyNumberFormat="1" applyFont="1" applyFill="1" applyBorder="1" applyAlignment="1">
      <alignment horizontal="center"/>
    </xf>
    <xf numFmtId="9" fontId="50" fillId="0" borderId="0" xfId="0" applyNumberFormat="1" applyFont="1" applyBorder="1" applyAlignment="1">
      <alignment horizontal="center"/>
    </xf>
    <xf numFmtId="9" fontId="60" fillId="0" borderId="0" xfId="0" applyNumberFormat="1" applyFont="1" applyBorder="1" applyAlignment="1">
      <alignment horizontal="center"/>
    </xf>
    <xf numFmtId="0" fontId="17" fillId="0" borderId="4" xfId="0" applyFont="1" applyBorder="1"/>
    <xf numFmtId="9" fontId="50" fillId="0" borderId="4" xfId="0" applyNumberFormat="1" applyFont="1" applyFill="1" applyBorder="1" applyAlignment="1">
      <alignment horizontal="center"/>
    </xf>
    <xf numFmtId="9" fontId="17" fillId="0" borderId="4" xfId="0" applyNumberFormat="1" applyFont="1" applyFill="1" applyBorder="1" applyAlignment="1">
      <alignment horizontal="center"/>
    </xf>
    <xf numFmtId="9" fontId="60" fillId="0" borderId="0" xfId="0" applyNumberFormat="1" applyFont="1" applyFill="1" applyBorder="1" applyAlignment="1">
      <alignment horizontal="center"/>
    </xf>
    <xf numFmtId="0" fontId="11" fillId="17" borderId="3" xfId="0" applyFont="1" applyFill="1" applyBorder="1"/>
    <xf numFmtId="0" fontId="11" fillId="2" borderId="27" xfId="0" applyFont="1" applyFill="1" applyBorder="1"/>
    <xf numFmtId="6" fontId="11" fillId="2" borderId="4" xfId="0" applyNumberFormat="1" applyFont="1" applyFill="1" applyBorder="1" applyAlignment="1">
      <alignment horizontal="center"/>
    </xf>
    <xf numFmtId="170" fontId="24" fillId="17" borderId="0" xfId="71" applyNumberFormat="1" applyFont="1" applyFill="1" applyBorder="1"/>
    <xf numFmtId="40" fontId="29" fillId="0" borderId="0" xfId="71" applyNumberFormat="1" applyFont="1" applyFill="1" applyBorder="1"/>
    <xf numFmtId="170" fontId="20" fillId="17" borderId="0" xfId="71" applyNumberFormat="1" applyFont="1" applyFill="1" applyBorder="1"/>
    <xf numFmtId="38" fontId="19" fillId="17" borderId="3" xfId="66" applyFont="1" applyFill="1" applyBorder="1" applyAlignment="1">
      <alignment horizontal="left"/>
    </xf>
    <xf numFmtId="38" fontId="11" fillId="17" borderId="3" xfId="66" applyFont="1" applyFill="1" applyBorder="1" applyAlignment="1">
      <alignment horizontal="left"/>
    </xf>
    <xf numFmtId="1" fontId="17" fillId="0" borderId="0" xfId="0" applyNumberFormat="1" applyFont="1" applyAlignment="1">
      <alignment horizontal="center"/>
    </xf>
    <xf numFmtId="193" fontId="18" fillId="0" borderId="0" xfId="0" applyNumberFormat="1" applyFont="1" applyAlignment="1">
      <alignment horizontal="center"/>
    </xf>
    <xf numFmtId="166" fontId="18" fillId="0" borderId="0" xfId="0" applyNumberFormat="1" applyFont="1" applyAlignment="1">
      <alignment horizontal="center"/>
    </xf>
    <xf numFmtId="10" fontId="18" fillId="0" borderId="0" xfId="0" applyNumberFormat="1" applyFont="1" applyAlignment="1">
      <alignment horizontal="center"/>
    </xf>
    <xf numFmtId="3" fontId="11" fillId="0" borderId="0" xfId="0" applyNumberFormat="1" applyFont="1" applyBorder="1" applyAlignment="1">
      <alignment horizontal="center"/>
    </xf>
    <xf numFmtId="0" fontId="11" fillId="17" borderId="2" xfId="0" applyFont="1" applyFill="1" applyBorder="1"/>
    <xf numFmtId="3" fontId="11" fillId="0" borderId="2" xfId="0" applyNumberFormat="1" applyFont="1" applyBorder="1" applyAlignment="1">
      <alignment horizontal="center"/>
    </xf>
    <xf numFmtId="9" fontId="57" fillId="17" borderId="0" xfId="0" applyNumberFormat="1" applyFont="1" applyFill="1" applyAlignment="1">
      <alignment horizontal="center"/>
    </xf>
    <xf numFmtId="166" fontId="18" fillId="0" borderId="0" xfId="0" applyNumberFormat="1" applyFont="1" applyFill="1" applyAlignment="1">
      <alignment horizontal="center"/>
    </xf>
    <xf numFmtId="166" fontId="18" fillId="17" borderId="0" xfId="0" applyNumberFormat="1" applyFont="1" applyFill="1" applyAlignment="1">
      <alignment horizontal="center"/>
    </xf>
    <xf numFmtId="0" fontId="0" fillId="0" borderId="0" xfId="0" applyFill="1" applyAlignment="1"/>
    <xf numFmtId="0" fontId="59" fillId="0" borderId="0" xfId="0" applyFont="1" applyFill="1" applyAlignment="1"/>
    <xf numFmtId="176" fontId="12" fillId="0" borderId="0" xfId="72" applyNumberFormat="1" applyFont="1" applyFill="1" applyBorder="1" applyAlignment="1"/>
    <xf numFmtId="180" fontId="12" fillId="0" borderId="0" xfId="38" applyNumberFormat="1" applyFont="1" applyFill="1" applyBorder="1" applyAlignment="1"/>
    <xf numFmtId="176" fontId="12" fillId="11" borderId="28" xfId="72" applyNumberFormat="1" applyFont="1" applyFill="1" applyBorder="1" applyAlignment="1"/>
    <xf numFmtId="180" fontId="12" fillId="11" borderId="2" xfId="38" applyNumberFormat="1" applyFont="1" applyFill="1" applyBorder="1" applyAlignment="1"/>
    <xf numFmtId="169" fontId="12" fillId="0" borderId="0" xfId="82" applyNumberFormat="1" applyFont="1" applyFill="1" applyBorder="1" applyAlignment="1">
      <alignment horizontal="center"/>
    </xf>
    <xf numFmtId="169" fontId="22" fillId="0" borderId="4" xfId="82" applyNumberFormat="1" applyFont="1" applyFill="1" applyBorder="1" applyAlignment="1">
      <alignment horizontal="center"/>
    </xf>
    <xf numFmtId="169" fontId="22" fillId="0" borderId="0" xfId="82" applyNumberFormat="1" applyFont="1" applyFill="1" applyBorder="1" applyAlignment="1">
      <alignment horizontal="center"/>
    </xf>
    <xf numFmtId="177" fontId="12" fillId="0" borderId="0" xfId="38" applyNumberFormat="1" applyFont="1" applyFill="1" applyBorder="1" applyAlignment="1">
      <alignment horizontal="center"/>
    </xf>
    <xf numFmtId="177" fontId="58" fillId="0" borderId="0" xfId="38" applyNumberFormat="1" applyFont="1" applyFill="1" applyBorder="1" applyAlignment="1">
      <alignment horizontal="center"/>
    </xf>
    <xf numFmtId="2" fontId="58" fillId="0" borderId="0" xfId="38" applyNumberFormat="1" applyFont="1" applyFill="1" applyBorder="1" applyAlignment="1">
      <alignment horizontal="center"/>
    </xf>
    <xf numFmtId="7" fontId="12" fillId="0" borderId="0" xfId="47" applyNumberFormat="1" applyFont="1" applyFill="1" applyBorder="1" applyAlignment="1">
      <alignment horizontal="center"/>
    </xf>
    <xf numFmtId="167" fontId="12" fillId="0" borderId="0" xfId="65" applyNumberFormat="1" applyFont="1" applyFill="1" applyBorder="1" applyAlignment="1">
      <alignment horizontal="center"/>
    </xf>
    <xf numFmtId="165" fontId="12" fillId="0" borderId="0" xfId="38" applyNumberFormat="1" applyFont="1" applyFill="1" applyBorder="1" applyAlignment="1">
      <alignment horizontal="center"/>
    </xf>
    <xf numFmtId="165" fontId="22" fillId="0" borderId="0" xfId="38" applyNumberFormat="1" applyFont="1" applyFill="1" applyBorder="1" applyAlignment="1">
      <alignment horizontal="center"/>
    </xf>
    <xf numFmtId="0" fontId="0" fillId="0" borderId="4" xfId="0" applyBorder="1"/>
    <xf numFmtId="0" fontId="11" fillId="0" borderId="27" xfId="0" applyFont="1" applyBorder="1"/>
    <xf numFmtId="168" fontId="20" fillId="0" borderId="4" xfId="82" applyFont="1" applyFill="1" applyBorder="1" applyAlignment="1">
      <alignment horizontal="center"/>
    </xf>
    <xf numFmtId="39" fontId="20" fillId="0" borderId="4" xfId="71" applyNumberFormat="1" applyFont="1" applyFill="1" applyBorder="1" applyAlignment="1">
      <alignment horizontal="center"/>
    </xf>
    <xf numFmtId="170" fontId="24" fillId="17" borderId="4" xfId="71" applyNumberFormat="1" applyFont="1" applyFill="1" applyBorder="1"/>
    <xf numFmtId="40" fontId="29" fillId="0" borderId="4" xfId="71" applyNumberFormat="1" applyFont="1" applyFill="1" applyBorder="1"/>
    <xf numFmtId="38" fontId="19" fillId="17" borderId="27" xfId="66" applyFont="1" applyFill="1" applyBorder="1" applyAlignment="1">
      <alignment horizontal="left"/>
    </xf>
    <xf numFmtId="0" fontId="62" fillId="0" borderId="1" xfId="3" applyFont="1" applyFill="1" applyBorder="1"/>
    <xf numFmtId="38" fontId="12" fillId="17" borderId="4" xfId="3" applyNumberFormat="1" applyFont="1" applyFill="1" applyBorder="1"/>
    <xf numFmtId="38" fontId="12" fillId="0" borderId="4" xfId="3" applyNumberFormat="1" applyFont="1" applyFill="1" applyBorder="1"/>
    <xf numFmtId="38" fontId="12" fillId="17" borderId="4" xfId="71" applyFont="1" applyFill="1" applyBorder="1" applyAlignment="1">
      <alignment horizontal="left" wrapText="1"/>
    </xf>
    <xf numFmtId="38" fontId="12" fillId="0" borderId="1" xfId="3" applyNumberFormat="1" applyFont="1" applyFill="1" applyBorder="1"/>
    <xf numFmtId="170" fontId="12" fillId="17" borderId="4" xfId="3" applyNumberFormat="1" applyFont="1" applyFill="1" applyBorder="1"/>
    <xf numFmtId="171" fontId="12" fillId="0" borderId="0" xfId="82" applyNumberFormat="1" applyFont="1" applyFill="1" applyBorder="1" applyAlignment="1">
      <alignment horizontal="center"/>
    </xf>
    <xf numFmtId="171" fontId="22" fillId="17" borderId="0" xfId="82" applyNumberFormat="1" applyFont="1" applyFill="1" applyBorder="1" applyAlignment="1">
      <alignment horizontal="center"/>
    </xf>
    <xf numFmtId="170" fontId="12" fillId="17" borderId="0" xfId="71" applyNumberFormat="1" applyFont="1" applyFill="1" applyBorder="1" applyAlignment="1">
      <alignment horizontal="center"/>
    </xf>
    <xf numFmtId="40" fontId="20" fillId="0" borderId="4" xfId="71" applyNumberFormat="1" applyFont="1" applyFill="1" applyBorder="1" applyAlignment="1">
      <alignment horizontal="center"/>
    </xf>
    <xf numFmtId="0" fontId="20" fillId="17" borderId="0" xfId="0" applyFont="1" applyFill="1" applyBorder="1"/>
    <xf numFmtId="168" fontId="64" fillId="17" borderId="4" xfId="82" applyFont="1" applyFill="1" applyBorder="1" applyAlignment="1">
      <alignment horizontal="center"/>
    </xf>
    <xf numFmtId="1" fontId="64" fillId="17" borderId="4" xfId="77" applyNumberFormat="1" applyFont="1" applyFill="1" applyBorder="1" applyAlignment="1">
      <alignment horizontal="center"/>
    </xf>
    <xf numFmtId="168" fontId="64" fillId="17" borderId="0" xfId="82" applyFont="1" applyFill="1" applyBorder="1" applyAlignment="1">
      <alignment horizontal="center"/>
    </xf>
    <xf numFmtId="1" fontId="64" fillId="17" borderId="0" xfId="77" applyNumberFormat="1" applyFont="1" applyFill="1" applyBorder="1" applyAlignment="1">
      <alignment horizontal="center"/>
    </xf>
    <xf numFmtId="177" fontId="39" fillId="0" borderId="0" xfId="0" applyNumberFormat="1" applyFont="1" applyFill="1" applyBorder="1" applyAlignment="1">
      <alignment horizontal="center"/>
    </xf>
    <xf numFmtId="3" fontId="19" fillId="0" borderId="1" xfId="0" applyNumberFormat="1" applyFont="1" applyFill="1" applyBorder="1" applyAlignment="1">
      <alignment horizontal="center"/>
    </xf>
    <xf numFmtId="9" fontId="19" fillId="0" borderId="0" xfId="77" applyFont="1" applyAlignment="1">
      <alignment horizontal="center"/>
    </xf>
    <xf numFmtId="177" fontId="22" fillId="0" borderId="0" xfId="38" applyNumberFormat="1" applyFont="1" applyFill="1" applyBorder="1" applyAlignment="1">
      <alignment horizontal="center"/>
    </xf>
    <xf numFmtId="188" fontId="22" fillId="0" borderId="0" xfId="38" applyNumberFormat="1" applyFont="1" applyFill="1" applyBorder="1" applyAlignment="1">
      <alignment horizontal="center"/>
    </xf>
    <xf numFmtId="39" fontId="44" fillId="0" borderId="0" xfId="33" applyNumberFormat="1" applyFont="1" applyFill="1"/>
    <xf numFmtId="4" fontId="12" fillId="0" borderId="0" xfId="65" applyNumberFormat="1" applyFont="1" applyFill="1" applyBorder="1" applyAlignment="1">
      <alignment horizontal="center"/>
    </xf>
    <xf numFmtId="4" fontId="12" fillId="0" borderId="0" xfId="65" applyNumberFormat="1" applyFont="1" applyFill="1" applyBorder="1" applyAlignment="1">
      <alignment horizontal="right"/>
    </xf>
    <xf numFmtId="167" fontId="44" fillId="0" borderId="0" xfId="33" applyNumberFormat="1" applyFont="1" applyFill="1" applyAlignment="1">
      <alignment horizontal="center"/>
    </xf>
    <xf numFmtId="167" fontId="12" fillId="17" borderId="0" xfId="38" applyNumberFormat="1" applyFont="1" applyFill="1" applyAlignment="1"/>
    <xf numFmtId="167" fontId="12" fillId="17" borderId="0" xfId="72" applyNumberFormat="1" applyFont="1" applyFill="1" applyBorder="1" applyAlignment="1"/>
    <xf numFmtId="9" fontId="20" fillId="17" borderId="0" xfId="77" applyFont="1" applyFill="1" applyBorder="1" applyAlignment="1">
      <alignment horizontal="center"/>
    </xf>
    <xf numFmtId="173" fontId="20" fillId="0" borderId="0" xfId="77" applyNumberFormat="1" applyFont="1" applyFill="1" applyBorder="1" applyAlignment="1">
      <alignment horizontal="center"/>
    </xf>
    <xf numFmtId="1" fontId="64" fillId="0" borderId="0" xfId="77" applyNumberFormat="1" applyFont="1" applyFill="1" applyBorder="1" applyAlignment="1">
      <alignment horizontal="center"/>
    </xf>
    <xf numFmtId="9" fontId="12" fillId="0" borderId="0" xfId="77" applyFont="1" applyFill="1" applyBorder="1" applyAlignment="1">
      <alignment horizontal="center"/>
    </xf>
    <xf numFmtId="1" fontId="64" fillId="0" borderId="4" xfId="77" applyNumberFormat="1" applyFont="1" applyFill="1" applyBorder="1" applyAlignment="1">
      <alignment horizontal="center"/>
    </xf>
    <xf numFmtId="6" fontId="19" fillId="0" borderId="0" xfId="0" applyNumberFormat="1" applyFont="1" applyFill="1" applyBorder="1" applyAlignment="1">
      <alignment horizontal="center"/>
    </xf>
    <xf numFmtId="201" fontId="20" fillId="0" borderId="0" xfId="71" applyNumberFormat="1" applyFont="1" applyFill="1" applyBorder="1" applyAlignment="1">
      <alignment horizontal="center"/>
    </xf>
    <xf numFmtId="201" fontId="21" fillId="0" borderId="0" xfId="82" applyNumberFormat="1" applyFont="1" applyFill="1" applyBorder="1" applyAlignment="1">
      <alignment horizontal="center"/>
    </xf>
    <xf numFmtId="201" fontId="12" fillId="17" borderId="0" xfId="71" applyNumberFormat="1" applyFont="1" applyFill="1" applyBorder="1" applyAlignment="1">
      <alignment horizontal="center"/>
    </xf>
    <xf numFmtId="176" fontId="12" fillId="0" borderId="0" xfId="72" applyNumberFormat="1" applyFont="1" applyFill="1" applyAlignment="1"/>
    <xf numFmtId="167" fontId="12" fillId="0" borderId="0" xfId="72" applyNumberFormat="1" applyFont="1" applyFill="1" applyBorder="1" applyAlignment="1"/>
    <xf numFmtId="165" fontId="12" fillId="0" borderId="1" xfId="38" applyNumberFormat="1" applyFont="1" applyFill="1" applyBorder="1" applyAlignment="1">
      <alignment horizontal="center"/>
    </xf>
    <xf numFmtId="177" fontId="12" fillId="0" borderId="0" xfId="38" applyNumberFormat="1" applyFont="1" applyFill="1" applyAlignment="1">
      <alignment horizontal="center"/>
    </xf>
    <xf numFmtId="177" fontId="12" fillId="17" borderId="0" xfId="38" applyNumberFormat="1" applyFont="1" applyFill="1" applyBorder="1" applyAlignment="1">
      <alignment horizontal="center"/>
    </xf>
    <xf numFmtId="177" fontId="12" fillId="17" borderId="0" xfId="72" applyNumberFormat="1" applyFont="1" applyFill="1" applyBorder="1" applyAlignment="1">
      <alignment horizontal="center"/>
    </xf>
    <xf numFmtId="165" fontId="12" fillId="0" borderId="0" xfId="38" applyNumberFormat="1" applyFont="1" applyFill="1" applyAlignment="1">
      <alignment horizontal="center"/>
    </xf>
    <xf numFmtId="165" fontId="12" fillId="17" borderId="0" xfId="38" applyNumberFormat="1" applyFont="1" applyFill="1" applyAlignment="1">
      <alignment horizontal="center"/>
    </xf>
    <xf numFmtId="202" fontId="12" fillId="17" borderId="0" xfId="38" applyNumberFormat="1" applyFont="1" applyFill="1" applyAlignment="1">
      <alignment horizontal="center"/>
    </xf>
    <xf numFmtId="202" fontId="12" fillId="0" borderId="0" xfId="38" applyNumberFormat="1" applyFont="1" applyFill="1" applyAlignment="1">
      <alignment horizontal="center"/>
    </xf>
    <xf numFmtId="202" fontId="58" fillId="0" borderId="0" xfId="38" applyNumberFormat="1" applyFont="1" applyFill="1" applyAlignment="1">
      <alignment horizontal="center"/>
    </xf>
    <xf numFmtId="202" fontId="58" fillId="17" borderId="0" xfId="38" applyNumberFormat="1" applyFont="1" applyFill="1" applyAlignment="1">
      <alignment horizontal="center"/>
    </xf>
    <xf numFmtId="202" fontId="12" fillId="17" borderId="0" xfId="38" applyNumberFormat="1" applyFont="1" applyFill="1" applyBorder="1" applyAlignment="1">
      <alignment horizontal="center"/>
    </xf>
    <xf numFmtId="179" fontId="12" fillId="0" borderId="0" xfId="70" applyNumberFormat="1" applyFont="1" applyFill="1" applyBorder="1" applyAlignment="1">
      <alignment horizontal="center"/>
    </xf>
    <xf numFmtId="202" fontId="12" fillId="17" borderId="0" xfId="72" applyNumberFormat="1" applyFont="1" applyFill="1" applyBorder="1" applyAlignment="1">
      <alignment horizontal="center"/>
    </xf>
    <xf numFmtId="202" fontId="12" fillId="17" borderId="0" xfId="0" applyNumberFormat="1" applyFont="1" applyFill="1" applyAlignment="1">
      <alignment horizontal="center"/>
    </xf>
    <xf numFmtId="180" fontId="12" fillId="11" borderId="2" xfId="38" applyNumberFormat="1" applyFont="1" applyFill="1" applyBorder="1" applyAlignment="1">
      <alignment horizontal="center"/>
    </xf>
    <xf numFmtId="1" fontId="12" fillId="17" borderId="0" xfId="77" applyNumberFormat="1" applyFont="1" applyFill="1" applyBorder="1" applyAlignment="1">
      <alignment horizontal="center"/>
    </xf>
    <xf numFmtId="40" fontId="64" fillId="17" borderId="0" xfId="71" applyNumberFormat="1" applyFont="1" applyFill="1" applyBorder="1" applyAlignment="1">
      <alignment horizontal="center"/>
    </xf>
    <xf numFmtId="165" fontId="12" fillId="0" borderId="0" xfId="71" applyNumberFormat="1" applyFont="1" applyFill="1" applyBorder="1" applyAlignment="1">
      <alignment horizontal="center"/>
    </xf>
    <xf numFmtId="165" fontId="22" fillId="0" borderId="0" xfId="71" applyNumberFormat="1" applyFont="1" applyFill="1" applyBorder="1" applyAlignment="1">
      <alignment horizontal="center"/>
    </xf>
    <xf numFmtId="165" fontId="12" fillId="17" borderId="0" xfId="71" applyNumberFormat="1" applyFont="1" applyFill="1" applyBorder="1" applyAlignment="1">
      <alignment horizontal="center"/>
    </xf>
    <xf numFmtId="8" fontId="46" fillId="0" borderId="0" xfId="81" applyNumberFormat="1" applyFont="1" applyFill="1" applyBorder="1" applyAlignment="1">
      <alignment horizontal="right"/>
    </xf>
    <xf numFmtId="180" fontId="12" fillId="17" borderId="0" xfId="0" applyNumberFormat="1" applyFont="1" applyFill="1" applyAlignment="1">
      <alignment horizontal="center"/>
    </xf>
    <xf numFmtId="180" fontId="12" fillId="0" borderId="0" xfId="0" applyNumberFormat="1" applyFont="1" applyFill="1" applyAlignment="1">
      <alignment horizontal="center"/>
    </xf>
    <xf numFmtId="201" fontId="20" fillId="17" borderId="0" xfId="71" applyNumberFormat="1" applyFont="1" applyFill="1" applyBorder="1" applyAlignment="1">
      <alignment horizontal="center"/>
    </xf>
    <xf numFmtId="6" fontId="0" fillId="17" borderId="0" xfId="0" applyNumberFormat="1" applyFill="1"/>
    <xf numFmtId="38" fontId="20" fillId="17" borderId="0" xfId="71" applyFont="1" applyFill="1" applyBorder="1" applyAlignment="1">
      <alignment horizontal="center" vertical="center"/>
    </xf>
    <xf numFmtId="38" fontId="20" fillId="17" borderId="0" xfId="71" applyFont="1" applyFill="1" applyBorder="1" applyAlignment="1">
      <alignment vertical="center"/>
    </xf>
    <xf numFmtId="0" fontId="0" fillId="0" borderId="0" xfId="0" applyAlignment="1">
      <alignment vertical="center"/>
    </xf>
    <xf numFmtId="38" fontId="64" fillId="17" borderId="0" xfId="71" applyNumberFormat="1" applyFont="1" applyFill="1" applyBorder="1" applyAlignment="1">
      <alignment horizontal="center"/>
    </xf>
    <xf numFmtId="9" fontId="17" fillId="0" borderId="0" xfId="0" applyNumberFormat="1" applyFont="1" applyBorder="1" applyAlignment="1">
      <alignment horizontal="center"/>
    </xf>
    <xf numFmtId="1" fontId="17" fillId="0" borderId="0" xfId="0" applyNumberFormat="1" applyFont="1" applyBorder="1" applyAlignment="1">
      <alignment horizontal="center"/>
    </xf>
    <xf numFmtId="0" fontId="9" fillId="17" borderId="0" xfId="0" applyFont="1" applyFill="1" applyBorder="1" applyAlignment="1">
      <alignment horizontal="left"/>
    </xf>
    <xf numFmtId="3" fontId="19" fillId="0" borderId="0" xfId="0" applyNumberFormat="1" applyFont="1" applyFill="1" applyBorder="1" applyAlignment="1">
      <alignment horizontal="center"/>
    </xf>
    <xf numFmtId="9" fontId="57" fillId="0" borderId="0" xfId="0" applyNumberFormat="1" applyFont="1" applyBorder="1" applyAlignment="1">
      <alignment horizontal="center"/>
    </xf>
    <xf numFmtId="0" fontId="19" fillId="0" borderId="0" xfId="0" applyFont="1" applyBorder="1" applyAlignment="1">
      <alignment horizontal="left"/>
    </xf>
    <xf numFmtId="0" fontId="17" fillId="0" borderId="0" xfId="0" applyFont="1" applyBorder="1" applyAlignment="1">
      <alignment horizontal="left"/>
    </xf>
    <xf numFmtId="9" fontId="18" fillId="0" borderId="0" xfId="0" applyNumberFormat="1" applyFont="1" applyBorder="1" applyAlignment="1">
      <alignment horizontal="center"/>
    </xf>
    <xf numFmtId="0" fontId="17" fillId="0" borderId="4" xfId="0" applyFont="1" applyBorder="1" applyAlignment="1">
      <alignment horizontal="left"/>
    </xf>
    <xf numFmtId="9" fontId="18" fillId="0" borderId="4" xfId="0" applyNumberFormat="1" applyFont="1" applyFill="1" applyBorder="1" applyAlignment="1">
      <alignment horizontal="center"/>
    </xf>
    <xf numFmtId="9" fontId="18" fillId="0" borderId="4" xfId="0" applyNumberFormat="1" applyFont="1" applyBorder="1" applyAlignment="1">
      <alignment horizontal="center"/>
    </xf>
    <xf numFmtId="166" fontId="57" fillId="0" borderId="0" xfId="0" applyNumberFormat="1" applyFont="1" applyBorder="1" applyAlignment="1">
      <alignment horizontal="center"/>
    </xf>
    <xf numFmtId="166" fontId="17" fillId="0" borderId="4" xfId="0" applyNumberFormat="1" applyFont="1" applyBorder="1" applyAlignment="1">
      <alignment horizontal="center"/>
    </xf>
    <xf numFmtId="166" fontId="20" fillId="17" borderId="4" xfId="82" applyNumberFormat="1" applyFont="1" applyFill="1" applyBorder="1" applyAlignment="1">
      <alignment horizontal="center"/>
    </xf>
    <xf numFmtId="37" fontId="23" fillId="17" borderId="4" xfId="71" applyNumberFormat="1" applyFont="1" applyFill="1" applyBorder="1" applyAlignment="1">
      <alignment horizontal="center"/>
    </xf>
    <xf numFmtId="37" fontId="20" fillId="17" borderId="4" xfId="71" applyNumberFormat="1" applyFont="1" applyFill="1" applyBorder="1" applyAlignment="1">
      <alignment horizontal="center"/>
    </xf>
    <xf numFmtId="9" fontId="19" fillId="0" borderId="0" xfId="77" applyFont="1" applyBorder="1" applyAlignment="1">
      <alignment horizontal="center"/>
    </xf>
    <xf numFmtId="201" fontId="12" fillId="17" borderId="0" xfId="0" applyNumberFormat="1" applyFont="1" applyFill="1" applyBorder="1"/>
    <xf numFmtId="177" fontId="12" fillId="17" borderId="0" xfId="71" applyNumberFormat="1" applyFont="1" applyFill="1" applyBorder="1" applyAlignment="1">
      <alignment horizontal="center"/>
    </xf>
    <xf numFmtId="202" fontId="12" fillId="0" borderId="0" xfId="0" applyNumberFormat="1" applyFont="1" applyFill="1" applyBorder="1" applyAlignment="1">
      <alignment horizontal="center"/>
    </xf>
    <xf numFmtId="38" fontId="12" fillId="17" borderId="0" xfId="3" applyNumberFormat="1" applyFont="1" applyFill="1" applyBorder="1" applyAlignment="1">
      <alignment horizontal="center"/>
    </xf>
    <xf numFmtId="170" fontId="12" fillId="17" borderId="0" xfId="3" applyNumberFormat="1" applyFont="1" applyFill="1" applyBorder="1" applyAlignment="1">
      <alignment horizontal="center"/>
    </xf>
    <xf numFmtId="180" fontId="12" fillId="17" borderId="0" xfId="0" applyNumberFormat="1" applyFont="1" applyFill="1" applyBorder="1" applyAlignment="1">
      <alignment horizontal="center"/>
    </xf>
    <xf numFmtId="38" fontId="12" fillId="0" borderId="0" xfId="3" applyNumberFormat="1" applyFont="1" applyFill="1" applyBorder="1" applyAlignment="1">
      <alignment horizontal="center"/>
    </xf>
    <xf numFmtId="9" fontId="12" fillId="17" borderId="0" xfId="3" applyNumberFormat="1" applyFont="1" applyFill="1" applyBorder="1" applyAlignment="1">
      <alignment horizontal="center"/>
    </xf>
    <xf numFmtId="38" fontId="12" fillId="17" borderId="4" xfId="3" applyNumberFormat="1" applyFont="1" applyFill="1" applyBorder="1" applyAlignment="1">
      <alignment horizontal="center"/>
    </xf>
    <xf numFmtId="38" fontId="46" fillId="17" borderId="0" xfId="3" applyNumberFormat="1" applyFont="1" applyFill="1" applyBorder="1" applyAlignment="1">
      <alignment horizontal="center"/>
    </xf>
    <xf numFmtId="38" fontId="12" fillId="17" borderId="26" xfId="3" applyNumberFormat="1" applyFont="1" applyFill="1" applyBorder="1" applyAlignment="1">
      <alignment horizontal="center"/>
    </xf>
    <xf numFmtId="38" fontId="12" fillId="0" borderId="26" xfId="3" applyNumberFormat="1" applyFont="1" applyFill="1" applyBorder="1" applyAlignment="1">
      <alignment horizontal="center"/>
    </xf>
    <xf numFmtId="38" fontId="20" fillId="17" borderId="0" xfId="3" applyNumberFormat="1" applyFont="1" applyFill="1" applyBorder="1" applyAlignment="1">
      <alignment horizontal="center"/>
    </xf>
    <xf numFmtId="10" fontId="12" fillId="17" borderId="0" xfId="3" applyNumberFormat="1" applyFont="1" applyFill="1" applyBorder="1" applyAlignment="1">
      <alignment horizontal="center"/>
    </xf>
    <xf numFmtId="38" fontId="12" fillId="0" borderId="4" xfId="3" applyNumberFormat="1" applyFont="1" applyFill="1" applyBorder="1" applyAlignment="1">
      <alignment horizontal="center"/>
    </xf>
    <xf numFmtId="165" fontId="20" fillId="0" borderId="4" xfId="71" applyNumberFormat="1" applyFont="1" applyFill="1" applyBorder="1" applyAlignment="1">
      <alignment horizontal="center"/>
    </xf>
    <xf numFmtId="0" fontId="11" fillId="0" borderId="4" xfId="0" applyFont="1" applyBorder="1"/>
    <xf numFmtId="3" fontId="11" fillId="0" borderId="4" xfId="0" applyNumberFormat="1" applyFont="1" applyBorder="1" applyAlignment="1">
      <alignment horizontal="center"/>
    </xf>
    <xf numFmtId="9" fontId="11" fillId="0" borderId="4" xfId="77" applyFont="1" applyBorder="1" applyAlignment="1">
      <alignment horizontal="center"/>
    </xf>
    <xf numFmtId="9" fontId="21" fillId="0" borderId="0" xfId="77" applyFont="1" applyFill="1" applyBorder="1" applyAlignment="1">
      <alignment horizontal="center"/>
    </xf>
    <xf numFmtId="9" fontId="57" fillId="17" borderId="0" xfId="0" applyNumberFormat="1" applyFont="1" applyFill="1" applyBorder="1" applyAlignment="1">
      <alignment horizontal="center"/>
    </xf>
    <xf numFmtId="166" fontId="17" fillId="17" borderId="0" xfId="0" applyNumberFormat="1" applyFont="1" applyFill="1" applyBorder="1" applyAlignment="1">
      <alignment horizontal="center"/>
    </xf>
    <xf numFmtId="0" fontId="11" fillId="17" borderId="0" xfId="0" applyFont="1" applyFill="1" applyBorder="1" applyAlignment="1">
      <alignment horizontal="left"/>
    </xf>
    <xf numFmtId="9" fontId="82" fillId="0" borderId="0" xfId="0" applyNumberFormat="1" applyFont="1" applyBorder="1" applyAlignment="1">
      <alignment horizontal="center"/>
    </xf>
    <xf numFmtId="1" fontId="11" fillId="0" borderId="0" xfId="0" applyNumberFormat="1" applyFont="1" applyBorder="1" applyAlignment="1">
      <alignment horizontal="center"/>
    </xf>
    <xf numFmtId="166" fontId="39" fillId="17" borderId="0" xfId="0" applyNumberFormat="1" applyFont="1" applyFill="1" applyBorder="1" applyAlignment="1">
      <alignment horizontal="center"/>
    </xf>
    <xf numFmtId="3" fontId="39" fillId="0" borderId="0" xfId="0" applyNumberFormat="1" applyFont="1" applyFill="1" applyAlignment="1">
      <alignment horizontal="center"/>
    </xf>
    <xf numFmtId="3" fontId="11" fillId="0" borderId="0" xfId="0" applyNumberFormat="1" applyFont="1" applyFill="1" applyBorder="1" applyAlignment="1">
      <alignment horizontal="center"/>
    </xf>
    <xf numFmtId="2" fontId="12" fillId="0" borderId="0" xfId="38" applyNumberFormat="1" applyFont="1" applyFill="1" applyAlignment="1">
      <alignment horizontal="center"/>
    </xf>
    <xf numFmtId="180" fontId="12" fillId="0" borderId="0" xfId="0" applyNumberFormat="1" applyFont="1" applyFill="1" applyBorder="1" applyAlignment="1">
      <alignment horizontal="center"/>
    </xf>
    <xf numFmtId="40" fontId="12" fillId="17" borderId="0" xfId="3" applyNumberFormat="1" applyFont="1" applyFill="1" applyBorder="1" applyAlignment="1">
      <alignment horizontal="center"/>
    </xf>
    <xf numFmtId="1" fontId="12" fillId="0" borderId="0" xfId="38" applyNumberFormat="1" applyFont="1" applyFill="1" applyAlignment="1">
      <alignment horizontal="center"/>
    </xf>
    <xf numFmtId="1" fontId="12" fillId="17" borderId="0" xfId="38" applyNumberFormat="1" applyFont="1" applyFill="1" applyAlignment="1">
      <alignment horizontal="center"/>
    </xf>
    <xf numFmtId="38" fontId="12" fillId="17" borderId="0" xfId="3" applyNumberFormat="1" applyFont="1" applyFill="1" applyBorder="1" applyAlignment="1"/>
    <xf numFmtId="38" fontId="12" fillId="0" borderId="0" xfId="3" applyNumberFormat="1" applyFont="1" applyFill="1" applyBorder="1" applyAlignment="1"/>
    <xf numFmtId="38" fontId="12" fillId="17" borderId="4" xfId="3" applyNumberFormat="1" applyFont="1" applyFill="1" applyBorder="1" applyAlignment="1"/>
    <xf numFmtId="38" fontId="12" fillId="0" borderId="4" xfId="3" applyNumberFormat="1" applyFont="1" applyFill="1" applyBorder="1" applyAlignment="1"/>
    <xf numFmtId="38" fontId="12" fillId="0" borderId="1" xfId="3" applyNumberFormat="1" applyFont="1" applyFill="1" applyBorder="1" applyAlignment="1"/>
    <xf numFmtId="38" fontId="22" fillId="17" borderId="0" xfId="3" applyNumberFormat="1" applyFont="1" applyFill="1" applyBorder="1" applyAlignment="1"/>
    <xf numFmtId="170" fontId="12" fillId="17" borderId="26" xfId="3" applyNumberFormat="1" applyFont="1" applyFill="1" applyBorder="1" applyAlignment="1"/>
    <xf numFmtId="38" fontId="12" fillId="17" borderId="26" xfId="3" applyNumberFormat="1" applyFont="1" applyFill="1" applyBorder="1" applyAlignment="1"/>
    <xf numFmtId="9" fontId="12" fillId="17" borderId="0" xfId="3" applyNumberFormat="1" applyFont="1" applyFill="1" applyBorder="1" applyAlignment="1"/>
    <xf numFmtId="170" fontId="12" fillId="17" borderId="0" xfId="3" applyNumberFormat="1" applyFont="1" applyFill="1" applyBorder="1" applyAlignment="1"/>
    <xf numFmtId="200" fontId="12" fillId="0" borderId="0" xfId="38" applyNumberFormat="1" applyFont="1" applyFill="1" applyAlignment="1">
      <alignment horizontal="center"/>
    </xf>
    <xf numFmtId="170" fontId="12" fillId="0" borderId="0" xfId="3" applyNumberFormat="1" applyFont="1" applyFill="1" applyBorder="1"/>
    <xf numFmtId="40" fontId="12" fillId="17" borderId="4" xfId="3" applyNumberFormat="1" applyFont="1" applyFill="1" applyBorder="1" applyAlignment="1">
      <alignment horizontal="center"/>
    </xf>
    <xf numFmtId="170" fontId="12" fillId="0" borderId="0" xfId="3" applyNumberFormat="1" applyFont="1" applyFill="1" applyBorder="1" applyAlignment="1"/>
    <xf numFmtId="40" fontId="20" fillId="17" borderId="0" xfId="71" applyNumberFormat="1" applyFont="1" applyFill="1" applyBorder="1" applyAlignment="1">
      <alignment horizontal="center"/>
    </xf>
    <xf numFmtId="179" fontId="12" fillId="17" borderId="0" xfId="38" applyNumberFormat="1" applyFont="1" applyFill="1" applyAlignment="1">
      <alignment horizontal="center"/>
    </xf>
    <xf numFmtId="180" fontId="12" fillId="17" borderId="0" xfId="38" applyNumberFormat="1" applyFont="1" applyFill="1" applyAlignment="1">
      <alignment horizontal="center"/>
    </xf>
    <xf numFmtId="168" fontId="21" fillId="0" borderId="0" xfId="82" applyNumberFormat="1" applyFont="1" applyFill="1" applyBorder="1" applyAlignment="1">
      <alignment horizontal="center"/>
    </xf>
    <xf numFmtId="168" fontId="30" fillId="0" borderId="0" xfId="82" applyNumberFormat="1" applyFont="1" applyFill="1" applyBorder="1" applyAlignment="1">
      <alignment horizontal="center"/>
    </xf>
    <xf numFmtId="168" fontId="30" fillId="17" borderId="0" xfId="82" applyNumberFormat="1" applyFont="1" applyFill="1" applyBorder="1" applyAlignment="1">
      <alignment horizontal="center"/>
    </xf>
    <xf numFmtId="168" fontId="25" fillId="17" borderId="0" xfId="71" applyNumberFormat="1" applyFont="1" applyFill="1" applyBorder="1" applyAlignment="1" applyProtection="1">
      <alignment horizontal="center"/>
    </xf>
    <xf numFmtId="168" fontId="28" fillId="0" borderId="0" xfId="82" applyNumberFormat="1" applyFont="1" applyFill="1" applyBorder="1" applyAlignment="1">
      <alignment horizontal="center"/>
    </xf>
    <xf numFmtId="5" fontId="20" fillId="0" borderId="0" xfId="71" applyNumberFormat="1" applyFont="1" applyFill="1" applyBorder="1" applyAlignment="1">
      <alignment horizontal="center"/>
    </xf>
    <xf numFmtId="180" fontId="12" fillId="0" borderId="0" xfId="38" applyNumberFormat="1" applyFont="1" applyFill="1" applyAlignment="1">
      <alignment horizontal="center"/>
    </xf>
    <xf numFmtId="180" fontId="12" fillId="17" borderId="0" xfId="38" applyNumberFormat="1" applyFont="1" applyFill="1" applyBorder="1" applyAlignment="1">
      <alignment horizontal="center"/>
    </xf>
    <xf numFmtId="180" fontId="12" fillId="0" borderId="0" xfId="38" applyNumberFormat="1" applyFont="1" applyFill="1" applyBorder="1" applyAlignment="1">
      <alignment horizontal="center"/>
    </xf>
    <xf numFmtId="188" fontId="12" fillId="0" borderId="0" xfId="65" applyNumberFormat="1" applyFont="1" applyFill="1" applyBorder="1" applyAlignment="1">
      <alignment horizontal="center"/>
    </xf>
    <xf numFmtId="2" fontId="20" fillId="0" borderId="0" xfId="72" applyNumberFormat="1" applyFont="1" applyFill="1" applyBorder="1" applyAlignment="1">
      <alignment horizontal="right"/>
    </xf>
    <xf numFmtId="170" fontId="20" fillId="0" borderId="4" xfId="71" applyNumberFormat="1" applyFont="1" applyFill="1" applyBorder="1" applyAlignment="1">
      <alignment horizontal="center"/>
    </xf>
    <xf numFmtId="1" fontId="12" fillId="17" borderId="0" xfId="0" applyNumberFormat="1" applyFont="1" applyFill="1" applyBorder="1" applyAlignment="1">
      <alignment horizontal="center"/>
    </xf>
    <xf numFmtId="5" fontId="12" fillId="17" borderId="0" xfId="71" applyNumberFormat="1" applyFont="1" applyFill="1" applyBorder="1" applyAlignment="1">
      <alignment horizontal="center"/>
    </xf>
    <xf numFmtId="175" fontId="12" fillId="0" borderId="0" xfId="65" applyNumberFormat="1" applyFont="1" applyFill="1" applyBorder="1" applyAlignment="1">
      <alignment horizontal="center"/>
    </xf>
    <xf numFmtId="6" fontId="83" fillId="17" borderId="0" xfId="0" applyNumberFormat="1" applyFont="1" applyFill="1" applyBorder="1" applyAlignment="1">
      <alignment horizontal="center"/>
    </xf>
    <xf numFmtId="0" fontId="83" fillId="17" borderId="0" xfId="0" applyFont="1" applyFill="1" applyBorder="1"/>
    <xf numFmtId="9" fontId="21" fillId="0" borderId="4" xfId="81" applyFont="1" applyFill="1" applyBorder="1" applyAlignment="1">
      <alignment horizontal="center"/>
    </xf>
    <xf numFmtId="9" fontId="12" fillId="0" borderId="0" xfId="81" quotePrefix="1" applyFont="1" applyFill="1" applyBorder="1" applyAlignment="1">
      <alignment horizontal="right"/>
    </xf>
    <xf numFmtId="203" fontId="12" fillId="0" borderId="0" xfId="65" applyNumberFormat="1" applyFont="1" applyFill="1" applyBorder="1" applyAlignment="1">
      <alignment horizontal="center"/>
    </xf>
    <xf numFmtId="175" fontId="22" fillId="0" borderId="0" xfId="38" applyNumberFormat="1" applyFont="1" applyFill="1" applyBorder="1" applyAlignment="1">
      <alignment horizontal="center"/>
    </xf>
    <xf numFmtId="1" fontId="48" fillId="0" borderId="0" xfId="0" applyNumberFormat="1" applyFont="1" applyAlignment="1">
      <alignment horizontal="center"/>
    </xf>
    <xf numFmtId="7" fontId="19" fillId="0" borderId="0" xfId="0" applyNumberFormat="1" applyFont="1"/>
    <xf numFmtId="10" fontId="39" fillId="17" borderId="0" xfId="0" applyNumberFormat="1" applyFont="1" applyFill="1" applyBorder="1" applyAlignment="1">
      <alignment horizontal="center"/>
    </xf>
    <xf numFmtId="1" fontId="20" fillId="17" borderId="0" xfId="3" applyNumberFormat="1" applyFont="1" applyFill="1" applyBorder="1" applyAlignment="1">
      <alignment horizontal="center"/>
    </xf>
    <xf numFmtId="189" fontId="17" fillId="0" borderId="0" xfId="38" applyNumberFormat="1" applyFont="1" applyAlignment="1">
      <alignment horizontal="center"/>
    </xf>
    <xf numFmtId="3" fontId="20" fillId="0" borderId="0" xfId="71" applyNumberFormat="1" applyFont="1" applyFill="1" applyBorder="1" applyAlignment="1">
      <alignment horizontal="center"/>
    </xf>
    <xf numFmtId="38" fontId="12" fillId="17" borderId="1" xfId="3" applyNumberFormat="1" applyFont="1" applyFill="1" applyBorder="1"/>
    <xf numFmtId="38" fontId="12" fillId="17" borderId="1" xfId="3" applyNumberFormat="1" applyFont="1" applyFill="1" applyBorder="1" applyAlignment="1">
      <alignment horizontal="center"/>
    </xf>
    <xf numFmtId="38" fontId="12" fillId="0" borderId="1" xfId="3" applyNumberFormat="1" applyFont="1" applyFill="1" applyBorder="1" applyAlignment="1">
      <alignment horizontal="center"/>
    </xf>
    <xf numFmtId="38" fontId="63" fillId="17" borderId="0" xfId="66" applyFont="1" applyFill="1" applyBorder="1" applyAlignment="1">
      <alignment horizontal="left"/>
    </xf>
    <xf numFmtId="1" fontId="12" fillId="17" borderId="4" xfId="77" applyNumberFormat="1" applyFont="1" applyFill="1" applyBorder="1" applyAlignment="1">
      <alignment horizontal="center"/>
    </xf>
    <xf numFmtId="1" fontId="12" fillId="0" borderId="4" xfId="77" applyNumberFormat="1" applyFont="1" applyFill="1" applyBorder="1" applyAlignment="1">
      <alignment horizontal="center"/>
    </xf>
    <xf numFmtId="1" fontId="64" fillId="0" borderId="0" xfId="77" applyNumberFormat="1" applyFont="1" applyFill="1" applyBorder="1" applyAlignment="1">
      <alignment horizontal="left"/>
    </xf>
    <xf numFmtId="191" fontId="20" fillId="0" borderId="0" xfId="71" applyNumberFormat="1" applyFont="1" applyFill="1" applyBorder="1" applyAlignment="1">
      <alignment horizontal="center"/>
    </xf>
    <xf numFmtId="39" fontId="12" fillId="17" borderId="0" xfId="0" applyNumberFormat="1" applyFont="1" applyFill="1" applyBorder="1"/>
    <xf numFmtId="202" fontId="0" fillId="0" borderId="0" xfId="0" applyNumberFormat="1"/>
    <xf numFmtId="39" fontId="84" fillId="0" borderId="0" xfId="33" applyNumberFormat="1" applyFont="1" applyFill="1"/>
    <xf numFmtId="3" fontId="25" fillId="17" borderId="0" xfId="71" applyNumberFormat="1" applyFont="1" applyFill="1" applyBorder="1" applyAlignment="1" applyProtection="1">
      <alignment horizontal="center"/>
    </xf>
    <xf numFmtId="9" fontId="25" fillId="17" borderId="0" xfId="77" applyFont="1" applyFill="1" applyBorder="1" applyAlignment="1" applyProtection="1">
      <alignment horizontal="center"/>
    </xf>
    <xf numFmtId="176" fontId="20" fillId="17" borderId="28" xfId="72" applyNumberFormat="1" applyFont="1" applyFill="1" applyBorder="1" applyAlignment="1">
      <alignment wrapText="1"/>
    </xf>
    <xf numFmtId="39" fontId="20" fillId="17" borderId="2" xfId="38" applyNumberFormat="1" applyFont="1" applyFill="1" applyBorder="1" applyAlignment="1"/>
    <xf numFmtId="202" fontId="20" fillId="17" borderId="2" xfId="38" applyNumberFormat="1" applyFont="1" applyFill="1" applyBorder="1" applyAlignment="1">
      <alignment horizontal="center"/>
    </xf>
    <xf numFmtId="180" fontId="20" fillId="17" borderId="2" xfId="38" applyNumberFormat="1" applyFont="1" applyFill="1" applyBorder="1" applyAlignment="1">
      <alignment horizontal="center"/>
    </xf>
    <xf numFmtId="176" fontId="20" fillId="0" borderId="10" xfId="72" applyNumberFormat="1" applyFont="1" applyFill="1" applyBorder="1" applyAlignment="1">
      <alignment wrapText="1"/>
    </xf>
    <xf numFmtId="191" fontId="20" fillId="0" borderId="1" xfId="38" applyNumberFormat="1" applyFont="1" applyFill="1" applyBorder="1" applyAlignment="1"/>
    <xf numFmtId="39" fontId="20" fillId="0" borderId="1" xfId="38" applyNumberFormat="1" applyFont="1" applyFill="1" applyBorder="1" applyAlignment="1"/>
    <xf numFmtId="202" fontId="20" fillId="0" borderId="1" xfId="38" applyNumberFormat="1" applyFont="1" applyFill="1" applyBorder="1" applyAlignment="1">
      <alignment horizontal="center"/>
    </xf>
    <xf numFmtId="180" fontId="20" fillId="0" borderId="1" xfId="38" applyNumberFormat="1" applyFont="1" applyFill="1" applyBorder="1" applyAlignment="1">
      <alignment horizontal="center"/>
    </xf>
    <xf numFmtId="176" fontId="20" fillId="0" borderId="3" xfId="72" applyNumberFormat="1" applyFont="1" applyFill="1" applyBorder="1" applyAlignment="1">
      <alignment wrapText="1"/>
    </xf>
    <xf numFmtId="39" fontId="20" fillId="0" borderId="0" xfId="38" applyNumberFormat="1" applyFont="1" applyFill="1" applyBorder="1" applyAlignment="1"/>
    <xf numFmtId="202" fontId="20" fillId="0" borderId="0" xfId="38" applyNumberFormat="1" applyFont="1" applyFill="1" applyBorder="1" applyAlignment="1">
      <alignment horizontal="center"/>
    </xf>
    <xf numFmtId="180" fontId="20" fillId="0" borderId="0" xfId="38" applyNumberFormat="1" applyFont="1" applyFill="1" applyBorder="1" applyAlignment="1">
      <alignment horizontal="center"/>
    </xf>
    <xf numFmtId="176" fontId="20" fillId="0" borderId="29" xfId="72" applyNumberFormat="1" applyFont="1" applyFill="1" applyBorder="1" applyAlignment="1">
      <alignment wrapText="1"/>
    </xf>
    <xf numFmtId="39" fontId="20" fillId="0" borderId="22" xfId="38" applyNumberFormat="1" applyFont="1" applyFill="1" applyBorder="1" applyAlignment="1"/>
    <xf numFmtId="202" fontId="20" fillId="0" borderId="22" xfId="38" applyNumberFormat="1" applyFont="1" applyFill="1" applyBorder="1" applyAlignment="1">
      <alignment horizontal="center"/>
    </xf>
    <xf numFmtId="180" fontId="20" fillId="0" borderId="22" xfId="38" applyNumberFormat="1" applyFont="1" applyFill="1" applyBorder="1" applyAlignment="1">
      <alignment horizontal="center"/>
    </xf>
    <xf numFmtId="39" fontId="22" fillId="0" borderId="0" xfId="38" applyNumberFormat="1" applyFont="1" applyFill="1" applyBorder="1" applyAlignment="1"/>
    <xf numFmtId="0" fontId="20" fillId="17" borderId="28" xfId="72" applyFont="1" applyFill="1" applyBorder="1" applyAlignment="1">
      <alignment wrapText="1"/>
    </xf>
    <xf numFmtId="43" fontId="20" fillId="17" borderId="2" xfId="38" applyFont="1" applyFill="1" applyBorder="1" applyAlignment="1">
      <alignment horizontal="center"/>
    </xf>
    <xf numFmtId="1" fontId="20" fillId="17" borderId="2" xfId="38" applyNumberFormat="1" applyFont="1" applyFill="1" applyBorder="1" applyAlignment="1">
      <alignment horizontal="center"/>
    </xf>
    <xf numFmtId="0" fontId="12" fillId="17" borderId="0" xfId="72" applyFont="1" applyFill="1" applyBorder="1" applyAlignment="1">
      <alignment horizontal="left" wrapText="1" indent="1"/>
    </xf>
    <xf numFmtId="1" fontId="12" fillId="17" borderId="0" xfId="38" applyNumberFormat="1" applyFont="1" applyFill="1" applyBorder="1" applyAlignment="1">
      <alignment horizontal="center"/>
    </xf>
    <xf numFmtId="1" fontId="12" fillId="0" borderId="0" xfId="38" applyNumberFormat="1" applyFont="1" applyFill="1" applyBorder="1" applyAlignment="1">
      <alignment horizontal="center"/>
    </xf>
    <xf numFmtId="172" fontId="12" fillId="0" borderId="0" xfId="38" applyNumberFormat="1" applyFont="1" applyFill="1" applyBorder="1" applyAlignment="1">
      <alignment horizontal="center"/>
    </xf>
    <xf numFmtId="172" fontId="12" fillId="17" borderId="0" xfId="38" applyNumberFormat="1" applyFont="1" applyFill="1" applyBorder="1" applyAlignment="1">
      <alignment horizontal="center"/>
    </xf>
    <xf numFmtId="183" fontId="20" fillId="0" borderId="0" xfId="72" applyNumberFormat="1" applyFont="1" applyFill="1" applyBorder="1" applyAlignment="1">
      <alignment horizontal="right"/>
    </xf>
    <xf numFmtId="183" fontId="20" fillId="0" borderId="0" xfId="72" applyNumberFormat="1" applyFont="1" applyFill="1" applyBorder="1" applyAlignment="1">
      <alignment horizontal="center"/>
    </xf>
    <xf numFmtId="43" fontId="40" fillId="0" borderId="0" xfId="38" applyFont="1" applyFill="1" applyBorder="1" applyAlignment="1">
      <alignment horizontal="center"/>
    </xf>
    <xf numFmtId="2" fontId="20" fillId="0" borderId="0" xfId="65" applyNumberFormat="1" applyFont="1" applyFill="1" applyBorder="1" applyAlignment="1">
      <alignment horizontal="center"/>
    </xf>
    <xf numFmtId="0" fontId="20" fillId="0" borderId="10" xfId="65" applyFont="1" applyFill="1" applyBorder="1"/>
    <xf numFmtId="174" fontId="12" fillId="0" borderId="1" xfId="65" applyNumberFormat="1" applyFont="1" applyFill="1" applyBorder="1" applyAlignment="1">
      <alignment horizontal="right"/>
    </xf>
    <xf numFmtId="174" fontId="12" fillId="0" borderId="1" xfId="65" applyNumberFormat="1" applyFont="1" applyFill="1" applyBorder="1" applyAlignment="1">
      <alignment horizontal="center"/>
    </xf>
    <xf numFmtId="188" fontId="12" fillId="0" borderId="1" xfId="65" applyNumberFormat="1" applyFont="1" applyFill="1" applyBorder="1" applyAlignment="1">
      <alignment horizontal="center"/>
    </xf>
    <xf numFmtId="188" fontId="12" fillId="17" borderId="1" xfId="65" applyNumberFormat="1" applyFont="1" applyFill="1" applyBorder="1" applyAlignment="1">
      <alignment horizontal="center"/>
    </xf>
    <xf numFmtId="173" fontId="12" fillId="17" borderId="1" xfId="65" applyNumberFormat="1" applyFont="1" applyFill="1" applyBorder="1" applyAlignment="1">
      <alignment horizontal="center"/>
    </xf>
    <xf numFmtId="9" fontId="56" fillId="0" borderId="36" xfId="0" applyNumberFormat="1" applyFont="1" applyFill="1" applyBorder="1"/>
    <xf numFmtId="0" fontId="12" fillId="0" borderId="3" xfId="65" applyFont="1" applyFill="1" applyBorder="1"/>
    <xf numFmtId="0" fontId="0" fillId="0" borderId="9" xfId="0" applyFill="1" applyBorder="1"/>
    <xf numFmtId="0" fontId="21" fillId="0" borderId="3" xfId="65" applyFont="1" applyFill="1" applyBorder="1"/>
    <xf numFmtId="0" fontId="12" fillId="0" borderId="9" xfId="65" applyFont="1" applyFill="1" applyBorder="1"/>
    <xf numFmtId="0" fontId="12" fillId="0" borderId="9" xfId="65" quotePrefix="1" applyFont="1" applyFill="1" applyBorder="1"/>
    <xf numFmtId="9" fontId="56" fillId="0" borderId="9" xfId="0" applyNumberFormat="1" applyFont="1" applyFill="1" applyBorder="1"/>
    <xf numFmtId="6" fontId="12" fillId="0" borderId="3" xfId="47" applyFont="1" applyFill="1" applyBorder="1"/>
    <xf numFmtId="6" fontId="12" fillId="0" borderId="9" xfId="47" applyFont="1" applyFill="1" applyBorder="1"/>
    <xf numFmtId="1" fontId="12" fillId="0" borderId="3" xfId="65" applyNumberFormat="1" applyFont="1" applyFill="1" applyBorder="1"/>
    <xf numFmtId="1" fontId="12" fillId="0" borderId="9" xfId="65" applyNumberFormat="1" applyFont="1" applyFill="1" applyBorder="1"/>
    <xf numFmtId="0" fontId="20" fillId="0" borderId="3" xfId="65" applyFont="1" applyFill="1" applyBorder="1"/>
    <xf numFmtId="0" fontId="12" fillId="0" borderId="9" xfId="72" applyFont="1" applyFill="1" applyBorder="1"/>
    <xf numFmtId="0" fontId="12" fillId="0" borderId="3" xfId="72" applyFont="1" applyFill="1" applyBorder="1" applyAlignment="1">
      <alignment wrapText="1"/>
    </xf>
    <xf numFmtId="0" fontId="12" fillId="0" borderId="27" xfId="72" applyFont="1" applyFill="1" applyBorder="1" applyAlignment="1">
      <alignment wrapText="1"/>
    </xf>
    <xf numFmtId="43" fontId="12" fillId="0" borderId="4" xfId="38" applyFont="1" applyFill="1" applyBorder="1"/>
    <xf numFmtId="43" fontId="12" fillId="0" borderId="4" xfId="38" applyFont="1" applyFill="1" applyBorder="1" applyAlignment="1">
      <alignment horizontal="center"/>
    </xf>
    <xf numFmtId="165" fontId="12" fillId="0" borderId="4" xfId="38" applyNumberFormat="1" applyFont="1" applyFill="1" applyBorder="1" applyAlignment="1">
      <alignment horizontal="center"/>
    </xf>
    <xf numFmtId="0" fontId="12" fillId="0" borderId="37" xfId="72" applyFont="1" applyFill="1" applyBorder="1"/>
    <xf numFmtId="176" fontId="20" fillId="0" borderId="0" xfId="72" applyNumberFormat="1" applyFont="1" applyFill="1" applyBorder="1" applyAlignment="1">
      <alignment horizontal="left" wrapText="1"/>
    </xf>
    <xf numFmtId="38" fontId="12" fillId="0" borderId="0" xfId="68" applyFont="1" applyFill="1" applyBorder="1" applyAlignment="1">
      <alignment horizontal="center"/>
    </xf>
    <xf numFmtId="2" fontId="12" fillId="0" borderId="0" xfId="68" applyNumberFormat="1" applyFont="1" applyFill="1" applyBorder="1" applyAlignment="1">
      <alignment horizontal="center"/>
    </xf>
    <xf numFmtId="9" fontId="21" fillId="0" borderId="0" xfId="81" applyFont="1" applyFill="1" applyBorder="1" applyAlignment="1">
      <alignment horizontal="center"/>
    </xf>
    <xf numFmtId="38" fontId="12" fillId="0" borderId="10" xfId="68" applyFont="1" applyFill="1" applyBorder="1"/>
    <xf numFmtId="177" fontId="12" fillId="0" borderId="1" xfId="70" applyNumberFormat="1" applyFont="1" applyFill="1" applyBorder="1" applyAlignment="1">
      <alignment horizontal="right"/>
    </xf>
    <xf numFmtId="177" fontId="12" fillId="0" borderId="1" xfId="70" applyNumberFormat="1" applyFont="1" applyFill="1" applyBorder="1" applyAlignment="1">
      <alignment horizontal="center"/>
    </xf>
    <xf numFmtId="38" fontId="12" fillId="0" borderId="3" xfId="68" applyFont="1" applyFill="1" applyBorder="1"/>
    <xf numFmtId="38" fontId="20" fillId="0" borderId="3" xfId="68" applyFont="1" applyFill="1" applyBorder="1" applyAlignment="1">
      <alignment horizontal="left" indent="1"/>
    </xf>
    <xf numFmtId="38" fontId="21" fillId="0" borderId="3" xfId="68" applyFont="1" applyFill="1" applyBorder="1" applyAlignment="1">
      <alignment horizontal="left" indent="2"/>
    </xf>
    <xf numFmtId="38" fontId="21" fillId="0" borderId="27" xfId="68" applyFont="1" applyFill="1" applyBorder="1" applyAlignment="1">
      <alignment horizontal="left" indent="2"/>
    </xf>
    <xf numFmtId="43" fontId="45" fillId="0" borderId="0" xfId="38" applyFont="1" applyFill="1" applyBorder="1"/>
    <xf numFmtId="43" fontId="45" fillId="0" borderId="0" xfId="38" applyFont="1" applyFill="1" applyBorder="1" applyAlignment="1">
      <alignment horizontal="center"/>
    </xf>
    <xf numFmtId="165" fontId="45" fillId="0" borderId="0" xfId="38" applyNumberFormat="1" applyFont="1" applyFill="1" applyBorder="1" applyAlignment="1">
      <alignment horizontal="center"/>
    </xf>
    <xf numFmtId="176" fontId="12" fillId="0" borderId="10" xfId="72" applyNumberFormat="1" applyFont="1" applyFill="1" applyBorder="1" applyAlignment="1">
      <alignment horizontal="right"/>
    </xf>
    <xf numFmtId="176" fontId="12" fillId="0" borderId="3" xfId="72" applyNumberFormat="1" applyFont="1" applyFill="1" applyBorder="1" applyAlignment="1">
      <alignment horizontal="right"/>
    </xf>
    <xf numFmtId="176" fontId="12" fillId="0" borderId="27" xfId="72" applyNumberFormat="1" applyFont="1" applyFill="1" applyBorder="1" applyAlignment="1">
      <alignment horizontal="right"/>
    </xf>
    <xf numFmtId="176" fontId="12" fillId="0" borderId="10" xfId="72" applyNumberFormat="1" applyFont="1" applyFill="1" applyBorder="1" applyAlignment="1">
      <alignment horizontal="left" wrapText="1"/>
    </xf>
    <xf numFmtId="2" fontId="12" fillId="0" borderId="1" xfId="70" applyNumberFormat="1" applyFont="1" applyFill="1" applyBorder="1" applyAlignment="1">
      <alignment horizontal="center"/>
    </xf>
    <xf numFmtId="2" fontId="12" fillId="0" borderId="4" xfId="70" applyNumberFormat="1" applyFont="1" applyFill="1" applyBorder="1" applyAlignment="1">
      <alignment horizontal="center"/>
    </xf>
    <xf numFmtId="176" fontId="12" fillId="0" borderId="3" xfId="72" applyNumberFormat="1" applyFont="1" applyFill="1" applyBorder="1" applyAlignment="1">
      <alignment horizontal="left" wrapText="1" indent="1"/>
    </xf>
    <xf numFmtId="176" fontId="12" fillId="0" borderId="27" xfId="72" applyNumberFormat="1" applyFont="1" applyFill="1" applyBorder="1" applyAlignment="1">
      <alignment horizontal="left" wrapText="1" indent="1"/>
    </xf>
    <xf numFmtId="0" fontId="0" fillId="0" borderId="0" xfId="0" applyNumberFormat="1" applyAlignment="1">
      <alignment horizontal="center"/>
    </xf>
    <xf numFmtId="0" fontId="20" fillId="0" borderId="0" xfId="69" applyFont="1" applyFill="1" applyBorder="1" applyAlignment="1">
      <alignment horizontal="left" wrapText="1"/>
    </xf>
    <xf numFmtId="7" fontId="20" fillId="0" borderId="0" xfId="82" applyNumberFormat="1" applyFont="1" applyFill="1" applyBorder="1" applyAlignment="1">
      <alignment horizontal="center"/>
    </xf>
    <xf numFmtId="7" fontId="20" fillId="0" borderId="0" xfId="71" applyNumberFormat="1" applyFont="1" applyFill="1" applyBorder="1" applyAlignment="1">
      <alignment horizontal="center" vertical="center"/>
    </xf>
    <xf numFmtId="166" fontId="20" fillId="0" borderId="0" xfId="82" applyNumberFormat="1" applyFont="1" applyFill="1" applyBorder="1" applyAlignment="1">
      <alignment horizontal="center" vertical="center"/>
    </xf>
    <xf numFmtId="7" fontId="12" fillId="0" borderId="0" xfId="71" applyNumberFormat="1" applyFont="1" applyFill="1" applyBorder="1" applyAlignment="1">
      <alignment horizontal="center" vertical="center"/>
    </xf>
    <xf numFmtId="201" fontId="12" fillId="0" borderId="0" xfId="71" applyNumberFormat="1" applyFont="1" applyFill="1" applyBorder="1" applyAlignment="1">
      <alignment horizontal="center" vertical="center"/>
    </xf>
    <xf numFmtId="0" fontId="12" fillId="0" borderId="0" xfId="69" applyFont="1" applyFill="1" applyBorder="1" applyAlignment="1">
      <alignment horizontal="left" wrapText="1"/>
    </xf>
    <xf numFmtId="7" fontId="12" fillId="0" borderId="0" xfId="71" applyNumberFormat="1" applyFont="1" applyFill="1" applyBorder="1" applyAlignment="1">
      <alignment horizontal="center"/>
    </xf>
    <xf numFmtId="201" fontId="12" fillId="0" borderId="0" xfId="71" applyNumberFormat="1" applyFont="1" applyFill="1" applyBorder="1" applyAlignment="1">
      <alignment horizontal="center"/>
    </xf>
    <xf numFmtId="0" fontId="12" fillId="0" borderId="0" xfId="69" applyFont="1" applyFill="1" applyBorder="1" applyAlignment="1">
      <alignment horizontal="left" vertical="center" wrapText="1"/>
    </xf>
    <xf numFmtId="183" fontId="20" fillId="0" borderId="0" xfId="71" applyNumberFormat="1" applyFont="1" applyFill="1" applyBorder="1" applyAlignment="1">
      <alignment horizontal="center"/>
    </xf>
    <xf numFmtId="184" fontId="20" fillId="0" borderId="0" xfId="71" applyNumberFormat="1" applyFont="1" applyFill="1" applyBorder="1" applyAlignment="1">
      <alignment horizontal="center"/>
    </xf>
    <xf numFmtId="38" fontId="11" fillId="0" borderId="10" xfId="66" applyFont="1" applyFill="1" applyBorder="1" applyAlignment="1">
      <alignment horizontal="left"/>
    </xf>
    <xf numFmtId="168" fontId="20" fillId="0" borderId="1" xfId="82" applyFont="1" applyFill="1" applyBorder="1" applyAlignment="1">
      <alignment horizontal="center"/>
    </xf>
    <xf numFmtId="9" fontId="12" fillId="0" borderId="1" xfId="77" applyFont="1" applyFill="1" applyBorder="1" applyAlignment="1">
      <alignment horizontal="center"/>
    </xf>
    <xf numFmtId="38" fontId="19" fillId="0" borderId="3" xfId="66" applyFont="1" applyFill="1" applyBorder="1" applyAlignment="1">
      <alignment horizontal="left"/>
    </xf>
    <xf numFmtId="38" fontId="11" fillId="0" borderId="3" xfId="66" applyFont="1" applyFill="1" applyBorder="1" applyAlignment="1">
      <alignment horizontal="left"/>
    </xf>
    <xf numFmtId="38" fontId="63" fillId="0" borderId="3" xfId="66" applyFont="1" applyFill="1" applyBorder="1" applyAlignment="1">
      <alignment horizontal="left"/>
    </xf>
    <xf numFmtId="168" fontId="64" fillId="0" borderId="0" xfId="82" applyFont="1" applyFill="1" applyBorder="1" applyAlignment="1">
      <alignment horizontal="center"/>
    </xf>
    <xf numFmtId="38" fontId="63" fillId="0" borderId="27" xfId="66" applyFont="1" applyFill="1" applyBorder="1" applyAlignment="1">
      <alignment horizontal="left"/>
    </xf>
    <xf numFmtId="168" fontId="64" fillId="0" borderId="4" xfId="82" applyFont="1" applyFill="1" applyBorder="1" applyAlignment="1">
      <alignment horizontal="center"/>
    </xf>
    <xf numFmtId="38" fontId="63" fillId="0" borderId="0" xfId="66" applyFont="1" applyFill="1" applyBorder="1" applyAlignment="1">
      <alignment horizontal="left"/>
    </xf>
    <xf numFmtId="1" fontId="64" fillId="0" borderId="11" xfId="77" applyNumberFormat="1" applyFont="1" applyFill="1" applyBorder="1" applyAlignment="1">
      <alignment horizontal="center"/>
    </xf>
    <xf numFmtId="1" fontId="12" fillId="0" borderId="0" xfId="77" applyNumberFormat="1" applyFont="1" applyFill="1" applyBorder="1" applyAlignment="1">
      <alignment horizontal="center"/>
    </xf>
    <xf numFmtId="38" fontId="19" fillId="0" borderId="10" xfId="66" applyFont="1" applyFill="1" applyBorder="1" applyAlignment="1">
      <alignment horizontal="left"/>
    </xf>
    <xf numFmtId="168" fontId="64" fillId="0" borderId="1" xfId="82" applyFont="1" applyFill="1" applyBorder="1" applyAlignment="1">
      <alignment horizontal="center"/>
    </xf>
    <xf numFmtId="1" fontId="64" fillId="0" borderId="1" xfId="77" applyNumberFormat="1" applyFont="1" applyFill="1" applyBorder="1" applyAlignment="1">
      <alignment horizontal="center"/>
    </xf>
    <xf numFmtId="1" fontId="64" fillId="0" borderId="1" xfId="77" applyNumberFormat="1" applyFont="1" applyFill="1" applyBorder="1" applyAlignment="1">
      <alignment horizontal="left"/>
    </xf>
    <xf numFmtId="1" fontId="12" fillId="0" borderId="1" xfId="77" applyNumberFormat="1" applyFont="1" applyFill="1" applyBorder="1" applyAlignment="1">
      <alignment horizontal="center"/>
    </xf>
    <xf numFmtId="9" fontId="19" fillId="0" borderId="1" xfId="0" applyNumberFormat="1" applyFont="1" applyFill="1" applyBorder="1" applyAlignment="1">
      <alignment horizontal="center"/>
    </xf>
    <xf numFmtId="38" fontId="19" fillId="17" borderId="10" xfId="66" applyFont="1" applyFill="1" applyBorder="1" applyAlignment="1">
      <alignment horizontal="left"/>
    </xf>
    <xf numFmtId="38" fontId="24" fillId="17" borderId="1" xfId="71" applyFont="1" applyFill="1" applyBorder="1"/>
    <xf numFmtId="40" fontId="20" fillId="0" borderId="1" xfId="71" applyNumberFormat="1" applyFont="1" applyFill="1" applyBorder="1"/>
    <xf numFmtId="40" fontId="20" fillId="0" borderId="1" xfId="71" applyNumberFormat="1" applyFont="1" applyFill="1" applyBorder="1" applyAlignment="1">
      <alignment horizontal="center"/>
    </xf>
    <xf numFmtId="170" fontId="20" fillId="0" borderId="1" xfId="71" applyNumberFormat="1" applyFont="1" applyFill="1" applyBorder="1" applyAlignment="1">
      <alignment horizontal="center"/>
    </xf>
    <xf numFmtId="183" fontId="20" fillId="17" borderId="0" xfId="71" applyNumberFormat="1" applyFont="1" applyFill="1" applyBorder="1" applyAlignment="1">
      <alignment horizontal="center"/>
    </xf>
    <xf numFmtId="184" fontId="20" fillId="17" borderId="0" xfId="71" applyNumberFormat="1" applyFont="1" applyFill="1" applyBorder="1" applyAlignment="1">
      <alignment horizontal="center"/>
    </xf>
    <xf numFmtId="168" fontId="12" fillId="17" borderId="1" xfId="82" applyFont="1" applyFill="1" applyBorder="1"/>
    <xf numFmtId="168" fontId="22" fillId="0" borderId="1" xfId="82" applyFont="1" applyFill="1" applyBorder="1"/>
    <xf numFmtId="168" fontId="12" fillId="0" borderId="1" xfId="82" applyFont="1" applyFill="1" applyBorder="1"/>
    <xf numFmtId="168" fontId="12" fillId="17" borderId="1" xfId="82" applyFont="1" applyFill="1" applyBorder="1" applyAlignment="1">
      <alignment horizontal="center"/>
    </xf>
    <xf numFmtId="38" fontId="20" fillId="17" borderId="4" xfId="71" applyFont="1" applyFill="1" applyBorder="1"/>
    <xf numFmtId="38" fontId="20" fillId="0" borderId="4" xfId="71" applyFont="1" applyFill="1" applyBorder="1"/>
    <xf numFmtId="38" fontId="20" fillId="0" borderId="4" xfId="71" applyFont="1" applyFill="1" applyBorder="1" applyAlignment="1">
      <alignment horizontal="center"/>
    </xf>
    <xf numFmtId="166" fontId="12" fillId="17" borderId="0" xfId="71" applyNumberFormat="1" applyFont="1" applyFill="1" applyBorder="1" applyAlignment="1">
      <alignment horizontal="center"/>
    </xf>
    <xf numFmtId="0" fontId="20" fillId="17" borderId="10" xfId="69" applyFont="1" applyFill="1" applyBorder="1" applyAlignment="1">
      <alignment horizontal="left" wrapText="1"/>
    </xf>
    <xf numFmtId="37" fontId="20" fillId="17" borderId="1" xfId="71" applyNumberFormat="1" applyFont="1" applyFill="1" applyBorder="1" applyAlignment="1">
      <alignment horizontal="center"/>
    </xf>
    <xf numFmtId="7" fontId="20" fillId="17" borderId="1" xfId="71" applyNumberFormat="1" applyFont="1" applyFill="1" applyBorder="1" applyAlignment="1">
      <alignment horizontal="center"/>
    </xf>
    <xf numFmtId="201" fontId="20" fillId="17" borderId="1" xfId="71" applyNumberFormat="1" applyFont="1" applyFill="1" applyBorder="1" applyAlignment="1">
      <alignment horizontal="center"/>
    </xf>
    <xf numFmtId="38" fontId="12" fillId="17" borderId="3" xfId="71" applyFont="1" applyFill="1" applyBorder="1" applyAlignment="1">
      <alignment horizontal="left"/>
    </xf>
    <xf numFmtId="38" fontId="21" fillId="17" borderId="3" xfId="66" applyFont="1" applyFill="1" applyBorder="1" applyAlignment="1">
      <alignment horizontal="left"/>
    </xf>
    <xf numFmtId="168" fontId="20" fillId="17" borderId="4" xfId="82" applyFont="1" applyFill="1" applyBorder="1" applyAlignment="1">
      <alignment horizontal="center"/>
    </xf>
    <xf numFmtId="9" fontId="12" fillId="17" borderId="4" xfId="77" applyFont="1" applyFill="1" applyBorder="1" applyAlignment="1">
      <alignment horizontal="center"/>
    </xf>
    <xf numFmtId="38" fontId="12" fillId="17" borderId="4" xfId="71" applyFont="1" applyFill="1" applyBorder="1" applyAlignment="1">
      <alignment horizontal="center"/>
    </xf>
    <xf numFmtId="166" fontId="23" fillId="17" borderId="0" xfId="71" applyNumberFormat="1" applyFont="1" applyFill="1" applyBorder="1" applyAlignment="1">
      <alignment horizontal="center"/>
    </xf>
    <xf numFmtId="0" fontId="20" fillId="0" borderId="0" xfId="67" applyFont="1" applyFill="1" applyBorder="1" applyAlignment="1">
      <alignment horizontal="left"/>
    </xf>
    <xf numFmtId="180" fontId="12" fillId="17" borderId="0" xfId="0" applyNumberFormat="1" applyFont="1" applyFill="1" applyBorder="1" applyAlignment="1">
      <alignment horizontal="right"/>
    </xf>
    <xf numFmtId="0" fontId="12" fillId="17" borderId="10" xfId="67" applyFont="1" applyFill="1" applyBorder="1"/>
    <xf numFmtId="179" fontId="12" fillId="0" borderId="1" xfId="0" applyNumberFormat="1" applyFont="1" applyFill="1" applyBorder="1" applyAlignment="1">
      <alignment horizontal="right"/>
    </xf>
    <xf numFmtId="180" fontId="12" fillId="0" borderId="1" xfId="0" applyNumberFormat="1" applyFont="1" applyFill="1" applyBorder="1" applyAlignment="1">
      <alignment horizontal="center"/>
    </xf>
    <xf numFmtId="0" fontId="12" fillId="17" borderId="3" xfId="67" applyFont="1" applyFill="1" applyBorder="1"/>
    <xf numFmtId="0" fontId="20" fillId="17" borderId="3" xfId="67" applyFont="1" applyFill="1" applyBorder="1"/>
    <xf numFmtId="0" fontId="12" fillId="17" borderId="27" xfId="67" applyFont="1" applyFill="1" applyBorder="1"/>
    <xf numFmtId="180" fontId="12" fillId="0" borderId="4" xfId="0" applyNumberFormat="1" applyFont="1" applyFill="1" applyBorder="1" applyAlignment="1">
      <alignment horizontal="right"/>
    </xf>
    <xf numFmtId="180" fontId="12" fillId="17" borderId="4" xfId="0" applyNumberFormat="1" applyFont="1" applyFill="1" applyBorder="1" applyAlignment="1">
      <alignment horizontal="right"/>
    </xf>
    <xf numFmtId="173" fontId="89" fillId="17" borderId="0" xfId="77" applyNumberFormat="1" applyFont="1" applyFill="1" applyBorder="1" applyAlignment="1">
      <alignment horizontal="center"/>
    </xf>
    <xf numFmtId="176" fontId="21" fillId="0" borderId="3" xfId="72" applyNumberFormat="1" applyFont="1" applyFill="1" applyBorder="1" applyAlignment="1">
      <alignment horizontal="left" wrapText="1" indent="1"/>
    </xf>
    <xf numFmtId="165" fontId="12" fillId="0" borderId="4" xfId="71" applyNumberFormat="1" applyFont="1" applyFill="1" applyBorder="1" applyAlignment="1">
      <alignment horizontal="center"/>
    </xf>
    <xf numFmtId="9" fontId="28" fillId="0" borderId="4" xfId="71" applyNumberFormat="1" applyFont="1" applyFill="1" applyBorder="1" applyAlignment="1">
      <alignment horizontal="center"/>
    </xf>
    <xf numFmtId="9" fontId="21" fillId="0" borderId="4" xfId="71" applyNumberFormat="1" applyFont="1" applyFill="1" applyBorder="1" applyAlignment="1">
      <alignment horizontal="center"/>
    </xf>
    <xf numFmtId="0" fontId="20" fillId="17" borderId="1" xfId="0" applyFont="1" applyFill="1" applyBorder="1" applyAlignment="1">
      <alignment horizontal="left" wrapText="1"/>
    </xf>
    <xf numFmtId="166" fontId="20" fillId="17" borderId="1" xfId="82" applyNumberFormat="1" applyFont="1" applyFill="1" applyBorder="1" applyAlignment="1">
      <alignment horizontal="center"/>
    </xf>
    <xf numFmtId="37" fontId="23" fillId="17" borderId="1" xfId="71" applyNumberFormat="1" applyFont="1" applyFill="1" applyBorder="1" applyAlignment="1">
      <alignment horizontal="center"/>
    </xf>
    <xf numFmtId="39" fontId="20" fillId="0" borderId="1" xfId="71" applyNumberFormat="1" applyFont="1" applyFill="1" applyBorder="1" applyAlignment="1">
      <alignment horizontal="center"/>
    </xf>
    <xf numFmtId="37" fontId="20" fillId="0" borderId="1" xfId="71" applyNumberFormat="1" applyFont="1" applyFill="1" applyBorder="1" applyAlignment="1">
      <alignment horizontal="center"/>
    </xf>
    <xf numFmtId="0" fontId="11" fillId="2" borderId="2" xfId="0" applyNumberFormat="1" applyFont="1" applyFill="1" applyBorder="1" applyAlignment="1" applyProtection="1">
      <alignment horizontal="center" vertical="center"/>
      <protection locked="0"/>
    </xf>
    <xf numFmtId="194" fontId="11" fillId="2" borderId="2" xfId="0" quotePrefix="1" applyNumberFormat="1" applyFont="1" applyFill="1" applyBorder="1" applyAlignment="1">
      <alignment horizontal="center" vertical="center"/>
    </xf>
    <xf numFmtId="0" fontId="89" fillId="17" borderId="0" xfId="3" applyFont="1" applyFill="1" applyBorder="1"/>
    <xf numFmtId="170" fontId="89" fillId="17" borderId="0" xfId="3" applyNumberFormat="1" applyFont="1" applyFill="1" applyBorder="1" applyAlignment="1">
      <alignment horizontal="center"/>
    </xf>
    <xf numFmtId="10" fontId="22" fillId="0" borderId="0" xfId="3" applyNumberFormat="1" applyFont="1" applyFill="1" applyBorder="1"/>
    <xf numFmtId="38" fontId="89" fillId="17" borderId="0" xfId="3" applyNumberFormat="1" applyFont="1" applyFill="1" applyBorder="1" applyAlignment="1">
      <alignment horizontal="center"/>
    </xf>
    <xf numFmtId="2" fontId="89" fillId="17" borderId="0" xfId="3" applyNumberFormat="1" applyFont="1" applyFill="1" applyBorder="1" applyAlignment="1">
      <alignment horizontal="center"/>
    </xf>
    <xf numFmtId="179" fontId="12" fillId="0" borderId="0" xfId="0" applyNumberFormat="1" applyFont="1" applyFill="1" applyBorder="1" applyAlignment="1">
      <alignment horizontal="center"/>
    </xf>
    <xf numFmtId="0" fontId="17" fillId="17" borderId="0" xfId="0" applyFont="1" applyFill="1" applyBorder="1"/>
    <xf numFmtId="166" fontId="17" fillId="0" borderId="0" xfId="0" applyNumberFormat="1" applyFont="1" applyFill="1" applyBorder="1" applyAlignment="1">
      <alignment horizontal="center"/>
    </xf>
    <xf numFmtId="9" fontId="19" fillId="0" borderId="0" xfId="0" applyNumberFormat="1" applyFont="1" applyFill="1"/>
    <xf numFmtId="0" fontId="100" fillId="0" borderId="0" xfId="0" applyFont="1" applyFill="1" applyBorder="1"/>
    <xf numFmtId="6" fontId="100" fillId="0" borderId="0" xfId="0" applyNumberFormat="1" applyFont="1" applyFill="1" applyBorder="1" applyAlignment="1">
      <alignment horizontal="center"/>
    </xf>
    <xf numFmtId="40" fontId="12" fillId="0" borderId="0" xfId="3" applyNumberFormat="1" applyFont="1" applyFill="1" applyBorder="1" applyAlignment="1">
      <alignment horizontal="center"/>
    </xf>
    <xf numFmtId="170" fontId="12" fillId="0" borderId="0" xfId="3" applyNumberFormat="1" applyFont="1" applyFill="1" applyBorder="1" applyAlignment="1">
      <alignment horizontal="center"/>
    </xf>
    <xf numFmtId="14" fontId="30" fillId="0" borderId="0" xfId="81" applyNumberFormat="1" applyFont="1" applyFill="1" applyBorder="1" applyAlignment="1">
      <alignment horizontal="center"/>
    </xf>
    <xf numFmtId="0" fontId="19" fillId="17" borderId="0" xfId="0" applyFont="1" applyFill="1" applyBorder="1" applyAlignment="1">
      <alignment horizontal="left"/>
    </xf>
    <xf numFmtId="0" fontId="19" fillId="17" borderId="0" xfId="0" applyFont="1" applyFill="1" applyAlignment="1">
      <alignment horizontal="left"/>
    </xf>
    <xf numFmtId="193" fontId="19" fillId="0" borderId="0" xfId="77" applyNumberFormat="1" applyFont="1" applyAlignment="1">
      <alignment horizontal="center"/>
    </xf>
    <xf numFmtId="14" fontId="19" fillId="0" borderId="0" xfId="0" applyNumberFormat="1" applyFont="1"/>
    <xf numFmtId="166" fontId="19" fillId="0" borderId="0" xfId="77" applyNumberFormat="1" applyFont="1" applyAlignment="1">
      <alignment horizontal="center"/>
    </xf>
    <xf numFmtId="8" fontId="19" fillId="0" borderId="0" xfId="0" applyNumberFormat="1" applyFont="1" applyAlignment="1">
      <alignment horizontal="center"/>
    </xf>
    <xf numFmtId="0" fontId="19" fillId="0" borderId="0" xfId="0" applyFont="1" applyBorder="1" applyAlignment="1">
      <alignment horizontal="center"/>
    </xf>
    <xf numFmtId="1" fontId="19" fillId="0" borderId="0" xfId="0" applyNumberFormat="1" applyFont="1" applyBorder="1" applyAlignment="1">
      <alignment horizontal="center"/>
    </xf>
    <xf numFmtId="37" fontId="19" fillId="0" borderId="0" xfId="0" applyNumberFormat="1" applyFont="1" applyBorder="1" applyAlignment="1">
      <alignment horizontal="center"/>
    </xf>
    <xf numFmtId="193" fontId="19" fillId="0" borderId="0" xfId="0" applyNumberFormat="1" applyFont="1" applyBorder="1" applyAlignment="1">
      <alignment horizontal="center"/>
    </xf>
    <xf numFmtId="193" fontId="18" fillId="0" borderId="0" xfId="0" applyNumberFormat="1" applyFont="1" applyBorder="1" applyAlignment="1">
      <alignment horizontal="center"/>
    </xf>
    <xf numFmtId="10" fontId="18" fillId="0" borderId="0" xfId="0" applyNumberFormat="1" applyFont="1" applyBorder="1" applyAlignment="1">
      <alignment horizontal="center"/>
    </xf>
    <xf numFmtId="166" fontId="18" fillId="17" borderId="0" xfId="0" applyNumberFormat="1" applyFont="1" applyFill="1" applyBorder="1" applyAlignment="1">
      <alignment horizontal="center"/>
    </xf>
    <xf numFmtId="166" fontId="18" fillId="0" borderId="0" xfId="0" applyNumberFormat="1" applyFont="1" applyBorder="1" applyAlignment="1">
      <alignment horizontal="center"/>
    </xf>
    <xf numFmtId="0" fontId="39" fillId="0" borderId="0" xfId="0" applyFont="1" applyBorder="1" applyAlignment="1">
      <alignment horizontal="center"/>
    </xf>
    <xf numFmtId="38" fontId="20" fillId="0" borderId="2" xfId="71" applyFont="1" applyFill="1" applyBorder="1" applyAlignment="1">
      <alignment horizontal="left" wrapText="1"/>
    </xf>
    <xf numFmtId="49" fontId="20" fillId="0" borderId="2" xfId="71" applyNumberFormat="1" applyFont="1" applyFill="1" applyBorder="1" applyAlignment="1">
      <alignment horizontal="center"/>
    </xf>
    <xf numFmtId="183" fontId="20" fillId="0" borderId="2" xfId="71" applyNumberFormat="1" applyFont="1" applyFill="1" applyBorder="1" applyAlignment="1">
      <alignment horizontal="center"/>
    </xf>
    <xf numFmtId="184" fontId="20" fillId="0" borderId="2" xfId="71" applyNumberFormat="1" applyFont="1" applyFill="1" applyBorder="1" applyAlignment="1">
      <alignment horizontal="center"/>
    </xf>
    <xf numFmtId="38" fontId="20" fillId="0" borderId="28" xfId="71" applyFont="1" applyFill="1" applyBorder="1" applyAlignment="1">
      <alignment horizontal="left" wrapText="1"/>
    </xf>
    <xf numFmtId="166" fontId="20" fillId="0" borderId="2" xfId="82" applyNumberFormat="1" applyFont="1" applyFill="1" applyBorder="1" applyAlignment="1">
      <alignment horizontal="center"/>
    </xf>
    <xf numFmtId="7" fontId="20" fillId="0" borderId="2" xfId="71" applyNumberFormat="1" applyFont="1" applyFill="1" applyBorder="1" applyAlignment="1">
      <alignment horizontal="center"/>
    </xf>
    <xf numFmtId="201" fontId="20" fillId="0" borderId="2" xfId="71" applyNumberFormat="1" applyFont="1" applyFill="1" applyBorder="1" applyAlignment="1">
      <alignment horizontal="center"/>
    </xf>
    <xf numFmtId="5" fontId="20" fillId="0" borderId="2" xfId="71" applyNumberFormat="1" applyFont="1" applyFill="1" applyBorder="1" applyAlignment="1">
      <alignment horizontal="center"/>
    </xf>
    <xf numFmtId="165" fontId="20" fillId="0" borderId="10" xfId="0" applyNumberFormat="1" applyFont="1" applyFill="1" applyBorder="1" applyAlignment="1">
      <alignment horizontal="left"/>
    </xf>
    <xf numFmtId="166" fontId="20" fillId="0" borderId="1" xfId="82" applyNumberFormat="1" applyFont="1" applyFill="1" applyBorder="1" applyAlignment="1">
      <alignment horizontal="center"/>
    </xf>
    <xf numFmtId="7" fontId="20" fillId="0" borderId="1" xfId="71" applyNumberFormat="1" applyFont="1" applyFill="1" applyBorder="1" applyAlignment="1">
      <alignment horizontal="center"/>
    </xf>
    <xf numFmtId="165" fontId="20" fillId="0" borderId="27" xfId="0" applyNumberFormat="1" applyFont="1" applyFill="1" applyBorder="1" applyAlignment="1">
      <alignment horizontal="left"/>
    </xf>
    <xf numFmtId="166" fontId="20" fillId="0" borderId="4" xfId="82" applyNumberFormat="1" applyFont="1" applyFill="1" applyBorder="1" applyAlignment="1">
      <alignment horizontal="center"/>
    </xf>
    <xf numFmtId="7" fontId="20" fillId="0" borderId="4" xfId="71" applyNumberFormat="1" applyFont="1" applyFill="1" applyBorder="1" applyAlignment="1">
      <alignment horizontal="center"/>
    </xf>
    <xf numFmtId="0" fontId="99" fillId="0" borderId="0" xfId="63"/>
    <xf numFmtId="0" fontId="101" fillId="0" borderId="0" xfId="63" applyFont="1"/>
    <xf numFmtId="0" fontId="102" fillId="0" borderId="0" xfId="63" applyFont="1"/>
    <xf numFmtId="0" fontId="102" fillId="22" borderId="40" xfId="63" applyFont="1" applyFill="1" applyBorder="1" applyAlignment="1">
      <alignment horizontal="center"/>
    </xf>
    <xf numFmtId="0" fontId="102" fillId="0" borderId="41" xfId="63" applyFont="1" applyBorder="1"/>
    <xf numFmtId="0" fontId="99" fillId="0" borderId="9" xfId="63" applyBorder="1"/>
    <xf numFmtId="5" fontId="0" fillId="0" borderId="9" xfId="43" applyNumberFormat="1" applyFont="1" applyBorder="1"/>
    <xf numFmtId="0" fontId="103" fillId="0" borderId="8" xfId="63" applyFont="1" applyBorder="1"/>
    <xf numFmtId="0" fontId="99" fillId="0" borderId="9" xfId="63" applyBorder="1" applyAlignment="1">
      <alignment horizontal="left"/>
    </xf>
    <xf numFmtId="0" fontId="103" fillId="0" borderId="21" xfId="63" applyFont="1" applyBorder="1"/>
    <xf numFmtId="5" fontId="0" fillId="0" borderId="37" xfId="43" applyNumberFormat="1" applyFont="1" applyBorder="1"/>
    <xf numFmtId="0" fontId="102" fillId="0" borderId="8" xfId="63" applyFont="1" applyBorder="1"/>
    <xf numFmtId="5" fontId="0" fillId="0" borderId="8" xfId="43" applyNumberFormat="1" applyFont="1" applyBorder="1"/>
    <xf numFmtId="0" fontId="99" fillId="0" borderId="21" xfId="63" applyBorder="1"/>
    <xf numFmtId="0" fontId="99" fillId="0" borderId="37" xfId="63" applyBorder="1"/>
    <xf numFmtId="0" fontId="103" fillId="0" borderId="42" xfId="63" applyFont="1" applyFill="1" applyBorder="1"/>
    <xf numFmtId="173" fontId="99" fillId="0" borderId="42" xfId="63" applyNumberFormat="1" applyBorder="1"/>
    <xf numFmtId="173" fontId="99" fillId="0" borderId="43" xfId="63" applyNumberFormat="1" applyBorder="1"/>
    <xf numFmtId="174" fontId="99" fillId="0" borderId="35" xfId="63" applyNumberFormat="1" applyBorder="1"/>
    <xf numFmtId="5" fontId="99" fillId="0" borderId="0" xfId="63" applyNumberFormat="1"/>
    <xf numFmtId="0" fontId="99" fillId="0" borderId="44" xfId="63" applyBorder="1"/>
    <xf numFmtId="173" fontId="99" fillId="0" borderId="45" xfId="63" applyNumberFormat="1" applyBorder="1"/>
    <xf numFmtId="0" fontId="99" fillId="21" borderId="46" xfId="63" applyFill="1" applyBorder="1"/>
    <xf numFmtId="173" fontId="99" fillId="0" borderId="47" xfId="63" applyNumberFormat="1" applyBorder="1"/>
    <xf numFmtId="9" fontId="104" fillId="0" borderId="47" xfId="63" applyNumberFormat="1" applyFont="1" applyBorder="1"/>
    <xf numFmtId="0" fontId="99" fillId="21" borderId="0" xfId="63" applyFill="1" applyAlignment="1">
      <alignment horizontal="center"/>
    </xf>
    <xf numFmtId="0" fontId="99" fillId="21" borderId="48" xfId="63" applyFill="1" applyBorder="1"/>
    <xf numFmtId="174" fontId="99" fillId="0" borderId="39" xfId="63" applyNumberFormat="1" applyBorder="1"/>
    <xf numFmtId="174" fontId="99" fillId="0" borderId="35" xfId="63" applyNumberFormat="1" applyBorder="1" applyAlignment="1">
      <alignment horizontal="center"/>
    </xf>
    <xf numFmtId="0" fontId="99" fillId="0" borderId="0" xfId="63" applyFill="1" applyBorder="1"/>
    <xf numFmtId="8" fontId="99" fillId="0" borderId="0" xfId="63" applyNumberFormat="1" applyBorder="1"/>
    <xf numFmtId="0" fontId="103" fillId="21" borderId="49" xfId="63" applyFont="1" applyFill="1" applyBorder="1"/>
    <xf numFmtId="166" fontId="94" fillId="21" borderId="50" xfId="80" applyNumberFormat="1" applyFont="1" applyFill="1" applyBorder="1"/>
    <xf numFmtId="6" fontId="99" fillId="0" borderId="0" xfId="63" applyNumberFormat="1"/>
    <xf numFmtId="0" fontId="102" fillId="0" borderId="3" xfId="63" applyFont="1" applyFill="1" applyBorder="1"/>
    <xf numFmtId="0" fontId="99" fillId="21" borderId="0" xfId="63" applyFill="1"/>
    <xf numFmtId="0" fontId="99" fillId="21" borderId="41" xfId="63" applyFont="1" applyFill="1" applyBorder="1"/>
    <xf numFmtId="9" fontId="99" fillId="21" borderId="41" xfId="63" applyNumberFormat="1" applyFill="1" applyBorder="1"/>
    <xf numFmtId="9" fontId="99" fillId="0" borderId="3" xfId="63" applyNumberFormat="1" applyFill="1" applyBorder="1"/>
    <xf numFmtId="0" fontId="99" fillId="21" borderId="8" xfId="63" applyFont="1" applyFill="1" applyBorder="1"/>
    <xf numFmtId="9" fontId="99" fillId="21" borderId="8" xfId="63" applyNumberFormat="1" applyFill="1" applyBorder="1"/>
    <xf numFmtId="0" fontId="99" fillId="21" borderId="27" xfId="63" applyFill="1" applyBorder="1"/>
    <xf numFmtId="8" fontId="99" fillId="21" borderId="21" xfId="63" applyNumberFormat="1" applyFill="1" applyBorder="1"/>
    <xf numFmtId="9" fontId="99" fillId="21" borderId="21" xfId="63" applyNumberFormat="1" applyFill="1" applyBorder="1"/>
    <xf numFmtId="9" fontId="94" fillId="21" borderId="21" xfId="63" applyNumberFormat="1" applyFont="1" applyFill="1" applyBorder="1"/>
    <xf numFmtId="5" fontId="99" fillId="0" borderId="42" xfId="63" applyNumberFormat="1" applyBorder="1"/>
    <xf numFmtId="189" fontId="0" fillId="0" borderId="0" xfId="43" applyNumberFormat="1" applyFont="1"/>
    <xf numFmtId="0" fontId="99" fillId="0" borderId="0" xfId="63" applyBorder="1"/>
    <xf numFmtId="0" fontId="99" fillId="21" borderId="0" xfId="63" applyFill="1" applyBorder="1"/>
    <xf numFmtId="43" fontId="99" fillId="0" borderId="0" xfId="42" applyNumberFormat="1" applyFont="1" applyBorder="1"/>
    <xf numFmtId="174" fontId="99" fillId="0" borderId="0" xfId="63" applyNumberFormat="1" applyBorder="1" applyAlignment="1">
      <alignment horizontal="center"/>
    </xf>
    <xf numFmtId="0" fontId="99" fillId="0" borderId="49" xfId="63" applyFill="1" applyBorder="1"/>
    <xf numFmtId="166" fontId="104" fillId="0" borderId="51" xfId="63" applyNumberFormat="1" applyFont="1" applyBorder="1"/>
    <xf numFmtId="0" fontId="99" fillId="0" borderId="49" xfId="63" applyFont="1" applyFill="1" applyBorder="1"/>
    <xf numFmtId="0" fontId="99" fillId="21" borderId="0" xfId="63" applyFill="1" applyAlignment="1">
      <alignment horizontal="center" vertical="center"/>
    </xf>
    <xf numFmtId="0" fontId="102" fillId="0" borderId="34" xfId="63" applyFont="1" applyBorder="1"/>
    <xf numFmtId="8" fontId="99" fillId="0" borderId="51" xfId="63" applyNumberFormat="1" applyBorder="1"/>
    <xf numFmtId="166" fontId="94" fillId="21" borderId="35" xfId="80" applyNumberFormat="1" applyFont="1" applyFill="1" applyBorder="1" applyAlignment="1">
      <alignment horizontal="center"/>
    </xf>
    <xf numFmtId="0" fontId="99" fillId="23" borderId="0" xfId="63" applyFill="1"/>
    <xf numFmtId="0" fontId="99" fillId="0" borderId="0" xfId="63" applyFont="1" applyAlignment="1">
      <alignment horizontal="center"/>
    </xf>
    <xf numFmtId="0" fontId="105" fillId="0" borderId="0" xfId="63" applyFont="1" applyBorder="1" applyAlignment="1"/>
    <xf numFmtId="0" fontId="99" fillId="0" borderId="44" xfId="63" applyFont="1" applyBorder="1"/>
    <xf numFmtId="0" fontId="106" fillId="0" borderId="0" xfId="63" applyFont="1" applyBorder="1" applyAlignment="1">
      <alignment horizontal="center"/>
    </xf>
    <xf numFmtId="0" fontId="99" fillId="0" borderId="46" xfId="63" applyBorder="1"/>
    <xf numFmtId="0" fontId="10" fillId="21" borderId="0" xfId="62" applyFill="1"/>
    <xf numFmtId="0" fontId="106" fillId="21" borderId="0" xfId="62" applyFont="1" applyFill="1" applyBorder="1" applyAlignment="1">
      <alignment horizontal="center"/>
    </xf>
    <xf numFmtId="0" fontId="99" fillId="0" borderId="48" xfId="63" applyBorder="1"/>
    <xf numFmtId="0" fontId="94" fillId="21" borderId="10" xfId="62" applyFont="1" applyFill="1" applyBorder="1"/>
    <xf numFmtId="8" fontId="106" fillId="21" borderId="36" xfId="62" applyNumberFormat="1" applyFont="1" applyFill="1" applyBorder="1" applyAlignment="1">
      <alignment horizontal="center"/>
    </xf>
    <xf numFmtId="0" fontId="94" fillId="21" borderId="27" xfId="62" applyFont="1" applyFill="1" applyBorder="1"/>
    <xf numFmtId="8" fontId="106" fillId="21" borderId="37" xfId="62" applyNumberFormat="1" applyFont="1" applyFill="1" applyBorder="1" applyAlignment="1">
      <alignment horizontal="center"/>
    </xf>
    <xf numFmtId="0" fontId="99" fillId="0" borderId="49" xfId="63" applyBorder="1"/>
    <xf numFmtId="0" fontId="94" fillId="21" borderId="0" xfId="62" applyFont="1" applyFill="1"/>
    <xf numFmtId="8" fontId="106" fillId="21" borderId="0" xfId="62" applyNumberFormat="1" applyFont="1" applyFill="1" applyBorder="1" applyAlignment="1">
      <alignment horizontal="center"/>
    </xf>
    <xf numFmtId="9" fontId="99" fillId="0" borderId="0" xfId="63" applyNumberFormat="1" applyAlignment="1">
      <alignment horizontal="center"/>
    </xf>
    <xf numFmtId="9" fontId="99" fillId="0" borderId="0" xfId="63" applyNumberFormat="1"/>
    <xf numFmtId="0" fontId="102" fillId="21" borderId="0" xfId="63" applyFont="1" applyFill="1"/>
    <xf numFmtId="0" fontId="99" fillId="21" borderId="10" xfId="63" applyFill="1" applyBorder="1"/>
    <xf numFmtId="0" fontId="99" fillId="0" borderId="1" xfId="63" applyBorder="1"/>
    <xf numFmtId="0" fontId="99" fillId="0" borderId="36" xfId="63" applyFont="1" applyBorder="1"/>
    <xf numFmtId="0" fontId="99" fillId="21" borderId="3" xfId="63" applyFill="1" applyBorder="1"/>
    <xf numFmtId="173" fontId="99" fillId="0" borderId="0" xfId="63" applyNumberFormat="1" applyBorder="1"/>
    <xf numFmtId="166" fontId="99" fillId="0" borderId="0" xfId="63" applyNumberFormat="1" applyBorder="1"/>
    <xf numFmtId="173" fontId="99" fillId="0" borderId="4" xfId="63" applyNumberFormat="1" applyBorder="1"/>
    <xf numFmtId="0" fontId="99" fillId="0" borderId="4" xfId="63" applyBorder="1"/>
    <xf numFmtId="9" fontId="99" fillId="21" borderId="21" xfId="77" applyFont="1" applyFill="1" applyBorder="1"/>
    <xf numFmtId="0" fontId="43" fillId="0" borderId="2" xfId="0" applyFont="1" applyFill="1" applyBorder="1" applyAlignment="1">
      <alignment horizontal="center" vertical="center"/>
    </xf>
    <xf numFmtId="194" fontId="11" fillId="0" borderId="2" xfId="0" quotePrefix="1" applyNumberFormat="1" applyFont="1" applyFill="1" applyBorder="1" applyAlignment="1">
      <alignment horizontal="center" vertical="center"/>
    </xf>
    <xf numFmtId="0" fontId="11" fillId="0" borderId="2" xfId="0" applyFont="1" applyFill="1" applyBorder="1" applyAlignment="1" applyProtection="1">
      <alignment horizontal="center"/>
      <protection locked="0"/>
    </xf>
    <xf numFmtId="0" fontId="11" fillId="0" borderId="2" xfId="0" applyNumberFormat="1" applyFont="1" applyFill="1" applyBorder="1" applyAlignment="1" applyProtection="1">
      <alignment horizontal="center" vertical="center"/>
      <protection locked="0"/>
    </xf>
    <xf numFmtId="0" fontId="11" fillId="0" borderId="2" xfId="0" applyFont="1" applyFill="1" applyBorder="1"/>
    <xf numFmtId="194" fontId="11" fillId="0" borderId="2" xfId="0" quotePrefix="1" applyNumberFormat="1" applyFont="1" applyFill="1" applyBorder="1" applyAlignment="1">
      <alignment horizontal="center"/>
    </xf>
    <xf numFmtId="0" fontId="11" fillId="0" borderId="2" xfId="0" applyNumberFormat="1" applyFont="1" applyFill="1" applyBorder="1" applyAlignment="1" applyProtection="1">
      <alignment horizontal="center"/>
      <protection locked="0"/>
    </xf>
    <xf numFmtId="8" fontId="17" fillId="0" borderId="0" xfId="0" applyNumberFormat="1" applyFont="1"/>
    <xf numFmtId="37" fontId="99" fillId="0" borderId="0" xfId="63" applyNumberFormat="1"/>
    <xf numFmtId="9" fontId="99" fillId="0" borderId="0" xfId="77" applyFont="1"/>
    <xf numFmtId="166" fontId="99" fillId="0" borderId="0" xfId="77" applyNumberFormat="1" applyFont="1"/>
    <xf numFmtId="0" fontId="13" fillId="0" borderId="0" xfId="64" applyFont="1" applyAlignment="1"/>
    <xf numFmtId="0" fontId="20" fillId="0" borderId="52" xfId="64" applyFont="1" applyBorder="1" applyAlignment="1" applyProtection="1"/>
    <xf numFmtId="0" fontId="13" fillId="0" borderId="53" xfId="64" applyFont="1" applyBorder="1" applyAlignment="1" applyProtection="1"/>
    <xf numFmtId="0" fontId="54" fillId="0" borderId="53" xfId="64" applyFont="1" applyFill="1" applyBorder="1" applyAlignment="1" applyProtection="1"/>
    <xf numFmtId="0" fontId="54" fillId="0" borderId="40" xfId="64" applyFont="1" applyFill="1" applyBorder="1" applyAlignment="1" applyProtection="1"/>
    <xf numFmtId="0" fontId="54" fillId="0" borderId="0" xfId="64" applyFont="1" applyAlignment="1">
      <alignment horizontal="center"/>
    </xf>
    <xf numFmtId="0" fontId="54" fillId="22" borderId="3" xfId="64" applyFont="1" applyFill="1" applyBorder="1" applyAlignment="1" applyProtection="1"/>
    <xf numFmtId="0" fontId="13" fillId="22" borderId="54" xfId="64" applyFont="1" applyFill="1" applyBorder="1" applyAlignment="1" applyProtection="1"/>
    <xf numFmtId="173" fontId="13" fillId="22" borderId="9" xfId="64" applyNumberFormat="1" applyFont="1" applyFill="1" applyBorder="1" applyAlignment="1" applyProtection="1"/>
    <xf numFmtId="173" fontId="13" fillId="22" borderId="8" xfId="64" applyNumberFormat="1" applyFont="1" applyFill="1" applyBorder="1" applyAlignment="1" applyProtection="1"/>
    <xf numFmtId="173" fontId="13" fillId="22" borderId="55" xfId="64" applyNumberFormat="1" applyFont="1" applyFill="1" applyBorder="1" applyAlignment="1" applyProtection="1"/>
    <xf numFmtId="0" fontId="13" fillId="21" borderId="3" xfId="64" applyFont="1" applyFill="1" applyBorder="1" applyAlignment="1" applyProtection="1"/>
    <xf numFmtId="0" fontId="13" fillId="21" borderId="9" xfId="64" applyFont="1" applyFill="1" applyBorder="1" applyAlignment="1" applyProtection="1"/>
    <xf numFmtId="173" fontId="13" fillId="21" borderId="9" xfId="64" applyNumberFormat="1" applyFont="1" applyFill="1" applyBorder="1" applyAlignment="1" applyProtection="1"/>
    <xf numFmtId="0" fontId="13" fillId="22" borderId="3" xfId="64" applyFont="1" applyFill="1" applyBorder="1" applyAlignment="1" applyProtection="1"/>
    <xf numFmtId="0" fontId="13" fillId="22" borderId="9" xfId="64" applyFont="1" applyFill="1" applyBorder="1" applyAlignment="1" applyProtection="1"/>
    <xf numFmtId="9" fontId="54" fillId="0" borderId="0" xfId="64" applyNumberFormat="1" applyFont="1" applyAlignment="1">
      <alignment horizontal="center"/>
    </xf>
    <xf numFmtId="0" fontId="13" fillId="22" borderId="3" xfId="64" applyFont="1" applyFill="1" applyBorder="1" applyAlignment="1" applyProtection="1">
      <alignment horizontal="left" indent="1"/>
    </xf>
    <xf numFmtId="0" fontId="54" fillId="21" borderId="3" xfId="64" applyFont="1" applyFill="1" applyBorder="1" applyAlignment="1" applyProtection="1"/>
    <xf numFmtId="173" fontId="13" fillId="22" borderId="9" xfId="46" applyNumberFormat="1" applyFont="1" applyFill="1" applyBorder="1" applyAlignment="1" applyProtection="1"/>
    <xf numFmtId="173" fontId="13" fillId="21" borderId="3" xfId="64" applyNumberFormat="1" applyFont="1" applyFill="1" applyBorder="1" applyAlignment="1" applyProtection="1"/>
    <xf numFmtId="173" fontId="54" fillId="21" borderId="9" xfId="64" applyNumberFormat="1" applyFont="1" applyFill="1" applyBorder="1" applyAlignment="1" applyProtection="1"/>
    <xf numFmtId="0" fontId="54" fillId="22" borderId="56" xfId="64" applyFont="1" applyFill="1" applyBorder="1" applyAlignment="1" applyProtection="1"/>
    <xf numFmtId="173" fontId="13" fillId="22" borderId="57" xfId="64" applyNumberFormat="1" applyFont="1" applyFill="1" applyBorder="1" applyAlignment="1" applyProtection="1"/>
    <xf numFmtId="0" fontId="54" fillId="0" borderId="27" xfId="64" applyFont="1" applyFill="1" applyBorder="1" applyAlignment="1" applyProtection="1"/>
    <xf numFmtId="0" fontId="54" fillId="0" borderId="37" xfId="64" applyFont="1" applyFill="1" applyBorder="1" applyAlignment="1" applyProtection="1"/>
    <xf numFmtId="173" fontId="54" fillId="0" borderId="58" xfId="64" applyNumberFormat="1" applyFont="1" applyFill="1" applyBorder="1" applyAlignment="1" applyProtection="1"/>
    <xf numFmtId="0" fontId="54" fillId="0" borderId="0" xfId="64" applyFont="1" applyAlignment="1"/>
    <xf numFmtId="9" fontId="37" fillId="0" borderId="0" xfId="64" applyNumberFormat="1" applyFont="1" applyFill="1" applyAlignment="1" applyProtection="1"/>
    <xf numFmtId="9" fontId="37" fillId="0" borderId="2" xfId="64" applyNumberFormat="1" applyFont="1" applyFill="1" applyBorder="1" applyAlignment="1" applyProtection="1"/>
    <xf numFmtId="9" fontId="37" fillId="0" borderId="0" xfId="64" applyNumberFormat="1" applyFont="1" applyFill="1" applyBorder="1" applyAlignment="1" applyProtection="1"/>
    <xf numFmtId="9" fontId="37" fillId="0" borderId="0" xfId="64" applyNumberFormat="1" applyFont="1" applyAlignment="1"/>
    <xf numFmtId="0" fontId="13" fillId="0" borderId="52" xfId="64" applyFont="1" applyBorder="1" applyAlignment="1" applyProtection="1"/>
    <xf numFmtId="0" fontId="54" fillId="0" borderId="3" xfId="64" applyFont="1" applyBorder="1" applyAlignment="1" applyProtection="1"/>
    <xf numFmtId="0" fontId="13" fillId="0" borderId="0" xfId="64" applyFont="1" applyBorder="1" applyAlignment="1" applyProtection="1"/>
    <xf numFmtId="3" fontId="13" fillId="0" borderId="55" xfId="64" applyNumberFormat="1" applyFont="1" applyFill="1" applyBorder="1" applyAlignment="1" applyProtection="1"/>
    <xf numFmtId="0" fontId="37" fillId="0" borderId="3" xfId="64" applyFont="1" applyBorder="1" applyAlignment="1" applyProtection="1">
      <alignment horizontal="left" indent="1"/>
    </xf>
    <xf numFmtId="3" fontId="13" fillId="0" borderId="8" xfId="64" applyNumberFormat="1" applyFont="1" applyFill="1" applyBorder="1" applyAlignment="1" applyProtection="1"/>
    <xf numFmtId="10" fontId="37" fillId="0" borderId="8" xfId="64" applyNumberFormat="1" applyFont="1" applyFill="1" applyBorder="1" applyAlignment="1" applyProtection="1"/>
    <xf numFmtId="10" fontId="13" fillId="0" borderId="8" xfId="64" applyNumberFormat="1" applyFont="1" applyFill="1" applyBorder="1" applyAlignment="1" applyProtection="1"/>
    <xf numFmtId="3" fontId="54" fillId="0" borderId="3" xfId="64" applyNumberFormat="1" applyFont="1" applyBorder="1" applyAlignment="1" applyProtection="1"/>
    <xf numFmtId="3" fontId="54" fillId="0" borderId="0" xfId="64" applyNumberFormat="1" applyFont="1" applyBorder="1" applyAlignment="1" applyProtection="1"/>
    <xf numFmtId="3" fontId="13" fillId="0" borderId="8" xfId="40" applyNumberFormat="1" applyFont="1" applyFill="1" applyBorder="1" applyProtection="1"/>
    <xf numFmtId="3" fontId="13" fillId="0" borderId="0" xfId="64" applyNumberFormat="1" applyFont="1" applyAlignment="1"/>
    <xf numFmtId="9" fontId="13" fillId="0" borderId="8" xfId="40" applyNumberFormat="1" applyFont="1" applyFill="1" applyBorder="1" applyProtection="1">
      <protection locked="0"/>
    </xf>
    <xf numFmtId="9" fontId="54" fillId="0" borderId="3" xfId="64" applyNumberFormat="1" applyFont="1" applyBorder="1" applyAlignment="1" applyProtection="1"/>
    <xf numFmtId="9" fontId="54" fillId="0" borderId="0" xfId="64" applyNumberFormat="1" applyFont="1" applyBorder="1" applyAlignment="1" applyProtection="1"/>
    <xf numFmtId="9" fontId="13" fillId="0" borderId="0" xfId="64" applyNumberFormat="1" applyFont="1" applyAlignment="1"/>
    <xf numFmtId="0" fontId="54" fillId="0" borderId="0" xfId="64" applyFont="1" applyBorder="1" applyAlignment="1" applyProtection="1"/>
    <xf numFmtId="3" fontId="13" fillId="0" borderId="8" xfId="64" applyNumberFormat="1" applyFont="1" applyBorder="1" applyAlignment="1" applyProtection="1"/>
    <xf numFmtId="9" fontId="54" fillId="0" borderId="3" xfId="64" applyNumberFormat="1" applyFont="1" applyBorder="1" applyAlignment="1" applyProtection="1">
      <protection locked="0"/>
    </xf>
    <xf numFmtId="9" fontId="13" fillId="0" borderId="0" xfId="64" applyNumberFormat="1" applyFont="1" applyBorder="1" applyAlignment="1" applyProtection="1">
      <protection locked="0"/>
    </xf>
    <xf numFmtId="9" fontId="13" fillId="0" borderId="8" xfId="64" applyNumberFormat="1" applyFont="1" applyBorder="1" applyAlignment="1" applyProtection="1">
      <protection locked="0"/>
    </xf>
    <xf numFmtId="9" fontId="13" fillId="0" borderId="0" xfId="64" applyNumberFormat="1" applyFont="1" applyBorder="1" applyAlignment="1" applyProtection="1"/>
    <xf numFmtId="9" fontId="13" fillId="0" borderId="8" xfId="80" applyFont="1" applyBorder="1" applyAlignment="1" applyProtection="1"/>
    <xf numFmtId="9" fontId="88" fillId="0" borderId="56" xfId="64" applyNumberFormat="1" applyFont="1" applyBorder="1" applyAlignment="1" applyProtection="1"/>
    <xf numFmtId="9" fontId="37" fillId="0" borderId="59" xfId="64" applyNumberFormat="1" applyFont="1" applyBorder="1" applyAlignment="1" applyProtection="1"/>
    <xf numFmtId="9" fontId="37" fillId="0" borderId="60" xfId="80" applyFont="1" applyBorder="1" applyAlignment="1" applyProtection="1"/>
    <xf numFmtId="9" fontId="88" fillId="0" borderId="0" xfId="64" applyNumberFormat="1" applyFont="1" applyAlignment="1">
      <alignment horizontal="center"/>
    </xf>
    <xf numFmtId="0" fontId="13" fillId="0" borderId="0" xfId="64" applyFont="1" applyBorder="1" applyAlignment="1"/>
    <xf numFmtId="0" fontId="13" fillId="0" borderId="4" xfId="64" applyFont="1" applyBorder="1" applyAlignment="1"/>
    <xf numFmtId="0" fontId="20" fillId="0" borderId="0" xfId="64" applyFont="1" applyBorder="1" applyAlignment="1"/>
    <xf numFmtId="0" fontId="13" fillId="0" borderId="9" xfId="64" applyFont="1" applyBorder="1" applyAlignment="1"/>
    <xf numFmtId="0" fontId="54" fillId="0" borderId="53" xfId="64" applyFont="1" applyFill="1" applyBorder="1" applyAlignment="1"/>
    <xf numFmtId="0" fontId="54" fillId="0" borderId="40" xfId="64" applyFont="1" applyFill="1" applyBorder="1" applyAlignment="1"/>
    <xf numFmtId="0" fontId="19" fillId="0" borderId="0" xfId="64" applyAlignment="1"/>
    <xf numFmtId="0" fontId="20" fillId="0" borderId="52" xfId="64" applyFont="1" applyBorder="1" applyAlignment="1"/>
    <xf numFmtId="0" fontId="13" fillId="0" borderId="53" xfId="64" applyFont="1" applyBorder="1" applyAlignment="1"/>
    <xf numFmtId="0" fontId="13" fillId="0" borderId="55" xfId="64" applyFont="1" applyBorder="1" applyAlignment="1"/>
    <xf numFmtId="0" fontId="13" fillId="0" borderId="8" xfId="64" applyFont="1" applyBorder="1" applyAlignment="1"/>
    <xf numFmtId="9" fontId="54" fillId="22" borderId="27" xfId="80" applyFont="1" applyFill="1" applyBorder="1" applyAlignment="1" applyProtection="1"/>
    <xf numFmtId="9" fontId="54" fillId="22" borderId="37" xfId="80" applyFont="1" applyFill="1" applyBorder="1" applyAlignment="1" applyProtection="1"/>
    <xf numFmtId="9" fontId="54" fillId="22" borderId="11" xfId="80" applyFont="1" applyFill="1" applyBorder="1" applyAlignment="1" applyProtection="1"/>
    <xf numFmtId="9" fontId="54" fillId="22" borderId="20" xfId="80" applyFont="1" applyFill="1" applyBorder="1" applyAlignment="1" applyProtection="1"/>
    <xf numFmtId="9" fontId="13" fillId="21" borderId="9" xfId="80" applyFont="1" applyFill="1" applyBorder="1" applyAlignment="1" applyProtection="1"/>
    <xf numFmtId="10" fontId="13" fillId="21" borderId="9" xfId="80" applyNumberFormat="1" applyFont="1" applyFill="1" applyBorder="1" applyAlignment="1" applyProtection="1"/>
    <xf numFmtId="9" fontId="13" fillId="22" borderId="9" xfId="80" applyFont="1" applyFill="1" applyBorder="1" applyAlignment="1" applyProtection="1"/>
    <xf numFmtId="166" fontId="13" fillId="22" borderId="9" xfId="80" applyNumberFormat="1" applyFont="1" applyFill="1" applyBorder="1" applyAlignment="1" applyProtection="1"/>
    <xf numFmtId="166" fontId="13" fillId="21" borderId="9" xfId="80" applyNumberFormat="1" applyFont="1" applyFill="1" applyBorder="1" applyAlignment="1" applyProtection="1"/>
    <xf numFmtId="9" fontId="54" fillId="21" borderId="28" xfId="80" applyFont="1" applyFill="1" applyBorder="1" applyAlignment="1" applyProtection="1"/>
    <xf numFmtId="9" fontId="54" fillId="21" borderId="20" xfId="80" applyFont="1" applyFill="1" applyBorder="1" applyAlignment="1" applyProtection="1"/>
    <xf numFmtId="9" fontId="20" fillId="0" borderId="0" xfId="64" applyNumberFormat="1" applyFont="1" applyAlignment="1"/>
    <xf numFmtId="9" fontId="13" fillId="22" borderId="3" xfId="80" applyFont="1" applyFill="1" applyBorder="1" applyAlignment="1" applyProtection="1"/>
    <xf numFmtId="9" fontId="13" fillId="21" borderId="3" xfId="80" applyFont="1" applyFill="1" applyBorder="1" applyAlignment="1" applyProtection="1"/>
    <xf numFmtId="9" fontId="54" fillId="21" borderId="9" xfId="80" applyFont="1" applyFill="1" applyBorder="1" applyAlignment="1" applyProtection="1"/>
    <xf numFmtId="9" fontId="54" fillId="22" borderId="52" xfId="80" applyFont="1" applyFill="1" applyBorder="1" applyAlignment="1" applyProtection="1"/>
    <xf numFmtId="9" fontId="54" fillId="22" borderId="53" xfId="80" applyFont="1" applyFill="1" applyBorder="1" applyAlignment="1" applyProtection="1"/>
    <xf numFmtId="9" fontId="54" fillId="22" borderId="40" xfId="80" applyFont="1" applyFill="1" applyBorder="1" applyAlignment="1" applyProtection="1"/>
    <xf numFmtId="9" fontId="54" fillId="0" borderId="0" xfId="64" applyNumberFormat="1" applyFont="1" applyAlignment="1"/>
    <xf numFmtId="9" fontId="54" fillId="0" borderId="27" xfId="64" applyNumberFormat="1" applyFont="1" applyFill="1" applyBorder="1" applyAlignment="1"/>
    <xf numFmtId="9" fontId="54" fillId="0" borderId="37" xfId="64" applyNumberFormat="1" applyFont="1" applyFill="1" applyBorder="1" applyAlignment="1"/>
    <xf numFmtId="0" fontId="13" fillId="0" borderId="3" xfId="64" applyFont="1" applyBorder="1" applyAlignment="1"/>
    <xf numFmtId="0" fontId="20" fillId="0" borderId="3" xfId="64" applyFont="1" applyBorder="1" applyAlignment="1"/>
    <xf numFmtId="0" fontId="54" fillId="22" borderId="28" xfId="64" applyFont="1" applyFill="1" applyBorder="1" applyAlignment="1" applyProtection="1"/>
    <xf numFmtId="0" fontId="13" fillId="22" borderId="20" xfId="64" applyFont="1" applyFill="1" applyBorder="1" applyAlignment="1" applyProtection="1"/>
    <xf numFmtId="3" fontId="13" fillId="21" borderId="9" xfId="64" applyNumberFormat="1" applyFont="1" applyFill="1" applyBorder="1" applyAlignment="1" applyProtection="1"/>
    <xf numFmtId="3" fontId="13" fillId="22" borderId="9" xfId="64" applyNumberFormat="1" applyFont="1" applyFill="1" applyBorder="1" applyAlignment="1" applyProtection="1"/>
    <xf numFmtId="0" fontId="54" fillId="21" borderId="28" xfId="64" applyFont="1" applyFill="1" applyBorder="1" applyAlignment="1" applyProtection="1"/>
    <xf numFmtId="0" fontId="54" fillId="21" borderId="20" xfId="64" applyFont="1" applyFill="1" applyBorder="1" applyAlignment="1" applyProtection="1"/>
    <xf numFmtId="3" fontId="54" fillId="21" borderId="20" xfId="64" applyNumberFormat="1" applyFont="1" applyFill="1" applyBorder="1" applyAlignment="1" applyProtection="1"/>
    <xf numFmtId="3" fontId="13" fillId="22" borderId="9" xfId="40" applyNumberFormat="1" applyFont="1" applyFill="1" applyBorder="1" applyAlignment="1" applyProtection="1"/>
    <xf numFmtId="0" fontId="54" fillId="22" borderId="52" xfId="64" applyFont="1" applyFill="1" applyBorder="1" applyAlignment="1" applyProtection="1"/>
    <xf numFmtId="173" fontId="13" fillId="22" borderId="53" xfId="64" applyNumberFormat="1" applyFont="1" applyFill="1" applyBorder="1" applyAlignment="1" applyProtection="1"/>
    <xf numFmtId="173" fontId="20" fillId="0" borderId="3" xfId="64" applyNumberFormat="1" applyFont="1" applyBorder="1" applyAlignment="1"/>
    <xf numFmtId="173" fontId="13" fillId="0" borderId="9" xfId="64" applyNumberFormat="1" applyFont="1" applyBorder="1" applyAlignment="1"/>
    <xf numFmtId="173" fontId="13" fillId="0" borderId="8" xfId="64" applyNumberFormat="1" applyFont="1" applyBorder="1" applyAlignment="1"/>
    <xf numFmtId="173" fontId="13" fillId="0" borderId="0" xfId="64" applyNumberFormat="1" applyFont="1" applyAlignment="1"/>
    <xf numFmtId="0" fontId="54" fillId="22" borderId="20" xfId="64" applyFont="1" applyFill="1" applyBorder="1" applyAlignment="1" applyProtection="1"/>
    <xf numFmtId="173" fontId="54" fillId="2" borderId="20" xfId="64" applyNumberFormat="1" applyFont="1" applyFill="1" applyBorder="1" applyAlignment="1"/>
    <xf numFmtId="173" fontId="13" fillId="2" borderId="8" xfId="64" applyNumberFormat="1" applyFont="1" applyFill="1" applyBorder="1" applyAlignment="1"/>
    <xf numFmtId="173" fontId="13" fillId="2" borderId="9" xfId="64" applyNumberFormat="1" applyFont="1" applyFill="1" applyBorder="1" applyAlignment="1"/>
    <xf numFmtId="173" fontId="20" fillId="0" borderId="11" xfId="64" applyNumberFormat="1" applyFont="1" applyFill="1" applyBorder="1" applyAlignment="1"/>
    <xf numFmtId="173" fontId="13" fillId="0" borderId="8" xfId="64" applyNumberFormat="1" applyFont="1" applyFill="1" applyBorder="1" applyAlignment="1"/>
    <xf numFmtId="173" fontId="54" fillId="22" borderId="53" xfId="64" applyNumberFormat="1" applyFont="1" applyFill="1" applyBorder="1" applyAlignment="1" applyProtection="1"/>
    <xf numFmtId="173" fontId="54" fillId="2" borderId="40" xfId="64" applyNumberFormat="1" applyFont="1" applyFill="1" applyBorder="1" applyAlignment="1"/>
    <xf numFmtId="173" fontId="13" fillId="0" borderId="9" xfId="64" applyNumberFormat="1" applyFont="1" applyFill="1" applyBorder="1" applyAlignment="1"/>
    <xf numFmtId="3" fontId="13" fillId="0" borderId="0" xfId="64" applyNumberFormat="1" applyFont="1" applyFill="1" applyAlignment="1"/>
    <xf numFmtId="0" fontId="13" fillId="21" borderId="20" xfId="64" applyFont="1" applyFill="1" applyBorder="1" applyAlignment="1" applyProtection="1"/>
    <xf numFmtId="0" fontId="12" fillId="0" borderId="0" xfId="64" applyFont="1" applyAlignment="1"/>
    <xf numFmtId="173" fontId="13" fillId="2" borderId="9" xfId="46" applyNumberFormat="1" applyFont="1" applyFill="1" applyBorder="1" applyAlignment="1"/>
    <xf numFmtId="173" fontId="54" fillId="2" borderId="53" xfId="64" applyNumberFormat="1" applyFont="1" applyFill="1" applyBorder="1" applyAlignment="1"/>
    <xf numFmtId="3" fontId="54" fillId="0" borderId="27" xfId="64" applyNumberFormat="1" applyFont="1" applyFill="1" applyBorder="1" applyAlignment="1"/>
    <xf numFmtId="3" fontId="54" fillId="0" borderId="37" xfId="64" applyNumberFormat="1" applyFont="1" applyFill="1" applyBorder="1" applyAlignment="1"/>
    <xf numFmtId="173" fontId="54" fillId="0" borderId="37" xfId="64" applyNumberFormat="1" applyFont="1" applyFill="1" applyBorder="1" applyAlignment="1"/>
    <xf numFmtId="3" fontId="54" fillId="0" borderId="0" xfId="64" applyNumberFormat="1" applyFont="1" applyAlignment="1"/>
    <xf numFmtId="9" fontId="37" fillId="0" borderId="2" xfId="64" applyNumberFormat="1" applyFont="1" applyFill="1" applyBorder="1" applyAlignment="1"/>
    <xf numFmtId="9" fontId="37" fillId="0" borderId="0" xfId="64" applyNumberFormat="1" applyFont="1" applyFill="1" applyBorder="1" applyAlignment="1"/>
    <xf numFmtId="0" fontId="13" fillId="19" borderId="0" xfId="64" applyFont="1" applyFill="1" applyAlignment="1"/>
    <xf numFmtId="0" fontId="20" fillId="0" borderId="59" xfId="64" applyFont="1" applyBorder="1" applyAlignment="1"/>
    <xf numFmtId="0" fontId="13" fillId="0" borderId="57" xfId="64" applyFont="1" applyBorder="1" applyAlignment="1"/>
    <xf numFmtId="0" fontId="54" fillId="0" borderId="61" xfId="64" applyFont="1" applyBorder="1" applyAlignment="1"/>
    <xf numFmtId="0" fontId="13" fillId="0" borderId="54" xfId="64" applyFont="1" applyBorder="1" applyAlignment="1"/>
    <xf numFmtId="9" fontId="13" fillId="0" borderId="9" xfId="64" applyNumberFormat="1" applyFont="1" applyFill="1" applyBorder="1" applyAlignment="1" applyProtection="1">
      <protection locked="0"/>
    </xf>
    <xf numFmtId="3" fontId="54" fillId="0" borderId="3" xfId="64" applyNumberFormat="1" applyFont="1" applyBorder="1" applyAlignment="1"/>
    <xf numFmtId="3" fontId="54" fillId="0" borderId="9" xfId="64" applyNumberFormat="1" applyFont="1" applyBorder="1" applyAlignment="1"/>
    <xf numFmtId="3" fontId="13" fillId="0" borderId="9" xfId="40" applyNumberFormat="1" applyFont="1" applyFill="1" applyBorder="1"/>
    <xf numFmtId="9" fontId="13" fillId="0" borderId="9" xfId="40" applyNumberFormat="1" applyFont="1" applyFill="1" applyBorder="1" applyProtection="1">
      <protection locked="0"/>
    </xf>
    <xf numFmtId="3" fontId="54" fillId="0" borderId="56" xfId="64" applyNumberFormat="1" applyFont="1" applyBorder="1" applyAlignment="1"/>
    <xf numFmtId="3" fontId="54" fillId="0" borderId="57" xfId="64" applyNumberFormat="1" applyFont="1" applyBorder="1" applyAlignment="1"/>
    <xf numFmtId="3" fontId="13" fillId="0" borderId="57" xfId="40" applyNumberFormat="1" applyFont="1" applyFill="1" applyBorder="1"/>
    <xf numFmtId="3" fontId="54" fillId="2" borderId="20" xfId="64" applyNumberFormat="1" applyFont="1" applyFill="1" applyBorder="1" applyAlignment="1" applyProtection="1">
      <protection locked="0"/>
    </xf>
    <xf numFmtId="3" fontId="54" fillId="2" borderId="11" xfId="64" applyNumberFormat="1" applyFont="1" applyFill="1" applyBorder="1" applyAlignment="1" applyProtection="1">
      <protection locked="0"/>
    </xf>
    <xf numFmtId="3" fontId="13" fillId="0" borderId="9" xfId="64" applyNumberFormat="1" applyFont="1" applyFill="1" applyBorder="1" applyAlignment="1" applyProtection="1">
      <protection locked="0"/>
    </xf>
    <xf numFmtId="3" fontId="13" fillId="0" borderId="8" xfId="64" applyNumberFormat="1" applyFont="1" applyFill="1" applyBorder="1" applyAlignment="1" applyProtection="1">
      <protection locked="0"/>
    </xf>
    <xf numFmtId="3" fontId="13" fillId="2" borderId="9" xfId="64" applyNumberFormat="1" applyFont="1" applyFill="1" applyBorder="1" applyAlignment="1" applyProtection="1">
      <protection locked="0"/>
    </xf>
    <xf numFmtId="3" fontId="13" fillId="2" borderId="8" xfId="64" applyNumberFormat="1" applyFont="1" applyFill="1" applyBorder="1" applyAlignment="1" applyProtection="1">
      <protection locked="0"/>
    </xf>
    <xf numFmtId="3" fontId="13" fillId="0" borderId="0" xfId="64" applyNumberFormat="1" applyFont="1" applyFill="1" applyAlignment="1" applyProtection="1">
      <protection locked="0"/>
    </xf>
    <xf numFmtId="3" fontId="20" fillId="0" borderId="11" xfId="64" applyNumberFormat="1" applyFont="1" applyFill="1" applyBorder="1" applyAlignment="1" applyProtection="1">
      <protection locked="0"/>
    </xf>
    <xf numFmtId="3" fontId="20" fillId="0" borderId="20" xfId="64" applyNumberFormat="1" applyFont="1" applyFill="1" applyBorder="1" applyAlignment="1" applyProtection="1">
      <protection locked="0"/>
    </xf>
    <xf numFmtId="3" fontId="13" fillId="0" borderId="9" xfId="64" applyNumberFormat="1" applyFont="1" applyFill="1" applyBorder="1" applyAlignment="1" applyProtection="1"/>
    <xf numFmtId="3" fontId="13" fillId="2" borderId="40" xfId="64" applyNumberFormat="1" applyFont="1" applyFill="1" applyBorder="1" applyAlignment="1"/>
    <xf numFmtId="3" fontId="13" fillId="2" borderId="53" xfId="64" applyNumberFormat="1" applyFont="1" applyFill="1" applyBorder="1" applyAlignment="1"/>
    <xf numFmtId="166" fontId="54" fillId="2" borderId="20" xfId="64" applyNumberFormat="1" applyFont="1" applyFill="1" applyBorder="1" applyAlignment="1"/>
    <xf numFmtId="166" fontId="13" fillId="0" borderId="9" xfId="64" applyNumberFormat="1" applyFont="1" applyBorder="1" applyAlignment="1"/>
    <xf numFmtId="166" fontId="13" fillId="2" borderId="9" xfId="64" applyNumberFormat="1" applyFont="1" applyFill="1" applyBorder="1" applyAlignment="1"/>
    <xf numFmtId="166" fontId="20" fillId="0" borderId="11" xfId="64" applyNumberFormat="1" applyFont="1" applyBorder="1" applyAlignment="1"/>
    <xf numFmtId="166" fontId="20" fillId="0" borderId="20" xfId="64" applyNumberFormat="1" applyFont="1" applyBorder="1" applyAlignment="1"/>
    <xf numFmtId="166" fontId="13" fillId="0" borderId="8" xfId="64" applyNumberFormat="1" applyFont="1" applyBorder="1" applyAlignment="1"/>
    <xf numFmtId="166" fontId="54" fillId="2" borderId="40" xfId="64" applyNumberFormat="1" applyFont="1" applyFill="1" applyBorder="1" applyAlignment="1"/>
    <xf numFmtId="166" fontId="54" fillId="2" borderId="53" xfId="64" applyNumberFormat="1" applyFont="1" applyFill="1" applyBorder="1" applyAlignment="1"/>
    <xf numFmtId="9" fontId="37" fillId="0" borderId="27" xfId="64" applyNumberFormat="1" applyFont="1" applyFill="1" applyBorder="1" applyAlignment="1"/>
    <xf numFmtId="9" fontId="37" fillId="0" borderId="37" xfId="64" applyNumberFormat="1" applyFont="1" applyFill="1" applyBorder="1" applyAlignment="1"/>
    <xf numFmtId="3" fontId="13" fillId="0" borderId="9" xfId="64" applyNumberFormat="1" applyFont="1" applyBorder="1" applyAlignment="1"/>
    <xf numFmtId="10" fontId="13" fillId="0" borderId="9" xfId="64" applyNumberFormat="1" applyFont="1" applyBorder="1" applyAlignment="1"/>
    <xf numFmtId="3" fontId="54" fillId="2" borderId="20" xfId="64" applyNumberFormat="1" applyFont="1" applyFill="1" applyBorder="1" applyAlignment="1"/>
    <xf numFmtId="3" fontId="13" fillId="17" borderId="9" xfId="64" applyNumberFormat="1" applyFont="1" applyFill="1" applyBorder="1" applyAlignment="1"/>
    <xf numFmtId="3" fontId="13" fillId="2" borderId="9" xfId="64" applyNumberFormat="1" applyFont="1" applyFill="1" applyBorder="1" applyAlignment="1"/>
    <xf numFmtId="3" fontId="20" fillId="17" borderId="11" xfId="64" applyNumberFormat="1" applyFont="1" applyFill="1" applyBorder="1" applyAlignment="1"/>
    <xf numFmtId="3" fontId="20" fillId="17" borderId="20" xfId="64" applyNumberFormat="1" applyFont="1" applyFill="1" applyBorder="1" applyAlignment="1"/>
    <xf numFmtId="3" fontId="13" fillId="17" borderId="8" xfId="64" applyNumberFormat="1" applyFont="1" applyFill="1" applyBorder="1" applyAlignment="1"/>
    <xf numFmtId="3" fontId="54" fillId="2" borderId="40" xfId="64" applyNumberFormat="1" applyFont="1" applyFill="1" applyBorder="1" applyAlignment="1"/>
    <xf numFmtId="3" fontId="54" fillId="2" borderId="53" xfId="64" applyNumberFormat="1" applyFont="1" applyFill="1" applyBorder="1" applyAlignment="1"/>
    <xf numFmtId="166" fontId="54" fillId="2" borderId="20" xfId="80" applyNumberFormat="1" applyFont="1" applyFill="1" applyBorder="1" applyAlignment="1"/>
    <xf numFmtId="9" fontId="13" fillId="0" borderId="3" xfId="64" applyNumberFormat="1" applyFont="1" applyFill="1" applyBorder="1" applyAlignment="1"/>
    <xf numFmtId="0" fontId="13" fillId="2" borderId="3" xfId="64" applyFont="1" applyFill="1" applyBorder="1" applyAlignment="1"/>
    <xf numFmtId="173" fontId="13" fillId="17" borderId="9" xfId="64" applyNumberFormat="1" applyFont="1" applyFill="1" applyBorder="1" applyAlignment="1"/>
    <xf numFmtId="0" fontId="12" fillId="0" borderId="0" xfId="64" applyFont="1" applyBorder="1" applyAlignment="1"/>
    <xf numFmtId="0" fontId="13" fillId="0" borderId="2" xfId="64" applyFont="1" applyBorder="1" applyAlignment="1"/>
    <xf numFmtId="0" fontId="19" fillId="18" borderId="3" xfId="64" applyFill="1" applyBorder="1" applyAlignment="1"/>
    <xf numFmtId="0" fontId="19" fillId="18" borderId="0" xfId="64" applyFill="1" applyBorder="1" applyAlignment="1"/>
    <xf numFmtId="9" fontId="13" fillId="2" borderId="9" xfId="64" applyNumberFormat="1" applyFont="1" applyFill="1" applyBorder="1" applyAlignment="1" applyProtection="1">
      <protection locked="0"/>
    </xf>
    <xf numFmtId="0" fontId="13" fillId="0" borderId="9" xfId="64" applyFont="1" applyFill="1" applyBorder="1" applyAlignment="1" applyProtection="1">
      <protection locked="0"/>
    </xf>
    <xf numFmtId="9" fontId="13" fillId="2" borderId="9" xfId="64" applyNumberFormat="1" applyFont="1" applyFill="1" applyBorder="1" applyAlignment="1" applyProtection="1"/>
    <xf numFmtId="9" fontId="13" fillId="0" borderId="9" xfId="64" applyNumberFormat="1" applyFont="1" applyFill="1" applyBorder="1" applyAlignment="1" applyProtection="1"/>
    <xf numFmtId="0" fontId="54" fillId="0" borderId="28" xfId="64" applyFont="1" applyBorder="1" applyAlignment="1"/>
    <xf numFmtId="0" fontId="37" fillId="0" borderId="0" xfId="64" applyFont="1" applyAlignment="1"/>
    <xf numFmtId="0" fontId="37" fillId="0" borderId="3" xfId="64" applyFont="1" applyBorder="1" applyAlignment="1"/>
    <xf numFmtId="0" fontId="37" fillId="0" borderId="9" xfId="64" applyFont="1" applyBorder="1" applyAlignment="1"/>
    <xf numFmtId="166" fontId="37" fillId="0" borderId="9" xfId="80" applyNumberFormat="1" applyFont="1" applyBorder="1" applyAlignment="1"/>
    <xf numFmtId="166" fontId="37" fillId="0" borderId="8" xfId="80" applyNumberFormat="1" applyFont="1" applyBorder="1" applyAlignment="1"/>
    <xf numFmtId="166" fontId="20" fillId="0" borderId="8" xfId="64" applyNumberFormat="1" applyFont="1" applyBorder="1" applyAlignment="1"/>
    <xf numFmtId="166" fontId="20" fillId="0" borderId="9" xfId="64" applyNumberFormat="1" applyFont="1" applyBorder="1" applyAlignment="1"/>
    <xf numFmtId="166" fontId="13" fillId="2" borderId="60" xfId="64" applyNumberFormat="1" applyFont="1" applyFill="1" applyBorder="1" applyAlignment="1"/>
    <xf numFmtId="166" fontId="13" fillId="2" borderId="57" xfId="64" applyNumberFormat="1" applyFont="1" applyFill="1" applyBorder="1" applyAlignment="1"/>
    <xf numFmtId="3" fontId="54" fillId="2" borderId="9" xfId="64" applyNumberFormat="1" applyFont="1" applyFill="1" applyBorder="1" applyAlignment="1" applyProtection="1">
      <protection locked="0"/>
    </xf>
    <xf numFmtId="3" fontId="20" fillId="0" borderId="8" xfId="64" applyNumberFormat="1" applyFont="1" applyFill="1" applyBorder="1" applyAlignment="1" applyProtection="1">
      <protection locked="0"/>
    </xf>
    <xf numFmtId="3" fontId="54" fillId="2" borderId="60" xfId="64" applyNumberFormat="1" applyFont="1" applyFill="1" applyBorder="1" applyAlignment="1"/>
    <xf numFmtId="173" fontId="20" fillId="17" borderId="11" xfId="64" applyNumberFormat="1" applyFont="1" applyFill="1" applyBorder="1" applyAlignment="1"/>
    <xf numFmtId="173" fontId="13" fillId="21" borderId="8" xfId="64" applyNumberFormat="1" applyFont="1" applyFill="1" applyBorder="1" applyAlignment="1"/>
    <xf numFmtId="0" fontId="13" fillId="0" borderId="25" xfId="64" applyFont="1" applyBorder="1" applyAlignment="1"/>
    <xf numFmtId="0" fontId="54" fillId="0" borderId="25" xfId="64" applyFont="1" applyFill="1" applyBorder="1" applyAlignment="1"/>
    <xf numFmtId="0" fontId="13" fillId="2" borderId="0" xfId="64" applyFont="1" applyFill="1" applyBorder="1" applyAlignment="1"/>
    <xf numFmtId="173" fontId="13" fillId="2" borderId="0" xfId="64" applyNumberFormat="1" applyFont="1" applyFill="1" applyBorder="1" applyAlignment="1"/>
    <xf numFmtId="173" fontId="13" fillId="0" borderId="0" xfId="64" applyNumberFormat="1" applyFont="1" applyFill="1" applyBorder="1" applyAlignment="1"/>
    <xf numFmtId="173" fontId="54" fillId="0" borderId="0" xfId="64" applyNumberFormat="1" applyFont="1" applyAlignment="1"/>
    <xf numFmtId="0" fontId="13" fillId="2" borderId="3" xfId="64" applyFont="1" applyFill="1" applyBorder="1" applyAlignment="1">
      <alignment wrapText="1"/>
    </xf>
    <xf numFmtId="0" fontId="13" fillId="2" borderId="0" xfId="64" applyFont="1" applyFill="1" applyBorder="1" applyAlignment="1">
      <alignment horizontal="left" wrapText="1"/>
    </xf>
    <xf numFmtId="0" fontId="13" fillId="21" borderId="3" xfId="64" applyFont="1" applyFill="1" applyBorder="1" applyAlignment="1"/>
    <xf numFmtId="0" fontId="13" fillId="21" borderId="0" xfId="64" applyFont="1" applyFill="1" applyBorder="1" applyAlignment="1"/>
    <xf numFmtId="173" fontId="13" fillId="21" borderId="0" xfId="64" applyNumberFormat="1" applyFont="1" applyFill="1" applyBorder="1" applyAlignment="1"/>
    <xf numFmtId="173" fontId="13" fillId="21" borderId="9" xfId="64" applyNumberFormat="1" applyFont="1" applyFill="1" applyBorder="1" applyAlignment="1"/>
    <xf numFmtId="0" fontId="13" fillId="21" borderId="27" xfId="64" applyFont="1" applyFill="1" applyBorder="1" applyAlignment="1"/>
    <xf numFmtId="0" fontId="13" fillId="21" borderId="4" xfId="64" applyFont="1" applyFill="1" applyBorder="1" applyAlignment="1"/>
    <xf numFmtId="173" fontId="13" fillId="21" borderId="21" xfId="64" applyNumberFormat="1" applyFont="1" applyFill="1" applyBorder="1" applyAlignment="1"/>
    <xf numFmtId="173" fontId="13" fillId="21" borderId="4" xfId="64" applyNumberFormat="1" applyFont="1" applyFill="1" applyBorder="1" applyAlignment="1"/>
    <xf numFmtId="173" fontId="13" fillId="21" borderId="37" xfId="64" applyNumberFormat="1" applyFont="1" applyFill="1" applyBorder="1" applyAlignment="1"/>
    <xf numFmtId="173" fontId="13" fillId="2" borderId="55" xfId="64" applyNumberFormat="1" applyFont="1" applyFill="1" applyBorder="1" applyAlignment="1"/>
    <xf numFmtId="173" fontId="13" fillId="2" borderId="54" xfId="64" applyNumberFormat="1" applyFont="1" applyFill="1" applyBorder="1" applyAlignment="1"/>
    <xf numFmtId="9" fontId="13" fillId="2" borderId="8" xfId="80" applyFont="1" applyFill="1" applyBorder="1" applyAlignment="1"/>
    <xf numFmtId="9" fontId="13" fillId="2" borderId="0" xfId="80" applyFont="1" applyFill="1" applyBorder="1" applyAlignment="1"/>
    <xf numFmtId="9" fontId="13" fillId="2" borderId="9" xfId="80" applyFont="1" applyFill="1" applyBorder="1" applyAlignment="1"/>
    <xf numFmtId="0" fontId="13" fillId="0" borderId="8" xfId="80" applyNumberFormat="1" applyFont="1" applyFill="1" applyBorder="1" applyAlignment="1"/>
    <xf numFmtId="0" fontId="13" fillId="0" borderId="0" xfId="80" applyNumberFormat="1" applyFont="1" applyFill="1" applyBorder="1" applyAlignment="1"/>
    <xf numFmtId="0" fontId="13" fillId="0" borderId="9" xfId="80" applyNumberFormat="1" applyFont="1" applyFill="1" applyBorder="1" applyAlignment="1"/>
    <xf numFmtId="0" fontId="13" fillId="0" borderId="27" xfId="64" applyFont="1" applyBorder="1" applyAlignment="1"/>
    <xf numFmtId="9" fontId="13" fillId="0" borderId="21" xfId="64" applyNumberFormat="1" applyFont="1" applyFill="1" applyBorder="1" applyAlignment="1"/>
    <xf numFmtId="9" fontId="13" fillId="0" borderId="4" xfId="64" applyNumberFormat="1" applyFont="1" applyFill="1" applyBorder="1" applyAlignment="1"/>
    <xf numFmtId="9" fontId="13" fillId="0" borderId="37" xfId="64" applyNumberFormat="1" applyFont="1" applyFill="1" applyBorder="1" applyAlignment="1"/>
    <xf numFmtId="0" fontId="13" fillId="0" borderId="3" xfId="64" applyFont="1" applyFill="1" applyBorder="1" applyAlignment="1"/>
    <xf numFmtId="0" fontId="13" fillId="0" borderId="0" xfId="64" applyFont="1" applyFill="1" applyBorder="1" applyAlignment="1"/>
    <xf numFmtId="178" fontId="13" fillId="0" borderId="8" xfId="46" applyNumberFormat="1" applyFont="1" applyFill="1" applyBorder="1" applyAlignment="1"/>
    <xf numFmtId="178" fontId="13" fillId="0" borderId="21" xfId="46" applyNumberFormat="1" applyFont="1" applyFill="1" applyBorder="1" applyAlignment="1"/>
    <xf numFmtId="0" fontId="13" fillId="0" borderId="28" xfId="64" applyFont="1" applyBorder="1" applyAlignment="1"/>
    <xf numFmtId="178" fontId="13" fillId="0" borderId="11" xfId="46" applyNumberFormat="1" applyFont="1" applyBorder="1" applyAlignment="1"/>
    <xf numFmtId="178" fontId="13" fillId="0" borderId="0" xfId="46" applyNumberFormat="1" applyFont="1" applyAlignment="1"/>
    <xf numFmtId="178" fontId="13" fillId="0" borderId="20" xfId="46" applyNumberFormat="1" applyFont="1" applyBorder="1" applyAlignment="1"/>
    <xf numFmtId="0" fontId="19" fillId="0" borderId="0" xfId="64">
      <alignment vertical="center"/>
    </xf>
    <xf numFmtId="0" fontId="11" fillId="0" borderId="34" xfId="64" applyFont="1" applyBorder="1">
      <alignment vertical="center"/>
    </xf>
    <xf numFmtId="173" fontId="11" fillId="0" borderId="12" xfId="64" applyNumberFormat="1" applyFont="1" applyBorder="1">
      <alignment vertical="center"/>
    </xf>
    <xf numFmtId="0" fontId="19" fillId="0" borderId="0" xfId="64" applyFont="1">
      <alignment vertical="center"/>
    </xf>
    <xf numFmtId="3" fontId="19" fillId="0" borderId="0" xfId="64" applyNumberFormat="1">
      <alignment vertical="center"/>
    </xf>
    <xf numFmtId="0" fontId="17" fillId="0" borderId="0" xfId="64" applyFont="1" applyAlignment="1">
      <alignment horizontal="left" vertical="center" indent="1"/>
    </xf>
    <xf numFmtId="10" fontId="19" fillId="0" borderId="0" xfId="64" applyNumberFormat="1">
      <alignment vertical="center"/>
    </xf>
    <xf numFmtId="166" fontId="106" fillId="0" borderId="0" xfId="80" applyNumberFormat="1" applyFont="1"/>
    <xf numFmtId="9" fontId="19" fillId="0" borderId="0" xfId="64" applyNumberFormat="1">
      <alignment vertical="center"/>
    </xf>
    <xf numFmtId="173" fontId="19" fillId="0" borderId="0" xfId="64" applyNumberFormat="1">
      <alignment vertical="center"/>
    </xf>
    <xf numFmtId="9" fontId="107" fillId="0" borderId="0" xfId="64" applyNumberFormat="1" applyFont="1">
      <alignment vertical="center"/>
    </xf>
    <xf numFmtId="9" fontId="17" fillId="0" borderId="0" xfId="64" applyNumberFormat="1" applyFont="1">
      <alignment vertical="center"/>
    </xf>
    <xf numFmtId="166" fontId="0" fillId="0" borderId="0" xfId="80" applyNumberFormat="1" applyFont="1" applyAlignment="1">
      <alignment vertical="center"/>
    </xf>
    <xf numFmtId="166" fontId="19" fillId="0" borderId="0" xfId="64" applyNumberFormat="1">
      <alignment vertical="center"/>
    </xf>
    <xf numFmtId="6" fontId="19" fillId="0" borderId="0" xfId="64" applyNumberFormat="1">
      <alignment vertical="center"/>
    </xf>
    <xf numFmtId="0" fontId="108" fillId="0" borderId="0" xfId="64" applyFont="1" applyAlignment="1"/>
    <xf numFmtId="0" fontId="19" fillId="0" borderId="0" xfId="64" applyFont="1" applyAlignment="1">
      <alignment horizontal="right"/>
    </xf>
    <xf numFmtId="8" fontId="19" fillId="0" borderId="0" xfId="64" applyNumberFormat="1" applyFont="1" applyAlignment="1">
      <alignment horizontal="right"/>
    </xf>
    <xf numFmtId="0" fontId="19" fillId="0" borderId="0" xfId="64" applyFont="1" applyAlignment="1"/>
    <xf numFmtId="0" fontId="95" fillId="20" borderId="62" xfId="61" applyFont="1" applyFill="1" applyBorder="1"/>
    <xf numFmtId="0" fontId="95" fillId="20" borderId="63" xfId="61" applyFont="1" applyFill="1" applyBorder="1" applyAlignment="1">
      <alignment horizontal="right"/>
    </xf>
    <xf numFmtId="0" fontId="95" fillId="20" borderId="64" xfId="61" applyFont="1" applyFill="1" applyBorder="1" applyAlignment="1">
      <alignment horizontal="right"/>
    </xf>
    <xf numFmtId="0" fontId="109" fillId="0" borderId="30" xfId="64" applyFont="1" applyBorder="1" applyAlignment="1"/>
    <xf numFmtId="0" fontId="109" fillId="0" borderId="16" xfId="64" applyFont="1" applyBorder="1" applyAlignment="1"/>
    <xf numFmtId="0" fontId="19" fillId="0" borderId="16" xfId="64" applyFont="1" applyBorder="1" applyAlignment="1">
      <alignment horizontal="right"/>
    </xf>
    <xf numFmtId="0" fontId="19" fillId="0" borderId="38" xfId="64" applyFont="1" applyBorder="1" applyAlignment="1">
      <alignment horizontal="right"/>
    </xf>
    <xf numFmtId="0" fontId="106" fillId="0" borderId="32" xfId="64" applyFont="1" applyFill="1" applyBorder="1" applyAlignment="1"/>
    <xf numFmtId="0" fontId="106" fillId="0" borderId="1" xfId="64" applyFont="1" applyFill="1" applyBorder="1" applyAlignment="1"/>
    <xf numFmtId="173" fontId="106" fillId="0" borderId="1" xfId="64" applyNumberFormat="1" applyFont="1" applyFill="1" applyBorder="1" applyAlignment="1">
      <alignment horizontal="right"/>
    </xf>
    <xf numFmtId="173" fontId="106" fillId="0" borderId="65" xfId="64" applyNumberFormat="1" applyFont="1" applyFill="1" applyBorder="1" applyAlignment="1">
      <alignment horizontal="right"/>
    </xf>
    <xf numFmtId="0" fontId="106" fillId="0" borderId="31" xfId="64" applyFont="1" applyFill="1" applyBorder="1" applyAlignment="1"/>
    <xf numFmtId="0" fontId="106" fillId="0" borderId="0" xfId="64" applyFont="1" applyFill="1" applyBorder="1" applyAlignment="1"/>
    <xf numFmtId="173" fontId="106" fillId="0" borderId="0" xfId="64" applyNumberFormat="1" applyFont="1" applyFill="1" applyBorder="1" applyAlignment="1">
      <alignment horizontal="right"/>
    </xf>
    <xf numFmtId="173" fontId="106" fillId="0" borderId="47" xfId="64" applyNumberFormat="1" applyFont="1" applyFill="1" applyBorder="1" applyAlignment="1">
      <alignment horizontal="right"/>
    </xf>
    <xf numFmtId="0" fontId="102" fillId="0" borderId="0" xfId="64" applyFont="1" applyFill="1" applyBorder="1" applyAlignment="1"/>
    <xf numFmtId="0" fontId="102" fillId="24" borderId="68" xfId="64" applyFont="1" applyFill="1" applyBorder="1" applyAlignment="1"/>
    <xf numFmtId="0" fontId="102" fillId="24" borderId="23" xfId="64" applyFont="1" applyFill="1" applyBorder="1" applyAlignment="1"/>
    <xf numFmtId="173" fontId="109" fillId="24" borderId="23" xfId="64" applyNumberFormat="1" applyFont="1" applyFill="1" applyBorder="1" applyAlignment="1">
      <alignment horizontal="right"/>
    </xf>
    <xf numFmtId="173" fontId="109" fillId="24" borderId="69" xfId="64" applyNumberFormat="1" applyFont="1" applyFill="1" applyBorder="1" applyAlignment="1">
      <alignment horizontal="right"/>
    </xf>
    <xf numFmtId="0" fontId="110" fillId="25" borderId="30" xfId="64" applyFont="1" applyFill="1" applyBorder="1" applyAlignment="1">
      <alignment horizontal="center"/>
    </xf>
    <xf numFmtId="0" fontId="111" fillId="25" borderId="16" xfId="64" applyFont="1" applyFill="1" applyBorder="1" applyAlignment="1">
      <alignment horizontal="center"/>
    </xf>
    <xf numFmtId="0" fontId="111" fillId="25" borderId="38" xfId="64" applyFont="1" applyFill="1" applyBorder="1" applyAlignment="1">
      <alignment horizontal="center"/>
    </xf>
    <xf numFmtId="0" fontId="102" fillId="0" borderId="28" xfId="64" applyFont="1" applyFill="1" applyBorder="1" applyAlignment="1"/>
    <xf numFmtId="173" fontId="102" fillId="0" borderId="2" xfId="64" applyNumberFormat="1" applyFont="1" applyBorder="1" applyAlignment="1">
      <alignment horizontal="center"/>
    </xf>
    <xf numFmtId="173" fontId="102" fillId="0" borderId="20" xfId="64" applyNumberFormat="1" applyFont="1" applyBorder="1" applyAlignment="1">
      <alignment horizontal="center"/>
    </xf>
    <xf numFmtId="0" fontId="102" fillId="0" borderId="3" xfId="64" applyFont="1" applyFill="1" applyBorder="1" applyAlignment="1"/>
    <xf numFmtId="173" fontId="19" fillId="0" borderId="0" xfId="64" applyNumberFormat="1" applyBorder="1" applyAlignment="1">
      <alignment horizontal="center"/>
    </xf>
    <xf numFmtId="173" fontId="19" fillId="0" borderId="9" xfId="64" applyNumberFormat="1" applyBorder="1" applyAlignment="1">
      <alignment horizontal="center"/>
    </xf>
    <xf numFmtId="0" fontId="102" fillId="0" borderId="3" xfId="64" applyFont="1" applyFill="1" applyBorder="1" applyAlignment="1">
      <alignment horizontal="left" indent="2"/>
    </xf>
    <xf numFmtId="0" fontId="102" fillId="0" borderId="27" xfId="64" applyFont="1" applyFill="1" applyBorder="1" applyAlignment="1">
      <alignment horizontal="left" indent="2"/>
    </xf>
    <xf numFmtId="173" fontId="19" fillId="0" borderId="4" xfId="64" applyNumberFormat="1" applyBorder="1" applyAlignment="1">
      <alignment horizontal="center"/>
    </xf>
    <xf numFmtId="173" fontId="19" fillId="0" borderId="37" xfId="64" applyNumberFormat="1" applyBorder="1" applyAlignment="1">
      <alignment horizontal="center"/>
    </xf>
    <xf numFmtId="0" fontId="112" fillId="0" borderId="0" xfId="64" applyFont="1" applyFill="1" applyBorder="1" applyAlignment="1"/>
    <xf numFmtId="173" fontId="19" fillId="0" borderId="0" xfId="64" applyNumberFormat="1" applyAlignment="1">
      <alignment horizontal="center"/>
    </xf>
    <xf numFmtId="166" fontId="113" fillId="0" borderId="0" xfId="80" applyNumberFormat="1" applyFont="1" applyAlignment="1">
      <alignment horizontal="center"/>
    </xf>
    <xf numFmtId="0" fontId="19" fillId="0" borderId="0" xfId="64" applyAlignment="1">
      <alignment horizontal="center"/>
    </xf>
    <xf numFmtId="174" fontId="19" fillId="0" borderId="0" xfId="64" applyNumberFormat="1" applyAlignment="1">
      <alignment horizontal="center"/>
    </xf>
    <xf numFmtId="0" fontId="114" fillId="0" borderId="0" xfId="64" applyFont="1" applyAlignment="1"/>
    <xf numFmtId="173" fontId="102" fillId="0" borderId="2" xfId="64" applyNumberFormat="1" applyFont="1" applyFill="1" applyBorder="1" applyAlignment="1">
      <alignment horizontal="center"/>
    </xf>
    <xf numFmtId="173" fontId="102" fillId="0" borderId="20" xfId="64" applyNumberFormat="1" applyFont="1" applyFill="1" applyBorder="1" applyAlignment="1">
      <alignment horizontal="center"/>
    </xf>
    <xf numFmtId="0" fontId="102" fillId="0" borderId="0" xfId="64" applyFont="1" applyFill="1" applyBorder="1" applyAlignment="1">
      <alignment horizontal="left" indent="1"/>
    </xf>
    <xf numFmtId="173" fontId="102" fillId="0" borderId="0" xfId="64" applyNumberFormat="1" applyFont="1" applyFill="1" applyBorder="1" applyAlignment="1">
      <alignment horizontal="center"/>
    </xf>
    <xf numFmtId="0" fontId="102" fillId="22" borderId="11" xfId="64" applyFont="1" applyFill="1" applyBorder="1" applyAlignment="1">
      <alignment horizontal="center"/>
    </xf>
    <xf numFmtId="173" fontId="102" fillId="0" borderId="11" xfId="64" applyNumberFormat="1" applyFont="1" applyFill="1" applyBorder="1" applyAlignment="1">
      <alignment horizontal="center"/>
    </xf>
    <xf numFmtId="9" fontId="102" fillId="0" borderId="11" xfId="64" applyNumberFormat="1" applyFont="1" applyBorder="1" applyAlignment="1">
      <alignment horizontal="center"/>
    </xf>
    <xf numFmtId="173" fontId="19" fillId="0" borderId="0" xfId="64" applyNumberFormat="1" applyAlignment="1"/>
    <xf numFmtId="0" fontId="17" fillId="0" borderId="0" xfId="64" applyFont="1" applyAlignment="1"/>
    <xf numFmtId="0" fontId="92" fillId="0" borderId="0" xfId="64" applyFont="1" applyAlignment="1"/>
    <xf numFmtId="0" fontId="103" fillId="0" borderId="0" xfId="0" applyFont="1"/>
    <xf numFmtId="0" fontId="102" fillId="0" borderId="0" xfId="0" applyFont="1"/>
    <xf numFmtId="0" fontId="102" fillId="0" borderId="25" xfId="0" applyFont="1" applyBorder="1"/>
    <xf numFmtId="166" fontId="0" fillId="0" borderId="0" xfId="0" applyNumberFormat="1" applyBorder="1"/>
    <xf numFmtId="9" fontId="0" fillId="0" borderId="0" xfId="0" applyNumberFormat="1" applyBorder="1"/>
    <xf numFmtId="166" fontId="17" fillId="0" borderId="0" xfId="0" applyNumberFormat="1" applyFont="1" applyBorder="1"/>
    <xf numFmtId="9" fontId="17" fillId="0" borderId="0" xfId="0" applyNumberFormat="1" applyFont="1" applyBorder="1"/>
    <xf numFmtId="189" fontId="0" fillId="0" borderId="0" xfId="0" applyNumberFormat="1" applyBorder="1"/>
    <xf numFmtId="173" fontId="0" fillId="0" borderId="0" xfId="0" applyNumberFormat="1" applyBorder="1"/>
    <xf numFmtId="178" fontId="0" fillId="0" borderId="0" xfId="0" applyNumberFormat="1" applyBorder="1"/>
    <xf numFmtId="0" fontId="99" fillId="0" borderId="0" xfId="59" applyFont="1"/>
    <xf numFmtId="0" fontId="99" fillId="0" borderId="0" xfId="59" applyFont="1" applyAlignment="1"/>
    <xf numFmtId="0" fontId="99" fillId="0" borderId="0" xfId="59" applyFont="1" applyAlignment="1">
      <alignment horizontal="right"/>
    </xf>
    <xf numFmtId="0" fontId="108" fillId="0" borderId="0" xfId="59" applyFont="1"/>
    <xf numFmtId="8" fontId="99" fillId="0" borderId="0" xfId="59" applyNumberFormat="1" applyFont="1" applyAlignment="1">
      <alignment horizontal="right"/>
    </xf>
    <xf numFmtId="0" fontId="109" fillId="0" borderId="30" xfId="59" applyFont="1" applyBorder="1" applyAlignment="1"/>
    <xf numFmtId="0" fontId="109" fillId="0" borderId="16" xfId="59" applyFont="1" applyBorder="1" applyAlignment="1"/>
    <xf numFmtId="0" fontId="99" fillId="0" borderId="16" xfId="59" applyFont="1" applyBorder="1" applyAlignment="1">
      <alignment horizontal="right"/>
    </xf>
    <xf numFmtId="0" fontId="99" fillId="0" borderId="38" xfId="59" applyFont="1" applyBorder="1" applyAlignment="1">
      <alignment horizontal="right"/>
    </xf>
    <xf numFmtId="9" fontId="99" fillId="0" borderId="0" xfId="59" applyNumberFormat="1" applyFont="1"/>
    <xf numFmtId="0" fontId="106" fillId="0" borderId="32" xfId="59" applyFont="1" applyFill="1" applyBorder="1" applyAlignment="1"/>
    <xf numFmtId="0" fontId="106" fillId="0" borderId="1" xfId="59" applyFont="1" applyFill="1" applyBorder="1" applyAlignment="1"/>
    <xf numFmtId="173" fontId="106" fillId="0" borderId="1" xfId="59" applyNumberFormat="1" applyFont="1" applyFill="1" applyBorder="1" applyAlignment="1">
      <alignment horizontal="right"/>
    </xf>
    <xf numFmtId="173" fontId="106" fillId="0" borderId="65" xfId="59" applyNumberFormat="1" applyFont="1" applyFill="1" applyBorder="1" applyAlignment="1">
      <alignment horizontal="right"/>
    </xf>
    <xf numFmtId="0" fontId="106" fillId="0" borderId="31" xfId="59" applyFont="1" applyFill="1" applyBorder="1" applyAlignment="1"/>
    <xf numFmtId="0" fontId="106" fillId="0" borderId="0" xfId="59" applyFont="1" applyFill="1" applyBorder="1" applyAlignment="1"/>
    <xf numFmtId="173" fontId="106" fillId="0" borderId="0" xfId="59" applyNumberFormat="1" applyFont="1" applyFill="1" applyBorder="1" applyAlignment="1">
      <alignment horizontal="right"/>
    </xf>
    <xf numFmtId="173" fontId="106" fillId="0" borderId="47" xfId="59" applyNumberFormat="1" applyFont="1" applyFill="1" applyBorder="1" applyAlignment="1">
      <alignment horizontal="right"/>
    </xf>
    <xf numFmtId="0" fontId="102" fillId="24" borderId="66" xfId="59" applyFont="1" applyFill="1" applyBorder="1"/>
    <xf numFmtId="0" fontId="102" fillId="24" borderId="2" xfId="59" applyFont="1" applyFill="1" applyBorder="1"/>
    <xf numFmtId="173" fontId="109" fillId="24" borderId="2" xfId="59" applyNumberFormat="1" applyFont="1" applyFill="1" applyBorder="1" applyAlignment="1">
      <alignment horizontal="right"/>
    </xf>
    <xf numFmtId="173" fontId="109" fillId="24" borderId="67" xfId="59" applyNumberFormat="1" applyFont="1" applyFill="1" applyBorder="1" applyAlignment="1">
      <alignment horizontal="right"/>
    </xf>
    <xf numFmtId="0" fontId="102" fillId="0" borderId="31" xfId="59" applyFont="1" applyFill="1" applyBorder="1"/>
    <xf numFmtId="0" fontId="102" fillId="0" borderId="0" xfId="59" applyFont="1" applyFill="1" applyBorder="1"/>
    <xf numFmtId="173" fontId="109" fillId="0" borderId="0" xfId="59" applyNumberFormat="1" applyFont="1" applyFill="1" applyBorder="1" applyAlignment="1">
      <alignment horizontal="right"/>
    </xf>
    <xf numFmtId="173" fontId="109" fillId="0" borderId="47" xfId="59" applyNumberFormat="1" applyFont="1" applyFill="1" applyBorder="1" applyAlignment="1">
      <alignment horizontal="right"/>
    </xf>
    <xf numFmtId="0" fontId="115" fillId="0" borderId="31" xfId="59" applyFont="1" applyFill="1" applyBorder="1" applyAlignment="1">
      <alignment horizontal="left" indent="1"/>
    </xf>
    <xf numFmtId="0" fontId="102" fillId="0" borderId="0" xfId="59" applyFont="1" applyFill="1" applyBorder="1" applyAlignment="1">
      <alignment horizontal="center"/>
    </xf>
    <xf numFmtId="173" fontId="109" fillId="0" borderId="0" xfId="59" applyNumberFormat="1" applyFont="1" applyFill="1" applyBorder="1" applyAlignment="1">
      <alignment horizontal="center"/>
    </xf>
    <xf numFmtId="9" fontId="116" fillId="0" borderId="0" xfId="59" applyNumberFormat="1" applyFont="1" applyBorder="1"/>
    <xf numFmtId="9" fontId="116" fillId="0" borderId="47" xfId="59" applyNumberFormat="1" applyFont="1" applyBorder="1"/>
    <xf numFmtId="9" fontId="117" fillId="0" borderId="0" xfId="80" applyFont="1" applyFill="1" applyBorder="1" applyAlignment="1">
      <alignment horizontal="right"/>
    </xf>
    <xf numFmtId="9" fontId="117" fillId="0" borderId="47" xfId="80" applyFont="1" applyFill="1" applyBorder="1" applyAlignment="1">
      <alignment horizontal="right"/>
    </xf>
    <xf numFmtId="0" fontId="118" fillId="0" borderId="33" xfId="59" applyFont="1" applyBorder="1" applyAlignment="1"/>
    <xf numFmtId="0" fontId="118" fillId="0" borderId="5" xfId="59" applyFont="1" applyBorder="1" applyAlignment="1"/>
    <xf numFmtId="0" fontId="99" fillId="0" borderId="5" xfId="59" applyFont="1" applyBorder="1" applyAlignment="1">
      <alignment horizontal="right"/>
    </xf>
    <xf numFmtId="9" fontId="99" fillId="0" borderId="5" xfId="80" applyFont="1" applyBorder="1" applyAlignment="1">
      <alignment horizontal="right"/>
    </xf>
    <xf numFmtId="9" fontId="99" fillId="0" borderId="39" xfId="80" applyFont="1" applyBorder="1" applyAlignment="1">
      <alignment horizontal="right"/>
    </xf>
    <xf numFmtId="0" fontId="119" fillId="0" borderId="0" xfId="59" applyFont="1" applyAlignment="1"/>
    <xf numFmtId="0" fontId="96" fillId="20" borderId="2" xfId="61" applyFont="1" applyFill="1" applyBorder="1"/>
    <xf numFmtId="0" fontId="95" fillId="20" borderId="2" xfId="61" applyFont="1" applyFill="1" applyBorder="1" applyAlignment="1">
      <alignment horizontal="right"/>
    </xf>
    <xf numFmtId="0" fontId="99" fillId="0" borderId="0" xfId="59"/>
    <xf numFmtId="189" fontId="106" fillId="0" borderId="0" xfId="42" applyNumberFormat="1" applyFont="1"/>
    <xf numFmtId="189" fontId="99" fillId="0" borderId="0" xfId="59" applyNumberFormat="1"/>
    <xf numFmtId="0" fontId="103" fillId="0" borderId="0" xfId="59" applyFont="1" applyAlignment="1">
      <alignment horizontal="left" indent="1"/>
    </xf>
    <xf numFmtId="166" fontId="116" fillId="0" borderId="0" xfId="80" applyNumberFormat="1" applyFont="1" applyFill="1"/>
    <xf numFmtId="10" fontId="99" fillId="0" borderId="0" xfId="59" applyNumberFormat="1"/>
    <xf numFmtId="189" fontId="99" fillId="0" borderId="0" xfId="42" applyNumberFormat="1" applyFont="1"/>
    <xf numFmtId="9" fontId="116" fillId="0" borderId="0" xfId="59" applyNumberFormat="1" applyFont="1"/>
    <xf numFmtId="0" fontId="103" fillId="0" borderId="0" xfId="59" applyFont="1"/>
    <xf numFmtId="0" fontId="120" fillId="0" borderId="0" xfId="59" applyFont="1" applyAlignment="1">
      <alignment horizontal="right"/>
    </xf>
    <xf numFmtId="0" fontId="120" fillId="0" borderId="0" xfId="59" applyFont="1"/>
    <xf numFmtId="173" fontId="106" fillId="0" borderId="0" xfId="59" applyNumberFormat="1" applyFont="1"/>
    <xf numFmtId="173" fontId="120" fillId="0" borderId="0" xfId="59" applyNumberFormat="1" applyFont="1"/>
    <xf numFmtId="9" fontId="121" fillId="0" borderId="0" xfId="59" applyNumberFormat="1" applyFont="1"/>
    <xf numFmtId="9" fontId="103" fillId="0" borderId="0" xfId="80" applyFont="1" applyAlignment="1"/>
    <xf numFmtId="9" fontId="116" fillId="0" borderId="0" xfId="80" applyNumberFormat="1" applyFont="1" applyFill="1"/>
    <xf numFmtId="166" fontId="99" fillId="0" borderId="0" xfId="59" applyNumberFormat="1"/>
    <xf numFmtId="173" fontId="99" fillId="0" borderId="0" xfId="63" applyNumberFormat="1"/>
    <xf numFmtId="3" fontId="102" fillId="0" borderId="0" xfId="0" applyNumberFormat="1" applyFont="1"/>
    <xf numFmtId="3" fontId="0" fillId="0" borderId="0" xfId="0" applyNumberFormat="1" applyFont="1"/>
    <xf numFmtId="9" fontId="0" fillId="0" borderId="0" xfId="80" applyFont="1"/>
    <xf numFmtId="189" fontId="0" fillId="0" borderId="0" xfId="42" applyNumberFormat="1" applyFont="1"/>
    <xf numFmtId="3" fontId="0" fillId="0" borderId="0" xfId="0" applyNumberFormat="1"/>
    <xf numFmtId="189" fontId="102" fillId="0" borderId="25" xfId="0" applyNumberFormat="1" applyFont="1" applyBorder="1"/>
    <xf numFmtId="0" fontId="103" fillId="0" borderId="0" xfId="0" applyFont="1" applyAlignment="1">
      <alignment horizontal="left" indent="2"/>
    </xf>
    <xf numFmtId="0" fontId="102" fillId="27" borderId="0" xfId="0" applyFont="1" applyFill="1"/>
    <xf numFmtId="211" fontId="11" fillId="0" borderId="0" xfId="57" applyFont="1"/>
    <xf numFmtId="211" fontId="19" fillId="0" borderId="0" xfId="57" applyFont="1"/>
    <xf numFmtId="211" fontId="11" fillId="0" borderId="25" xfId="57" applyFont="1" applyBorder="1"/>
    <xf numFmtId="189" fontId="11" fillId="0" borderId="25" xfId="57" applyNumberFormat="1" applyFont="1" applyBorder="1"/>
    <xf numFmtId="211" fontId="11" fillId="0" borderId="34" xfId="57" applyFont="1" applyBorder="1"/>
    <xf numFmtId="211" fontId="11" fillId="0" borderId="12" xfId="57" applyFont="1" applyBorder="1"/>
    <xf numFmtId="189" fontId="11" fillId="0" borderId="12" xfId="57" applyNumberFormat="1" applyFont="1" applyBorder="1"/>
    <xf numFmtId="189" fontId="11" fillId="0" borderId="51" xfId="57" applyNumberFormat="1" applyFont="1" applyBorder="1"/>
    <xf numFmtId="189" fontId="102" fillId="0" borderId="0" xfId="0" applyNumberFormat="1" applyFont="1" applyBorder="1"/>
    <xf numFmtId="0" fontId="11" fillId="0" borderId="28" xfId="0" applyFont="1" applyFill="1" applyBorder="1"/>
    <xf numFmtId="6" fontId="19" fillId="0" borderId="2" xfId="0" applyNumberFormat="1" applyFont="1" applyFill="1" applyBorder="1" applyAlignment="1">
      <alignment horizontal="center"/>
    </xf>
    <xf numFmtId="176" fontId="11" fillId="0" borderId="2" xfId="0" applyNumberFormat="1" applyFont="1" applyFill="1" applyBorder="1" applyAlignment="1">
      <alignment horizontal="center"/>
    </xf>
    <xf numFmtId="6" fontId="11" fillId="0" borderId="2" xfId="0" applyNumberFormat="1" applyFont="1" applyFill="1" applyBorder="1" applyAlignment="1">
      <alignment horizontal="center"/>
    </xf>
    <xf numFmtId="189" fontId="19" fillId="0" borderId="0" xfId="40" applyNumberFormat="1" applyFont="1"/>
    <xf numFmtId="211" fontId="49" fillId="0" borderId="0" xfId="57" applyFont="1"/>
    <xf numFmtId="189" fontId="49" fillId="0" borderId="0" xfId="57" applyNumberFormat="1" applyFont="1"/>
    <xf numFmtId="3" fontId="49" fillId="0" borderId="0" xfId="57" applyNumberFormat="1" applyFont="1"/>
    <xf numFmtId="43" fontId="49" fillId="0" borderId="0" xfId="57" applyNumberFormat="1" applyFont="1"/>
    <xf numFmtId="9" fontId="49" fillId="0" borderId="0" xfId="57" applyNumberFormat="1" applyFont="1"/>
    <xf numFmtId="189" fontId="122" fillId="0" borderId="25" xfId="40" applyNumberFormat="1" applyFont="1" applyBorder="1"/>
    <xf numFmtId="178" fontId="122" fillId="0" borderId="25" xfId="46" applyNumberFormat="1" applyFont="1" applyBorder="1"/>
    <xf numFmtId="209" fontId="49" fillId="0" borderId="0" xfId="57" applyNumberFormat="1" applyFont="1"/>
    <xf numFmtId="173" fontId="99" fillId="0" borderId="35" xfId="63" applyNumberFormat="1" applyBorder="1" applyAlignment="1">
      <alignment horizontal="center"/>
    </xf>
    <xf numFmtId="0" fontId="99" fillId="21" borderId="0" xfId="58" applyFill="1"/>
    <xf numFmtId="0" fontId="99" fillId="21" borderId="0" xfId="58" applyFont="1" applyFill="1"/>
    <xf numFmtId="0" fontId="99" fillId="0" borderId="0" xfId="58"/>
    <xf numFmtId="0" fontId="54" fillId="2" borderId="0" xfId="58" applyFont="1" applyFill="1" applyAlignment="1">
      <alignment vertical="center"/>
    </xf>
    <xf numFmtId="0" fontId="54" fillId="2" borderId="0" xfId="58" applyFont="1" applyFill="1" applyAlignment="1">
      <alignment horizontal="center" vertical="center" wrapText="1"/>
    </xf>
    <xf numFmtId="9" fontId="99" fillId="21" borderId="0" xfId="58" applyNumberFormat="1" applyFill="1" applyAlignment="1">
      <alignment horizontal="center"/>
    </xf>
    <xf numFmtId="4" fontId="97" fillId="21" borderId="0" xfId="58" applyNumberFormat="1" applyFont="1" applyFill="1" applyAlignment="1">
      <alignment horizontal="left"/>
    </xf>
    <xf numFmtId="175" fontId="97" fillId="21" borderId="0" xfId="58" applyNumberFormat="1" applyFont="1" applyFill="1" applyAlignment="1">
      <alignment horizontal="center"/>
    </xf>
    <xf numFmtId="3" fontId="97" fillId="21" borderId="0" xfId="58" applyNumberFormat="1" applyFont="1" applyFill="1" applyAlignment="1">
      <alignment horizontal="center"/>
    </xf>
    <xf numFmtId="9" fontId="97" fillId="21" borderId="0" xfId="58" applyNumberFormat="1" applyFont="1" applyFill="1" applyAlignment="1">
      <alignment horizontal="center"/>
    </xf>
    <xf numFmtId="3" fontId="54" fillId="21" borderId="0" xfId="39" applyNumberFormat="1" applyFont="1" applyFill="1" applyBorder="1" applyAlignment="1" applyProtection="1">
      <alignment horizontal="center"/>
    </xf>
    <xf numFmtId="0" fontId="54" fillId="21" borderId="0" xfId="78" applyNumberFormat="1" applyFont="1" applyFill="1" applyBorder="1" applyAlignment="1" applyProtection="1">
      <alignment horizontal="center"/>
    </xf>
    <xf numFmtId="166" fontId="54" fillId="21" borderId="0" xfId="78" applyNumberFormat="1" applyFont="1" applyFill="1" applyBorder="1" applyAlignment="1" applyProtection="1">
      <alignment horizontal="center"/>
    </xf>
    <xf numFmtId="173" fontId="54" fillId="21" borderId="0" xfId="45" applyNumberFormat="1" applyFont="1" applyFill="1" applyAlignment="1">
      <alignment horizontal="center"/>
    </xf>
    <xf numFmtId="9" fontId="99" fillId="21" borderId="0" xfId="58" applyNumberFormat="1" applyFill="1"/>
    <xf numFmtId="173" fontId="54" fillId="21" borderId="0" xfId="58" applyNumberFormat="1" applyFont="1" applyFill="1" applyAlignment="1">
      <alignment horizontal="center"/>
    </xf>
    <xf numFmtId="3" fontId="97" fillId="21" borderId="0" xfId="58" applyNumberFormat="1" applyFont="1" applyFill="1" applyBorder="1" applyAlignment="1">
      <alignment horizontal="center"/>
    </xf>
    <xf numFmtId="9" fontId="97" fillId="21" borderId="0" xfId="58" applyNumberFormat="1" applyFont="1" applyFill="1" applyBorder="1" applyAlignment="1">
      <alignment horizontal="center"/>
    </xf>
    <xf numFmtId="17" fontId="54" fillId="21" borderId="0" xfId="78" applyNumberFormat="1" applyFont="1" applyFill="1" applyBorder="1" applyAlignment="1" applyProtection="1">
      <alignment horizontal="center"/>
    </xf>
    <xf numFmtId="210" fontId="13" fillId="2" borderId="0" xfId="0" applyNumberFormat="1" applyFont="1" applyFill="1" applyBorder="1" applyAlignment="1" applyProtection="1">
      <alignment horizontal="left" indent="1"/>
    </xf>
    <xf numFmtId="189" fontId="13" fillId="2" borderId="0" xfId="0" applyNumberFormat="1" applyFont="1" applyFill="1" applyBorder="1" applyAlignment="1" applyProtection="1">
      <alignment horizontal="fill"/>
    </xf>
    <xf numFmtId="9" fontId="13" fillId="2" borderId="0" xfId="78" applyFont="1" applyFill="1" applyBorder="1" applyAlignment="1" applyProtection="1">
      <alignment horizontal="center"/>
    </xf>
    <xf numFmtId="189" fontId="13" fillId="2" borderId="0" xfId="39" applyNumberFormat="1" applyFont="1" applyFill="1" applyBorder="1" applyAlignment="1" applyProtection="1">
      <alignment horizontal="center"/>
    </xf>
    <xf numFmtId="17" fontId="13" fillId="2" borderId="0" xfId="39" applyNumberFormat="1" applyFont="1" applyFill="1" applyBorder="1" applyAlignment="1" applyProtection="1">
      <alignment horizontal="center"/>
    </xf>
    <xf numFmtId="173" fontId="54" fillId="2" borderId="0" xfId="39" applyNumberFormat="1" applyFont="1" applyFill="1" applyAlignment="1">
      <alignment horizontal="center"/>
    </xf>
    <xf numFmtId="0" fontId="88" fillId="21" borderId="0" xfId="58" applyFont="1" applyFill="1" applyAlignment="1"/>
    <xf numFmtId="0" fontId="13" fillId="21" borderId="0" xfId="58" applyFont="1" applyFill="1" applyAlignment="1"/>
    <xf numFmtId="173" fontId="54" fillId="21" borderId="0" xfId="45" applyNumberFormat="1" applyFont="1" applyFill="1" applyBorder="1" applyAlignment="1">
      <alignment horizontal="center"/>
    </xf>
    <xf numFmtId="165" fontId="54" fillId="21" borderId="0" xfId="58" applyNumberFormat="1" applyFont="1" applyFill="1" applyAlignment="1">
      <alignment horizontal="center"/>
    </xf>
    <xf numFmtId="37" fontId="54" fillId="21" borderId="0" xfId="58" applyNumberFormat="1" applyFont="1" applyFill="1" applyAlignment="1">
      <alignment horizontal="center"/>
    </xf>
    <xf numFmtId="0" fontId="88" fillId="2" borderId="0" xfId="58" applyFont="1" applyFill="1" applyAlignment="1"/>
    <xf numFmtId="0" fontId="13" fillId="2" borderId="0" xfId="58" applyFont="1" applyFill="1" applyAlignment="1"/>
    <xf numFmtId="173" fontId="99" fillId="2" borderId="0" xfId="58" applyNumberFormat="1" applyFill="1" applyAlignment="1">
      <alignment horizontal="center"/>
    </xf>
    <xf numFmtId="166" fontId="98" fillId="21" borderId="0" xfId="79" applyNumberFormat="1" applyFont="1" applyFill="1"/>
    <xf numFmtId="173" fontId="99" fillId="21" borderId="0" xfId="58" applyNumberFormat="1" applyFill="1" applyAlignment="1">
      <alignment horizontal="center"/>
    </xf>
    <xf numFmtId="0" fontId="88" fillId="21" borderId="34" xfId="58" applyFont="1" applyFill="1" applyBorder="1" applyAlignment="1"/>
    <xf numFmtId="167" fontId="88" fillId="21" borderId="51" xfId="41" applyNumberFormat="1" applyFont="1" applyFill="1" applyBorder="1" applyAlignment="1"/>
    <xf numFmtId="189" fontId="88" fillId="21" borderId="0" xfId="41" applyNumberFormat="1" applyFont="1" applyFill="1" applyBorder="1" applyAlignment="1"/>
    <xf numFmtId="0" fontId="99" fillId="21" borderId="0" xfId="58" applyFill="1" applyBorder="1"/>
    <xf numFmtId="9" fontId="99" fillId="21" borderId="0" xfId="58" applyNumberFormat="1" applyFill="1" applyBorder="1"/>
    <xf numFmtId="0" fontId="13" fillId="21" borderId="12" xfId="58" applyFont="1" applyFill="1" applyBorder="1" applyAlignment="1"/>
    <xf numFmtId="173" fontId="54" fillId="21" borderId="51" xfId="45" applyNumberFormat="1" applyFont="1" applyFill="1" applyBorder="1" applyAlignment="1">
      <alignment horizontal="center"/>
    </xf>
    <xf numFmtId="174" fontId="99" fillId="21" borderId="0" xfId="58" applyNumberFormat="1" applyFill="1"/>
    <xf numFmtId="0" fontId="88" fillId="21" borderId="34" xfId="0" applyFont="1" applyFill="1" applyBorder="1" applyAlignment="1"/>
    <xf numFmtId="166" fontId="54" fillId="21" borderId="51" xfId="45" applyNumberFormat="1" applyFont="1" applyFill="1" applyBorder="1" applyAlignment="1">
      <alignment horizontal="center"/>
    </xf>
    <xf numFmtId="0" fontId="99" fillId="22" borderId="0" xfId="58" applyFill="1"/>
    <xf numFmtId="0" fontId="103" fillId="21" borderId="0" xfId="58" applyFont="1" applyFill="1"/>
    <xf numFmtId="9" fontId="102" fillId="21" borderId="0" xfId="58" applyNumberFormat="1" applyFont="1" applyFill="1" applyBorder="1" applyAlignment="1">
      <alignment horizontal="center"/>
    </xf>
    <xf numFmtId="0" fontId="102" fillId="21" borderId="0" xfId="58" applyFont="1" applyFill="1"/>
    <xf numFmtId="0" fontId="92" fillId="0" borderId="0" xfId="58" applyFont="1"/>
    <xf numFmtId="37" fontId="99" fillId="0" borderId="38" xfId="63" applyNumberFormat="1" applyFill="1" applyBorder="1"/>
    <xf numFmtId="0" fontId="99" fillId="0" borderId="47" xfId="63" applyFill="1" applyBorder="1"/>
    <xf numFmtId="37" fontId="99" fillId="0" borderId="47" xfId="63" applyNumberFormat="1" applyFill="1" applyBorder="1"/>
    <xf numFmtId="189" fontId="94" fillId="0" borderId="70" xfId="43" applyNumberFormat="1" applyFont="1" applyFill="1" applyBorder="1"/>
    <xf numFmtId="0" fontId="99" fillId="0" borderId="0" xfId="63" applyFill="1"/>
    <xf numFmtId="189" fontId="99" fillId="0" borderId="51" xfId="63" applyNumberFormat="1" applyFill="1" applyBorder="1"/>
    <xf numFmtId="43" fontId="99" fillId="0" borderId="51" xfId="63" applyNumberFormat="1" applyFill="1" applyBorder="1"/>
    <xf numFmtId="43" fontId="99" fillId="0" borderId="35" xfId="63" applyNumberFormat="1" applyFill="1" applyBorder="1"/>
    <xf numFmtId="189" fontId="94" fillId="0" borderId="51" xfId="43" applyNumberFormat="1" applyFont="1" applyFill="1" applyBorder="1"/>
    <xf numFmtId="0" fontId="103" fillId="0" borderId="21" xfId="63" applyFont="1" applyFill="1" applyBorder="1"/>
    <xf numFmtId="174" fontId="99" fillId="0" borderId="39" xfId="63" applyNumberFormat="1" applyFill="1" applyBorder="1"/>
    <xf numFmtId="173" fontId="102" fillId="21" borderId="0" xfId="58" applyNumberFormat="1" applyFont="1" applyFill="1"/>
    <xf numFmtId="173" fontId="99" fillId="21" borderId="0" xfId="58" applyNumberFormat="1" applyFill="1"/>
    <xf numFmtId="49" fontId="20" fillId="0" borderId="28" xfId="72" applyNumberFormat="1" applyFont="1" applyFill="1" applyBorder="1" applyAlignment="1">
      <alignment horizontal="left" wrapText="1"/>
    </xf>
    <xf numFmtId="183" fontId="20" fillId="0" borderId="2" xfId="72" applyNumberFormat="1" applyFont="1" applyFill="1" applyBorder="1" applyAlignment="1">
      <alignment horizontal="center"/>
    </xf>
    <xf numFmtId="184" fontId="20" fillId="0" borderId="2" xfId="72" applyNumberFormat="1" applyFont="1" applyFill="1" applyBorder="1" applyAlignment="1">
      <alignment horizontal="center"/>
    </xf>
    <xf numFmtId="176" fontId="20" fillId="0" borderId="28" xfId="72" applyNumberFormat="1" applyFont="1" applyFill="1" applyBorder="1" applyAlignment="1">
      <alignment wrapText="1"/>
    </xf>
    <xf numFmtId="183" fontId="20" fillId="0" borderId="2" xfId="72" applyNumberFormat="1" applyFont="1" applyFill="1" applyBorder="1" applyAlignment="1"/>
    <xf numFmtId="0" fontId="123" fillId="0" borderId="0" xfId="59" applyFont="1"/>
    <xf numFmtId="10" fontId="54" fillId="0" borderId="37" xfId="64" applyNumberFormat="1" applyFont="1" applyFill="1" applyBorder="1" applyAlignment="1"/>
    <xf numFmtId="10" fontId="13" fillId="22" borderId="9" xfId="80" applyNumberFormat="1" applyFont="1" applyFill="1" applyBorder="1" applyAlignment="1" applyProtection="1"/>
    <xf numFmtId="10" fontId="54" fillId="22" borderId="53" xfId="80" applyNumberFormat="1" applyFont="1" applyFill="1" applyBorder="1" applyAlignment="1" applyProtection="1"/>
    <xf numFmtId="3" fontId="12" fillId="0" borderId="0" xfId="38" applyNumberFormat="1" applyFont="1" applyFill="1" applyBorder="1" applyAlignment="1">
      <alignment horizontal="center"/>
    </xf>
    <xf numFmtId="177" fontId="12" fillId="0" borderId="36" xfId="70" applyNumberFormat="1" applyFont="1" applyFill="1" applyBorder="1" applyAlignment="1">
      <alignment horizontal="center"/>
    </xf>
    <xf numFmtId="177" fontId="12" fillId="0" borderId="9" xfId="70" applyNumberFormat="1" applyFont="1" applyFill="1" applyBorder="1" applyAlignment="1">
      <alignment horizontal="center"/>
    </xf>
    <xf numFmtId="2" fontId="12" fillId="0" borderId="9" xfId="70" applyNumberFormat="1" applyFont="1" applyFill="1" applyBorder="1" applyAlignment="1">
      <alignment horizontal="center"/>
    </xf>
    <xf numFmtId="2" fontId="22" fillId="0" borderId="9" xfId="70" applyNumberFormat="1" applyFont="1" applyFill="1" applyBorder="1" applyAlignment="1">
      <alignment horizontal="center"/>
    </xf>
    <xf numFmtId="2" fontId="12" fillId="0" borderId="9" xfId="68" applyNumberFormat="1" applyFont="1" applyFill="1" applyBorder="1" applyAlignment="1">
      <alignment horizontal="center"/>
    </xf>
    <xf numFmtId="9" fontId="21" fillId="0" borderId="9" xfId="81" applyFont="1" applyFill="1" applyBorder="1" applyAlignment="1">
      <alignment horizontal="center"/>
    </xf>
    <xf numFmtId="9" fontId="21" fillId="0" borderId="37" xfId="81" applyFont="1" applyFill="1" applyBorder="1" applyAlignment="1">
      <alignment horizontal="center"/>
    </xf>
    <xf numFmtId="3" fontId="20" fillId="17" borderId="2" xfId="38" applyNumberFormat="1" applyFont="1" applyFill="1" applyBorder="1" applyAlignment="1">
      <alignment horizontal="center"/>
    </xf>
    <xf numFmtId="166" fontId="30" fillId="0" borderId="0" xfId="77" applyNumberFormat="1" applyFont="1" applyFill="1" applyBorder="1" applyAlignment="1">
      <alignment horizontal="center"/>
    </xf>
    <xf numFmtId="0" fontId="124" fillId="21" borderId="0" xfId="58" applyFont="1" applyFill="1"/>
    <xf numFmtId="9" fontId="13" fillId="0" borderId="8" xfId="77" applyFont="1" applyBorder="1" applyAlignment="1"/>
    <xf numFmtId="166" fontId="13" fillId="0" borderId="8" xfId="77" applyNumberFormat="1" applyFont="1" applyBorder="1" applyAlignment="1"/>
    <xf numFmtId="179" fontId="12" fillId="17" borderId="0" xfId="0" applyNumberFormat="1" applyFont="1" applyFill="1" applyBorder="1" applyAlignment="1">
      <alignment horizontal="right"/>
    </xf>
    <xf numFmtId="3" fontId="13" fillId="0" borderId="8" xfId="64" applyNumberFormat="1" applyFont="1" applyBorder="1" applyAlignment="1"/>
    <xf numFmtId="10" fontId="54" fillId="21" borderId="20" xfId="80" applyNumberFormat="1" applyFont="1" applyFill="1" applyBorder="1" applyAlignment="1" applyProtection="1"/>
    <xf numFmtId="10" fontId="54" fillId="22" borderId="11" xfId="80" applyNumberFormat="1" applyFont="1" applyFill="1" applyBorder="1" applyAlignment="1" applyProtection="1"/>
    <xf numFmtId="3" fontId="54" fillId="22" borderId="40" xfId="64" applyNumberFormat="1" applyFont="1" applyFill="1" applyBorder="1" applyAlignment="1" applyProtection="1"/>
    <xf numFmtId="3" fontId="54" fillId="22" borderId="20" xfId="64" applyNumberFormat="1" applyFont="1" applyFill="1" applyBorder="1" applyAlignment="1" applyProtection="1"/>
    <xf numFmtId="9" fontId="125" fillId="21" borderId="20" xfId="80" applyFont="1" applyFill="1" applyBorder="1" applyAlignment="1" applyProtection="1"/>
    <xf numFmtId="9" fontId="125" fillId="22" borderId="40" xfId="80" applyFont="1" applyFill="1" applyBorder="1" applyAlignment="1" applyProtection="1"/>
    <xf numFmtId="166" fontId="126" fillId="0" borderId="20" xfId="64" applyNumberFormat="1" applyFont="1" applyBorder="1" applyAlignment="1"/>
    <xf numFmtId="166" fontId="125" fillId="2" borderId="53" xfId="64" applyNumberFormat="1" applyFont="1" applyFill="1" applyBorder="1" applyAlignment="1"/>
    <xf numFmtId="10" fontId="125" fillId="22" borderId="11" xfId="80" applyNumberFormat="1" applyFont="1" applyFill="1" applyBorder="1" applyAlignment="1" applyProtection="1"/>
    <xf numFmtId="166" fontId="126" fillId="0" borderId="11" xfId="64" applyNumberFormat="1" applyFont="1" applyBorder="1" applyAlignment="1"/>
    <xf numFmtId="166" fontId="125" fillId="2" borderId="20" xfId="80" applyNumberFormat="1" applyFont="1" applyFill="1" applyBorder="1" applyAlignment="1"/>
    <xf numFmtId="166" fontId="125" fillId="2" borderId="40" xfId="64" applyNumberFormat="1" applyFont="1" applyFill="1" applyBorder="1" applyAlignment="1"/>
    <xf numFmtId="10" fontId="20" fillId="0" borderId="11" xfId="64" applyNumberFormat="1" applyFont="1" applyBorder="1" applyAlignment="1"/>
    <xf numFmtId="166" fontId="125" fillId="2" borderId="20" xfId="64" applyNumberFormat="1" applyFont="1" applyFill="1" applyBorder="1" applyAlignment="1"/>
    <xf numFmtId="10" fontId="126" fillId="0" borderId="11" xfId="64" applyNumberFormat="1" applyFont="1" applyBorder="1" applyAlignment="1"/>
    <xf numFmtId="166" fontId="37" fillId="0" borderId="8" xfId="40" applyNumberFormat="1" applyFont="1" applyFill="1" applyBorder="1" applyProtection="1">
      <protection locked="0"/>
    </xf>
    <xf numFmtId="189" fontId="20" fillId="17" borderId="0" xfId="38" applyNumberFormat="1" applyFont="1" applyFill="1" applyBorder="1" applyAlignment="1">
      <alignment horizontal="center"/>
    </xf>
    <xf numFmtId="43" fontId="20" fillId="17" borderId="0" xfId="38" applyNumberFormat="1" applyFont="1" applyFill="1" applyBorder="1" applyAlignment="1">
      <alignment horizontal="center"/>
    </xf>
    <xf numFmtId="9" fontId="99" fillId="21" borderId="0" xfId="58" applyNumberFormat="1" applyFill="1" applyAlignment="1">
      <alignment horizontal="left"/>
    </xf>
    <xf numFmtId="0" fontId="99" fillId="0" borderId="0" xfId="58" applyFill="1"/>
    <xf numFmtId="9" fontId="102" fillId="0" borderId="0" xfId="58" applyNumberFormat="1" applyFont="1" applyFill="1" applyBorder="1"/>
    <xf numFmtId="0" fontId="99" fillId="0" borderId="0" xfId="58" applyFill="1" applyBorder="1"/>
    <xf numFmtId="0" fontId="99" fillId="0" borderId="0" xfId="58" applyFont="1" applyFill="1"/>
    <xf numFmtId="183" fontId="20" fillId="24" borderId="2" xfId="71" applyNumberFormat="1" applyFont="1" applyFill="1" applyBorder="1" applyAlignment="1">
      <alignment horizontal="center"/>
    </xf>
    <xf numFmtId="165" fontId="12" fillId="24" borderId="0" xfId="71" applyNumberFormat="1" applyFont="1" applyFill="1" applyBorder="1" applyAlignment="1">
      <alignment horizontal="center"/>
    </xf>
    <xf numFmtId="165" fontId="12" fillId="24" borderId="4" xfId="71" applyNumberFormat="1" applyFont="1" applyFill="1" applyBorder="1" applyAlignment="1">
      <alignment horizontal="center"/>
    </xf>
    <xf numFmtId="165" fontId="20" fillId="24" borderId="0" xfId="71" applyNumberFormat="1" applyFont="1" applyFill="1" applyBorder="1" applyAlignment="1">
      <alignment horizontal="center"/>
    </xf>
    <xf numFmtId="37" fontId="20" fillId="24" borderId="0" xfId="71" applyNumberFormat="1" applyFont="1" applyFill="1" applyBorder="1" applyAlignment="1">
      <alignment horizontal="center"/>
    </xf>
    <xf numFmtId="37" fontId="12" fillId="24" borderId="0" xfId="71" applyNumberFormat="1" applyFont="1" applyFill="1" applyBorder="1" applyAlignment="1">
      <alignment horizontal="center"/>
    </xf>
    <xf numFmtId="9" fontId="21" fillId="24" borderId="4" xfId="71" applyNumberFormat="1" applyFont="1" applyFill="1" applyBorder="1" applyAlignment="1">
      <alignment horizontal="center"/>
    </xf>
    <xf numFmtId="191" fontId="20" fillId="24" borderId="0" xfId="71" applyNumberFormat="1" applyFont="1" applyFill="1" applyBorder="1" applyAlignment="1">
      <alignment horizontal="center"/>
    </xf>
    <xf numFmtId="37" fontId="20" fillId="24" borderId="1" xfId="71" applyNumberFormat="1" applyFont="1" applyFill="1" applyBorder="1" applyAlignment="1">
      <alignment horizontal="center"/>
    </xf>
    <xf numFmtId="3" fontId="20" fillId="24" borderId="0" xfId="71" applyNumberFormat="1" applyFont="1" applyFill="1" applyBorder="1" applyAlignment="1">
      <alignment horizontal="center"/>
    </xf>
    <xf numFmtId="4" fontId="20" fillId="24" borderId="0" xfId="71" applyNumberFormat="1" applyFont="1" applyFill="1" applyBorder="1" applyAlignment="1">
      <alignment horizontal="center"/>
    </xf>
    <xf numFmtId="5" fontId="20" fillId="24" borderId="2" xfId="71" applyNumberFormat="1" applyFont="1" applyFill="1" applyBorder="1" applyAlignment="1">
      <alignment horizontal="center"/>
    </xf>
    <xf numFmtId="9" fontId="21" fillId="24" borderId="0" xfId="77" applyFont="1" applyFill="1" applyBorder="1" applyAlignment="1">
      <alignment horizontal="center"/>
    </xf>
    <xf numFmtId="169" fontId="21" fillId="24" borderId="0" xfId="82" applyNumberFormat="1" applyFont="1" applyFill="1" applyBorder="1" applyAlignment="1">
      <alignment horizontal="center"/>
    </xf>
    <xf numFmtId="168" fontId="21" fillId="24" borderId="0" xfId="82" applyNumberFormat="1" applyFont="1" applyFill="1" applyBorder="1" applyAlignment="1">
      <alignment horizontal="center"/>
    </xf>
    <xf numFmtId="169" fontId="28" fillId="24" borderId="0" xfId="82" applyNumberFormat="1" applyFont="1" applyFill="1" applyBorder="1" applyAlignment="1">
      <alignment horizontal="center"/>
    </xf>
    <xf numFmtId="5" fontId="20" fillId="24" borderId="0" xfId="71" applyNumberFormat="1" applyFont="1" applyFill="1" applyBorder="1" applyAlignment="1">
      <alignment horizontal="center"/>
    </xf>
    <xf numFmtId="5" fontId="12" fillId="24" borderId="0" xfId="71" applyNumberFormat="1" applyFont="1" applyFill="1" applyBorder="1" applyAlignment="1">
      <alignment horizontal="center"/>
    </xf>
    <xf numFmtId="7" fontId="20" fillId="24" borderId="1" xfId="71" applyNumberFormat="1" applyFont="1" applyFill="1" applyBorder="1" applyAlignment="1">
      <alignment horizontal="center"/>
    </xf>
    <xf numFmtId="7" fontId="20" fillId="24" borderId="4" xfId="71" applyNumberFormat="1" applyFont="1" applyFill="1" applyBorder="1" applyAlignment="1">
      <alignment horizontal="center"/>
    </xf>
    <xf numFmtId="201" fontId="12" fillId="24" borderId="0" xfId="71" applyNumberFormat="1" applyFont="1" applyFill="1" applyBorder="1" applyAlignment="1">
      <alignment horizontal="center"/>
    </xf>
    <xf numFmtId="201" fontId="12" fillId="24" borderId="0" xfId="71" applyNumberFormat="1" applyFont="1" applyFill="1" applyBorder="1" applyAlignment="1">
      <alignment horizontal="center" vertical="center"/>
    </xf>
    <xf numFmtId="201" fontId="20" fillId="24" borderId="0" xfId="71" applyNumberFormat="1" applyFont="1" applyFill="1" applyBorder="1" applyAlignment="1">
      <alignment horizontal="center"/>
    </xf>
    <xf numFmtId="7" fontId="20" fillId="24" borderId="0" xfId="71" applyNumberFormat="1" applyFont="1" applyFill="1" applyBorder="1" applyAlignment="1">
      <alignment horizontal="center" vertical="center"/>
    </xf>
    <xf numFmtId="7" fontId="20" fillId="24" borderId="0" xfId="71" applyNumberFormat="1" applyFont="1" applyFill="1" applyBorder="1" applyAlignment="1">
      <alignment horizontal="center"/>
    </xf>
    <xf numFmtId="177" fontId="12" fillId="24" borderId="0" xfId="71" applyNumberFormat="1" applyFont="1" applyFill="1" applyBorder="1" applyAlignment="1">
      <alignment horizontal="center"/>
    </xf>
    <xf numFmtId="9" fontId="12" fillId="24" borderId="0" xfId="77" applyNumberFormat="1" applyFont="1" applyFill="1" applyBorder="1" applyAlignment="1">
      <alignment horizontal="center"/>
    </xf>
    <xf numFmtId="0" fontId="102" fillId="26" borderId="28" xfId="0" applyFont="1" applyFill="1" applyBorder="1"/>
    <xf numFmtId="0" fontId="102" fillId="26" borderId="2" xfId="0" applyFont="1" applyFill="1" applyBorder="1"/>
    <xf numFmtId="0" fontId="102" fillId="26" borderId="20" xfId="0" applyFont="1" applyFill="1" applyBorder="1"/>
    <xf numFmtId="0" fontId="0" fillId="0" borderId="1" xfId="0" applyBorder="1"/>
    <xf numFmtId="189" fontId="0" fillId="0" borderId="0" xfId="42" applyNumberFormat="1" applyFont="1" applyBorder="1"/>
    <xf numFmtId="0" fontId="103" fillId="0" borderId="0" xfId="0" applyFont="1" applyBorder="1" applyAlignment="1">
      <alignment horizontal="left" indent="1"/>
    </xf>
    <xf numFmtId="9" fontId="103" fillId="0" borderId="0" xfId="0" applyNumberFormat="1" applyFont="1" applyBorder="1"/>
    <xf numFmtId="0" fontId="102" fillId="0" borderId="0" xfId="0" applyFont="1" applyBorder="1"/>
    <xf numFmtId="0" fontId="0" fillId="0" borderId="0" xfId="0" applyBorder="1" applyAlignment="1">
      <alignment horizontal="left" indent="1"/>
    </xf>
    <xf numFmtId="10" fontId="0" fillId="0" borderId="0" xfId="0" applyNumberFormat="1" applyBorder="1"/>
    <xf numFmtId="178" fontId="0" fillId="0" borderId="0" xfId="46" applyNumberFormat="1" applyFont="1" applyBorder="1"/>
    <xf numFmtId="178" fontId="0" fillId="0" borderId="4" xfId="46" applyNumberFormat="1" applyFont="1" applyBorder="1"/>
    <xf numFmtId="0" fontId="102" fillId="0" borderId="52" xfId="0" applyFont="1" applyBorder="1"/>
    <xf numFmtId="178" fontId="102" fillId="0" borderId="25" xfId="46" applyNumberFormat="1" applyFont="1" applyBorder="1"/>
    <xf numFmtId="178" fontId="102" fillId="0" borderId="53" xfId="46" applyNumberFormat="1" applyFont="1" applyBorder="1"/>
    <xf numFmtId="0" fontId="128" fillId="0" borderId="0" xfId="33" applyFont="1" applyFill="1"/>
    <xf numFmtId="0" fontId="17" fillId="0" borderId="0" xfId="0" applyFont="1" applyBorder="1" applyAlignment="1">
      <alignment horizontal="left" indent="1"/>
    </xf>
    <xf numFmtId="166" fontId="0" fillId="0" borderId="0" xfId="77" applyNumberFormat="1" applyFont="1" applyBorder="1"/>
    <xf numFmtId="173" fontId="19" fillId="0" borderId="0" xfId="0" applyNumberFormat="1" applyFont="1" applyBorder="1"/>
    <xf numFmtId="3" fontId="12" fillId="0" borderId="0" xfId="0" applyNumberFormat="1" applyFont="1" applyFill="1" applyAlignment="1">
      <alignment horizontal="center"/>
    </xf>
    <xf numFmtId="0" fontId="13" fillId="21" borderId="3" xfId="64" applyFont="1" applyFill="1" applyBorder="1" applyAlignment="1" applyProtection="1">
      <alignment horizontal="left" indent="1"/>
    </xf>
    <xf numFmtId="173" fontId="13" fillId="21" borderId="3" xfId="64" applyNumberFormat="1" applyFont="1" applyFill="1" applyBorder="1" applyAlignment="1" applyProtection="1">
      <alignment horizontal="left" indent="1"/>
    </xf>
    <xf numFmtId="166" fontId="19" fillId="0" borderId="0" xfId="77" applyNumberFormat="1" applyFont="1"/>
    <xf numFmtId="178" fontId="0" fillId="0" borderId="1" xfId="0" applyNumberFormat="1" applyBorder="1"/>
    <xf numFmtId="178" fontId="0" fillId="0" borderId="4" xfId="0" applyNumberFormat="1" applyBorder="1"/>
    <xf numFmtId="0" fontId="102" fillId="26" borderId="62" xfId="0" applyFont="1" applyFill="1" applyBorder="1"/>
    <xf numFmtId="0" fontId="102" fillId="26" borderId="63" xfId="0" applyFont="1" applyFill="1" applyBorder="1"/>
    <xf numFmtId="0" fontId="102" fillId="26" borderId="64" xfId="0" applyFont="1" applyFill="1" applyBorder="1"/>
    <xf numFmtId="178" fontId="0" fillId="0" borderId="65" xfId="0" applyNumberFormat="1" applyBorder="1"/>
    <xf numFmtId="178" fontId="0" fillId="0" borderId="47" xfId="0" applyNumberFormat="1" applyBorder="1"/>
    <xf numFmtId="0" fontId="0" fillId="0" borderId="47" xfId="0" applyBorder="1"/>
    <xf numFmtId="9" fontId="17" fillId="0" borderId="47" xfId="0" applyNumberFormat="1" applyFont="1" applyBorder="1"/>
    <xf numFmtId="178" fontId="0" fillId="0" borderId="12" xfId="0" applyNumberFormat="1" applyBorder="1"/>
    <xf numFmtId="178" fontId="0" fillId="0" borderId="51" xfId="0" applyNumberFormat="1" applyBorder="1"/>
    <xf numFmtId="178" fontId="0" fillId="0" borderId="72" xfId="0" applyNumberFormat="1" applyBorder="1"/>
    <xf numFmtId="0" fontId="21" fillId="0" borderId="31" xfId="0" applyFont="1" applyBorder="1"/>
    <xf numFmtId="0" fontId="11" fillId="0" borderId="31" xfId="0" applyFont="1" applyBorder="1"/>
    <xf numFmtId="0" fontId="11" fillId="0" borderId="71" xfId="0" applyFont="1" applyFill="1" applyBorder="1"/>
    <xf numFmtId="0" fontId="11" fillId="0" borderId="34" xfId="0" applyFont="1" applyBorder="1"/>
    <xf numFmtId="0" fontId="11" fillId="0" borderId="32" xfId="0" applyFont="1" applyBorder="1" applyAlignment="1">
      <alignment horizontal="left"/>
    </xf>
    <xf numFmtId="0" fontId="11" fillId="0" borderId="31" xfId="0" applyFont="1" applyBorder="1" applyAlignment="1">
      <alignment horizontal="left"/>
    </xf>
    <xf numFmtId="0" fontId="129" fillId="0" borderId="0" xfId="0" applyFont="1" applyFill="1" applyBorder="1" applyAlignment="1">
      <alignment horizontal="center"/>
    </xf>
    <xf numFmtId="211" fontId="11" fillId="0" borderId="28" xfId="57" applyFont="1" applyBorder="1"/>
    <xf numFmtId="0" fontId="95" fillId="0" borderId="2" xfId="61" applyFont="1" applyFill="1" applyBorder="1"/>
    <xf numFmtId="0" fontId="95" fillId="0" borderId="20" xfId="61" applyFont="1" applyFill="1" applyBorder="1"/>
    <xf numFmtId="188" fontId="109" fillId="24" borderId="2" xfId="59" applyNumberFormat="1" applyFont="1" applyFill="1" applyBorder="1" applyAlignment="1">
      <alignment horizontal="right"/>
    </xf>
    <xf numFmtId="0" fontId="8" fillId="21" borderId="41" xfId="63" applyFont="1" applyFill="1" applyBorder="1"/>
    <xf numFmtId="0" fontId="8" fillId="21" borderId="8" xfId="63" applyFont="1" applyFill="1" applyBorder="1"/>
    <xf numFmtId="0" fontId="130" fillId="0" borderId="0" xfId="0" applyFont="1"/>
    <xf numFmtId="43" fontId="99" fillId="0" borderId="0" xfId="63" applyNumberFormat="1"/>
    <xf numFmtId="175" fontId="0" fillId="0" borderId="0" xfId="0" applyNumberFormat="1" applyBorder="1" applyAlignment="1">
      <alignment horizontal="center"/>
    </xf>
    <xf numFmtId="175" fontId="0" fillId="0" borderId="9" xfId="0" applyNumberFormat="1" applyBorder="1" applyAlignment="1">
      <alignment horizontal="center"/>
    </xf>
    <xf numFmtId="175" fontId="131" fillId="0" borderId="0" xfId="0" applyNumberFormat="1" applyFont="1" applyBorder="1" applyAlignment="1">
      <alignment horizontal="center"/>
    </xf>
    <xf numFmtId="0" fontId="0" fillId="0" borderId="9" xfId="0" applyBorder="1"/>
    <xf numFmtId="166" fontId="0" fillId="0" borderId="4" xfId="77" applyNumberFormat="1" applyFont="1" applyBorder="1"/>
    <xf numFmtId="175" fontId="0" fillId="0" borderId="3" xfId="0" applyNumberFormat="1" applyBorder="1" applyAlignment="1">
      <alignment horizontal="center"/>
    </xf>
    <xf numFmtId="0" fontId="0" fillId="0" borderId="27" xfId="0" applyBorder="1"/>
    <xf numFmtId="0" fontId="24" fillId="0" borderId="0" xfId="0" applyFont="1" applyAlignment="1">
      <alignment horizontal="left" indent="2"/>
    </xf>
    <xf numFmtId="0" fontId="133" fillId="28" borderId="10" xfId="0" applyFont="1" applyFill="1" applyBorder="1" applyAlignment="1">
      <alignment horizontal="center"/>
    </xf>
    <xf numFmtId="0" fontId="133" fillId="28" borderId="1" xfId="0" applyFont="1" applyFill="1" applyBorder="1" applyAlignment="1">
      <alignment horizontal="center"/>
    </xf>
    <xf numFmtId="0" fontId="133" fillId="28" borderId="36" xfId="0" applyFont="1" applyFill="1" applyBorder="1" applyAlignment="1">
      <alignment horizontal="center"/>
    </xf>
    <xf numFmtId="166" fontId="21" fillId="0" borderId="4" xfId="77" applyNumberFormat="1" applyFont="1" applyBorder="1" applyAlignment="1">
      <alignment horizontal="center"/>
    </xf>
    <xf numFmtId="9" fontId="132" fillId="0" borderId="4" xfId="0" applyNumberFormat="1" applyFont="1" applyBorder="1" applyAlignment="1">
      <alignment horizontal="center"/>
    </xf>
    <xf numFmtId="9" fontId="132" fillId="0" borderId="37" xfId="0" applyNumberFormat="1" applyFont="1" applyBorder="1" applyAlignment="1">
      <alignment horizontal="center"/>
    </xf>
    <xf numFmtId="0" fontId="7" fillId="21" borderId="0" xfId="58" applyFont="1" applyFill="1"/>
    <xf numFmtId="0" fontId="129" fillId="28" borderId="10" xfId="0" applyFont="1" applyFill="1" applyBorder="1" applyAlignment="1">
      <alignment horizontal="center"/>
    </xf>
    <xf numFmtId="0" fontId="129" fillId="28" borderId="1" xfId="0" applyFont="1" applyFill="1" applyBorder="1" applyAlignment="1">
      <alignment horizontal="center"/>
    </xf>
    <xf numFmtId="0" fontId="6" fillId="0" borderId="0" xfId="59" applyFont="1"/>
    <xf numFmtId="43" fontId="99" fillId="0" borderId="0" xfId="59" applyNumberFormat="1"/>
    <xf numFmtId="0" fontId="5" fillId="0" borderId="0" xfId="59" applyFont="1"/>
    <xf numFmtId="0" fontId="9" fillId="0" borderId="0" xfId="90" applyFont="1" applyAlignment="1">
      <alignment horizontal="center"/>
    </xf>
    <xf numFmtId="14" fontId="9" fillId="0" borderId="0" xfId="90" applyNumberFormat="1" applyFont="1"/>
    <xf numFmtId="166" fontId="20" fillId="17" borderId="0" xfId="77" applyNumberFormat="1" applyFont="1" applyFill="1" applyBorder="1" applyAlignment="1">
      <alignment horizontal="center"/>
    </xf>
    <xf numFmtId="0" fontId="4" fillId="0" borderId="0" xfId="59" applyFont="1"/>
    <xf numFmtId="5" fontId="134" fillId="0" borderId="37" xfId="43" applyNumberFormat="1" applyFont="1" applyBorder="1"/>
    <xf numFmtId="0" fontId="4" fillId="21" borderId="0" xfId="58" applyFont="1" applyFill="1"/>
    <xf numFmtId="0" fontId="3" fillId="0" borderId="0" xfId="59" applyFont="1"/>
    <xf numFmtId="0" fontId="4" fillId="0" borderId="0" xfId="63" applyFont="1" applyFill="1"/>
    <xf numFmtId="6" fontId="99" fillId="0" borderId="0" xfId="63" applyNumberFormat="1" applyBorder="1"/>
    <xf numFmtId="166" fontId="44" fillId="0" borderId="0" xfId="77" applyNumberFormat="1" applyFont="1" applyFill="1"/>
    <xf numFmtId="0" fontId="129" fillId="28" borderId="10" xfId="64" applyFont="1" applyFill="1" applyBorder="1" applyAlignment="1" applyProtection="1"/>
    <xf numFmtId="0" fontId="129" fillId="28" borderId="1" xfId="64" applyFont="1" applyFill="1" applyBorder="1" applyAlignment="1" applyProtection="1"/>
    <xf numFmtId="0" fontId="129" fillId="28" borderId="36" xfId="64" applyFont="1" applyFill="1" applyBorder="1" applyAlignment="1" applyProtection="1"/>
    <xf numFmtId="0" fontId="19" fillId="0" borderId="23" xfId="64" applyFont="1" applyBorder="1">
      <alignment vertical="center"/>
    </xf>
    <xf numFmtId="173" fontId="19" fillId="0" borderId="23" xfId="64" applyNumberFormat="1" applyBorder="1">
      <alignment vertical="center"/>
    </xf>
    <xf numFmtId="9" fontId="13" fillId="0" borderId="0" xfId="77" applyFont="1" applyAlignment="1"/>
    <xf numFmtId="166" fontId="13" fillId="0" borderId="0" xfId="77" applyNumberFormat="1" applyFont="1" applyAlignment="1"/>
    <xf numFmtId="9" fontId="44" fillId="0" borderId="0" xfId="77" applyFont="1" applyFill="1"/>
    <xf numFmtId="176" fontId="135" fillId="0" borderId="0" xfId="72" applyNumberFormat="1" applyFont="1" applyFill="1" applyAlignment="1"/>
    <xf numFmtId="0" fontId="2" fillId="0" borderId="0" xfId="59" applyFont="1"/>
    <xf numFmtId="0" fontId="106" fillId="0" borderId="31" xfId="59" applyFont="1" applyFill="1" applyBorder="1" applyAlignment="1">
      <alignment horizontal="left" indent="2"/>
    </xf>
    <xf numFmtId="0" fontId="9" fillId="0" borderId="0" xfId="64" applyFont="1">
      <alignment vertical="center"/>
    </xf>
    <xf numFmtId="0" fontId="19" fillId="0" borderId="1" xfId="64" applyBorder="1">
      <alignment vertical="center"/>
    </xf>
    <xf numFmtId="0" fontId="19" fillId="0" borderId="0" xfId="64" applyBorder="1">
      <alignment vertical="center"/>
    </xf>
    <xf numFmtId="0" fontId="9" fillId="0" borderId="31" xfId="64" applyFont="1" applyBorder="1">
      <alignment vertical="center"/>
    </xf>
    <xf numFmtId="39" fontId="90" fillId="0" borderId="0" xfId="33" applyNumberFormat="1" applyFont="1" applyFill="1"/>
    <xf numFmtId="212" fontId="20" fillId="17" borderId="0" xfId="71" applyNumberFormat="1" applyFont="1" applyFill="1" applyBorder="1" applyAlignment="1">
      <alignment horizontal="center"/>
    </xf>
    <xf numFmtId="175" fontId="99" fillId="21" borderId="0" xfId="58" applyNumberFormat="1" applyFill="1"/>
    <xf numFmtId="14" fontId="99" fillId="21" borderId="0" xfId="58" applyNumberFormat="1" applyFill="1"/>
    <xf numFmtId="0" fontId="1" fillId="21" borderId="0" xfId="58" applyFont="1" applyFill="1"/>
    <xf numFmtId="0" fontId="102" fillId="0" borderId="0" xfId="58" applyFont="1" applyFill="1" applyBorder="1" applyAlignment="1">
      <alignment textRotation="90"/>
    </xf>
    <xf numFmtId="0" fontId="127" fillId="21" borderId="34" xfId="58" applyFont="1" applyFill="1" applyBorder="1" applyAlignment="1">
      <alignment horizontal="center"/>
    </xf>
    <xf numFmtId="0" fontId="99" fillId="21" borderId="12" xfId="58" applyFill="1" applyBorder="1" applyAlignment="1">
      <alignment horizontal="center"/>
    </xf>
    <xf numFmtId="0" fontId="99" fillId="21" borderId="51" xfId="58" applyFill="1" applyBorder="1" applyAlignment="1">
      <alignment horizontal="center"/>
    </xf>
    <xf numFmtId="0" fontId="102" fillId="21" borderId="0" xfId="58" applyFont="1" applyFill="1" applyBorder="1" applyAlignment="1">
      <alignment horizontal="center"/>
    </xf>
    <xf numFmtId="0" fontId="99" fillId="21" borderId="0" xfId="58" applyFill="1" applyBorder="1" applyAlignment="1"/>
    <xf numFmtId="0" fontId="111" fillId="25" borderId="11" xfId="64" applyFont="1" applyFill="1" applyBorder="1" applyAlignment="1">
      <alignment horizontal="center"/>
    </xf>
    <xf numFmtId="0" fontId="9" fillId="29" borderId="0" xfId="91" applyFont="1" applyFill="1" applyAlignment="1">
      <alignment vertical="top"/>
    </xf>
    <xf numFmtId="0" fontId="9" fillId="29" borderId="0" xfId="90" applyFill="1" applyAlignment="1">
      <alignment vertical="top"/>
    </xf>
    <xf numFmtId="0" fontId="9" fillId="29" borderId="0" xfId="90" applyFill="1"/>
    <xf numFmtId="0" fontId="42" fillId="29" borderId="0" xfId="91" applyFont="1" applyFill="1" applyAlignment="1">
      <alignment horizontal="left" vertical="top"/>
    </xf>
    <xf numFmtId="0" fontId="9" fillId="29" borderId="0" xfId="90" applyFont="1" applyFill="1" applyAlignment="1">
      <alignment vertical="top"/>
    </xf>
    <xf numFmtId="0" fontId="17" fillId="29" borderId="0" xfId="91" applyFont="1" applyFill="1" applyAlignment="1">
      <alignment vertical="top"/>
    </xf>
    <xf numFmtId="0" fontId="0" fillId="29" borderId="0" xfId="0" applyFill="1" applyAlignment="1">
      <alignment vertical="top"/>
    </xf>
    <xf numFmtId="0" fontId="137" fillId="29" borderId="0" xfId="0" applyFont="1" applyFill="1" applyAlignment="1">
      <alignment vertical="top"/>
    </xf>
    <xf numFmtId="0" fontId="138" fillId="29" borderId="0" xfId="0" applyFont="1" applyFill="1" applyAlignment="1">
      <alignment vertical="top"/>
    </xf>
    <xf numFmtId="0" fontId="138" fillId="29" borderId="0" xfId="0" applyFont="1" applyFill="1" applyAlignment="1">
      <alignment vertical="top"/>
    </xf>
    <xf numFmtId="0" fontId="137" fillId="29" borderId="0" xfId="0" applyFont="1" applyFill="1" applyAlignment="1">
      <alignment vertical="top"/>
    </xf>
    <xf numFmtId="0" fontId="0" fillId="29" borderId="0" xfId="0" applyFill="1" applyAlignment="1">
      <alignment vertical="top"/>
    </xf>
    <xf numFmtId="0" fontId="0" fillId="29" borderId="77" xfId="0" applyFill="1" applyBorder="1" applyAlignment="1">
      <alignment vertical="top"/>
    </xf>
    <xf numFmtId="0" fontId="137" fillId="29" borderId="73" xfId="0" applyFont="1" applyFill="1" applyBorder="1" applyAlignment="1">
      <alignment vertical="top"/>
    </xf>
    <xf numFmtId="0" fontId="137" fillId="29" borderId="74" xfId="0" applyFont="1" applyFill="1" applyBorder="1" applyAlignment="1">
      <alignment vertical="top"/>
    </xf>
    <xf numFmtId="0" fontId="137" fillId="29" borderId="75" xfId="0" applyFont="1" applyFill="1" applyBorder="1" applyAlignment="1">
      <alignment vertical="top"/>
    </xf>
    <xf numFmtId="0" fontId="137" fillId="29" borderId="76" xfId="0" applyFont="1" applyFill="1" applyBorder="1" applyAlignment="1">
      <alignment vertical="top"/>
    </xf>
    <xf numFmtId="9" fontId="137" fillId="29" borderId="73" xfId="0" applyNumberFormat="1" applyFont="1" applyFill="1" applyBorder="1" applyAlignment="1">
      <alignment vertical="top"/>
    </xf>
    <xf numFmtId="3" fontId="137" fillId="29" borderId="73" xfId="0" applyNumberFormat="1" applyFont="1" applyFill="1" applyBorder="1" applyAlignment="1">
      <alignment vertical="top"/>
    </xf>
    <xf numFmtId="0" fontId="0" fillId="29" borderId="78" xfId="0" applyFill="1" applyBorder="1" applyAlignment="1">
      <alignment vertical="top"/>
    </xf>
    <xf numFmtId="2" fontId="9" fillId="0" borderId="0" xfId="90" applyNumberFormat="1" applyAlignment="1">
      <alignment horizontal="left"/>
    </xf>
    <xf numFmtId="0" fontId="9" fillId="0" borderId="0" xfId="90" applyNumberFormat="1" applyAlignment="1">
      <alignment horizontal="left"/>
    </xf>
    <xf numFmtId="1" fontId="9" fillId="0" borderId="0" xfId="90" applyNumberFormat="1" applyAlignment="1">
      <alignment horizontal="left"/>
    </xf>
    <xf numFmtId="0" fontId="9" fillId="0" borderId="0" xfId="90" applyFont="1"/>
    <xf numFmtId="220" fontId="9" fillId="0" borderId="0" xfId="90" applyNumberFormat="1" applyAlignment="1">
      <alignment horizontal="left"/>
    </xf>
    <xf numFmtId="49" fontId="9" fillId="0" borderId="0" xfId="90" applyNumberFormat="1"/>
  </cellXfs>
  <cellStyles count="92">
    <cellStyle name="_SUMMARY " xfId="2"/>
    <cellStyle name="=C:\WINNT35\SYSTEM32\COMMAND.COM" xfId="3"/>
    <cellStyle name="0_Capex &amp; Depreciation " xfId="4"/>
    <cellStyle name="0_P&amp;L-adj " xfId="5"/>
    <cellStyle name="0_Quarterly " xfId="6"/>
    <cellStyle name="0_Quarterly-ITMN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AFE" xfId="33"/>
    <cellStyle name="Bad" xfId="34" builtinId="27" customBuiltin="1"/>
    <cellStyle name="c_HardInc " xfId="35"/>
    <cellStyle name="Calculation" xfId="36" builtinId="22" customBuiltin="1"/>
    <cellStyle name="Check Cell" xfId="37" builtinId="23" customBuiltin="1"/>
    <cellStyle name="Comma" xfId="38" builtinId="3"/>
    <cellStyle name="Comma 10" xfId="39"/>
    <cellStyle name="Comma 2" xfId="40"/>
    <cellStyle name="Comma 28" xfId="41"/>
    <cellStyle name="Comma 3" xfId="42"/>
    <cellStyle name="Comma 32" xfId="43"/>
    <cellStyle name="Currency" xfId="44" builtinId="4"/>
    <cellStyle name="Currency 2" xfId="45"/>
    <cellStyle name="Currency 4" xfId="46"/>
    <cellStyle name="Currency_MICU110404" xfId="47"/>
    <cellStyle name="Explanatory Text" xfId="48" builtinId="53" customBuiltin="1"/>
    <cellStyle name="Good" xfId="49" builtinId="26" customBuiltin="1"/>
    <cellStyle name="Heading 1" xfId="50" builtinId="16" customBuiltin="1"/>
    <cellStyle name="Heading 2" xfId="51" builtinId="17" customBuiltin="1"/>
    <cellStyle name="Heading 3" xfId="52" builtinId="18" customBuiltin="1"/>
    <cellStyle name="Heading 4" xfId="53" builtinId="19" customBuiltin="1"/>
    <cellStyle name="Input" xfId="54" builtinId="20" customBuiltin="1"/>
    <cellStyle name="Linked Cell" xfId="55" builtinId="24" customBuiltin="1"/>
    <cellStyle name="Neutral" xfId="56" builtinId="28" customBuiltin="1"/>
    <cellStyle name="Normal" xfId="0" builtinId="0"/>
    <cellStyle name="Normal - Style1" xfId="57"/>
    <cellStyle name="Normal 116" xfId="58"/>
    <cellStyle name="Normal 12" xfId="59"/>
    <cellStyle name="Normal 2 2" xfId="60"/>
    <cellStyle name="Normal 22" xfId="90"/>
    <cellStyle name="Normal 3" xfId="61"/>
    <cellStyle name="Normal 3 2" xfId="62"/>
    <cellStyle name="Normal 39" xfId="63"/>
    <cellStyle name="Normal 5" xfId="64"/>
    <cellStyle name="Normal_AMGN" xfId="65"/>
    <cellStyle name="Normal_Annual" xfId="66"/>
    <cellStyle name="Normal_Annual_1" xfId="67"/>
    <cellStyle name="Normal_Cvtx" xfId="68"/>
    <cellStyle name="Normal_DisclaimerSheet Samples" xfId="91"/>
    <cellStyle name="Normal_Gilead_MW" xfId="69"/>
    <cellStyle name="Normal_MEDI" xfId="70"/>
    <cellStyle name="Normal_MICU110404" xfId="71"/>
    <cellStyle name="Normal_NBIX" xfId="72"/>
    <cellStyle name="Normal_Quarterly" xfId="73"/>
    <cellStyle name="Note" xfId="74" builtinId="10" customBuiltin="1"/>
    <cellStyle name="Output" xfId="75" builtinId="21" customBuiltin="1"/>
    <cellStyle name="p " xfId="76"/>
    <cellStyle name="Percent" xfId="77" builtinId="5"/>
    <cellStyle name="Percent 2 10" xfId="78"/>
    <cellStyle name="Percent 26" xfId="79"/>
    <cellStyle name="Percent 4" xfId="80"/>
    <cellStyle name="Percent_AMGN" xfId="81"/>
    <cellStyle name="Percent_MICU110404" xfId="82"/>
    <cellStyle name="RRSInstruction" xfId="83"/>
    <cellStyle name="RRSInstruction 2" xfId="1"/>
    <cellStyle name="s_HardInc " xfId="84"/>
    <cellStyle name="s_Valuation " xfId="85"/>
    <cellStyle name="ssp " xfId="86"/>
    <cellStyle name="Title" xfId="87" builtinId="15" customBuiltin="1"/>
    <cellStyle name="Total" xfId="88" builtinId="25" customBuiltin="1"/>
    <cellStyle name="Warning Text" xfId="89"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0000"/>
      <rgbColor rgb="00000080"/>
      <rgbColor rgb="00808000"/>
      <rgbColor rgb="00800080"/>
      <rgbColor rgb="0000000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000000"/>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externalLinks/externalLink1.xml" Type="http://schemas.openxmlformats.org/officeDocument/2006/relationships/externalLink"/>
<Relationship Id="rId24" Target="externalLinks/externalLink2.xml" Type="http://schemas.openxmlformats.org/officeDocument/2006/relationships/externalLink"/>
<Relationship Id="rId25" Target="externalLinks/externalLink3.xml" Type="http://schemas.openxmlformats.org/officeDocument/2006/relationships/externalLink"/>
<Relationship Id="rId26" Target="externalLinks/externalLink4.xml" Type="http://schemas.openxmlformats.org/officeDocument/2006/relationships/externalLink"/>
<Relationship Id="rId27" Target="externalLinks/externalLink5.xml" Type="http://schemas.openxmlformats.org/officeDocument/2006/relationships/externalLink"/>
<Relationship Id="rId28" Target="externalLinks/externalLink6.xml" Type="http://schemas.openxmlformats.org/officeDocument/2006/relationships/externalLink"/>
<Relationship Id="rId29" Target="externalLinks/externalLink7.xml" Type="http://schemas.openxmlformats.org/officeDocument/2006/relationships/externalLink"/>
<Relationship Id="rId3" Target="worksheets/sheet3.xml" Type="http://schemas.openxmlformats.org/officeDocument/2006/relationships/worksheet"/>
<Relationship Id="rId30" Target="externalLinks/externalLink8.xml" Type="http://schemas.openxmlformats.org/officeDocument/2006/relationships/externalLink"/>
<Relationship Id="rId31" Target="externalLinks/externalLink9.xml" Type="http://schemas.openxmlformats.org/officeDocument/2006/relationships/externalLink"/>
<Relationship Id="rId32" Target="externalLinks/externalLink10.xml" Type="http://schemas.openxmlformats.org/officeDocument/2006/relationships/externalLink"/>
<Relationship Id="rId33" Target="externalLinks/externalLink11.xml" Type="http://schemas.openxmlformats.org/officeDocument/2006/relationships/externalLink"/>
<Relationship Id="rId34" Target="externalLinks/externalLink12.xml" Type="http://schemas.openxmlformats.org/officeDocument/2006/relationships/externalLink"/>
<Relationship Id="rId35" Target="externalLinks/externalLink13.xml" Type="http://schemas.openxmlformats.org/officeDocument/2006/relationships/externalLink"/>
<Relationship Id="rId36" Target="externalLinks/externalLink14.xml" Type="http://schemas.openxmlformats.org/officeDocument/2006/relationships/externalLink"/>
<Relationship Id="rId37" Target="externalLinks/externalLink15.xml" Type="http://schemas.openxmlformats.org/officeDocument/2006/relationships/externalLink"/>
<Relationship Id="rId38" Target="externalLinks/externalLink16.xml" Type="http://schemas.openxmlformats.org/officeDocument/2006/relationships/externalLink"/>
<Relationship Id="rId39" Target="externalLinks/externalLink17.xml" Type="http://schemas.openxmlformats.org/officeDocument/2006/relationships/externalLink"/>
<Relationship Id="rId4" Target="worksheets/sheet4.xml" Type="http://schemas.openxmlformats.org/officeDocument/2006/relationships/worksheet"/>
<Relationship Id="rId40" Target="externalLinks/externalLink18.xml" Type="http://schemas.openxmlformats.org/officeDocument/2006/relationships/externalLink"/>
<Relationship Id="rId41" Target="externalLinks/externalLink19.xml" Type="http://schemas.openxmlformats.org/officeDocument/2006/relationships/externalLink"/>
<Relationship Id="rId42" Target="externalLinks/externalLink20.xml" Type="http://schemas.openxmlformats.org/officeDocument/2006/relationships/externalLink"/>
<Relationship Id="rId43" Target="externalLinks/externalLink21.xml" Type="http://schemas.openxmlformats.org/officeDocument/2006/relationships/externalLink"/>
<Relationship Id="rId44" Target="externalLinks/externalLink22.xml" Type="http://schemas.openxmlformats.org/officeDocument/2006/relationships/externalLink"/>
<Relationship Id="rId45" Target="externalLinks/externalLink23.xml" Type="http://schemas.openxmlformats.org/officeDocument/2006/relationships/externalLink"/>
<Relationship Id="rId46" Target="externalLinks/externalLink24.xml" Type="http://schemas.openxmlformats.org/officeDocument/2006/relationships/externalLink"/>
<Relationship Id="rId47" Target="externalLinks/externalLink25.xml" Type="http://schemas.openxmlformats.org/officeDocument/2006/relationships/externalLink"/>
<Relationship Id="rId48" Target="externalLinks/externalLink26.xml" Type="http://schemas.openxmlformats.org/officeDocument/2006/relationships/externalLink"/>
<Relationship Id="rId49" Target="externalLinks/externalLink27.xml" Type="http://schemas.openxmlformats.org/officeDocument/2006/relationships/externalLink"/>
<Relationship Id="rId5" Target="worksheets/sheet5.xml" Type="http://schemas.openxmlformats.org/officeDocument/2006/relationships/worksheet"/>
<Relationship Id="rId50" Target="externalLinks/externalLink28.xml" Type="http://schemas.openxmlformats.org/officeDocument/2006/relationships/externalLink"/>
<Relationship Id="rId51" Target="externalLinks/externalLink29.xml" Type="http://schemas.openxmlformats.org/officeDocument/2006/relationships/externalLink"/>
<Relationship Id="rId52" Target="externalLinks/externalLink30.xml" Type="http://schemas.openxmlformats.org/officeDocument/2006/relationships/externalLink"/>
<Relationship Id="rId53" Target="externalLinks/externalLink31.xml" Type="http://schemas.openxmlformats.org/officeDocument/2006/relationships/externalLink"/>
<Relationship Id="rId54" Target="externalLinks/externalLink32.xml" Type="http://schemas.openxmlformats.org/officeDocument/2006/relationships/externalLink"/>
<Relationship Id="rId55" Target="externalLinks/externalLink33.xml" Type="http://schemas.openxmlformats.org/officeDocument/2006/relationships/externalLink"/>
<Relationship Id="rId56" Target="externalLinks/externalLink34.xml" Type="http://schemas.openxmlformats.org/officeDocument/2006/relationships/externalLink"/>
<Relationship Id="rId57" Target="externalLinks/externalLink35.xml" Type="http://schemas.openxmlformats.org/officeDocument/2006/relationships/externalLink"/>
<Relationship Id="rId58" Target="externalLinks/externalLink36.xml" Type="http://schemas.openxmlformats.org/officeDocument/2006/relationships/externalLink"/>
<Relationship Id="rId59" Target="externalLinks/externalLink37.xml" Type="http://schemas.openxmlformats.org/officeDocument/2006/relationships/externalLink"/>
<Relationship Id="rId6" Target="worksheets/sheet6.xml" Type="http://schemas.openxmlformats.org/officeDocument/2006/relationships/worksheet"/>
<Relationship Id="rId60" Target="externalLinks/externalLink38.xml" Type="http://schemas.openxmlformats.org/officeDocument/2006/relationships/externalLink"/>
<Relationship Id="rId61" Target="externalLinks/externalLink39.xml" Type="http://schemas.openxmlformats.org/officeDocument/2006/relationships/externalLink"/>
<Relationship Id="rId62" Target="externalLinks/externalLink40.xml" Type="http://schemas.openxmlformats.org/officeDocument/2006/relationships/externalLink"/>
<Relationship Id="rId63" Target="externalLinks/externalLink41.xml" Type="http://schemas.openxmlformats.org/officeDocument/2006/relationships/externalLink"/>
<Relationship Id="rId64" Target="externalLinks/externalLink42.xml" Type="http://schemas.openxmlformats.org/officeDocument/2006/relationships/externalLink"/>
<Relationship Id="rId65" Target="externalLinks/externalLink43.xml" Type="http://schemas.openxmlformats.org/officeDocument/2006/relationships/externalLink"/>
<Relationship Id="rId66" Target="externalLinks/externalLink44.xml" Type="http://schemas.openxmlformats.org/officeDocument/2006/relationships/externalLink"/>
<Relationship Id="rId67" Target="externalLinks/externalLink45.xml" Type="http://schemas.openxmlformats.org/officeDocument/2006/relationships/externalLink"/>
<Relationship Id="rId68" Target="externalLinks/externalLink46.xml" Type="http://schemas.openxmlformats.org/officeDocument/2006/relationships/externalLink"/>
<Relationship Id="rId69" Target="externalLinks/externalLink47.xml" Type="http://schemas.openxmlformats.org/officeDocument/2006/relationships/externalLink"/>
<Relationship Id="rId7" Target="worksheets/sheet7.xml" Type="http://schemas.openxmlformats.org/officeDocument/2006/relationships/worksheet"/>
<Relationship Id="rId70" Target="externalLinks/externalLink48.xml" Type="http://schemas.openxmlformats.org/officeDocument/2006/relationships/externalLink"/>
<Relationship Id="rId71" Target="externalLinks/externalLink49.xml" Type="http://schemas.openxmlformats.org/officeDocument/2006/relationships/externalLink"/>
<Relationship Id="rId72" Target="externalLinks/externalLink50.xml" Type="http://schemas.openxmlformats.org/officeDocument/2006/relationships/externalLink"/>
<Relationship Id="rId73" Target="externalLinks/externalLink51.xml" Type="http://schemas.openxmlformats.org/officeDocument/2006/relationships/externalLink"/>
<Relationship Id="rId74" Target="externalLinks/externalLink52.xml" Type="http://schemas.openxmlformats.org/officeDocument/2006/relationships/externalLink"/>
<Relationship Id="rId75" Target="externalLinks/externalLink53.xml" Type="http://schemas.openxmlformats.org/officeDocument/2006/relationships/externalLink"/>
<Relationship Id="rId76" Target="externalLinks/externalLink54.xml" Type="http://schemas.openxmlformats.org/officeDocument/2006/relationships/externalLink"/>
<Relationship Id="rId77" Target="externalLinks/externalLink55.xml" Type="http://schemas.openxmlformats.org/officeDocument/2006/relationships/externalLink"/>
<Relationship Id="rId78" Target="externalLinks/externalLink56.xml" Type="http://schemas.openxmlformats.org/officeDocument/2006/relationships/externalLink"/>
<Relationship Id="rId79" Target="externalLinks/externalLink57.xml" Type="http://schemas.openxmlformats.org/officeDocument/2006/relationships/externalLink"/>
<Relationship Id="rId8" Target="worksheets/sheet8.xml" Type="http://schemas.openxmlformats.org/officeDocument/2006/relationships/worksheet"/>
<Relationship Id="rId80" Target="externalLinks/externalLink58.xml" Type="http://schemas.openxmlformats.org/officeDocument/2006/relationships/externalLink"/>
<Relationship Id="rId81" Target="theme/theme1.xml" Type="http://schemas.openxmlformats.org/officeDocument/2006/relationships/theme"/>
<Relationship Id="rId82" Target="styles.xml" Type="http://schemas.openxmlformats.org/officeDocument/2006/relationships/styles"/>
<Relationship Id="rId83" Target="sharedStrings.xml" Type="http://schemas.openxmlformats.org/officeDocument/2006/relationships/sharedStrings"/>
<Relationship Id="rId84" Target="calcChain.xml" Type="http://schemas.openxmlformats.org/officeDocument/2006/relationships/calcChain"/>
<Relationship Id="rId85" Target="../customXml/item1.xml" Type="http://schemas.openxmlformats.org/officeDocument/2006/relationships/customXml"/>
<Relationship Id="rId86" Target="../customXml/item2.xml" Type="http://schemas.openxmlformats.org/officeDocument/2006/relationships/customXml"/>
<Relationship Id="rId87" Target="vbaProject.bin" Type="http://schemas.microsoft.com/office/2006/relationships/vbaProject"/>
<Relationship Id="rId9" Target="worksheets/sheet9.xml" Type="http://schemas.openxmlformats.org/officeDocument/2006/relationships/worksheet"/>
</Relationships>

</file>

<file path=xl/charts/_rels/chart4.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pie3D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Lbls>
            <c:txPr>
              <a:bodyPr/>
              <a:lstStyle/>
              <a:p>
                <a:pPr>
                  <a:defRPr sz="1200" b="1"/>
                </a:pPr>
                <a:endParaRPr lang="en-US"/>
              </a:p>
            </c:txPr>
            <c:showLegendKey val="0"/>
            <c:showVal val="0"/>
            <c:showCatName val="0"/>
            <c:showSerName val="0"/>
            <c:showPercent val="1"/>
            <c:showBubbleSize val="0"/>
            <c:showLeaderLines val="1"/>
          </c:dLbls>
          <c:cat>
            <c:strRef>
              <c:f>(Valuation!$B$5:$B$22,Valuation!$B$26)</c:f>
              <c:strCache>
                <c:ptCount val="12"/>
                <c:pt idx="0">
                  <c:v>Jakafi - Myelofibrosis</c:v>
                </c:pt>
                <c:pt idx="1">
                  <c:v>Jakafi - Polycythemia Vera</c:v>
                </c:pt>
                <c:pt idx="2">
                  <c:v>Jakavi - Royalties</c:v>
                </c:pt>
                <c:pt idx="3">
                  <c:v>Iclusig - EU Revenues</c:v>
                </c:pt>
                <c:pt idx="4">
                  <c:v>Baricitinib - US RA Royalties</c:v>
                </c:pt>
                <c:pt idx="5">
                  <c:v>Baricitinib - EU RA Royalties</c:v>
                </c:pt>
                <c:pt idx="6">
                  <c:v>Baricitinib - AD Royalties</c:v>
                </c:pt>
                <c:pt idx="7">
                  <c:v>Baricitinib - Other Indication Royalties</c:v>
                </c:pt>
                <c:pt idx="8">
                  <c:v>JAK Inhibition - GVHD</c:v>
                </c:pt>
                <c:pt idx="9">
                  <c:v>INCB50465 (PI3Kδ) - B-Cell Lymph</c:v>
                </c:pt>
                <c:pt idx="10">
                  <c:v>Early Clinical &amp; Pre-Clin Assets &amp; Drug Discovery</c:v>
                </c:pt>
                <c:pt idx="11">
                  <c:v>Residual Cash*</c:v>
                </c:pt>
              </c:strCache>
            </c:strRef>
          </c:cat>
          <c:val>
            <c:numRef>
              <c:f>(Valuation!$J$5:$J$22,Valuation!$J$26)</c:f>
              <c:numCache>
                <c:formatCode>"$"#,##0</c:formatCode>
                <c:ptCount val="12"/>
                <c:pt idx="0">
                  <c:v>23.028954377561572</c:v>
                </c:pt>
                <c:pt idx="1">
                  <c:v>20.667532357440447</c:v>
                </c:pt>
                <c:pt idx="2">
                  <c:v>6.2587935605550591</c:v>
                </c:pt>
                <c:pt idx="3">
                  <c:v>1.0176004382241108</c:v>
                </c:pt>
                <c:pt idx="4">
                  <c:v>1.7625471212486767</c:v>
                </c:pt>
                <c:pt idx="5">
                  <c:v>2.4597978106403264</c:v>
                </c:pt>
                <c:pt idx="6">
                  <c:v>0.98235784449291297</c:v>
                </c:pt>
                <c:pt idx="7">
                  <c:v>1.4177693761814745</c:v>
                </c:pt>
                <c:pt idx="8">
                  <c:v>8.6349196850251566</c:v>
                </c:pt>
                <c:pt idx="9">
                  <c:v>1.8020566848739876</c:v>
                </c:pt>
                <c:pt idx="10">
                  <c:v>4.7258979206049148</c:v>
                </c:pt>
                <c:pt idx="11">
                  <c:v>3.0718336483931949</c:v>
                </c:pt>
              </c:numCache>
            </c:numRef>
          </c:val>
        </c:ser>
        <c:dLbls>
          <c:showLegendKey val="0"/>
          <c:showVal val="0"/>
          <c:showCatName val="0"/>
          <c:showSerName val="0"/>
          <c:showPercent val="0"/>
          <c:showBubbleSize val="0"/>
          <c:showLeaderLines val="1"/>
        </c:dLbls>
      </c:pie3DChart>
      <c:spPr>
        <a:noFill/>
        <a:ln w="25400">
          <a:noFill/>
        </a:ln>
      </c:spPr>
    </c:plotArea>
    <c:legend>
      <c:legendPos val="r"/>
      <c:layout/>
      <c:overlay val="0"/>
      <c:txPr>
        <a:bodyPr/>
        <a:lstStyle/>
        <a:p>
          <a:pPr>
            <a:defRPr sz="1000" b="1"/>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pie3DChart>
        <c:varyColors val="1"/>
        <c:ser>
          <c:idx val="0"/>
          <c:order val="0"/>
          <c:dPt>
            <c:idx val="0"/>
            <c:bubble3D val="0"/>
          </c:dPt>
          <c:dPt>
            <c:idx val="1"/>
            <c:bubble3D val="0"/>
          </c:dPt>
          <c:dPt>
            <c:idx val="2"/>
            <c:bubble3D val="0"/>
          </c:dPt>
          <c:dPt>
            <c:idx val="3"/>
            <c:bubble3D val="0"/>
          </c:dPt>
          <c:dPt>
            <c:idx val="4"/>
            <c:bubble3D val="0"/>
          </c:dPt>
          <c:dLbls>
            <c:txPr>
              <a:bodyPr/>
              <a:lstStyle/>
              <a:p>
                <a:pPr>
                  <a:defRPr sz="1400" b="1"/>
                </a:pPr>
                <a:endParaRPr lang="en-US"/>
              </a:p>
            </c:txPr>
            <c:showLegendKey val="0"/>
            <c:showVal val="0"/>
            <c:showCatName val="0"/>
            <c:showSerName val="0"/>
            <c:showPercent val="1"/>
            <c:showBubbleSize val="0"/>
            <c:showLeaderLines val="1"/>
          </c:dLbls>
          <c:cat>
            <c:strRef>
              <c:f>Valuation!$B$71:$B$76</c:f>
              <c:strCache>
                <c:ptCount val="6"/>
                <c:pt idx="0">
                  <c:v>Jakafi/Jakavi</c:v>
                </c:pt>
                <c:pt idx="1">
                  <c:v>Baricitinib</c:v>
                </c:pt>
                <c:pt idx="2">
                  <c:v>Epacadostat</c:v>
                </c:pt>
                <c:pt idx="3">
                  <c:v>JAK1 / PI3Kδ</c:v>
                </c:pt>
                <c:pt idx="4">
                  <c:v>Iclusig</c:v>
                </c:pt>
                <c:pt idx="5">
                  <c:v>Early Clin / Pre-Clin / Discovery</c:v>
                </c:pt>
              </c:strCache>
            </c:strRef>
          </c:cat>
          <c:val>
            <c:numRef>
              <c:f>Valuation!$C$71:$C$76</c:f>
              <c:numCache>
                <c:formatCode>"$"#,##0</c:formatCode>
                <c:ptCount val="6"/>
                <c:pt idx="0">
                  <c:v>49.955280295557074</c:v>
                </c:pt>
                <c:pt idx="1">
                  <c:v>4.1626743419230641</c:v>
                </c:pt>
                <c:pt idx="2">
                  <c:v>0</c:v>
                </c:pt>
                <c:pt idx="3">
                  <c:v>10.436976369899144</c:v>
                </c:pt>
                <c:pt idx="4">
                  <c:v>1.0176004382241108</c:v>
                </c:pt>
                <c:pt idx="5">
                  <c:v>4.7258979206049148</c:v>
                </c:pt>
              </c:numCache>
            </c:numRef>
          </c:val>
        </c:ser>
        <c:dLbls>
          <c:showLegendKey val="0"/>
          <c:showVal val="0"/>
          <c:showCatName val="0"/>
          <c:showSerName val="0"/>
          <c:showPercent val="0"/>
          <c:showBubbleSize val="0"/>
          <c:showLeaderLines val="1"/>
        </c:dLbls>
      </c:pie3DChart>
      <c:spPr>
        <a:noFill/>
        <a:ln w="25400">
          <a:noFill/>
        </a:ln>
      </c:spPr>
    </c:plotArea>
    <c:legend>
      <c:legendPos val="r"/>
      <c:layout/>
      <c:overlay val="0"/>
      <c:txPr>
        <a:bodyPr/>
        <a:lstStyle/>
        <a:p>
          <a:pPr>
            <a:defRPr sz="1200" b="1"/>
          </a:pPr>
          <a:endParaRPr lang="en-US"/>
        </a:p>
      </c:txPr>
    </c:legend>
    <c:plotVisOnly val="1"/>
    <c:dispBlanksAs val="gap"/>
    <c:showDLblsOverMax val="0"/>
  </c:chart>
  <c:printSettings>
    <c:headerFooter/>
    <c:pageMargins b="0.75" l="0.7" r="0.7" t="0.75" header="0.3" footer="0.3"/>
    <c:pageSetup orientation="landscape"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Valuation!$X$4</c:f>
              <c:strCache>
                <c:ptCount val="1"/>
                <c:pt idx="0">
                  <c:v>Jakafi/Jakavi</c:v>
                </c:pt>
              </c:strCache>
            </c:strRef>
          </c:tx>
          <c:invertIfNegative val="0"/>
          <c:dPt>
            <c:idx val="1"/>
            <c:invertIfNegative val="0"/>
            <c:bubble3D val="0"/>
            <c:spPr>
              <a:noFill/>
              <a:ln>
                <a:noFill/>
              </a:ln>
              <a:effectLst/>
            </c:spPr>
          </c:dPt>
          <c:dPt>
            <c:idx val="2"/>
            <c:invertIfNegative val="0"/>
            <c:bubble3D val="0"/>
            <c:spPr>
              <a:noFill/>
              <a:ln>
                <a:noFill/>
              </a:ln>
            </c:spPr>
          </c:dPt>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0"/>
              <c:showLegendKey val="0"/>
              <c:showVal val="1"/>
              <c:showCatName val="0"/>
              <c:showSerName val="0"/>
              <c:showPercent val="0"/>
              <c:showBubbleSize val="0"/>
            </c:dLbl>
            <c:txPr>
              <a:bodyPr/>
              <a:lstStyle/>
              <a:p>
                <a:pPr>
                  <a:defRPr sz="12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Valuation!$Y$4:$Y$11</c:f>
              <c:numCache>
                <c:formatCode>"$"#,##0</c:formatCode>
                <c:ptCount val="8"/>
                <c:pt idx="0">
                  <c:v>49.955280295557074</c:v>
                </c:pt>
                <c:pt idx="1">
                  <c:v>49.955280295557074</c:v>
                </c:pt>
                <c:pt idx="2">
                  <c:v>46</c:v>
                </c:pt>
                <c:pt idx="3">
                  <c:v>46</c:v>
                </c:pt>
                <c:pt idx="5">
                  <c:v>46</c:v>
                </c:pt>
                <c:pt idx="7">
                  <c:v>46</c:v>
                </c:pt>
              </c:numCache>
            </c:numRef>
          </c:val>
        </c:ser>
        <c:ser>
          <c:idx val="1"/>
          <c:order val="1"/>
          <c:tx>
            <c:strRef>
              <c:f>Valuation!$X$5</c:f>
              <c:strCache>
                <c:ptCount val="1"/>
                <c:pt idx="0">
                  <c:v>Baricitinib</c:v>
                </c:pt>
              </c:strCache>
            </c:strRef>
          </c:tx>
          <c:invertIfNegative val="0"/>
          <c:dPt>
            <c:idx val="2"/>
            <c:invertIfNegative val="0"/>
            <c:bubble3D val="0"/>
            <c:spPr>
              <a:noFill/>
              <a:ln>
                <a:noFill/>
              </a:ln>
            </c:spPr>
          </c:dPt>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1"/>
              <c:showLegendKey val="0"/>
              <c:showVal val="1"/>
              <c:showCatName val="0"/>
              <c:showSerName val="0"/>
              <c:showPercent val="0"/>
              <c:showBubbleSize val="0"/>
            </c:dLbl>
            <c:txPr>
              <a:bodyPr/>
              <a:lstStyle/>
              <a:p>
                <a:pPr>
                  <a:defRPr sz="12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Valuation!$Z$4:$Z$11</c:f>
              <c:numCache>
                <c:formatCode>"$"#,##0</c:formatCode>
                <c:ptCount val="8"/>
                <c:pt idx="1">
                  <c:v>4.1626743419230641</c:v>
                </c:pt>
                <c:pt idx="2">
                  <c:v>15</c:v>
                </c:pt>
                <c:pt idx="3">
                  <c:v>15</c:v>
                </c:pt>
                <c:pt idx="5">
                  <c:v>15</c:v>
                </c:pt>
                <c:pt idx="7">
                  <c:v>15</c:v>
                </c:pt>
              </c:numCache>
            </c:numRef>
          </c:val>
        </c:ser>
        <c:ser>
          <c:idx val="2"/>
          <c:order val="2"/>
          <c:tx>
            <c:strRef>
              <c:f>Valuation!$X$6</c:f>
              <c:strCache>
                <c:ptCount val="1"/>
                <c:pt idx="0">
                  <c:v>Cash</c:v>
                </c:pt>
              </c:strCache>
            </c:strRef>
          </c:tx>
          <c:invertIfNegative val="0"/>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2"/>
              <c:showLegendKey val="0"/>
              <c:showVal val="1"/>
              <c:showCatName val="0"/>
              <c:showSerName val="0"/>
              <c:showPercent val="0"/>
              <c:showBubbleSize val="0"/>
            </c:dLbl>
            <c:txPr>
              <a:bodyPr/>
              <a:lstStyle/>
              <a:p>
                <a:pPr>
                  <a:defRPr sz="12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Valuation!$AA$4:$AA$11</c:f>
              <c:numCache>
                <c:formatCode>"$"#,##0</c:formatCode>
                <c:ptCount val="8"/>
                <c:pt idx="2">
                  <c:v>0</c:v>
                </c:pt>
                <c:pt idx="3">
                  <c:v>9</c:v>
                </c:pt>
                <c:pt idx="5">
                  <c:v>9</c:v>
                </c:pt>
                <c:pt idx="7">
                  <c:v>9</c:v>
                </c:pt>
              </c:numCache>
            </c:numRef>
          </c:val>
        </c:ser>
        <c:ser>
          <c:idx val="3"/>
          <c:order val="3"/>
          <c:tx>
            <c:strRef>
              <c:f>Valuation!$X$7</c:f>
              <c:strCache>
                <c:ptCount val="1"/>
                <c:pt idx="0">
                  <c:v>Epacadostat (IDO1)</c:v>
                </c:pt>
              </c:strCache>
            </c:strRef>
          </c:tx>
          <c:invertIfNegative val="0"/>
          <c:dPt>
            <c:idx val="4"/>
            <c:invertIfNegative val="0"/>
            <c:bubble3D val="0"/>
            <c:spPr>
              <a:noFill/>
              <a:ln>
                <a:noFill/>
              </a:ln>
            </c:spPr>
          </c:dPt>
          <c:dPt>
            <c:idx val="5"/>
            <c:invertIfNegative val="0"/>
            <c:bubble3D val="0"/>
            <c:spPr>
              <a:noFill/>
              <a:ln>
                <a:noFill/>
              </a:ln>
            </c:spPr>
          </c:dPt>
          <c:dLbls>
            <c:dLbl>
              <c:idx val="3"/>
              <c:showLegendKey val="0"/>
              <c:showVal val="1"/>
              <c:showCatName val="0"/>
              <c:showSerName val="0"/>
              <c:showPercent val="0"/>
              <c:showBubbleSize val="0"/>
            </c:dLbl>
            <c:txPr>
              <a:bodyPr/>
              <a:lstStyle/>
              <a:p>
                <a:pPr>
                  <a:defRPr sz="12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Valuation!$AB$4:$AB$11</c:f>
              <c:numCache>
                <c:formatCode>"$"#,##0</c:formatCode>
                <c:ptCount val="8"/>
                <c:pt idx="3">
                  <c:v>10.436976369899144</c:v>
                </c:pt>
                <c:pt idx="5">
                  <c:v>7</c:v>
                </c:pt>
                <c:pt idx="7">
                  <c:v>7</c:v>
                </c:pt>
              </c:numCache>
            </c:numRef>
          </c:val>
        </c:ser>
        <c:ser>
          <c:idx val="4"/>
          <c:order val="4"/>
          <c:tx>
            <c:strRef>
              <c:f>Valuation!$X$9</c:f>
              <c:strCache>
                <c:ptCount val="1"/>
                <c:pt idx="0">
                  <c:v>JAK1 / PI3Kδ</c:v>
                </c:pt>
              </c:strCache>
            </c:strRef>
          </c:tx>
          <c:invertIfNegative val="0"/>
          <c:dPt>
            <c:idx val="5"/>
            <c:invertIfNegative val="0"/>
            <c:bubble3D val="0"/>
            <c:spPr>
              <a:noFill/>
              <a:ln>
                <a:noFill/>
              </a:ln>
            </c:spPr>
          </c:dPt>
          <c:dLbls>
            <c:dLbl>
              <c:idx val="4"/>
              <c:showLegendKey val="0"/>
              <c:showVal val="1"/>
              <c:showCatName val="0"/>
              <c:showSerName val="0"/>
              <c:showPercent val="0"/>
              <c:showBubbleSize val="0"/>
            </c:dLbl>
            <c:txPr>
              <a:bodyPr/>
              <a:lstStyle/>
              <a:p>
                <a:pPr>
                  <a:defRPr sz="12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Valuation!$AC$4:$AC$11</c:f>
              <c:numCache>
                <c:formatCode>"$"#,##0</c:formatCode>
                <c:ptCount val="8"/>
                <c:pt idx="5">
                  <c:v>4.7258979206049148</c:v>
                </c:pt>
                <c:pt idx="7">
                  <c:v>5</c:v>
                </c:pt>
              </c:numCache>
            </c:numRef>
          </c:val>
        </c:ser>
        <c:ser>
          <c:idx val="5"/>
          <c:order val="5"/>
          <c:tx>
            <c:strRef>
              <c:f>Valuation!$X$11</c:f>
              <c:strCache>
                <c:ptCount val="1"/>
                <c:pt idx="0">
                  <c:v>Early Clin / Pre-Clin / Discovery</c:v>
                </c:pt>
              </c:strCache>
            </c:strRef>
          </c:tx>
          <c:invertIfNegative val="0"/>
          <c:dLbls>
            <c:dLbl>
              <c:idx val="5"/>
              <c:spPr/>
              <c:txPr>
                <a:bodyPr/>
                <a:lstStyle/>
                <a:p>
                  <a:pPr>
                    <a:defRPr sz="1200" b="1">
                      <a:solidFill>
                        <a:schemeClr val="bg1"/>
                      </a:solidFill>
                    </a:defRPr>
                  </a:pPr>
                  <a:endParaRPr lang="en-US"/>
                </a:p>
              </c:txPr>
              <c:showLegendKey val="0"/>
              <c:showVal val="1"/>
              <c:showCatName val="0"/>
              <c:showSerName val="0"/>
              <c:showPercent val="0"/>
              <c:showBubbleSize val="0"/>
            </c:dLbl>
            <c:txPr>
              <a:bodyPr/>
              <a:lstStyle/>
              <a:p>
                <a:pPr>
                  <a:defRPr b="1"/>
                </a:pPr>
                <a:endParaRPr lang="en-US"/>
              </a:p>
            </c:txPr>
            <c:showLegendKey val="0"/>
            <c:showVal val="1"/>
            <c:showCatName val="0"/>
            <c:showSerName val="0"/>
            <c:showPercent val="0"/>
            <c:showBubbleSize val="0"/>
            <c:showLeaderLines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Valuation!$AD$4:$AD$11</c:f>
              <c:numCache>
                <c:formatCode>"$"#,##0</c:formatCode>
                <c:ptCount val="8"/>
                <c:pt idx="7">
                  <c:v>3.0718336483931949</c:v>
                </c:pt>
              </c:numCache>
            </c:numRef>
          </c:val>
        </c:ser>
        <c:ser>
          <c:idx val="6"/>
          <c:order val="6"/>
          <c:tx>
            <c:strRef>
              <c:f>Valuation!$X$12</c:f>
              <c:strCache>
                <c:ptCount val="1"/>
                <c:pt idx="0">
                  <c:v>Total Incyte Valuation</c:v>
                </c:pt>
              </c:strCache>
            </c:strRef>
          </c:tx>
          <c:spPr>
            <a:solidFill>
              <a:schemeClr val="accent1"/>
            </a:solidFill>
          </c:spPr>
          <c:invertIfNegative val="0"/>
          <c:dLbls>
            <c:dLbl>
              <c:idx val="6"/>
              <c:tx>
                <c:rich>
                  <a:bodyPr/>
                  <a:lstStyle/>
                  <a:p>
                    <a:r>
                      <a:rPr lang="en-US" sz="1600" b="1"/>
                      <a:t>$85</a:t>
                    </a:r>
                    <a:endParaRPr lang="en-US"/>
                  </a:p>
                </c:rich>
              </c:tx>
              <c:showLegendKey val="0"/>
              <c:showVal val="1"/>
              <c:showCatName val="0"/>
              <c:showSerName val="0"/>
              <c:showPercent val="0"/>
              <c:showBubbleSize val="0"/>
            </c:dLbl>
            <c:txPr>
              <a:bodyPr/>
              <a:lstStyle/>
              <a:p>
                <a:pPr>
                  <a:defRPr sz="16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Valuation!$AE$4:$AE$12</c:f>
              <c:numCache>
                <c:formatCode>General</c:formatCode>
                <c:ptCount val="9"/>
                <c:pt idx="8" formatCode="&quot;$&quot;#,##0">
                  <c:v>85.5</c:v>
                </c:pt>
              </c:numCache>
            </c:numRef>
          </c:val>
        </c:ser>
        <c:dLbls>
          <c:showLegendKey val="0"/>
          <c:showVal val="0"/>
          <c:showCatName val="0"/>
          <c:showSerName val="0"/>
          <c:showPercent val="0"/>
          <c:showBubbleSize val="0"/>
        </c:dLbls>
        <c:gapWidth val="0"/>
        <c:overlap val="100"/>
        <c:axId val="550689408"/>
        <c:axId val="550707968"/>
      </c:barChart>
      <c:catAx>
        <c:axId val="550689408"/>
        <c:scaling>
          <c:orientation val="minMax"/>
        </c:scaling>
        <c:delete val="0"/>
        <c:axPos val="b"/>
        <c:majorTickMark val="out"/>
        <c:minorTickMark val="none"/>
        <c:tickLblPos val="nextTo"/>
        <c:txPr>
          <a:bodyPr/>
          <a:lstStyle/>
          <a:p>
            <a:pPr>
              <a:defRPr sz="1100" b="1"/>
            </a:pPr>
            <a:endParaRPr lang="en-US"/>
          </a:p>
        </c:txPr>
        <c:crossAx val="550707968"/>
        <c:crosses val="autoZero"/>
        <c:auto val="1"/>
        <c:lblAlgn val="ctr"/>
        <c:lblOffset val="100"/>
        <c:noMultiLvlLbl val="0"/>
      </c:catAx>
      <c:valAx>
        <c:axId val="550707968"/>
        <c:scaling>
          <c:orientation val="minMax"/>
        </c:scaling>
        <c:delete val="0"/>
        <c:axPos val="l"/>
        <c:majorGridlines/>
        <c:numFmt formatCode="&quot;$&quot;#,##0" sourceLinked="1"/>
        <c:majorTickMark val="out"/>
        <c:minorTickMark val="none"/>
        <c:tickLblPos val="nextTo"/>
        <c:txPr>
          <a:bodyPr/>
          <a:lstStyle/>
          <a:p>
            <a:pPr>
              <a:defRPr sz="1100" b="1"/>
            </a:pPr>
            <a:endParaRPr lang="en-US"/>
          </a:p>
        </c:txPr>
        <c:crossAx val="550689408"/>
        <c:crosses val="autoZero"/>
        <c:crossBetween val="between"/>
      </c:valAx>
    </c:plotArea>
    <c:legend>
      <c:legendPos val="r"/>
      <c:overlay val="0"/>
      <c:txPr>
        <a:bodyPr/>
        <a:lstStyle/>
        <a:p>
          <a:pPr>
            <a:defRPr sz="1100" b="1"/>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Valuation!$X$4</c:f>
              <c:strCache>
                <c:ptCount val="1"/>
                <c:pt idx="0">
                  <c:v>Jakafi/Jakavi</c:v>
                </c:pt>
              </c:strCache>
            </c:strRef>
          </c:tx>
          <c:invertIfNegative val="0"/>
          <c:dPt>
            <c:idx val="1"/>
            <c:invertIfNegative val="0"/>
            <c:bubble3D val="0"/>
            <c:spPr>
              <a:noFill/>
              <a:ln>
                <a:noFill/>
              </a:ln>
              <a:effectLst/>
            </c:spPr>
          </c:dPt>
          <c:dPt>
            <c:idx val="2"/>
            <c:invertIfNegative val="0"/>
            <c:bubble3D val="0"/>
            <c:spPr>
              <a:noFill/>
              <a:ln>
                <a:noFill/>
              </a:ln>
            </c:spPr>
          </c:dPt>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0"/>
              <c:showLegendKey val="0"/>
              <c:showVal val="1"/>
              <c:showCatName val="0"/>
              <c:showSerName val="0"/>
              <c:showPercent val="0"/>
              <c:showBubbleSize val="0"/>
            </c:dLbl>
            <c:txPr>
              <a:bodyPr/>
              <a:lstStyle/>
              <a:p>
                <a:pPr>
                  <a:defRPr sz="14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Valuation!$Y$4:$Y$11</c:f>
              <c:numCache>
                <c:formatCode>"$"#,##0</c:formatCode>
                <c:ptCount val="8"/>
                <c:pt idx="0">
                  <c:v>49.955280295557074</c:v>
                </c:pt>
                <c:pt idx="1">
                  <c:v>49.955280295557074</c:v>
                </c:pt>
                <c:pt idx="2">
                  <c:v>46</c:v>
                </c:pt>
                <c:pt idx="3">
                  <c:v>46</c:v>
                </c:pt>
                <c:pt idx="5">
                  <c:v>46</c:v>
                </c:pt>
                <c:pt idx="7">
                  <c:v>46</c:v>
                </c:pt>
              </c:numCache>
            </c:numRef>
          </c:val>
        </c:ser>
        <c:ser>
          <c:idx val="1"/>
          <c:order val="1"/>
          <c:tx>
            <c:strRef>
              <c:f>Valuation!$X$5</c:f>
              <c:strCache>
                <c:ptCount val="1"/>
                <c:pt idx="0">
                  <c:v>Baricitinib</c:v>
                </c:pt>
              </c:strCache>
            </c:strRef>
          </c:tx>
          <c:invertIfNegative val="0"/>
          <c:dPt>
            <c:idx val="2"/>
            <c:invertIfNegative val="0"/>
            <c:bubble3D val="0"/>
            <c:spPr>
              <a:noFill/>
              <a:ln>
                <a:noFill/>
              </a:ln>
            </c:spPr>
          </c:dPt>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1"/>
              <c:showLegendKey val="0"/>
              <c:showVal val="1"/>
              <c:showCatName val="0"/>
              <c:showSerName val="0"/>
              <c:showPercent val="0"/>
              <c:showBubbleSize val="0"/>
            </c:dLbl>
            <c:txPr>
              <a:bodyPr/>
              <a:lstStyle/>
              <a:p>
                <a:pPr>
                  <a:defRPr sz="14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Valuation!$Z$4:$Z$11</c:f>
              <c:numCache>
                <c:formatCode>"$"#,##0</c:formatCode>
                <c:ptCount val="8"/>
                <c:pt idx="1">
                  <c:v>4.1626743419230641</c:v>
                </c:pt>
                <c:pt idx="2">
                  <c:v>15</c:v>
                </c:pt>
                <c:pt idx="3">
                  <c:v>15</c:v>
                </c:pt>
                <c:pt idx="5">
                  <c:v>15</c:v>
                </c:pt>
                <c:pt idx="7">
                  <c:v>15</c:v>
                </c:pt>
              </c:numCache>
            </c:numRef>
          </c:val>
        </c:ser>
        <c:ser>
          <c:idx val="2"/>
          <c:order val="2"/>
          <c:tx>
            <c:strRef>
              <c:f>Valuation!$X$6</c:f>
              <c:strCache>
                <c:ptCount val="1"/>
                <c:pt idx="0">
                  <c:v>Cash</c:v>
                </c:pt>
              </c:strCache>
            </c:strRef>
          </c:tx>
          <c:invertIfNegative val="0"/>
          <c:dPt>
            <c:idx val="3"/>
            <c:invertIfNegative val="0"/>
            <c:bubble3D val="0"/>
            <c:spPr>
              <a:noFill/>
              <a:ln>
                <a:noFill/>
              </a:ln>
            </c:spPr>
          </c:dPt>
          <c:dPt>
            <c:idx val="4"/>
            <c:invertIfNegative val="0"/>
            <c:bubble3D val="0"/>
            <c:spPr>
              <a:noFill/>
              <a:ln>
                <a:noFill/>
              </a:ln>
            </c:spPr>
          </c:dPt>
          <c:dPt>
            <c:idx val="5"/>
            <c:invertIfNegative val="0"/>
            <c:bubble3D val="0"/>
            <c:spPr>
              <a:noFill/>
              <a:ln>
                <a:noFill/>
              </a:ln>
            </c:spPr>
          </c:dPt>
          <c:dLbls>
            <c:dLbl>
              <c:idx val="2"/>
              <c:showLegendKey val="0"/>
              <c:showVal val="1"/>
              <c:showCatName val="0"/>
              <c:showSerName val="0"/>
              <c:showPercent val="0"/>
              <c:showBubbleSize val="0"/>
            </c:dLbl>
            <c:txPr>
              <a:bodyPr/>
              <a:lstStyle/>
              <a:p>
                <a:pPr>
                  <a:defRPr sz="14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Valuation!$AA$4:$AA$11</c:f>
              <c:numCache>
                <c:formatCode>"$"#,##0</c:formatCode>
                <c:ptCount val="8"/>
                <c:pt idx="2">
                  <c:v>0</c:v>
                </c:pt>
                <c:pt idx="3">
                  <c:v>9</c:v>
                </c:pt>
                <c:pt idx="5">
                  <c:v>9</c:v>
                </c:pt>
                <c:pt idx="7">
                  <c:v>9</c:v>
                </c:pt>
              </c:numCache>
            </c:numRef>
          </c:val>
        </c:ser>
        <c:ser>
          <c:idx val="3"/>
          <c:order val="3"/>
          <c:tx>
            <c:strRef>
              <c:f>Valuation!$X$7</c:f>
              <c:strCache>
                <c:ptCount val="1"/>
                <c:pt idx="0">
                  <c:v>Epacadostat (IDO1)</c:v>
                </c:pt>
              </c:strCache>
            </c:strRef>
          </c:tx>
          <c:invertIfNegative val="0"/>
          <c:dPt>
            <c:idx val="4"/>
            <c:invertIfNegative val="0"/>
            <c:bubble3D val="0"/>
            <c:spPr>
              <a:noFill/>
              <a:ln>
                <a:noFill/>
              </a:ln>
            </c:spPr>
          </c:dPt>
          <c:dPt>
            <c:idx val="5"/>
            <c:invertIfNegative val="0"/>
            <c:bubble3D val="0"/>
            <c:spPr>
              <a:noFill/>
              <a:ln>
                <a:noFill/>
              </a:ln>
            </c:spPr>
          </c:dPt>
          <c:dLbls>
            <c:dLbl>
              <c:idx val="3"/>
              <c:showLegendKey val="0"/>
              <c:showVal val="1"/>
              <c:showCatName val="0"/>
              <c:showSerName val="0"/>
              <c:showPercent val="0"/>
              <c:showBubbleSize val="0"/>
            </c:dLbl>
            <c:txPr>
              <a:bodyPr/>
              <a:lstStyle/>
              <a:p>
                <a:pPr>
                  <a:defRPr sz="14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Valuation!$AB$4:$AB$11</c:f>
              <c:numCache>
                <c:formatCode>"$"#,##0</c:formatCode>
                <c:ptCount val="8"/>
                <c:pt idx="3">
                  <c:v>10.436976369899144</c:v>
                </c:pt>
                <c:pt idx="5">
                  <c:v>7</c:v>
                </c:pt>
                <c:pt idx="7">
                  <c:v>7</c:v>
                </c:pt>
              </c:numCache>
            </c:numRef>
          </c:val>
        </c:ser>
        <c:ser>
          <c:idx val="4"/>
          <c:order val="4"/>
          <c:tx>
            <c:strRef>
              <c:f>Valuation!$X$9</c:f>
              <c:strCache>
                <c:ptCount val="1"/>
                <c:pt idx="0">
                  <c:v>JAK1 / PI3Kδ</c:v>
                </c:pt>
              </c:strCache>
            </c:strRef>
          </c:tx>
          <c:invertIfNegative val="0"/>
          <c:dPt>
            <c:idx val="5"/>
            <c:invertIfNegative val="0"/>
            <c:bubble3D val="0"/>
            <c:spPr>
              <a:noFill/>
              <a:ln>
                <a:noFill/>
              </a:ln>
            </c:spPr>
          </c:dPt>
          <c:dLbls>
            <c:dLbl>
              <c:idx val="4"/>
              <c:showLegendKey val="0"/>
              <c:showVal val="1"/>
              <c:showCatName val="0"/>
              <c:showSerName val="0"/>
              <c:showPercent val="0"/>
              <c:showBubbleSize val="0"/>
            </c:dLbl>
            <c:txPr>
              <a:bodyPr/>
              <a:lstStyle/>
              <a:p>
                <a:pPr>
                  <a:defRPr sz="1400" b="1">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Valuation!$AC$4:$AC$11</c:f>
              <c:numCache>
                <c:formatCode>"$"#,##0</c:formatCode>
                <c:ptCount val="8"/>
                <c:pt idx="5">
                  <c:v>4.7258979206049148</c:v>
                </c:pt>
                <c:pt idx="7">
                  <c:v>5</c:v>
                </c:pt>
              </c:numCache>
            </c:numRef>
          </c:val>
        </c:ser>
        <c:ser>
          <c:idx val="5"/>
          <c:order val="5"/>
          <c:tx>
            <c:strRef>
              <c:f>Valuation!$X$11</c:f>
              <c:strCache>
                <c:ptCount val="1"/>
                <c:pt idx="0">
                  <c:v>Early Clin / Pre-Clin / Discovery</c:v>
                </c:pt>
              </c:strCache>
            </c:strRef>
          </c:tx>
          <c:invertIfNegative val="0"/>
          <c:dLbls>
            <c:dLbl>
              <c:idx val="5"/>
              <c:spPr/>
              <c:txPr>
                <a:bodyPr/>
                <a:lstStyle/>
                <a:p>
                  <a:pPr>
                    <a:defRPr sz="1400" b="1">
                      <a:solidFill>
                        <a:schemeClr val="bg1"/>
                      </a:solidFill>
                    </a:defRPr>
                  </a:pPr>
                  <a:endParaRPr lang="en-US"/>
                </a:p>
              </c:txPr>
              <c:showLegendKey val="0"/>
              <c:showVal val="1"/>
              <c:showCatName val="0"/>
              <c:showSerName val="0"/>
              <c:showPercent val="0"/>
              <c:showBubbleSize val="0"/>
            </c:dLbl>
            <c:txPr>
              <a:bodyPr/>
              <a:lstStyle/>
              <a:p>
                <a:pPr>
                  <a:defRPr sz="1400" b="1"/>
                </a:pPr>
                <a:endParaRPr lang="en-US"/>
              </a:p>
            </c:txPr>
            <c:showLegendKey val="0"/>
            <c:showVal val="1"/>
            <c:showCatName val="0"/>
            <c:showSerName val="0"/>
            <c:showPercent val="0"/>
            <c:showBubbleSize val="0"/>
            <c:showLeaderLines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Valuation!$AD$4:$AD$11</c:f>
              <c:numCache>
                <c:formatCode>"$"#,##0</c:formatCode>
                <c:ptCount val="8"/>
                <c:pt idx="7">
                  <c:v>3.0718336483931949</c:v>
                </c:pt>
              </c:numCache>
            </c:numRef>
          </c:val>
        </c:ser>
        <c:ser>
          <c:idx val="6"/>
          <c:order val="6"/>
          <c:tx>
            <c:strRef>
              <c:f>Valuation!$X$12</c:f>
              <c:strCache>
                <c:ptCount val="1"/>
                <c:pt idx="0">
                  <c:v>Total Incyte Valuation</c:v>
                </c:pt>
              </c:strCache>
            </c:strRef>
          </c:tx>
          <c:spPr>
            <a:solidFill>
              <a:schemeClr val="accent1"/>
            </a:solidFill>
          </c:spPr>
          <c:invertIfNegative val="0"/>
          <c:dLbls>
            <c:dLbl>
              <c:idx val="6"/>
              <c:tx>
                <c:rich>
                  <a:bodyPr/>
                  <a:lstStyle/>
                  <a:p>
                    <a:pPr>
                      <a:defRPr sz="1800" b="1">
                        <a:solidFill>
                          <a:schemeClr val="bg1"/>
                        </a:solidFill>
                      </a:defRPr>
                    </a:pPr>
                    <a:r>
                      <a:rPr lang="en-US" sz="1800" b="1"/>
                      <a:t>$85</a:t>
                    </a:r>
                  </a:p>
                </c:rich>
              </c:tx>
              <c:spPr/>
              <c:showLegendKey val="0"/>
              <c:showVal val="1"/>
              <c:showCatName val="0"/>
              <c:showSerName val="0"/>
              <c:showPercent val="0"/>
              <c:showBubbleSize val="0"/>
            </c:dLbl>
            <c:txPr>
              <a:bodyPr/>
              <a:lstStyle/>
              <a:p>
                <a:pPr>
                  <a:defRPr sz="1200">
                    <a:solidFill>
                      <a:schemeClr val="bg1"/>
                    </a:solidFill>
                  </a:defRPr>
                </a:pPr>
                <a:endParaRPr lang="en-US"/>
              </a:p>
            </c:txPr>
            <c:showLegendKey val="0"/>
            <c:showVal val="0"/>
            <c:showCatName val="0"/>
            <c:showSerName val="0"/>
            <c:showPercent val="0"/>
            <c:showBubbleSize val="0"/>
          </c:dLbls>
          <c:cat>
            <c:strRef>
              <c:f>Valuation!$X$4:$X$12</c:f>
              <c:strCache>
                <c:ptCount val="9"/>
                <c:pt idx="0">
                  <c:v>Jakafi/Jakavi</c:v>
                </c:pt>
                <c:pt idx="1">
                  <c:v>Baricitinib</c:v>
                </c:pt>
                <c:pt idx="2">
                  <c:v>Cash</c:v>
                </c:pt>
                <c:pt idx="3">
                  <c:v>Epacadostat (IDO1)</c:v>
                </c:pt>
                <c:pt idx="5">
                  <c:v>JAK1 / PI3Kδ</c:v>
                </c:pt>
                <c:pt idx="7">
                  <c:v>Early Clin / Pre-Clin / Discovery</c:v>
                </c:pt>
                <c:pt idx="8">
                  <c:v>Total Incyte Valuation</c:v>
                </c:pt>
              </c:strCache>
            </c:strRef>
          </c:cat>
          <c:val>
            <c:numRef>
              <c:f>Valuation!$AE$4:$AE$12</c:f>
              <c:numCache>
                <c:formatCode>General</c:formatCode>
                <c:ptCount val="9"/>
                <c:pt idx="8" formatCode="&quot;$&quot;#,##0">
                  <c:v>85.5</c:v>
                </c:pt>
              </c:numCache>
            </c:numRef>
          </c:val>
        </c:ser>
        <c:dLbls>
          <c:showLegendKey val="0"/>
          <c:showVal val="0"/>
          <c:showCatName val="0"/>
          <c:showSerName val="0"/>
          <c:showPercent val="0"/>
          <c:showBubbleSize val="0"/>
        </c:dLbls>
        <c:gapWidth val="0"/>
        <c:overlap val="100"/>
        <c:axId val="664711168"/>
        <c:axId val="664720512"/>
      </c:barChart>
      <c:catAx>
        <c:axId val="664711168"/>
        <c:scaling>
          <c:orientation val="minMax"/>
        </c:scaling>
        <c:delete val="0"/>
        <c:axPos val="b"/>
        <c:majorTickMark val="out"/>
        <c:minorTickMark val="none"/>
        <c:tickLblPos val="nextTo"/>
        <c:txPr>
          <a:bodyPr/>
          <a:lstStyle/>
          <a:p>
            <a:pPr>
              <a:defRPr sz="1200" b="1"/>
            </a:pPr>
            <a:endParaRPr lang="en-US"/>
          </a:p>
        </c:txPr>
        <c:crossAx val="664720512"/>
        <c:crosses val="autoZero"/>
        <c:auto val="1"/>
        <c:lblAlgn val="ctr"/>
        <c:lblOffset val="100"/>
        <c:noMultiLvlLbl val="0"/>
      </c:catAx>
      <c:valAx>
        <c:axId val="664720512"/>
        <c:scaling>
          <c:orientation val="minMax"/>
        </c:scaling>
        <c:delete val="0"/>
        <c:axPos val="l"/>
        <c:majorGridlines>
          <c:spPr>
            <a:ln>
              <a:noFill/>
            </a:ln>
          </c:spPr>
        </c:majorGridlines>
        <c:numFmt formatCode="&quot;$&quot;#,##0" sourceLinked="1"/>
        <c:majorTickMark val="out"/>
        <c:minorTickMark val="none"/>
        <c:tickLblPos val="nextTo"/>
        <c:txPr>
          <a:bodyPr/>
          <a:lstStyle/>
          <a:p>
            <a:pPr>
              <a:defRPr sz="1400" b="1"/>
            </a:pPr>
            <a:endParaRPr lang="en-US"/>
          </a:p>
        </c:txPr>
        <c:crossAx val="664711168"/>
        <c:crosses val="autoZero"/>
        <c:crossBetween val="between"/>
      </c:valAx>
    </c:plotArea>
    <c:plotVisOnly val="1"/>
    <c:dispBlanksAs val="gap"/>
    <c:showDLblsOverMax val="0"/>
  </c:chart>
  <c:printSettings>
    <c:headerFooter/>
    <c:pageMargins b="0.75" l="0.7" r="0.7" t="0.75" header="0.3" footer="0.3"/>
    <c:pageSetup orientation="portrait"/>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pie3DChart>
        <c:varyColors val="1"/>
        <c:ser>
          <c:idx val="0"/>
          <c:order val="0"/>
          <c:dLbls>
            <c:txPr>
              <a:bodyPr/>
              <a:lstStyle/>
              <a:p>
                <a:pPr>
                  <a:defRPr sz="1400"/>
                </a:pPr>
                <a:endParaRPr lang="en-US"/>
              </a:p>
            </c:txPr>
            <c:showLegendKey val="0"/>
            <c:showVal val="1"/>
            <c:showCatName val="0"/>
            <c:showSerName val="0"/>
            <c:showPercent val="0"/>
            <c:showBubbleSize val="0"/>
            <c:showLeaderLines val="1"/>
          </c:dLbls>
          <c:cat>
            <c:strRef>
              <c:f>Valuation!$B$84:$B$86</c:f>
              <c:strCache>
                <c:ptCount val="3"/>
                <c:pt idx="0">
                  <c:v>Base Business (Jakafi, Iclusig, Olumiant)</c:v>
                </c:pt>
                <c:pt idx="1">
                  <c:v>Pipeline (GVHD, PI3Kδ, Drug Discovery)</c:v>
                </c:pt>
                <c:pt idx="2">
                  <c:v>Residual Cash</c:v>
                </c:pt>
              </c:strCache>
            </c:strRef>
          </c:cat>
          <c:val>
            <c:numRef>
              <c:f>Valuation!$C$84:$C$86</c:f>
              <c:numCache>
                <c:formatCode>"$"#,##0</c:formatCode>
                <c:ptCount val="3"/>
                <c:pt idx="0">
                  <c:v>53.432678544421506</c:v>
                </c:pt>
                <c:pt idx="1">
                  <c:v>19.325548632427122</c:v>
                </c:pt>
                <c:pt idx="2">
                  <c:v>3.0718336483931949</c:v>
                </c:pt>
              </c:numCache>
            </c:numRef>
          </c:val>
        </c:ser>
        <c:dLbls>
          <c:showLegendKey val="0"/>
          <c:showVal val="0"/>
          <c:showCatName val="0"/>
          <c:showSerName val="0"/>
          <c:showPercent val="0"/>
          <c:showBubbleSize val="0"/>
          <c:showLeaderLines val="1"/>
        </c:dLbls>
      </c:pie3DChart>
    </c:plotArea>
    <c:legend>
      <c:legendPos val="r"/>
      <c:overlay val="0"/>
      <c:txPr>
        <a:bodyPr/>
        <a:lstStyle/>
        <a:p>
          <a:pPr>
            <a:defRPr sz="1200"/>
          </a:pPr>
          <a:endParaRPr lang="en-US"/>
        </a:p>
      </c:txPr>
    </c:legend>
    <c:plotVisOnly val="1"/>
    <c:dispBlanksAs val="gap"/>
    <c:showDLblsOverMax val="0"/>
  </c:chart>
  <c:txPr>
    <a:bodyPr/>
    <a:lstStyle/>
    <a:p>
      <a:pPr>
        <a:defRPr b="1"/>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Jakafi</a:t>
            </a:r>
            <a:r>
              <a:rPr lang="en-US" baseline="0"/>
              <a:t> U.S. Sales</a:t>
            </a:r>
            <a:endParaRPr lang="en-US"/>
          </a:p>
        </c:rich>
      </c:tx>
      <c:layout/>
      <c:overlay val="0"/>
    </c:title>
    <c:autoTitleDeleted val="0"/>
    <c:plotArea>
      <c:layout/>
      <c:barChart>
        <c:barDir val="col"/>
        <c:grouping val="stacked"/>
        <c:varyColors val="0"/>
        <c:ser>
          <c:idx val="0"/>
          <c:order val="0"/>
          <c:tx>
            <c:strRef>
              <c:f>'Jakafi - Summary'!$B$7</c:f>
              <c:strCache>
                <c:ptCount val="1"/>
                <c:pt idx="0">
                  <c:v>Myelofibrosis (MF)</c:v>
                </c:pt>
              </c:strCache>
            </c:strRef>
          </c:tx>
          <c:invertIfNegative val="0"/>
          <c:cat>
            <c:numRef>
              <c:f>'Jakafi - Summary'!$H$5:$X$5</c:f>
              <c:numCache>
                <c:formatCode>0_);[Red]\(0\)</c:formatCode>
                <c:ptCount val="17"/>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pt idx="14">
                  <c:v>2028</c:v>
                </c:pt>
                <c:pt idx="15">
                  <c:v>2029</c:v>
                </c:pt>
                <c:pt idx="16">
                  <c:v>2030</c:v>
                </c:pt>
              </c:numCache>
            </c:numRef>
          </c:cat>
          <c:val>
            <c:numRef>
              <c:f>'Jakafi - Summary'!$H$7:$X$7</c:f>
              <c:numCache>
                <c:formatCode>"$"#,##0_);[Red]\("$"#,##0\)</c:formatCode>
                <c:ptCount val="17"/>
                <c:pt idx="0">
                  <c:v>343.45373884793372</c:v>
                </c:pt>
                <c:pt idx="1">
                  <c:v>472.96064783416637</c:v>
                </c:pt>
                <c:pt idx="2">
                  <c:v>590.22572391630547</c:v>
                </c:pt>
                <c:pt idx="3">
                  <c:v>694.95083818621697</c:v>
                </c:pt>
                <c:pt idx="4">
                  <c:v>792.6087748448291</c:v>
                </c:pt>
                <c:pt idx="5">
                  <c:v>871.92632056918342</c:v>
                </c:pt>
                <c:pt idx="6">
                  <c:v>949.13876186546929</c:v>
                </c:pt>
                <c:pt idx="7">
                  <c:v>1039.889566237541</c:v>
                </c:pt>
                <c:pt idx="8">
                  <c:v>1137.8147593457377</c:v>
                </c:pt>
                <c:pt idx="9">
                  <c:v>1222.2548032808984</c:v>
                </c:pt>
                <c:pt idx="10">
                  <c:v>1281.9983950147443</c:v>
                </c:pt>
                <c:pt idx="11">
                  <c:v>1317.949393312723</c:v>
                </c:pt>
                <c:pt idx="12">
                  <c:v>1064.5946970782475</c:v>
                </c:pt>
                <c:pt idx="13">
                  <c:v>199.42538802481533</c:v>
                </c:pt>
                <c:pt idx="14">
                  <c:v>66.078574768043339</c:v>
                </c:pt>
                <c:pt idx="15">
                  <c:v>12.968159291585543</c:v>
                </c:pt>
                <c:pt idx="16">
                  <c:v>7.6033513820365375</c:v>
                </c:pt>
              </c:numCache>
            </c:numRef>
          </c:val>
        </c:ser>
        <c:ser>
          <c:idx val="1"/>
          <c:order val="1"/>
          <c:tx>
            <c:strRef>
              <c:f>'Jakafi - Summary'!$B$8</c:f>
              <c:strCache>
                <c:ptCount val="1"/>
                <c:pt idx="0">
                  <c:v>Polycythemia Vera (PV)</c:v>
                </c:pt>
              </c:strCache>
            </c:strRef>
          </c:tx>
          <c:invertIfNegative val="0"/>
          <c:cat>
            <c:numRef>
              <c:f>'Jakafi - Summary'!$H$5:$X$5</c:f>
              <c:numCache>
                <c:formatCode>0_);[Red]\(0\)</c:formatCode>
                <c:ptCount val="17"/>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pt idx="14">
                  <c:v>2028</c:v>
                </c:pt>
                <c:pt idx="15">
                  <c:v>2029</c:v>
                </c:pt>
                <c:pt idx="16">
                  <c:v>2030</c:v>
                </c:pt>
              </c:numCache>
            </c:numRef>
          </c:cat>
          <c:val>
            <c:numRef>
              <c:f>'Jakafi - Summary'!$H$8:$X$8</c:f>
              <c:numCache>
                <c:formatCode>"$"#,##0_);[Red]\("$"#,##0\)</c:formatCode>
                <c:ptCount val="17"/>
                <c:pt idx="0">
                  <c:v>66.210798511630756</c:v>
                </c:pt>
                <c:pt idx="1">
                  <c:v>168.36174613692347</c:v>
                </c:pt>
                <c:pt idx="2">
                  <c:v>304.36553242620056</c:v>
                </c:pt>
                <c:pt idx="3">
                  <c:v>445.04326623946645</c:v>
                </c:pt>
                <c:pt idx="4">
                  <c:v>585.81965369877742</c:v>
                </c:pt>
                <c:pt idx="5">
                  <c:v>711.71784931290972</c:v>
                </c:pt>
                <c:pt idx="6">
                  <c:v>836.36870656262568</c:v>
                </c:pt>
                <c:pt idx="7">
                  <c:v>959.24922337450403</c:v>
                </c:pt>
                <c:pt idx="8">
                  <c:v>1076.8956954927271</c:v>
                </c:pt>
                <c:pt idx="9">
                  <c:v>1184.6037297437638</c:v>
                </c:pt>
                <c:pt idx="10">
                  <c:v>1268.1599023112128</c:v>
                </c:pt>
                <c:pt idx="11">
                  <c:v>1317.8208003248742</c:v>
                </c:pt>
                <c:pt idx="12">
                  <c:v>1065.4572136255906</c:v>
                </c:pt>
                <c:pt idx="13">
                  <c:v>199.71045063854399</c:v>
                </c:pt>
                <c:pt idx="14">
                  <c:v>66.793780451444761</c:v>
                </c:pt>
                <c:pt idx="15">
                  <c:v>13.451723582378243</c:v>
                </c:pt>
                <c:pt idx="16">
                  <c:v>8.1554578065529277</c:v>
                </c:pt>
              </c:numCache>
            </c:numRef>
          </c:val>
        </c:ser>
        <c:dLbls>
          <c:showLegendKey val="0"/>
          <c:showVal val="0"/>
          <c:showCatName val="0"/>
          <c:showSerName val="0"/>
          <c:showPercent val="0"/>
          <c:showBubbleSize val="0"/>
        </c:dLbls>
        <c:gapWidth val="150"/>
        <c:overlap val="100"/>
        <c:axId val="668511616"/>
        <c:axId val="668515328"/>
      </c:barChart>
      <c:catAx>
        <c:axId val="668511616"/>
        <c:scaling>
          <c:orientation val="minMax"/>
        </c:scaling>
        <c:delete val="0"/>
        <c:axPos val="b"/>
        <c:numFmt formatCode="0_);[Red]\(0\)" sourceLinked="1"/>
        <c:majorTickMark val="out"/>
        <c:minorTickMark val="none"/>
        <c:tickLblPos val="nextTo"/>
        <c:txPr>
          <a:bodyPr/>
          <a:lstStyle/>
          <a:p>
            <a:pPr>
              <a:defRPr sz="1400" b="1"/>
            </a:pPr>
            <a:endParaRPr lang="en-US"/>
          </a:p>
        </c:txPr>
        <c:crossAx val="668515328"/>
        <c:crosses val="autoZero"/>
        <c:auto val="1"/>
        <c:lblAlgn val="ctr"/>
        <c:lblOffset val="100"/>
        <c:noMultiLvlLbl val="0"/>
      </c:catAx>
      <c:valAx>
        <c:axId val="668515328"/>
        <c:scaling>
          <c:orientation val="minMax"/>
        </c:scaling>
        <c:delete val="0"/>
        <c:axPos val="l"/>
        <c:majorGridlines/>
        <c:numFmt formatCode="&quot;$&quot;#,##0_);[Red]\(&quot;$&quot;#,##0\)" sourceLinked="1"/>
        <c:majorTickMark val="out"/>
        <c:minorTickMark val="none"/>
        <c:tickLblPos val="nextTo"/>
        <c:txPr>
          <a:bodyPr/>
          <a:lstStyle/>
          <a:p>
            <a:pPr>
              <a:defRPr sz="1400" b="1"/>
            </a:pPr>
            <a:endParaRPr lang="en-US"/>
          </a:p>
        </c:txPr>
        <c:crossAx val="668511616"/>
        <c:crosses val="autoZero"/>
        <c:crossBetween val="between"/>
      </c:valAx>
    </c:plotArea>
    <c:legend>
      <c:legendPos val="r"/>
      <c:layout/>
      <c:overlay val="0"/>
      <c:txPr>
        <a:bodyPr/>
        <a:lstStyle/>
        <a:p>
          <a:pPr>
            <a:defRPr sz="1400" b="1"/>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w="12700">
              <a:solidFill>
                <a:srgbClr val="000080"/>
              </a:solidFill>
              <a:prstDash val="solid"/>
            </a:ln>
          </c:spPr>
          <c:marker>
            <c:symbol val="diamond"/>
            <c:size val="5"/>
            <c:spPr>
              <a:solidFill>
                <a:srgbClr val="000080"/>
              </a:solidFill>
              <a:ln>
                <a:solidFill>
                  <a:srgbClr val="000080"/>
                </a:solidFill>
                <a:prstDash val="solid"/>
              </a:ln>
            </c:spPr>
          </c:marker>
          <c:cat>
            <c:numLit>
              <c:formatCode>General</c:formatCode>
              <c:ptCount val="1"/>
              <c:pt idx="0">
                <c:v>1</c:v>
              </c:pt>
            </c:numLit>
          </c:cat>
          <c:val>
            <c:numLit>
              <c:formatCode>General</c:formatCode>
              <c:ptCount val="1"/>
              <c:pt idx="0">
                <c:v>1</c:v>
              </c:pt>
            </c:numLit>
          </c:val>
          <c:smooth val="0"/>
        </c:ser>
        <c:ser>
          <c:idx val="1"/>
          <c:order val="1"/>
          <c:tx>
            <c:v>#REF!</c:v>
          </c:tx>
          <c:spPr>
            <a:ln w="12700">
              <a:solidFill>
                <a:srgbClr val="FF0000"/>
              </a:solidFill>
              <a:prstDash val="lgDash"/>
            </a:ln>
          </c:spPr>
          <c:marker>
            <c:symbol val="circle"/>
            <c:size val="5"/>
            <c:spPr>
              <a:solidFill>
                <a:srgbClr val="FF0000"/>
              </a:solidFill>
              <a:ln>
                <a:solidFill>
                  <a:srgbClr val="FF0000"/>
                </a:solidFill>
                <a:prstDash val="solid"/>
              </a:ln>
            </c:spPr>
          </c:marker>
          <c:cat>
            <c:numLit>
              <c:formatCode>General</c:formatCode>
              <c:ptCount val="1"/>
              <c:pt idx="0">
                <c:v>1</c:v>
              </c:pt>
            </c:numLit>
          </c:cat>
          <c:val>
            <c:numLit>
              <c:formatCode>General</c:formatCode>
              <c:ptCount val="1"/>
              <c:pt idx="0">
                <c:v>1</c:v>
              </c:pt>
            </c:numLit>
          </c:val>
          <c:smooth val="0"/>
        </c:ser>
        <c:ser>
          <c:idx val="2"/>
          <c:order val="2"/>
          <c:tx>
            <c:v>#REF!</c:v>
          </c:tx>
          <c:spPr>
            <a:ln w="12700">
              <a:solidFill>
                <a:srgbClr val="00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68694784"/>
        <c:axId val="668696960"/>
      </c:lineChart>
      <c:catAx>
        <c:axId val="668694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668696960"/>
        <c:crosses val="autoZero"/>
        <c:auto val="1"/>
        <c:lblAlgn val="ctr"/>
        <c:lblOffset val="100"/>
        <c:tickLblSkip val="1"/>
        <c:tickMarkSkip val="1"/>
        <c:noMultiLvlLbl val="0"/>
      </c:catAx>
      <c:valAx>
        <c:axId val="668696960"/>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668694784"/>
        <c:crosses val="autoZero"/>
        <c:crossBetween val="between"/>
      </c:valAx>
      <c:spPr>
        <a:solidFill>
          <a:srgbClr val="FFFFFF"/>
        </a:solidFill>
        <a:ln w="12700">
          <a:solidFill>
            <a:srgbClr val="808080"/>
          </a:solidFill>
          <a:prstDash val="solid"/>
        </a:ln>
      </c:spPr>
    </c:plotArea>
    <c:legend>
      <c:legendPos val="r"/>
      <c:layout>
        <c:manualLayout>
          <c:xMode val="edge"/>
          <c:yMode val="edge"/>
          <c:x val="0"/>
          <c:y val="0"/>
          <c:w val="0"/>
          <c:h val="0"/>
        </c:manualLayout>
      </c:layout>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US Sales</c:v>
          </c:tx>
          <c:spPr>
            <a:ln w="12700">
              <a:solidFill>
                <a:srgbClr val="000080"/>
              </a:solidFill>
              <a:prstDash val="solid"/>
            </a:ln>
          </c:spPr>
          <c:marker>
            <c:symbol val="square"/>
            <c:size val="3"/>
            <c:spPr>
              <a:solidFill>
                <a:srgbClr val="000080"/>
              </a:solidFill>
              <a:ln>
                <a:solidFill>
                  <a:srgbClr val="000080"/>
                </a:solidFill>
                <a:prstDash val="solid"/>
              </a:ln>
            </c:spPr>
          </c:marker>
          <c:cat>
            <c:numLit>
              <c:formatCode>General</c:formatCode>
              <c:ptCount val="1"/>
              <c:pt idx="0">
                <c:v>1</c:v>
              </c:pt>
            </c:numLit>
          </c:cat>
          <c:val>
            <c:numLit>
              <c:formatCode>General</c:formatCode>
              <c:ptCount val="1"/>
              <c:pt idx="0">
                <c:v>1</c:v>
              </c:pt>
            </c:numLit>
          </c:val>
          <c:smooth val="0"/>
        </c:ser>
        <c:ser>
          <c:idx val="1"/>
          <c:order val="1"/>
          <c:tx>
            <c:v>EU sales</c:v>
          </c:tx>
          <c:spPr>
            <a:ln w="12700">
              <a:solidFill>
                <a:srgbClr val="FF0000"/>
              </a:solidFill>
              <a:prstDash val="lgDash"/>
            </a:ln>
          </c:spPr>
          <c:marker>
            <c:symbol val="circle"/>
            <c:size val="6"/>
            <c:spPr>
              <a:solidFill>
                <a:srgbClr val="FF0000"/>
              </a:solidFill>
              <a:ln>
                <a:solidFill>
                  <a:srgbClr val="FF0000"/>
                </a:solidFill>
                <a:prstDash val="solid"/>
              </a:ln>
            </c:spPr>
          </c:marker>
          <c:cat>
            <c:numLit>
              <c:formatCode>General</c:formatCode>
              <c:ptCount val="1"/>
              <c:pt idx="0">
                <c:v>1</c:v>
              </c:pt>
            </c:numLit>
          </c:cat>
          <c:val>
            <c:numLit>
              <c:formatCode>General</c:formatCode>
              <c:ptCount val="1"/>
              <c:pt idx="0">
                <c:v>1</c:v>
              </c:pt>
            </c:numLit>
          </c:val>
          <c:smooth val="0"/>
        </c:ser>
        <c:ser>
          <c:idx val="2"/>
          <c:order val="2"/>
          <c:tx>
            <c:v>WW PV Sales</c:v>
          </c:tx>
          <c:spPr>
            <a:ln w="12700">
              <a:solidFill>
                <a:srgbClr val="000000"/>
              </a:solidFill>
              <a:prstDash val="solid"/>
            </a:ln>
          </c:spPr>
          <c:marker>
            <c:symbol val="none"/>
          </c:marker>
          <c:cat>
            <c:numLit>
              <c:formatCode>General</c:formatCode>
              <c:ptCount val="1"/>
              <c:pt idx="0">
                <c:v>1</c:v>
              </c:pt>
            </c:numLit>
          </c:cat>
          <c:val>
            <c:numLit>
              <c:formatCode>General</c:formatCode>
              <c:ptCount val="1"/>
              <c:pt idx="0">
                <c:v>1</c:v>
              </c:pt>
            </c:numLit>
          </c:val>
          <c:smooth val="0"/>
        </c:ser>
        <c:dLbls>
          <c:showLegendKey val="0"/>
          <c:showVal val="0"/>
          <c:showCatName val="0"/>
          <c:showSerName val="0"/>
          <c:showPercent val="0"/>
          <c:showBubbleSize val="0"/>
        </c:dLbls>
        <c:marker val="1"/>
        <c:smooth val="0"/>
        <c:axId val="668711168"/>
        <c:axId val="668713728"/>
      </c:lineChart>
      <c:catAx>
        <c:axId val="668711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668713728"/>
        <c:crosses val="autoZero"/>
        <c:auto val="1"/>
        <c:lblAlgn val="ctr"/>
        <c:lblOffset val="100"/>
        <c:tickLblSkip val="1"/>
        <c:tickMarkSkip val="1"/>
        <c:noMultiLvlLbl val="0"/>
      </c:catAx>
      <c:valAx>
        <c:axId val="668713728"/>
        <c:scaling>
          <c:orientation val="minMax"/>
          <c:max val="1200"/>
          <c:min val="0"/>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668711168"/>
        <c:crosses val="autoZero"/>
        <c:crossBetween val="between"/>
      </c:valAx>
      <c:spPr>
        <a:solidFill>
          <a:srgbClr val="FFFFFF"/>
        </a:solidFill>
        <a:ln w="12700">
          <a:solidFill>
            <a:srgbClr val="808080"/>
          </a:solidFill>
          <a:prstDash val="solid"/>
        </a:ln>
      </c:spPr>
    </c:plotArea>
    <c:legend>
      <c:legendPos val="r"/>
      <c:layout>
        <c:manualLayout>
          <c:xMode val="edge"/>
          <c:yMode val="edge"/>
          <c:x val="0"/>
          <c:y val="0"/>
          <c:w val="0"/>
          <c:h val="0"/>
        </c:manualLayout>
      </c:layout>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Ref>
              <c:f>'RA - US'!$P$80:$AC$80</c:f>
              <c:numCache>
                <c:formatCode>"$"#,##0</c:formatCode>
                <c:ptCount val="14"/>
                <c:pt idx="0">
                  <c:v>0</c:v>
                </c:pt>
                <c:pt idx="1">
                  <c:v>0</c:v>
                </c:pt>
                <c:pt idx="2">
                  <c:v>23606765.236054908</c:v>
                </c:pt>
                <c:pt idx="3">
                  <c:v>72539168.305982396</c:v>
                </c:pt>
                <c:pt idx="4">
                  <c:v>126341747.84761003</c:v>
                </c:pt>
                <c:pt idx="5">
                  <c:v>195811336.41806778</c:v>
                </c:pt>
                <c:pt idx="6">
                  <c:v>267102565.60354358</c:v>
                </c:pt>
                <c:pt idx="7">
                  <c:v>317741203.41011345</c:v>
                </c:pt>
                <c:pt idx="8">
                  <c:v>336083549.3935836</c:v>
                </c:pt>
                <c:pt idx="9">
                  <c:v>361441805.12551832</c:v>
                </c:pt>
                <c:pt idx="10">
                  <c:v>366441124.04230165</c:v>
                </c:pt>
                <c:pt idx="11">
                  <c:v>379405024.20232075</c:v>
                </c:pt>
                <c:pt idx="12">
                  <c:v>343027489.18363053</c:v>
                </c:pt>
                <c:pt idx="13">
                  <c:v>79778272.326332152</c:v>
                </c:pt>
              </c:numCache>
            </c:numRef>
          </c:val>
        </c:ser>
        <c:ser>
          <c:idx val="1"/>
          <c:order val="1"/>
          <c:invertIfNegative val="0"/>
          <c:val>
            <c:numRef>
              <c:f>'RA - US'!$P$223:$AC$223</c:f>
              <c:numCache>
                <c:formatCode>#,##0</c:formatCode>
                <c:ptCount val="14"/>
                <c:pt idx="0">
                  <c:v>0</c:v>
                </c:pt>
                <c:pt idx="1">
                  <c:v>0</c:v>
                </c:pt>
                <c:pt idx="2">
                  <c:v>103203799.66371056</c:v>
                </c:pt>
                <c:pt idx="3">
                  <c:v>280471375.3611117</c:v>
                </c:pt>
                <c:pt idx="4">
                  <c:v>448167821.77856249</c:v>
                </c:pt>
                <c:pt idx="5">
                  <c:v>733559913.57736695</c:v>
                </c:pt>
                <c:pt idx="6">
                  <c:v>972254871.35260284</c:v>
                </c:pt>
                <c:pt idx="7">
                  <c:v>1018378516.214824</c:v>
                </c:pt>
                <c:pt idx="8">
                  <c:v>971588133.98627818</c:v>
                </c:pt>
                <c:pt idx="9">
                  <c:v>966455275.68092084</c:v>
                </c:pt>
                <c:pt idx="10">
                  <c:v>925525460.12560475</c:v>
                </c:pt>
                <c:pt idx="11">
                  <c:v>900662757.6634537</c:v>
                </c:pt>
                <c:pt idx="12">
                  <c:v>774624037.45946813</c:v>
                </c:pt>
                <c:pt idx="13">
                  <c:v>175822742.27563849</c:v>
                </c:pt>
              </c:numCache>
            </c:numRef>
          </c:val>
        </c:ser>
        <c:ser>
          <c:idx val="2"/>
          <c:order val="2"/>
          <c:invertIfNegative val="0"/>
          <c:val>
            <c:numRef>
              <c:f>'RA - US'!$P$349:$AC$349</c:f>
              <c:numCache>
                <c:formatCode>"$"#,##0</c:formatCode>
                <c:ptCount val="14"/>
                <c:pt idx="0">
                  <c:v>0</c:v>
                </c:pt>
                <c:pt idx="1">
                  <c:v>0</c:v>
                </c:pt>
                <c:pt idx="2">
                  <c:v>29476077.926687114</c:v>
                </c:pt>
                <c:pt idx="3">
                  <c:v>61282953.971242875</c:v>
                </c:pt>
                <c:pt idx="4">
                  <c:v>77185810.698298499</c:v>
                </c:pt>
                <c:pt idx="5">
                  <c:v>76347523.959325135</c:v>
                </c:pt>
                <c:pt idx="6">
                  <c:v>68149723.762749016</c:v>
                </c:pt>
                <c:pt idx="7">
                  <c:v>73225993.275845185</c:v>
                </c:pt>
                <c:pt idx="8">
                  <c:v>74542407.302120477</c:v>
                </c:pt>
                <c:pt idx="9">
                  <c:v>76684627.222780406</c:v>
                </c:pt>
                <c:pt idx="10">
                  <c:v>78408993.319647491</c:v>
                </c:pt>
                <c:pt idx="11">
                  <c:v>80725863.887952641</c:v>
                </c:pt>
                <c:pt idx="12">
                  <c:v>71135768.608616099</c:v>
                </c:pt>
                <c:pt idx="13">
                  <c:v>16334189.94884491</c:v>
                </c:pt>
              </c:numCache>
            </c:numRef>
          </c:val>
        </c:ser>
        <c:dLbls>
          <c:showLegendKey val="0"/>
          <c:showVal val="0"/>
          <c:showCatName val="0"/>
          <c:showSerName val="0"/>
          <c:showPercent val="0"/>
          <c:showBubbleSize val="0"/>
        </c:dLbls>
        <c:gapWidth val="150"/>
        <c:axId val="668863104"/>
        <c:axId val="668865664"/>
      </c:barChart>
      <c:catAx>
        <c:axId val="668863104"/>
        <c:scaling>
          <c:orientation val="minMax"/>
        </c:scaling>
        <c:delete val="0"/>
        <c:axPos val="b"/>
        <c:numFmt formatCode="General" sourceLinked="1"/>
        <c:majorTickMark val="out"/>
        <c:minorTickMark val="none"/>
        <c:tickLblPos val="nextTo"/>
        <c:crossAx val="668865664"/>
        <c:crosses val="autoZero"/>
        <c:auto val="1"/>
        <c:lblAlgn val="ctr"/>
        <c:lblOffset val="100"/>
        <c:noMultiLvlLbl val="0"/>
      </c:catAx>
      <c:valAx>
        <c:axId val="668865664"/>
        <c:scaling>
          <c:orientation val="minMax"/>
        </c:scaling>
        <c:delete val="0"/>
        <c:axPos val="l"/>
        <c:majorGridlines/>
        <c:numFmt formatCode="&quot;$&quot;#,##0" sourceLinked="1"/>
        <c:majorTickMark val="out"/>
        <c:minorTickMark val="none"/>
        <c:tickLblPos val="nextTo"/>
        <c:crossAx val="6688631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strRef>
              <c:f>'RA - US'!$B$4</c:f>
              <c:strCache>
                <c:ptCount val="1"/>
                <c:pt idx="0">
                  <c:v>Xeljanz</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US'!$C$4,'RA - US'!$O$4:$AC$4)</c:f>
            </c:numRef>
          </c:val>
        </c:ser>
        <c:ser>
          <c:idx val="2"/>
          <c:order val="1"/>
          <c:tx>
            <c:strRef>
              <c:f>'RA - US'!$B$5</c:f>
              <c:strCache>
                <c:ptCount val="1"/>
                <c:pt idx="0">
                  <c:v>Generic Xeljanz</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US'!$C$5,'RA - US'!$O$5:$AC$5)</c:f>
            </c:numRef>
          </c:val>
        </c:ser>
        <c:ser>
          <c:idx val="3"/>
          <c:order val="2"/>
          <c:tx>
            <c:strRef>
              <c:f>'RA - US'!$B$6</c:f>
              <c:strCache>
                <c:ptCount val="1"/>
                <c:pt idx="0">
                  <c:v>Baricitinib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US'!$C$6,'RA - US'!$O$6:$AC$6)</c:f>
            </c:numRef>
          </c:val>
        </c:ser>
        <c:ser>
          <c:idx val="4"/>
          <c:order val="3"/>
          <c:tx>
            <c:strRef>
              <c:f>'RA - US'!$B$7</c:f>
              <c:strCache>
                <c:ptCount val="1"/>
                <c:pt idx="0">
                  <c:v>ABT494</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US'!$C$7,'RA - US'!$O$7:$AC$7)</c:f>
            </c:numRef>
          </c:val>
        </c:ser>
        <c:ser>
          <c:idx val="5"/>
          <c:order val="4"/>
          <c:tx>
            <c:strRef>
              <c:f>'RA - US'!$B$8</c:f>
              <c:strCache>
                <c:ptCount val="1"/>
                <c:pt idx="0">
                  <c:v>Filgotinib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US'!$C$8,'RA - US'!$O$8:$AC$8)</c:f>
            </c:numRef>
          </c:val>
        </c:ser>
        <c:ser>
          <c:idx val="6"/>
          <c:order val="5"/>
          <c:tx>
            <c:strRef>
              <c:f>'RA - US'!$B$9</c:f>
              <c:strCache>
                <c:ptCount val="1"/>
                <c:pt idx="0">
                  <c:v>Generic Baricitinib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US'!$C$9,'RA - US'!$O$9:$AC$9)</c:f>
            </c:numRef>
          </c:val>
        </c:ser>
        <c:ser>
          <c:idx val="8"/>
          <c:order val="6"/>
          <c:tx>
            <c:strRef>
              <c:f>'RA - US'!$B$11</c:f>
              <c:strCache>
                <c:ptCount val="1"/>
                <c:pt idx="0">
                  <c:v>Branded Anti-TNF Inhibitors</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US'!$C$11,'RA - US'!$O$11:$AC$11)</c:f>
            </c:numRef>
          </c:val>
        </c:ser>
        <c:ser>
          <c:idx val="9"/>
          <c:order val="7"/>
          <c:tx>
            <c:strRef>
              <c:f>'RA - US'!$B$12</c:f>
              <c:strCache>
                <c:ptCount val="1"/>
                <c:pt idx="0">
                  <c:v>Biosimilar Anti-TNF Agents</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US'!$C$12,'RA - US'!$O$12:$AC$12)</c:f>
            </c:numRef>
          </c:val>
        </c:ser>
        <c:ser>
          <c:idx val="10"/>
          <c:order val="8"/>
          <c:tx>
            <c:strRef>
              <c:f>'RA - US'!$B$13</c:f>
              <c:strCache>
                <c:ptCount val="1"/>
                <c:pt idx="0">
                  <c:v>Other Biologic/Targeted Agents</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US'!$C$13,'RA - US'!$O$13:$AC$13)</c:f>
              <c:numCache>
                <c:formatCode>"$"#,##0</c:formatCode>
                <c:ptCount val="16"/>
                <c:pt idx="1">
                  <c:v>2794423395.5487976</c:v>
                </c:pt>
                <c:pt idx="2">
                  <c:v>2947456217.0911736</c:v>
                </c:pt>
                <c:pt idx="3">
                  <c:v>3033667017.5265489</c:v>
                </c:pt>
                <c:pt idx="4">
                  <c:v>2437762432.8563528</c:v>
                </c:pt>
                <c:pt idx="5">
                  <c:v>2296262781.4221072</c:v>
                </c:pt>
                <c:pt idx="6">
                  <c:v>1973601380.1453452</c:v>
                </c:pt>
                <c:pt idx="7">
                  <c:v>1451762335.3949747</c:v>
                </c:pt>
                <c:pt idx="8">
                  <c:v>1056347293.0580167</c:v>
                </c:pt>
                <c:pt idx="9">
                  <c:v>901018872.90824819</c:v>
                </c:pt>
                <c:pt idx="10">
                  <c:v>856317029.82400787</c:v>
                </c:pt>
                <c:pt idx="11">
                  <c:v>716658758.76678002</c:v>
                </c:pt>
                <c:pt idx="12">
                  <c:v>722482369.49245274</c:v>
                </c:pt>
                <c:pt idx="13">
                  <c:v>691768195.37627685</c:v>
                </c:pt>
                <c:pt idx="14">
                  <c:v>682802476.12012899</c:v>
                </c:pt>
                <c:pt idx="15">
                  <c:v>698818008.70287859</c:v>
                </c:pt>
              </c:numCache>
            </c:numRef>
          </c:val>
        </c:ser>
        <c:dLbls>
          <c:showLegendKey val="0"/>
          <c:showVal val="0"/>
          <c:showCatName val="0"/>
          <c:showSerName val="0"/>
          <c:showPercent val="0"/>
          <c:showBubbleSize val="0"/>
        </c:dLbls>
        <c:gapWidth val="150"/>
        <c:overlap val="100"/>
        <c:axId val="668919296"/>
        <c:axId val="669188096"/>
      </c:barChart>
      <c:catAx>
        <c:axId val="668919296"/>
        <c:scaling>
          <c:orientation val="minMax"/>
        </c:scaling>
        <c:delete val="0"/>
        <c:axPos val="b"/>
        <c:numFmt formatCode="General" sourceLinked="1"/>
        <c:majorTickMark val="out"/>
        <c:minorTickMark val="none"/>
        <c:tickLblPos val="nextTo"/>
        <c:crossAx val="669188096"/>
        <c:crosses val="autoZero"/>
        <c:auto val="1"/>
        <c:lblAlgn val="ctr"/>
        <c:lblOffset val="100"/>
        <c:noMultiLvlLbl val="0"/>
      </c:catAx>
      <c:valAx>
        <c:axId val="669188096"/>
        <c:scaling>
          <c:orientation val="minMax"/>
        </c:scaling>
        <c:delete val="0"/>
        <c:axPos val="l"/>
        <c:majorGridlines/>
        <c:numFmt formatCode="&quot;$&quot;#,##0" sourceLinked="0"/>
        <c:majorTickMark val="out"/>
        <c:minorTickMark val="none"/>
        <c:tickLblPos val="nextTo"/>
        <c:crossAx val="6689192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'RA - US'!$B$4</c:f>
              <c:strCache>
                <c:ptCount val="1"/>
                <c:pt idx="0">
                  <c:v>Xeljanz</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US'!$O$4:$AC$4</c:f>
            </c:numRef>
          </c:val>
        </c:ser>
        <c:ser>
          <c:idx val="1"/>
          <c:order val="1"/>
          <c:tx>
            <c:strRef>
              <c:f>'RA - US'!$B$5</c:f>
              <c:strCache>
                <c:ptCount val="1"/>
                <c:pt idx="0">
                  <c:v>Generic Xeljanz</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US'!$O$5:$AC$5</c:f>
            </c:numRef>
          </c:val>
        </c:ser>
        <c:ser>
          <c:idx val="2"/>
          <c:order val="2"/>
          <c:tx>
            <c:strRef>
              <c:f>'RA - US'!$B$6</c:f>
              <c:strCache>
                <c:ptCount val="1"/>
                <c:pt idx="0">
                  <c:v>Baricitinib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US'!$O$6:$AC$6</c:f>
            </c:numRef>
          </c:val>
        </c:ser>
        <c:ser>
          <c:idx val="3"/>
          <c:order val="3"/>
          <c:tx>
            <c:strRef>
              <c:f>'RA - US'!$B$7</c:f>
              <c:strCache>
                <c:ptCount val="1"/>
                <c:pt idx="0">
                  <c:v>ABT494</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US'!$O$7:$AC$7</c:f>
            </c:numRef>
          </c:val>
        </c:ser>
        <c:ser>
          <c:idx val="4"/>
          <c:order val="4"/>
          <c:tx>
            <c:strRef>
              <c:f>'RA - US'!$B$8</c:f>
              <c:strCache>
                <c:ptCount val="1"/>
                <c:pt idx="0">
                  <c:v>Filgotinib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US'!$O$8:$AC$8</c:f>
            </c:numRef>
          </c:val>
        </c:ser>
        <c:ser>
          <c:idx val="5"/>
          <c:order val="5"/>
          <c:tx>
            <c:strRef>
              <c:f>'RA - US'!$B$9</c:f>
              <c:strCache>
                <c:ptCount val="1"/>
                <c:pt idx="0">
                  <c:v>Generic Baricitinib</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US'!$O$9:$AC$9</c:f>
            </c:numRef>
          </c:val>
        </c:ser>
        <c:ser>
          <c:idx val="6"/>
          <c:order val="6"/>
          <c:tx>
            <c:strRef>
              <c:f>'RA - US'!$B$11</c:f>
              <c:strCache>
                <c:ptCount val="1"/>
                <c:pt idx="0">
                  <c:v>Branded Anti-TNF Inhibitors</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US'!$O$11:$AC$11</c:f>
            </c:numRef>
          </c:val>
        </c:ser>
        <c:ser>
          <c:idx val="7"/>
          <c:order val="7"/>
          <c:tx>
            <c:strRef>
              <c:f>'RA - US'!$B$12</c:f>
              <c:strCache>
                <c:ptCount val="1"/>
                <c:pt idx="0">
                  <c:v>Biosimilar Anti-TNF Agents</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US'!$O$12:$AC$12</c:f>
            </c:numRef>
          </c:val>
        </c:ser>
        <c:ser>
          <c:idx val="8"/>
          <c:order val="8"/>
          <c:tx>
            <c:strRef>
              <c:f>'RA - US'!$B$13</c:f>
              <c:strCache>
                <c:ptCount val="1"/>
                <c:pt idx="0">
                  <c:v>Other Biologic/Targeted Agents</c:v>
                </c:pt>
              </c:strCache>
            </c:strRef>
          </c:tx>
          <c:invertIfNegative val="0"/>
          <c:val>
            <c:numRef>
              <c:f>'RA - US'!$O$13:$AC$13</c:f>
              <c:numCache>
                <c:formatCode>"$"#,##0</c:formatCode>
                <c:ptCount val="15"/>
                <c:pt idx="0">
                  <c:v>2794423395.5487976</c:v>
                </c:pt>
                <c:pt idx="1">
                  <c:v>2947456217.0911736</c:v>
                </c:pt>
                <c:pt idx="2">
                  <c:v>3033667017.5265489</c:v>
                </c:pt>
                <c:pt idx="3">
                  <c:v>2437762432.8563528</c:v>
                </c:pt>
                <c:pt idx="4">
                  <c:v>2296262781.4221072</c:v>
                </c:pt>
                <c:pt idx="5">
                  <c:v>1973601380.1453452</c:v>
                </c:pt>
                <c:pt idx="6">
                  <c:v>1451762335.3949747</c:v>
                </c:pt>
                <c:pt idx="7">
                  <c:v>1056347293.0580167</c:v>
                </c:pt>
                <c:pt idx="8">
                  <c:v>901018872.90824819</c:v>
                </c:pt>
                <c:pt idx="9">
                  <c:v>856317029.82400787</c:v>
                </c:pt>
                <c:pt idx="10">
                  <c:v>716658758.76678002</c:v>
                </c:pt>
                <c:pt idx="11">
                  <c:v>722482369.49245274</c:v>
                </c:pt>
                <c:pt idx="12">
                  <c:v>691768195.37627685</c:v>
                </c:pt>
                <c:pt idx="13">
                  <c:v>682802476.12012899</c:v>
                </c:pt>
                <c:pt idx="14">
                  <c:v>698818008.70287859</c:v>
                </c:pt>
              </c:numCache>
            </c:numRef>
          </c:val>
        </c:ser>
        <c:dLbls>
          <c:showLegendKey val="0"/>
          <c:showVal val="0"/>
          <c:showCatName val="0"/>
          <c:showSerName val="0"/>
          <c:showPercent val="0"/>
          <c:showBubbleSize val="0"/>
        </c:dLbls>
        <c:gapWidth val="150"/>
        <c:overlap val="100"/>
        <c:axId val="669212032"/>
        <c:axId val="669213824"/>
      </c:barChart>
      <c:catAx>
        <c:axId val="669212032"/>
        <c:scaling>
          <c:orientation val="minMax"/>
        </c:scaling>
        <c:delete val="0"/>
        <c:axPos val="b"/>
        <c:numFmt formatCode="General" sourceLinked="1"/>
        <c:majorTickMark val="out"/>
        <c:minorTickMark val="none"/>
        <c:tickLblPos val="nextTo"/>
        <c:crossAx val="669213824"/>
        <c:crosses val="autoZero"/>
        <c:auto val="1"/>
        <c:lblAlgn val="ctr"/>
        <c:lblOffset val="100"/>
        <c:noMultiLvlLbl val="0"/>
      </c:catAx>
      <c:valAx>
        <c:axId val="669213824"/>
        <c:scaling>
          <c:orientation val="minMax"/>
        </c:scaling>
        <c:delete val="0"/>
        <c:axPos val="l"/>
        <c:majorGridlines/>
        <c:numFmt formatCode="&quot;$&quot;#,##0" sourceLinked="1"/>
        <c:majorTickMark val="out"/>
        <c:minorTickMark val="none"/>
        <c:tickLblPos val="nextTo"/>
        <c:crossAx val="669212032"/>
        <c:crosses val="autoZero"/>
        <c:crossBetween val="between"/>
      </c:valAx>
    </c:plotArea>
    <c:legend>
      <c:legendPos val="r"/>
      <c:overlay val="0"/>
    </c:legend>
    <c:plotVisOnly val="1"/>
    <c:dispBlanksAs val="gap"/>
    <c:showDLblsOverMax val="0"/>
  </c:chart>
  <c:txPr>
    <a:bodyPr/>
    <a:lstStyle/>
    <a:p>
      <a:pPr>
        <a:defRPr sz="1200" b="1"/>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2"/>
          <c:order val="0"/>
          <c:tx>
            <c:strRef>
              <c:f>'RA - US'!$C$409</c:f>
              <c:strCache>
                <c:ptCount val="1"/>
                <c:pt idx="0">
                  <c:v>Other Biologic/Targeted</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US'!$D$409:$AC$409</c:f>
              <c:numCache>
                <c:formatCode>"$"#,##0</c:formatCode>
                <c:ptCount val="15"/>
                <c:pt idx="0">
                  <c:v>2794423395.5487976</c:v>
                </c:pt>
                <c:pt idx="1">
                  <c:v>2947456217.0911736</c:v>
                </c:pt>
                <c:pt idx="2">
                  <c:v>3033667017.5265489</c:v>
                </c:pt>
                <c:pt idx="3">
                  <c:v>2437762432.8563528</c:v>
                </c:pt>
                <c:pt idx="4">
                  <c:v>2296262781.4221072</c:v>
                </c:pt>
                <c:pt idx="5">
                  <c:v>1973601380.1453452</c:v>
                </c:pt>
                <c:pt idx="6">
                  <c:v>1451762335.3949747</c:v>
                </c:pt>
                <c:pt idx="7">
                  <c:v>1056347293.0580167</c:v>
                </c:pt>
                <c:pt idx="8">
                  <c:v>901018872.90824819</c:v>
                </c:pt>
                <c:pt idx="9">
                  <c:v>856317029.82400787</c:v>
                </c:pt>
                <c:pt idx="10">
                  <c:v>716658758.76678002</c:v>
                </c:pt>
                <c:pt idx="11">
                  <c:v>722482369.49245274</c:v>
                </c:pt>
                <c:pt idx="12">
                  <c:v>691768195.37627685</c:v>
                </c:pt>
                <c:pt idx="13">
                  <c:v>682802476.12012899</c:v>
                </c:pt>
                <c:pt idx="14">
                  <c:v>698818008.70287859</c:v>
                </c:pt>
              </c:numCache>
            </c:numRef>
          </c:val>
        </c:ser>
        <c:ser>
          <c:idx val="1"/>
          <c:order val="1"/>
          <c:tx>
            <c:strRef>
              <c:f>'RA - US'!$C$408</c:f>
              <c:strCache>
                <c:ptCount val="1"/>
                <c:pt idx="0">
                  <c:v>Anti-TNF</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US'!$D$408:$AC$408</c:f>
              <c:numCache>
                <c:formatCode>"$"#,##0</c:formatCode>
                <c:ptCount val="15"/>
                <c:pt idx="0">
                  <c:v>10365298117.613768</c:v>
                </c:pt>
                <c:pt idx="1">
                  <c:v>11160204738.699213</c:v>
                </c:pt>
                <c:pt idx="2">
                  <c:v>12015817558.132048</c:v>
                </c:pt>
                <c:pt idx="3">
                  <c:v>12396341928.538145</c:v>
                </c:pt>
                <c:pt idx="4">
                  <c:v>12353714873.764784</c:v>
                </c:pt>
                <c:pt idx="5">
                  <c:v>12405667086.526382</c:v>
                </c:pt>
                <c:pt idx="6">
                  <c:v>12387693499.990273</c:v>
                </c:pt>
                <c:pt idx="7">
                  <c:v>11982316977.997637</c:v>
                </c:pt>
                <c:pt idx="8">
                  <c:v>12020939133.103535</c:v>
                </c:pt>
                <c:pt idx="9">
                  <c:v>11937975460.799282</c:v>
                </c:pt>
                <c:pt idx="10">
                  <c:v>11772539986.165205</c:v>
                </c:pt>
                <c:pt idx="11">
                  <c:v>11984135111.247698</c:v>
                </c:pt>
                <c:pt idx="12">
                  <c:v>12283181431.326317</c:v>
                </c:pt>
                <c:pt idx="13">
                  <c:v>12648035357.17902</c:v>
                </c:pt>
                <c:pt idx="14">
                  <c:v>12939344645.733795</c:v>
                </c:pt>
              </c:numCache>
            </c:numRef>
          </c:val>
        </c:ser>
        <c:ser>
          <c:idx val="0"/>
          <c:order val="2"/>
          <c:tx>
            <c:strRef>
              <c:f>'RA - US'!$C$407</c:f>
              <c:strCache>
                <c:ptCount val="1"/>
                <c:pt idx="0">
                  <c:v>JAK</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US'!$D$407:$AC$407</c:f>
              <c:numCache>
                <c:formatCode>"$"#,##0</c:formatCode>
                <c:ptCount val="15"/>
                <c:pt idx="0">
                  <c:v>525598841.36981034</c:v>
                </c:pt>
                <c:pt idx="1">
                  <c:v>726880085.08447838</c:v>
                </c:pt>
                <c:pt idx="2">
                  <c:v>1006536661.1108156</c:v>
                </c:pt>
                <c:pt idx="3">
                  <c:v>1684422706.0184329</c:v>
                </c:pt>
                <c:pt idx="4">
                  <c:v>2163532709.8890934</c:v>
                </c:pt>
                <c:pt idx="5">
                  <c:v>2679192119.1117139</c:v>
                </c:pt>
                <c:pt idx="6">
                  <c:v>3389644756.6623383</c:v>
                </c:pt>
                <c:pt idx="7">
                  <c:v>3966545292.2819018</c:v>
                </c:pt>
                <c:pt idx="8">
                  <c:v>4275489856.3084354</c:v>
                </c:pt>
                <c:pt idx="9">
                  <c:v>4387182104.6039219</c:v>
                </c:pt>
                <c:pt idx="10">
                  <c:v>4455672307.9389057</c:v>
                </c:pt>
                <c:pt idx="11">
                  <c:v>4425206251.8622274</c:v>
                </c:pt>
                <c:pt idx="12">
                  <c:v>4345386605.7040052</c:v>
                </c:pt>
                <c:pt idx="13">
                  <c:v>4168740821.778399</c:v>
                </c:pt>
                <c:pt idx="14">
                  <c:v>3353559206.2349443</c:v>
                </c:pt>
              </c:numCache>
            </c:numRef>
          </c:val>
        </c:ser>
        <c:dLbls>
          <c:showLegendKey val="0"/>
          <c:showVal val="0"/>
          <c:showCatName val="0"/>
          <c:showSerName val="0"/>
          <c:showPercent val="0"/>
          <c:showBubbleSize val="0"/>
        </c:dLbls>
        <c:gapWidth val="150"/>
        <c:overlap val="100"/>
        <c:axId val="669243264"/>
        <c:axId val="669246208"/>
      </c:barChart>
      <c:catAx>
        <c:axId val="669243264"/>
        <c:scaling>
          <c:orientation val="minMax"/>
        </c:scaling>
        <c:delete val="0"/>
        <c:axPos val="b"/>
        <c:numFmt formatCode="General" sourceLinked="1"/>
        <c:majorTickMark val="out"/>
        <c:minorTickMark val="none"/>
        <c:tickLblPos val="nextTo"/>
        <c:txPr>
          <a:bodyPr/>
          <a:lstStyle/>
          <a:p>
            <a:pPr>
              <a:defRPr b="1"/>
            </a:pPr>
            <a:endParaRPr lang="en-US"/>
          </a:p>
        </c:txPr>
        <c:crossAx val="669246208"/>
        <c:crosses val="autoZero"/>
        <c:auto val="1"/>
        <c:lblAlgn val="ctr"/>
        <c:lblOffset val="100"/>
        <c:noMultiLvlLbl val="0"/>
      </c:catAx>
      <c:valAx>
        <c:axId val="669246208"/>
        <c:scaling>
          <c:orientation val="minMax"/>
        </c:scaling>
        <c:delete val="0"/>
        <c:axPos val="l"/>
        <c:majorGridlines/>
        <c:numFmt formatCode="&quot;$&quot;#,##0" sourceLinked="1"/>
        <c:majorTickMark val="out"/>
        <c:minorTickMark val="none"/>
        <c:tickLblPos val="nextTo"/>
        <c:txPr>
          <a:bodyPr/>
          <a:lstStyle/>
          <a:p>
            <a:pPr>
              <a:defRPr b="1"/>
            </a:pPr>
            <a:endParaRPr lang="en-US"/>
          </a:p>
        </c:txPr>
        <c:crossAx val="669243264"/>
        <c:crosses val="autoZero"/>
        <c:crossBetween val="between"/>
      </c:valAx>
    </c:plotArea>
    <c:legend>
      <c:legendPos val="r"/>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2"/>
          <c:order val="0"/>
          <c:tx>
            <c:strRef>
              <c:f>'RA - US'!$C$416</c:f>
              <c:strCache>
                <c:ptCount val="1"/>
                <c:pt idx="0">
                  <c:v>Other Bio/Target % Share</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US'!$D$416:$AC$416</c:f>
              <c:numCache>
                <c:formatCode>0.0%</c:formatCode>
                <c:ptCount val="15"/>
                <c:pt idx="0">
                  <c:v>0.20419130302808922</c:v>
                </c:pt>
                <c:pt idx="1">
                  <c:v>0.19868873657565803</c:v>
                </c:pt>
                <c:pt idx="2">
                  <c:v>0.18894263857718618</c:v>
                </c:pt>
                <c:pt idx="3">
                  <c:v>0.14757747000732713</c:v>
                </c:pt>
                <c:pt idx="4">
                  <c:v>0.13657247841543943</c:v>
                </c:pt>
                <c:pt idx="5">
                  <c:v>0.11569633556442654</c:v>
                </c:pt>
                <c:pt idx="6">
                  <c:v>8.4262224115463288E-2</c:v>
                </c:pt>
                <c:pt idx="7">
                  <c:v>6.2119039999098423E-2</c:v>
                </c:pt>
                <c:pt idx="8">
                  <c:v>5.2392592210288927E-2</c:v>
                </c:pt>
                <c:pt idx="9">
                  <c:v>4.9839553938046829E-2</c:v>
                </c:pt>
                <c:pt idx="10">
                  <c:v>4.2293550451383333E-2</c:v>
                </c:pt>
                <c:pt idx="11">
                  <c:v>4.2171947410219207E-2</c:v>
                </c:pt>
                <c:pt idx="12">
                  <c:v>3.9939651638053568E-2</c:v>
                </c:pt>
                <c:pt idx="13">
                  <c:v>3.9018223785748811E-2</c:v>
                </c:pt>
                <c:pt idx="14">
                  <c:v>4.1126968439869287E-2</c:v>
                </c:pt>
              </c:numCache>
            </c:numRef>
          </c:val>
        </c:ser>
        <c:ser>
          <c:idx val="1"/>
          <c:order val="1"/>
          <c:tx>
            <c:strRef>
              <c:f>'RA - US'!$C$415</c:f>
              <c:strCache>
                <c:ptCount val="1"/>
                <c:pt idx="0">
                  <c:v>Anti-TNF % Share</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US'!$D$415:$AC$415</c:f>
              <c:numCache>
                <c:formatCode>0.0%</c:formatCode>
                <c:ptCount val="15"/>
                <c:pt idx="0">
                  <c:v>0.75740266570968029</c:v>
                </c:pt>
                <c:pt idx="1">
                  <c:v>0.75231210105850643</c:v>
                </c:pt>
                <c:pt idx="2">
                  <c:v>0.7483683149730137</c:v>
                </c:pt>
                <c:pt idx="3">
                  <c:v>0.75045080459946933</c:v>
                </c:pt>
                <c:pt idx="4">
                  <c:v>0.73474929420004875</c:v>
                </c:pt>
                <c:pt idx="5">
                  <c:v>0.72724423309717012</c:v>
                </c:pt>
                <c:pt idx="6">
                  <c:v>0.71899826887702112</c:v>
                </c:pt>
                <c:pt idx="7">
                  <c:v>0.70462624605526525</c:v>
                </c:pt>
                <c:pt idx="8">
                  <c:v>0.69899552708873358</c:v>
                </c:pt>
                <c:pt idx="9">
                  <c:v>0.6948166989180018</c:v>
                </c:pt>
                <c:pt idx="10">
                  <c:v>0.69475535986274961</c:v>
                </c:pt>
                <c:pt idx="11">
                  <c:v>0.69952477321147821</c:v>
                </c:pt>
                <c:pt idx="12">
                  <c:v>0.709176846598642</c:v>
                </c:pt>
                <c:pt idx="13">
                  <c:v>0.72276227939403326</c:v>
                </c:pt>
                <c:pt idx="14">
                  <c:v>0.76150873653850837</c:v>
                </c:pt>
              </c:numCache>
            </c:numRef>
          </c:val>
        </c:ser>
        <c:ser>
          <c:idx val="0"/>
          <c:order val="2"/>
          <c:tx>
            <c:strRef>
              <c:f>'RA - US'!$C$414</c:f>
              <c:strCache>
                <c:ptCount val="1"/>
                <c:pt idx="0">
                  <c:v>JAK % Share</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US'!$D$414:$AC$414</c:f>
              <c:numCache>
                <c:formatCode>0.0%</c:formatCode>
                <c:ptCount val="15"/>
                <c:pt idx="0">
                  <c:v>3.8406031262230543E-2</c:v>
                </c:pt>
                <c:pt idx="1">
                  <c:v>4.8999162365835534E-2</c:v>
                </c:pt>
                <c:pt idx="2">
                  <c:v>6.2689046449800168E-2</c:v>
                </c:pt>
                <c:pt idx="3">
                  <c:v>0.10197172539320365</c:v>
                </c:pt>
                <c:pt idx="4">
                  <c:v>0.12867822738451179</c:v>
                </c:pt>
                <c:pt idx="5">
                  <c:v>0.15705943133840333</c:v>
                </c:pt>
                <c:pt idx="6">
                  <c:v>0.19673950700751569</c:v>
                </c:pt>
                <c:pt idx="7">
                  <c:v>0.2332547139456364</c:v>
                </c:pt>
                <c:pt idx="8">
                  <c:v>0.24861188070097756</c:v>
                </c:pt>
                <c:pt idx="9">
                  <c:v>0.25534374714395142</c:v>
                </c:pt>
                <c:pt idx="10">
                  <c:v>0.262951089685867</c:v>
                </c:pt>
                <c:pt idx="11">
                  <c:v>0.25830327937830266</c:v>
                </c:pt>
                <c:pt idx="12">
                  <c:v>0.25088350176330432</c:v>
                </c:pt>
                <c:pt idx="13">
                  <c:v>0.2382194968202179</c:v>
                </c:pt>
                <c:pt idx="14">
                  <c:v>0.19736429502162242</c:v>
                </c:pt>
              </c:numCache>
            </c:numRef>
          </c:val>
        </c:ser>
        <c:dLbls>
          <c:showLegendKey val="0"/>
          <c:showVal val="0"/>
          <c:showCatName val="0"/>
          <c:showSerName val="0"/>
          <c:showPercent val="0"/>
          <c:showBubbleSize val="0"/>
        </c:dLbls>
        <c:gapWidth val="150"/>
        <c:overlap val="100"/>
        <c:axId val="669523968"/>
        <c:axId val="669526272"/>
      </c:barChart>
      <c:catAx>
        <c:axId val="669523968"/>
        <c:scaling>
          <c:orientation val="minMax"/>
        </c:scaling>
        <c:delete val="0"/>
        <c:axPos val="b"/>
        <c:majorTickMark val="out"/>
        <c:minorTickMark val="none"/>
        <c:tickLblPos val="nextTo"/>
        <c:txPr>
          <a:bodyPr/>
          <a:lstStyle/>
          <a:p>
            <a:pPr>
              <a:defRPr b="1"/>
            </a:pPr>
            <a:endParaRPr lang="en-US"/>
          </a:p>
        </c:txPr>
        <c:crossAx val="669526272"/>
        <c:crosses val="autoZero"/>
        <c:auto val="1"/>
        <c:lblAlgn val="ctr"/>
        <c:lblOffset val="100"/>
        <c:noMultiLvlLbl val="0"/>
      </c:catAx>
      <c:valAx>
        <c:axId val="669526272"/>
        <c:scaling>
          <c:orientation val="minMax"/>
          <c:max val="1"/>
        </c:scaling>
        <c:delete val="0"/>
        <c:axPos val="l"/>
        <c:majorGridlines/>
        <c:numFmt formatCode="0.0%" sourceLinked="1"/>
        <c:majorTickMark val="out"/>
        <c:minorTickMark val="none"/>
        <c:tickLblPos val="nextTo"/>
        <c:txPr>
          <a:bodyPr/>
          <a:lstStyle/>
          <a:p>
            <a:pPr>
              <a:defRPr b="1"/>
            </a:pPr>
            <a:endParaRPr lang="en-US"/>
          </a:p>
        </c:txPr>
        <c:crossAx val="669523968"/>
        <c:crosses val="autoZero"/>
        <c:crossBetween val="between"/>
      </c:valAx>
    </c:plotArea>
    <c:legend>
      <c:legendPos val="r"/>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2"/>
          <c:order val="0"/>
          <c:tx>
            <c:strRef>
              <c:f>'RA - US'!$C$425</c:f>
              <c:strCache>
                <c:ptCount val="1"/>
                <c:pt idx="0">
                  <c:v>Other Biologic/Targeted</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US'!$D$425:$AC$425</c:f>
              <c:numCache>
                <c:formatCode>#,##0</c:formatCode>
                <c:ptCount val="15"/>
                <c:pt idx="0">
                  <c:v>61468.586162838423</c:v>
                </c:pt>
                <c:pt idx="1">
                  <c:v>62341.182913570345</c:v>
                </c:pt>
                <c:pt idx="2">
                  <c:v>61696.744226506285</c:v>
                </c:pt>
                <c:pt idx="3">
                  <c:v>48115.208689708918</c:v>
                </c:pt>
                <c:pt idx="4">
                  <c:v>43981.33398459178</c:v>
                </c:pt>
                <c:pt idx="5">
                  <c:v>36679.31964977795</c:v>
                </c:pt>
                <c:pt idx="6">
                  <c:v>26322.885264920191</c:v>
                </c:pt>
                <c:pt idx="7">
                  <c:v>18686.192748679514</c:v>
                </c:pt>
                <c:pt idx="8">
                  <c:v>15549.775491548888</c:v>
                </c:pt>
                <c:pt idx="9">
                  <c:v>14417.864869534078</c:v>
                </c:pt>
                <c:pt idx="10">
                  <c:v>11772.126422863252</c:v>
                </c:pt>
                <c:pt idx="11">
                  <c:v>11578.329176943358</c:v>
                </c:pt>
                <c:pt idx="12">
                  <c:v>10815.718233064172</c:v>
                </c:pt>
                <c:pt idx="13">
                  <c:v>10415.161187278833</c:v>
                </c:pt>
                <c:pt idx="14">
                  <c:v>10399.468197126405</c:v>
                </c:pt>
              </c:numCache>
            </c:numRef>
          </c:val>
        </c:ser>
        <c:ser>
          <c:idx val="1"/>
          <c:order val="1"/>
          <c:tx>
            <c:strRef>
              <c:f>'RA - US'!$C$424</c:f>
              <c:strCache>
                <c:ptCount val="1"/>
                <c:pt idx="0">
                  <c:v>Anti-TNF</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US'!$D$424:$AC$424</c:f>
              <c:numCache>
                <c:formatCode>#,##0</c:formatCode>
                <c:ptCount val="15"/>
                <c:pt idx="0">
                  <c:v>285005.22749207466</c:v>
                </c:pt>
                <c:pt idx="1">
                  <c:v>295059.66913681757</c:v>
                </c:pt>
                <c:pt idx="2">
                  <c:v>305462.34073873132</c:v>
                </c:pt>
                <c:pt idx="3">
                  <c:v>315647.64786356757</c:v>
                </c:pt>
                <c:pt idx="4">
                  <c:v>323692.09896113462</c:v>
                </c:pt>
                <c:pt idx="5">
                  <c:v>335023.30360959645</c:v>
                </c:pt>
                <c:pt idx="6">
                  <c:v>342567.77510625595</c:v>
                </c:pt>
                <c:pt idx="7">
                  <c:v>349122.47525720933</c:v>
                </c:pt>
                <c:pt idx="8">
                  <c:v>360772.80032450263</c:v>
                </c:pt>
                <c:pt idx="9">
                  <c:v>370194.01255289867</c:v>
                </c:pt>
                <c:pt idx="10">
                  <c:v>378530.23720435466</c:v>
                </c:pt>
                <c:pt idx="11">
                  <c:v>383172.05702112545</c:v>
                </c:pt>
                <c:pt idx="12">
                  <c:v>388022.68430703337</c:v>
                </c:pt>
                <c:pt idx="13">
                  <c:v>392468.01931863959</c:v>
                </c:pt>
                <c:pt idx="14">
                  <c:v>394290.32316723478</c:v>
                </c:pt>
              </c:numCache>
            </c:numRef>
          </c:val>
        </c:ser>
        <c:ser>
          <c:idx val="0"/>
          <c:order val="2"/>
          <c:tx>
            <c:strRef>
              <c:f>'RA - US'!$C$423</c:f>
              <c:strCache>
                <c:ptCount val="1"/>
                <c:pt idx="0">
                  <c:v>JAK</c:v>
                </c:pt>
              </c:strCache>
            </c:strRef>
          </c:tx>
          <c:invertIfNegative val="0"/>
          <c:cat>
            <c:strRef>
              <c:f>'RA - US'!$O$2:$AD$2</c:f>
              <c:strCache>
                <c:ptCount val="16"/>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CAGR 2016-25</c:v>
                </c:pt>
              </c:strCache>
            </c:strRef>
          </c:cat>
          <c:val>
            <c:numRef>
              <c:f>'RA - US'!$D$423:$AC$423</c:f>
              <c:numCache>
                <c:formatCode>#,##0</c:formatCode>
                <c:ptCount val="15"/>
                <c:pt idx="0">
                  <c:v>15357.07143770702</c:v>
                </c:pt>
                <c:pt idx="1">
                  <c:v>20421.302395167164</c:v>
                </c:pt>
                <c:pt idx="2">
                  <c:v>27190.483142834735</c:v>
                </c:pt>
                <c:pt idx="3">
                  <c:v>45105.898701547449</c:v>
                </c:pt>
                <c:pt idx="4">
                  <c:v>58612.38958745281</c:v>
                </c:pt>
                <c:pt idx="5">
                  <c:v>72312.898268865276</c:v>
                </c:pt>
                <c:pt idx="6">
                  <c:v>91173.004194493362</c:v>
                </c:pt>
                <c:pt idx="7">
                  <c:v>105643.04900881092</c:v>
                </c:pt>
                <c:pt idx="8">
                  <c:v>111638.55795580317</c:v>
                </c:pt>
                <c:pt idx="9">
                  <c:v>117294.81657149707</c:v>
                </c:pt>
                <c:pt idx="10">
                  <c:v>122112.30839497237</c:v>
                </c:pt>
                <c:pt idx="11">
                  <c:v>125174.12166030485</c:v>
                </c:pt>
                <c:pt idx="12">
                  <c:v>127153.9794335037</c:v>
                </c:pt>
                <c:pt idx="13">
                  <c:v>129835.55034238832</c:v>
                </c:pt>
                <c:pt idx="14">
                  <c:v>131375.82652731761</c:v>
                </c:pt>
              </c:numCache>
            </c:numRef>
          </c:val>
        </c:ser>
        <c:dLbls>
          <c:showLegendKey val="0"/>
          <c:showVal val="0"/>
          <c:showCatName val="0"/>
          <c:showSerName val="0"/>
          <c:showPercent val="0"/>
          <c:showBubbleSize val="0"/>
        </c:dLbls>
        <c:gapWidth val="150"/>
        <c:overlap val="100"/>
        <c:axId val="669547904"/>
        <c:axId val="669550464"/>
      </c:barChart>
      <c:catAx>
        <c:axId val="669547904"/>
        <c:scaling>
          <c:orientation val="minMax"/>
        </c:scaling>
        <c:delete val="0"/>
        <c:axPos val="b"/>
        <c:majorTickMark val="out"/>
        <c:minorTickMark val="none"/>
        <c:tickLblPos val="nextTo"/>
        <c:txPr>
          <a:bodyPr/>
          <a:lstStyle/>
          <a:p>
            <a:pPr>
              <a:defRPr b="1"/>
            </a:pPr>
            <a:endParaRPr lang="en-US"/>
          </a:p>
        </c:txPr>
        <c:crossAx val="669550464"/>
        <c:crosses val="autoZero"/>
        <c:auto val="1"/>
        <c:lblAlgn val="ctr"/>
        <c:lblOffset val="100"/>
        <c:noMultiLvlLbl val="0"/>
      </c:catAx>
      <c:valAx>
        <c:axId val="669550464"/>
        <c:scaling>
          <c:orientation val="minMax"/>
        </c:scaling>
        <c:delete val="0"/>
        <c:axPos val="l"/>
        <c:majorGridlines/>
        <c:numFmt formatCode="#,##0" sourceLinked="1"/>
        <c:majorTickMark val="out"/>
        <c:minorTickMark val="none"/>
        <c:tickLblPos val="nextTo"/>
        <c:txPr>
          <a:bodyPr/>
          <a:lstStyle/>
          <a:p>
            <a:pPr>
              <a:defRPr b="1"/>
            </a:pPr>
            <a:endParaRPr lang="en-US"/>
          </a:p>
        </c:txPr>
        <c:crossAx val="669547904"/>
        <c:crosses val="autoZero"/>
        <c:crossBetween val="between"/>
      </c:valAx>
    </c:plotArea>
    <c:legend>
      <c:legendPos val="r"/>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2"/>
          <c:order val="0"/>
          <c:tx>
            <c:strRef>
              <c:f>'RA - US'!$C$431</c:f>
              <c:strCache>
                <c:ptCount val="1"/>
                <c:pt idx="0">
                  <c:v>Other Bio/Target % Share</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US'!$D$431:$AC$431</c:f>
              <c:numCache>
                <c:formatCode>0%</c:formatCode>
                <c:ptCount val="15"/>
                <c:pt idx="0">
                  <c:v>0.16988208772477764</c:v>
                </c:pt>
                <c:pt idx="1">
                  <c:v>0.16500139597439575</c:v>
                </c:pt>
                <c:pt idx="2">
                  <c:v>0.15645191275979325</c:v>
                </c:pt>
                <c:pt idx="3">
                  <c:v>0.11767885922151602</c:v>
                </c:pt>
                <c:pt idx="4">
                  <c:v>0.10317334440830148</c:v>
                </c:pt>
                <c:pt idx="5">
                  <c:v>8.2608192442311087E-2</c:v>
                </c:pt>
                <c:pt idx="6">
                  <c:v>5.7215744889939815E-2</c:v>
                </c:pt>
                <c:pt idx="7">
                  <c:v>3.9468000805875932E-2</c:v>
                </c:pt>
                <c:pt idx="8">
                  <c:v>3.1866832039166376E-2</c:v>
                </c:pt>
                <c:pt idx="9">
                  <c:v>2.8726185647781878E-2</c:v>
                </c:pt>
                <c:pt idx="10">
                  <c:v>2.2973827771960158E-2</c:v>
                </c:pt>
                <c:pt idx="11">
                  <c:v>2.226925063531968E-2</c:v>
                </c:pt>
                <c:pt idx="12">
                  <c:v>2.0562499769449124E-2</c:v>
                </c:pt>
                <c:pt idx="13">
                  <c:v>1.9550957351722218E-2</c:v>
                </c:pt>
                <c:pt idx="14">
                  <c:v>1.9399617975924349E-2</c:v>
                </c:pt>
              </c:numCache>
            </c:numRef>
          </c:val>
        </c:ser>
        <c:ser>
          <c:idx val="1"/>
          <c:order val="1"/>
          <c:tx>
            <c:strRef>
              <c:f>'RA - US'!$C$430</c:f>
              <c:strCache>
                <c:ptCount val="1"/>
                <c:pt idx="0">
                  <c:v>Anti-TNF % Share</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US'!$D$430:$AC$430</c:f>
              <c:numCache>
                <c:formatCode>0%</c:formatCode>
                <c:ptCount val="15"/>
                <c:pt idx="0">
                  <c:v>0.78767523512847748</c:v>
                </c:pt>
                <c:pt idx="1">
                  <c:v>0.78094856446364436</c:v>
                </c:pt>
                <c:pt idx="2">
                  <c:v>0.77459788330494306</c:v>
                </c:pt>
                <c:pt idx="3">
                  <c:v>0.7720023694812358</c:v>
                </c:pt>
                <c:pt idx="4">
                  <c:v>0.75933113852488165</c:v>
                </c:pt>
                <c:pt idx="5">
                  <c:v>0.75453061293103629</c:v>
                </c:pt>
                <c:pt idx="6">
                  <c:v>0.74460949970839918</c:v>
                </c:pt>
                <c:pt idx="7">
                  <c:v>0.73739826620244309</c:v>
                </c:pt>
                <c:pt idx="8">
                  <c:v>0.7393474097737901</c:v>
                </c:pt>
                <c:pt idx="9">
                  <c:v>0.73757536407230284</c:v>
                </c:pt>
                <c:pt idx="10">
                  <c:v>0.73871857671546592</c:v>
                </c:pt>
                <c:pt idx="11">
                  <c:v>0.73697633258230777</c:v>
                </c:pt>
                <c:pt idx="12">
                  <c:v>0.73769639562290767</c:v>
                </c:pt>
                <c:pt idx="13">
                  <c:v>0.73672652488428458</c:v>
                </c:pt>
                <c:pt idx="14">
                  <c:v>0.73552623038567611</c:v>
                </c:pt>
              </c:numCache>
            </c:numRef>
          </c:val>
        </c:ser>
        <c:ser>
          <c:idx val="0"/>
          <c:order val="2"/>
          <c:tx>
            <c:strRef>
              <c:f>'RA - US'!$C$429</c:f>
              <c:strCache>
                <c:ptCount val="1"/>
                <c:pt idx="0">
                  <c:v>JAK % Share</c:v>
                </c:pt>
              </c:strCache>
            </c:strRef>
          </c:tx>
          <c:invertIfNegative val="0"/>
          <c:cat>
            <c:numRef>
              <c:f>'RA - US'!$O$2:$AC$2</c:f>
              <c:numCache>
                <c:formatCode>General</c:formatCode>
                <c:ptCount val="1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numCache>
            </c:numRef>
          </c:cat>
          <c:val>
            <c:numRef>
              <c:f>'RA - US'!$D$429:$AC$429</c:f>
              <c:numCache>
                <c:formatCode>0%</c:formatCode>
                <c:ptCount val="15"/>
                <c:pt idx="0">
                  <c:v>4.2442677146744878E-2</c:v>
                </c:pt>
                <c:pt idx="1">
                  <c:v>5.4050039561959869E-2</c:v>
                </c:pt>
                <c:pt idx="2">
                  <c:v>6.895020393526366E-2</c:v>
                </c:pt>
                <c:pt idx="3">
                  <c:v>0.11031877129724814</c:v>
                </c:pt>
                <c:pt idx="4">
                  <c:v>0.13749551706681687</c:v>
                </c:pt>
                <c:pt idx="5">
                  <c:v>0.16286119462665252</c:v>
                </c:pt>
                <c:pt idx="6">
                  <c:v>0.19817475540166099</c:v>
                </c:pt>
                <c:pt idx="7">
                  <c:v>0.22313373299168099</c:v>
                </c:pt>
                <c:pt idx="8">
                  <c:v>0.22878575818704358</c:v>
                </c:pt>
                <c:pt idx="9">
                  <c:v>0.23369845027991529</c:v>
                </c:pt>
                <c:pt idx="10">
                  <c:v>0.23830759551257394</c:v>
                </c:pt>
                <c:pt idx="11">
                  <c:v>0.24075441678237261</c:v>
                </c:pt>
                <c:pt idx="12">
                  <c:v>0.24174110460764306</c:v>
                </c:pt>
                <c:pt idx="13">
                  <c:v>0.24372251776399312</c:v>
                </c:pt>
                <c:pt idx="14">
                  <c:v>0.24507415163839949</c:v>
                </c:pt>
              </c:numCache>
            </c:numRef>
          </c:val>
        </c:ser>
        <c:dLbls>
          <c:showLegendKey val="0"/>
          <c:showVal val="0"/>
          <c:showCatName val="0"/>
          <c:showSerName val="0"/>
          <c:showPercent val="0"/>
          <c:showBubbleSize val="0"/>
        </c:dLbls>
        <c:gapWidth val="150"/>
        <c:overlap val="100"/>
        <c:axId val="669565312"/>
        <c:axId val="669567616"/>
      </c:barChart>
      <c:catAx>
        <c:axId val="669565312"/>
        <c:scaling>
          <c:orientation val="minMax"/>
        </c:scaling>
        <c:delete val="0"/>
        <c:axPos val="b"/>
        <c:numFmt formatCode="General" sourceLinked="1"/>
        <c:majorTickMark val="out"/>
        <c:minorTickMark val="none"/>
        <c:tickLblPos val="nextTo"/>
        <c:txPr>
          <a:bodyPr/>
          <a:lstStyle/>
          <a:p>
            <a:pPr>
              <a:defRPr b="1"/>
            </a:pPr>
            <a:endParaRPr lang="en-US"/>
          </a:p>
        </c:txPr>
        <c:crossAx val="669567616"/>
        <c:crosses val="autoZero"/>
        <c:auto val="1"/>
        <c:lblAlgn val="ctr"/>
        <c:lblOffset val="100"/>
        <c:noMultiLvlLbl val="0"/>
      </c:catAx>
      <c:valAx>
        <c:axId val="669567616"/>
        <c:scaling>
          <c:orientation val="minMax"/>
          <c:max val="1"/>
        </c:scaling>
        <c:delete val="0"/>
        <c:axPos val="l"/>
        <c:majorGridlines/>
        <c:numFmt formatCode="0%" sourceLinked="1"/>
        <c:majorTickMark val="out"/>
        <c:minorTickMark val="none"/>
        <c:tickLblPos val="nextTo"/>
        <c:txPr>
          <a:bodyPr/>
          <a:lstStyle/>
          <a:p>
            <a:pPr>
              <a:defRPr b="1"/>
            </a:pPr>
            <a:endParaRPr lang="en-US"/>
          </a:p>
        </c:txPr>
        <c:crossAx val="669565312"/>
        <c:crosses val="autoZero"/>
        <c:crossBetween val="between"/>
      </c:valAx>
    </c:plotArea>
    <c:legend>
      <c:legendPos val="r"/>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6.xml" Type="http://schemas.openxmlformats.org/officeDocument/2006/relationships/chart"/>
</Relationships>

</file>

<file path=xl/drawings/_rels/drawing5.xml.rels><?xml version="1.0" encoding="UTF-8" standalone="yes"?>
<Relationships xmlns="http://schemas.openxmlformats.org/package/2006/relationships">
<Relationship Id="rId1" Target="../charts/chart7.xml" Type="http://schemas.openxmlformats.org/officeDocument/2006/relationships/chart"/>
<Relationship Id="rId2" Target="../charts/chart8.xml" Type="http://schemas.openxmlformats.org/officeDocument/2006/relationships/chart"/>
</Relationships>

</file>

<file path=xl/drawings/_rels/drawing6.xml.rels><?xml version="1.0" encoding="UTF-8" standalone="yes"?>
<Relationships xmlns="http://schemas.openxmlformats.org/package/2006/relationships">
<Relationship Id="rId1" Target="../charts/chart9.xml" Type="http://schemas.openxmlformats.org/officeDocument/2006/relationships/chart"/>
<Relationship Id="rId2" Target="../charts/chart10.xml" Type="http://schemas.openxmlformats.org/officeDocument/2006/relationships/chart"/>
<Relationship Id="rId3" Target="../charts/chart11.xml" Type="http://schemas.openxmlformats.org/officeDocument/2006/relationships/chart"/>
<Relationship Id="rId4" Target="../charts/chart12.xml" Type="http://schemas.openxmlformats.org/officeDocument/2006/relationships/chart"/>
<Relationship Id="rId5" Target="../charts/chart13.xml" Type="http://schemas.openxmlformats.org/officeDocument/2006/relationships/chart"/>
<Relationship Id="rId6" Target="../charts/chart14.xml" Type="http://schemas.openxmlformats.org/officeDocument/2006/relationships/chart"/>
<Relationship Id="rId7" Target="../charts/chart15.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2304001" name="Picture 1" descr="C:\Users\smithtj\AppData\Local\Temp\MercuryPriceRatingHistoryChart\INCY.O_2018_04_12_18_34_5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38</xdr:row>
      <xdr:rowOff>47623</xdr:rowOff>
    </xdr:from>
    <xdr:to>
      <xdr:col>9</xdr:col>
      <xdr:colOff>857250</xdr:colOff>
      <xdr:row>56</xdr:row>
      <xdr:rowOff>123825</xdr:rowOff>
    </xdr:to>
    <xdr:graphicFrame macro="">
      <xdr:nvGraphicFramePr>
        <xdr:cNvPr id="19138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142875</xdr:colOff>
      <xdr:row>61</xdr:row>
      <xdr:rowOff>171450</xdr:rowOff>
    </xdr:from>
    <xdr:to>
      <xdr:col>9</xdr:col>
      <xdr:colOff>895350</xdr:colOff>
      <xdr:row>76</xdr:row>
      <xdr:rowOff>171450</xdr:rowOff>
    </xdr:to>
    <xdr:graphicFrame macro="">
      <xdr:nvGraphicFramePr>
        <xdr:cNvPr id="19138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571499</xdr:colOff>
      <xdr:row>18</xdr:row>
      <xdr:rowOff>47625</xdr:rowOff>
    </xdr:from>
    <xdr:to>
      <xdr:col>38</xdr:col>
      <xdr:colOff>152399</xdr:colOff>
      <xdr:row>46</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495299</xdr:colOff>
      <xdr:row>49</xdr:row>
      <xdr:rowOff>0</xdr:rowOff>
    </xdr:from>
    <xdr:to>
      <xdr:col>33</xdr:col>
      <xdr:colOff>523874</xdr:colOff>
      <xdr:row>74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56030</xdr:colOff>
      <xdr:row>59</xdr:row>
      <xdr:rowOff>33618</xdr:rowOff>
    </xdr:from>
    <xdr:to>
      <xdr:col>29</xdr:col>
      <xdr:colOff>560294</xdr:colOff>
      <xdr:row>64</xdr:row>
      <xdr:rowOff>168089</xdr:rowOff>
    </xdr:to>
    <xdr:sp macro="" textlink="">
      <xdr:nvSpPr>
        <xdr:cNvPr id="8" name="TextBox 7"/>
        <xdr:cNvSpPr txBox="1"/>
      </xdr:nvSpPr>
      <xdr:spPr>
        <a:xfrm>
          <a:off x="15822706" y="9726706"/>
          <a:ext cx="2308412"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INCY Shares 3/22</a:t>
          </a:r>
        </a:p>
        <a:p>
          <a:pPr algn="ctr"/>
          <a:r>
            <a:rPr lang="en-US" sz="1600" b="1"/>
            <a:t>Closing Price</a:t>
          </a:r>
          <a:r>
            <a:rPr lang="en-US" sz="1600" b="1" baseline="0"/>
            <a:t> $69.11</a:t>
          </a:r>
          <a:endParaRPr lang="en-US" sz="1600" b="1"/>
        </a:p>
      </xdr:txBody>
    </xdr:sp>
    <xdr:clientData/>
  </xdr:twoCellAnchor>
  <xdr:twoCellAnchor>
    <xdr:from>
      <xdr:col>27</xdr:col>
      <xdr:colOff>313765</xdr:colOff>
      <xdr:row>55</xdr:row>
      <xdr:rowOff>56030</xdr:rowOff>
    </xdr:from>
    <xdr:to>
      <xdr:col>27</xdr:col>
      <xdr:colOff>324971</xdr:colOff>
      <xdr:row>58</xdr:row>
      <xdr:rowOff>168089</xdr:rowOff>
    </xdr:to>
    <xdr:cxnSp macro="">
      <xdr:nvCxnSpPr>
        <xdr:cNvPr id="10" name="Straight Arrow Connector 9"/>
        <xdr:cNvCxnSpPr/>
      </xdr:nvCxnSpPr>
      <xdr:spPr>
        <a:xfrm flipH="1" flipV="1">
          <a:off x="16954500" y="8987118"/>
          <a:ext cx="11206" cy="683559"/>
        </a:xfrm>
        <a:prstGeom prst="straightConnector1">
          <a:avLst/>
        </a:prstGeom>
        <a:ln w="190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1638300</xdr:colOff>
      <xdr:row>89</xdr:row>
      <xdr:rowOff>180975</xdr:rowOff>
    </xdr:from>
    <xdr:to>
      <xdr:col>9</xdr:col>
      <xdr:colOff>400050</xdr:colOff>
      <xdr:row>104</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0.05197</cdr:x>
      <cdr:y>0.24265</cdr:y>
    </cdr:from>
    <cdr:to>
      <cdr:x>0.98695</cdr:x>
      <cdr:y>0.2451</cdr:y>
    </cdr:to>
    <cdr:cxnSp macro="">
      <cdr:nvCxnSpPr>
        <cdr:cNvPr id="3" name="Straight Connector 2"/>
        <cdr:cNvCxnSpPr/>
      </cdr:nvCxnSpPr>
      <cdr:spPr>
        <a:xfrm xmlns:a="http://schemas.openxmlformats.org/drawingml/2006/main" flipV="1">
          <a:off x="524436" y="1109382"/>
          <a:ext cx="9435353" cy="11206"/>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3</xdr:col>
      <xdr:colOff>515470</xdr:colOff>
      <xdr:row>28</xdr:row>
      <xdr:rowOff>40341</xdr:rowOff>
    </xdr:from>
    <xdr:to>
      <xdr:col>20</xdr:col>
      <xdr:colOff>313765</xdr:colOff>
      <xdr:row>58</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0</xdr:colOff>
      <xdr:row>97</xdr:row>
      <xdr:rowOff>0</xdr:rowOff>
    </xdr:from>
    <xdr:to>
      <xdr:col>16</xdr:col>
      <xdr:colOff>0</xdr:colOff>
      <xdr:row>97</xdr:row>
      <xdr:rowOff>0</xdr:rowOff>
    </xdr:to>
    <xdr:graphicFrame macro="">
      <xdr:nvGraphicFramePr>
        <xdr:cNvPr id="1889333" name="Chart 1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97</xdr:row>
      <xdr:rowOff>0</xdr:rowOff>
    </xdr:from>
    <xdr:to>
      <xdr:col>16</xdr:col>
      <xdr:colOff>0</xdr:colOff>
      <xdr:row>97</xdr:row>
      <xdr:rowOff>0</xdr:rowOff>
    </xdr:to>
    <xdr:graphicFrame macro="">
      <xdr:nvGraphicFramePr>
        <xdr:cNvPr id="1889334" name="Chart 1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29</xdr:col>
      <xdr:colOff>219075</xdr:colOff>
      <xdr:row>344</xdr:row>
      <xdr:rowOff>0</xdr:rowOff>
    </xdr:from>
    <xdr:to>
      <xdr:col>33</xdr:col>
      <xdr:colOff>590550</xdr:colOff>
      <xdr:row>362</xdr:row>
      <xdr:rowOff>76200</xdr:rowOff>
    </xdr:to>
    <xdr:graphicFrame macro="">
      <xdr:nvGraphicFramePr>
        <xdr:cNvPr id="187802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323849</xdr:colOff>
      <xdr:row>38</xdr:row>
      <xdr:rowOff>47624</xdr:rowOff>
    </xdr:from>
    <xdr:to>
      <xdr:col>39</xdr:col>
      <xdr:colOff>19050</xdr:colOff>
      <xdr:row>66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428623</xdr:colOff>
      <xdr:row>70</xdr:row>
      <xdr:rowOff>28574</xdr:rowOff>
    </xdr:from>
    <xdr:to>
      <xdr:col>39</xdr:col>
      <xdr:colOff>219074</xdr:colOff>
      <xdr:row>97</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57150</xdr:colOff>
      <xdr:row>390</xdr:row>
      <xdr:rowOff>14286</xdr:rowOff>
    </xdr:from>
    <xdr:to>
      <xdr:col>38</xdr:col>
      <xdr:colOff>152400</xdr:colOff>
      <xdr:row>414</xdr:row>
      <xdr:rowOff>133349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28575</xdr:colOff>
      <xdr:row>416</xdr:row>
      <xdr:rowOff>52386</xdr:rowOff>
    </xdr:from>
    <xdr:to>
      <xdr:col>38</xdr:col>
      <xdr:colOff>161925</xdr:colOff>
      <xdr:row>438</xdr:row>
      <xdr:rowOff>57149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28574</xdr:colOff>
      <xdr:row>439</xdr:row>
      <xdr:rowOff>128587</xdr:rowOff>
    </xdr:from>
    <xdr:to>
      <xdr:col>38</xdr:col>
      <xdr:colOff>180975</xdr:colOff>
      <xdr:row>461</xdr:row>
      <xdr:rowOff>19051</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809624</xdr:colOff>
      <xdr:row>463</xdr:row>
      <xdr:rowOff>52386</xdr:rowOff>
    </xdr:from>
    <xdr:to>
      <xdr:col>38</xdr:col>
      <xdr:colOff>190500</xdr:colOff>
      <xdr:row>485</xdr:row>
      <xdr:rowOff>57149</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
<Relationship Id="rId1" Target="/NA/NY/LIB/ER/HEALTH/RubinJ/Company/Pfe/PFEwork.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HarrS/Companies/SCIO/Models/SCIO_021303.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EALTH/Sapna/Companies/LXRX/Models/LXRX03062008.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HEALTH/Sapna/Companies/INCY/Models/INCY03102008_NewNPV.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HarrS/Companies/GENZ/Models/DNA_041206.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HarrS/Companies/AMGN/Models/AMGN_051506.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HEALTH/Pharma/Risinger/models/PFE/PFE_Charts.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HEALTH/Pharma/Risinger/models/LLY/LLY_Charts.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HEALTH/Pharma/Risinger/models/WYE/WYE_Charts.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HEALTH/Sapna/Companies/ALNY/Models/ALNY03112008_New%20NPV.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HEALTH/Pharma/Risinger/models/BMY/BMY_Charts.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health/Witzke/Models/Models_Robin/HGSI_Robin.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HEALTH/HarrS/Companies/OSIP/Models/OSIP022404.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HEALTH/HarrS/Companies/MDCO/Models/MDCO_042004.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Models/GENZ/RenagelJV.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ALXN.xls" TargetMode="External" Type="http://schemas.microsoft.com/office/2006/relationships/xlExternalLinkPath/xlPathMissing"/>
</Relationships>

</file>

<file path=xl/externalLinks/_rels/externalLink21.xml.rels><?xml version="1.0" encoding="UTF-8" standalone="yes"?>
<Relationships xmlns="http://schemas.openxmlformats.org/package/2006/relationships">
<Relationship Id="rId1" Target="BR_Current.xls" TargetMode="External" Type="http://schemas.microsoft.com/office/2006/relationships/xlExternalLinkPath/xlPathMissing"/>
</Relationships>

</file>

<file path=xl/externalLinks/_rels/externalLink22.xml.rels><?xml version="1.0" encoding="UTF-8" standalone="yes"?>
<Relationships xmlns="http://schemas.openxmlformats.org/package/2006/relationships">
<Relationship Id="rId1" Target="health/GOODMAN/MarketModels/Androgen.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health/GOODMAN/MODELS/AZA.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health/RubinJ/Company/PFE/PFEwork1.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health/HarrS/Companies/MDCO/MDCO_061202.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HEALTH/HarrS/Companies/DNA/Models/DNA_070804.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file:///Q:/Fidelity/Inbox/MLNM.O.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HEALTH/HarrS/Companies/AMGN/Models/AMGN.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ATK050504.xls" TargetMode="External" Type="http://schemas.microsoft.com/office/2006/relationships/xlExternalLinkPath/xlPathMissing"/>
</Relationships>

</file>

<file path=xl/externalLinks/_rels/externalLink30.xml.rels><?xml version="1.0" encoding="UTF-8" standalone="yes"?>
<Relationships xmlns="http://schemas.openxmlformats.org/package/2006/relationships">
<Relationship Id="rId1" Target="health/LIND/COMPANY/BGEN/BGEN.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aablankaa.xls" TargetMode="External" Type="http://schemas.microsoft.com/office/2006/relationships/xlExternalLinkPath/xlPathMissing"/>
</Relationships>

</file>

<file path=xl/externalLinks/_rels/externalLink32.xml.rels><?xml version="1.0" encoding="UTF-8" standalone="yes"?>
<Relationships xmlns="http://schemas.openxmlformats.org/package/2006/relationships">
<Relationship Id="rId1" Target="JH-RES.xls" TargetMode="External" Type="http://schemas.microsoft.com/office/2006/relationships/xlExternalLinkPath/xlPathMissing"/>
</Relationships>

</file>

<file path=xl/externalLinks/_rels/externalLink33.xml.rels><?xml version="1.0" encoding="UTF-8" standalone="yes"?>
<Relationships xmlns="http://schemas.openxmlformats.org/package/2006/relationships">
<Relationship Id="rId1" Target="AMGNMODE55.xls" TargetMode="External" Type="http://schemas.microsoft.com/office/2006/relationships/xlExternalLinkPath/xlPathMissing"/>
</Relationships>

</file>

<file path=xl/externalLinks/_rels/externalLink34.xml.rels><?xml version="1.0" encoding="UTF-8" standalone="yes"?>
<Relationships xmlns="http://schemas.openxmlformats.org/package/2006/relationships">
<Relationship Id="rId1" Target="HEALTH/Pharma/The%20Download%20Folder/BMY.N.XLS" TargetMode="External" Type="http://schemas.microsoft.com/office/2006/relationships/xlExternalLinkPath/xlAlternateStartup"/>
</Relationships>

</file>

<file path=xl/externalLinks/_rels/externalLink35.xml.rels><?xml version="1.0" encoding="UTF-8" standalone="yes"?>
<Relationships xmlns="http://schemas.openxmlformats.org/package/2006/relationships">
<Relationship Id="rId1" Target="HEALTH/HarrS/Companies/REGN/Models/REGN102903.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HEALTH/HarrS/Companies/MDCO/Models/MDCO_042203.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Exxon.xls" TargetMode="External" Type="http://schemas.microsoft.com/office/2006/relationships/xlExternalLinkPath/xlPathMissing"/>
</Relationships>

</file>

<file path=xl/externalLinks/_rels/externalLink38.xml.rels><?xml version="1.0" encoding="UTF-8" standalone="yes"?>
<Relationships xmlns="http://schemas.openxmlformats.org/package/2006/relationships">
<Relationship Id="rId1" Target="HEALTH/HarrS/Copy%20of%20MEDI.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gild%20model%2008-05-03.xls" TargetMode="External" Type="http://schemas.microsoft.com/office/2006/relationships/xlExternalLinkPath/xlPathMissing"/>
</Relationships>

</file>

<file path=xl/externalLinks/_rels/externalLink40.xml.rels><?xml version="1.0" encoding="UTF-8" standalone="yes"?>
<Relationships xmlns="http://schemas.openxmlformats.org/package/2006/relationships">
<Relationship Id="rId1" Target="file://///server/DB/US%20infra%20SW/akshay/WEBM/Documents%20and%20Settings/akshayn/Local%20Settings/Temporary%20Internet%20Files/OLKC5/traker1/Industry%20Comps/Security_Comparable_Large.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DOCUME~1/boscoes/LOCALS~1/Temp/LLYwork.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file://///RSCO1/SYS2/HOME/KDUNNE/COMPNEW/SANM/quarsanm.xls" TargetMode="External" Type="http://schemas.openxmlformats.org/officeDocument/2006/relationships/externalLinkPath"/>
</Relationships>

</file>

<file path=xl/externalLinks/_rels/externalLink43.xml.rels><?xml version="1.0" encoding="UTF-8" standalone="yes"?>
<Relationships xmlns="http://schemas.openxmlformats.org/package/2006/relationships">
<Relationship Id="rId1" Target="PHARM/David/david%20Instrumentarium.xls" TargetMode="External" Type="http://schemas.microsoft.com/office/2006/relationships/xlExternalLinkPath/xlStartup"/>
</Relationships>

</file>

<file path=xl/externalLinks/_rels/externalLink44.xml.rels><?xml version="1.0" encoding="UTF-8" standalone="yes"?>
<Relationships xmlns="http://schemas.openxmlformats.org/package/2006/relationships">
<Relationship Id="rId1" Target="BUSSERV/WWDATA/RICHARDB/SECTOR/D_FACTSET.XLS" TargetMode="External" Type="http://schemas.microsoft.com/office/2006/relationships/xlExternalLinkPath/xlStartup"/>
</Relationships>

</file>

<file path=xl/externalLinks/_rels/externalLink45.xml.rels><?xml version="1.0" encoding="UTF-8" standalone="yes"?>
<Relationships xmlns="http://schemas.openxmlformats.org/package/2006/relationships">
<Relationship Id="rId1" Target="genz_published.xls" TargetMode="External" Type="http://schemas.microsoft.com/office/2006/relationships/xlExternalLinkPath/xlPathMissing"/>
</Relationships>

</file>

<file path=xl/externalLinks/_rels/externalLink46.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47.xml.rels><?xml version="1.0" encoding="UTF-8" standalone="yes"?>
<Relationships xmlns="http://schemas.openxmlformats.org/package/2006/relationships">
<Relationship Id="rId1" Target="HEALTH/HarrS/Companies/DNA/Models/DNA_021804_MW.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PHARM/XLDATA/NOVARTIS/NOVARTIS.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Documents%20and%20Settings/David/Local%20Settings/Temporary%20Internet%20Files/OLK33/cbstforsystem%2001-23-04.xls" TargetMode="External" Type="http://schemas.openxmlformats.org/officeDocument/2006/relationships/externalLinkPath"/>
</Relationships>

</file>

<file path=xl/externalLinks/_rels/externalLink50.xml.rels><?xml version="1.0" encoding="UTF-8" standalone="yes"?>
<Relationships xmlns="http://schemas.openxmlformats.org/package/2006/relationships">
<Relationship Id="rId1" Target="file:///F:/Home/Kdunne/COMPNEW/SLR/Home/Kdunne/COMPNEW/SANM/QUARSANM.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health/RubinJ/Company/BMY/BMYwork.xls" TargetMode="External" Type="http://schemas.microsoft.com/office/2006/relationships/xlExternalLinkPath/xlStartup"/>
</Relationships>

</file>

<file path=xl/externalLinks/_rels/externalLink52.xml.rels><?xml version="1.0" encoding="UTF-8" standalone="yes"?>
<Relationships xmlns="http://schemas.openxmlformats.org/package/2006/relationships">
<Relationship Id="rId1" Target="HEALTH/RubinJ/Company/Pfe/PFEworktemp3Q03.xls" TargetMode="External" Type="http://schemas.microsoft.com/office/2006/relationships/xlExternalLinkPath/xlStartup"/>
</Relationships>

</file>

<file path=xl/externalLinks/_rels/externalLink53.xml.rels><?xml version="1.0" encoding="UTF-8" standalone="yes"?>
<Relationships xmlns="http://schemas.openxmlformats.org/package/2006/relationships">
<Relationship Id="rId1" Target="COG_Current.xls" TargetMode="External" Type="http://schemas.microsoft.com/office/2006/relationships/xlExternalLinkPath/xlPathMissing"/>
</Relationships>

</file>

<file path=xl/externalLinks/_rels/externalLink54.xml.rels><?xml version="1.0" encoding="UTF-8" standalone="yes"?>
<Relationships xmlns="http://schemas.openxmlformats.org/package/2006/relationships">
<Relationship Id="rId1" Target="E&amp;PS/EOG/MODELS/EOG%203Q00E.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PDLI.xls" TargetMode="External" Type="http://schemas.microsoft.com/office/2006/relationships/xlExternalLinkPath/xlPathMissing"/>
</Relationships>

</file>

<file path=xl/externalLinks/_rels/externalLink56.xml.rels><?xml version="1.0" encoding="UTF-8" standalone="yes"?>
<Relationships xmlns="http://schemas.openxmlformats.org/package/2006/relationships">
<Relationship Id="rId1" Target="file:///S:/Companies%20Under%20Coverage/BGEN/MODELS/BGEN062501.xls" TargetMode="External" Type="http://schemas.openxmlformats.org/officeDocument/2006/relationships/externalLinkPath"/>
</Relationships>

</file>

<file path=xl/externalLinks/_rels/externalLink57.xml.rels><?xml version="1.0" encoding="UTF-8" standalone="yes"?>
<Relationships xmlns="http://schemas.openxmlformats.org/package/2006/relationships">
<Relationship Id="rId1" Target="/Chemical/EXCEL/LESDAT/MTC.XLS" TargetMode="External" Type="http://schemas.openxmlformats.org/officeDocument/2006/relationships/externalLinkPath"/>
</Relationships>

</file>

<file path=xl/externalLinks/_rels/externalLink58.xml.rels><?xml version="1.0" encoding="UTF-8" standalone="yes"?>
<Relationships xmlns="http://schemas.openxmlformats.org/package/2006/relationships">
<Relationship Id="rId1" Target="/Users/briennek/AppData/Local/Microsoft/Windows/Temporary%20Internet%20Files/Content.Outlook/BADZOPDR/checkpoint%20inhibitor%20market%20model.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 val="Annual"/>
    </sheetNames>
    <sheetDataSet>
      <sheetData sheetId="0"/>
      <sheetData sheetId="1"/>
      <sheetData sheetId="2"/>
      <sheetData sheetId="3"/>
      <sheetData sheetId="4"/>
      <sheetData sheetId="5"/>
      <sheetData sheetId="6"/>
      <sheetData sheetId="7"/>
      <sheetData sheetId="8"/>
      <sheetData sheetId="9"/>
      <sheetData sheetId="10"/>
      <sheetData sheetId="11" refreshError="1">
        <row r="5">
          <cell r="C5" t="str">
            <v>2001A</v>
          </cell>
        </row>
        <row r="6">
          <cell r="A6" t="str">
            <v>Cardiovascular</v>
          </cell>
          <cell r="B6" t="str">
            <v xml:space="preserve">Lipitor </v>
          </cell>
          <cell r="C6">
            <v>6449</v>
          </cell>
          <cell r="D6">
            <v>7972</v>
          </cell>
          <cell r="E6">
            <v>9229.7000000000007</v>
          </cell>
          <cell r="F6">
            <v>10862</v>
          </cell>
          <cell r="G6">
            <v>12187</v>
          </cell>
          <cell r="H6">
            <v>12648.33</v>
          </cell>
          <cell r="I6">
            <v>13001.802599999999</v>
          </cell>
          <cell r="J6">
            <v>13236.346866</v>
          </cell>
          <cell r="K6">
            <v>13368.71033466</v>
          </cell>
          <cell r="L6">
            <v>13502.397438006599</v>
          </cell>
          <cell r="N6">
            <v>4749.5322057199992</v>
          </cell>
          <cell r="O6">
            <v>4749.5322057199992</v>
          </cell>
          <cell r="P6">
            <v>4006.6468659999991</v>
          </cell>
        </row>
        <row r="7">
          <cell r="B7" t="str">
            <v>Norvasc</v>
          </cell>
          <cell r="C7">
            <v>3582</v>
          </cell>
          <cell r="D7">
            <v>3846</v>
          </cell>
          <cell r="E7">
            <v>4335</v>
          </cell>
          <cell r="F7">
            <v>4462</v>
          </cell>
          <cell r="G7">
            <v>4706</v>
          </cell>
          <cell r="H7">
            <v>4654.96</v>
          </cell>
          <cell r="I7">
            <v>2331.8720000000003</v>
          </cell>
          <cell r="J7">
            <v>1927.5908000000002</v>
          </cell>
          <cell r="K7">
            <v>1721.1442000000002</v>
          </cell>
          <cell r="L7">
            <v>1549.0297800000001</v>
          </cell>
          <cell r="N7">
            <v>-2522.0490239999999</v>
          </cell>
          <cell r="O7">
            <v>-2522.0490239999999</v>
          </cell>
          <cell r="P7">
            <v>-2407.4092000000001</v>
          </cell>
        </row>
        <row r="8">
          <cell r="B8" t="str">
            <v>Cardura</v>
          </cell>
          <cell r="C8">
            <v>551</v>
          </cell>
          <cell r="D8">
            <v>531</v>
          </cell>
          <cell r="E8">
            <v>595</v>
          </cell>
          <cell r="F8">
            <v>627</v>
          </cell>
          <cell r="G8">
            <v>643.83000000000004</v>
          </cell>
          <cell r="H8">
            <v>662.59889999999996</v>
          </cell>
          <cell r="I8">
            <v>681.98546699999997</v>
          </cell>
          <cell r="J8">
            <v>702.00277100999983</v>
          </cell>
          <cell r="K8">
            <v>722.66482014029987</v>
          </cell>
          <cell r="L8">
            <v>429.83194579200006</v>
          </cell>
          <cell r="N8">
            <v>107.00277100999983</v>
          </cell>
          <cell r="O8">
            <v>107.00277100999983</v>
          </cell>
          <cell r="P8">
            <v>-118.65103999999997</v>
          </cell>
        </row>
        <row r="9">
          <cell r="B9" t="str">
            <v xml:space="preserve">Accupril </v>
          </cell>
          <cell r="C9">
            <v>604</v>
          </cell>
          <cell r="D9">
            <v>669</v>
          </cell>
          <cell r="E9">
            <v>707</v>
          </cell>
          <cell r="F9">
            <v>666</v>
          </cell>
          <cell r="G9">
            <v>294</v>
          </cell>
          <cell r="H9">
            <v>268.88</v>
          </cell>
          <cell r="I9">
            <v>250.816</v>
          </cell>
          <cell r="J9">
            <v>236.29520000000002</v>
          </cell>
          <cell r="K9">
            <v>223.92604</v>
          </cell>
          <cell r="L9">
            <v>212.96535800000001</v>
          </cell>
          <cell r="N9">
            <v>-348.57682736000004</v>
          </cell>
          <cell r="O9">
            <v>-348.57682736000004</v>
          </cell>
          <cell r="P9">
            <v>-470.70479999999998</v>
          </cell>
        </row>
        <row r="10">
          <cell r="B10" t="str">
            <v>Glucotrol XL</v>
          </cell>
          <cell r="C10">
            <v>284</v>
          </cell>
          <cell r="D10">
            <v>298.2</v>
          </cell>
          <cell r="E10">
            <v>332</v>
          </cell>
          <cell r="F10">
            <v>0</v>
          </cell>
          <cell r="G10">
            <v>0</v>
          </cell>
          <cell r="H10">
            <v>0</v>
          </cell>
          <cell r="I10">
            <v>0</v>
          </cell>
          <cell r="J10">
            <v>0</v>
          </cell>
          <cell r="K10">
            <v>0</v>
          </cell>
          <cell r="L10">
            <v>0</v>
          </cell>
          <cell r="N10">
            <v>-332</v>
          </cell>
          <cell r="O10">
            <v>-332</v>
          </cell>
          <cell r="P10">
            <v>-332</v>
          </cell>
        </row>
        <row r="11">
          <cell r="B11" t="str">
            <v>Inspra</v>
          </cell>
          <cell r="C11">
            <v>0</v>
          </cell>
          <cell r="D11">
            <v>0</v>
          </cell>
          <cell r="E11">
            <v>0</v>
          </cell>
          <cell r="F11">
            <v>5</v>
          </cell>
          <cell r="G11">
            <v>2</v>
          </cell>
          <cell r="H11">
            <v>0</v>
          </cell>
          <cell r="I11">
            <v>0</v>
          </cell>
          <cell r="J11">
            <v>0</v>
          </cell>
          <cell r="K11">
            <v>0</v>
          </cell>
          <cell r="L11">
            <v>0</v>
          </cell>
          <cell r="N11">
            <v>37.655226999999996</v>
          </cell>
          <cell r="O11">
            <v>59.592726999999996</v>
          </cell>
          <cell r="P11">
            <v>0</v>
          </cell>
        </row>
        <row r="12">
          <cell r="B12" t="str">
            <v>Caduet</v>
          </cell>
          <cell r="C12">
            <v>0</v>
          </cell>
          <cell r="D12">
            <v>0</v>
          </cell>
          <cell r="E12">
            <v>0</v>
          </cell>
          <cell r="F12">
            <v>50</v>
          </cell>
          <cell r="G12">
            <v>185</v>
          </cell>
          <cell r="H12">
            <v>339</v>
          </cell>
          <cell r="I12">
            <v>516</v>
          </cell>
          <cell r="J12">
            <v>678.3</v>
          </cell>
          <cell r="K12">
            <v>755.43</v>
          </cell>
          <cell r="L12">
            <v>840.04049999999984</v>
          </cell>
          <cell r="N12">
            <v>575</v>
          </cell>
          <cell r="O12">
            <v>452.84399999999999</v>
          </cell>
          <cell r="P12">
            <v>678.3</v>
          </cell>
        </row>
        <row r="13">
          <cell r="A13" t="str">
            <v>Central Nervous System</v>
          </cell>
          <cell r="B13" t="str">
            <v>Zoloft</v>
          </cell>
          <cell r="C13">
            <v>2367</v>
          </cell>
          <cell r="D13">
            <v>2742</v>
          </cell>
          <cell r="E13">
            <v>3117</v>
          </cell>
          <cell r="F13">
            <v>3360</v>
          </cell>
          <cell r="G13">
            <v>3322.47</v>
          </cell>
          <cell r="H13">
            <v>1959.3069999999998</v>
          </cell>
          <cell r="I13">
            <v>925.75704999999994</v>
          </cell>
          <cell r="J13">
            <v>831.14500999999996</v>
          </cell>
          <cell r="K13">
            <v>776.70130949999987</v>
          </cell>
          <cell r="L13">
            <v>745.8666750000001</v>
          </cell>
          <cell r="N13">
            <v>-2414.8152300000002</v>
          </cell>
          <cell r="O13">
            <v>-2285.8549899999998</v>
          </cell>
          <cell r="P13">
            <v>-2318.3125</v>
          </cell>
        </row>
        <row r="14">
          <cell r="B14" t="str">
            <v xml:space="preserve">Neurontin </v>
          </cell>
          <cell r="C14">
            <v>1751</v>
          </cell>
          <cell r="D14">
            <v>2269</v>
          </cell>
          <cell r="E14">
            <v>2702</v>
          </cell>
          <cell r="F14">
            <v>2723</v>
          </cell>
          <cell r="G14">
            <v>639</v>
          </cell>
          <cell r="H14">
            <v>511.5</v>
          </cell>
          <cell r="I14">
            <v>481.95</v>
          </cell>
          <cell r="J14">
            <v>457.85249999999996</v>
          </cell>
          <cell r="K14">
            <v>438.35849999999994</v>
          </cell>
          <cell r="L14">
            <v>419.83920000000001</v>
          </cell>
          <cell r="N14">
            <v>-2056.7691199999999</v>
          </cell>
          <cell r="O14">
            <v>-2056.7691199999999</v>
          </cell>
          <cell r="P14">
            <v>-2244.1475</v>
          </cell>
        </row>
        <row r="15">
          <cell r="B15" t="str">
            <v>Xanax / Xanax XR</v>
          </cell>
          <cell r="C15">
            <v>323</v>
          </cell>
          <cell r="D15">
            <v>314</v>
          </cell>
          <cell r="E15">
            <v>237</v>
          </cell>
          <cell r="F15">
            <v>378</v>
          </cell>
          <cell r="G15">
            <v>428.1</v>
          </cell>
          <cell r="H15">
            <v>456.88500000000005</v>
          </cell>
          <cell r="I15">
            <v>484.60005000000007</v>
          </cell>
          <cell r="J15">
            <v>508.83005250000008</v>
          </cell>
          <cell r="K15">
            <v>534.27155512500008</v>
          </cell>
          <cell r="L15">
            <v>362.30627193750007</v>
          </cell>
          <cell r="N15">
            <v>187.83414200624998</v>
          </cell>
          <cell r="O15">
            <v>271.83005250000008</v>
          </cell>
          <cell r="P15">
            <v>96.221715000000017</v>
          </cell>
        </row>
        <row r="16">
          <cell r="B16" t="str">
            <v xml:space="preserve">Geodon </v>
          </cell>
          <cell r="C16">
            <v>149</v>
          </cell>
          <cell r="D16">
            <v>222</v>
          </cell>
          <cell r="E16">
            <v>353</v>
          </cell>
          <cell r="F16">
            <v>466</v>
          </cell>
          <cell r="G16">
            <v>590</v>
          </cell>
          <cell r="H16">
            <v>736.43000000000006</v>
          </cell>
          <cell r="I16">
            <v>883.71600000000001</v>
          </cell>
          <cell r="J16">
            <v>1011.4969199999999</v>
          </cell>
          <cell r="K16">
            <v>1110.8633927999999</v>
          </cell>
          <cell r="L16">
            <v>1172.237689224</v>
          </cell>
          <cell r="N16">
            <v>-97.936419999999998</v>
          </cell>
          <cell r="O16">
            <v>-97.936419999999998</v>
          </cell>
          <cell r="P16">
            <v>658.49691999999993</v>
          </cell>
        </row>
        <row r="17">
          <cell r="B17" t="str">
            <v>Aricept (Int'l revenues)</v>
          </cell>
          <cell r="C17">
            <v>0</v>
          </cell>
          <cell r="D17">
            <v>0</v>
          </cell>
          <cell r="E17">
            <v>253</v>
          </cell>
          <cell r="F17">
            <v>309</v>
          </cell>
          <cell r="G17">
            <v>346</v>
          </cell>
          <cell r="H17">
            <v>380.6</v>
          </cell>
          <cell r="I17">
            <v>399.63</v>
          </cell>
          <cell r="J17">
            <v>415.61520000000002</v>
          </cell>
          <cell r="K17">
            <v>428.08365600000002</v>
          </cell>
          <cell r="L17">
            <v>440.92616568</v>
          </cell>
          <cell r="N17">
            <v>170.45591749999994</v>
          </cell>
          <cell r="O17">
            <v>170.45591749999994</v>
          </cell>
          <cell r="P17">
            <v>162.61520000000002</v>
          </cell>
        </row>
        <row r="18">
          <cell r="B18" t="str">
            <v>Relpax</v>
          </cell>
          <cell r="C18">
            <v>0</v>
          </cell>
          <cell r="D18">
            <v>0</v>
          </cell>
          <cell r="E18">
            <v>52</v>
          </cell>
          <cell r="F18">
            <v>169</v>
          </cell>
          <cell r="G18">
            <v>231.57999999999998</v>
          </cell>
          <cell r="H18">
            <v>284.92499999999995</v>
          </cell>
          <cell r="I18">
            <v>335.11949999999996</v>
          </cell>
          <cell r="J18">
            <v>379.48094999999995</v>
          </cell>
          <cell r="K18">
            <v>429.74636939999994</v>
          </cell>
          <cell r="L18">
            <v>480.804531075</v>
          </cell>
          <cell r="N18">
            <v>288.81850465999997</v>
          </cell>
          <cell r="O18">
            <v>327.48094999999995</v>
          </cell>
          <cell r="P18">
            <v>340.79843000000005</v>
          </cell>
        </row>
        <row r="19">
          <cell r="B19" t="str">
            <v>Lyrica (Pregabalin)</v>
          </cell>
          <cell r="C19">
            <v>0</v>
          </cell>
          <cell r="D19">
            <v>0</v>
          </cell>
          <cell r="E19">
            <v>0</v>
          </cell>
          <cell r="F19">
            <v>10</v>
          </cell>
          <cell r="G19">
            <v>291</v>
          </cell>
          <cell r="H19">
            <v>926.09999999999991</v>
          </cell>
          <cell r="I19">
            <v>1399.4549999999999</v>
          </cell>
          <cell r="J19">
            <v>1793.1914999999999</v>
          </cell>
          <cell r="K19">
            <v>1995.3244799999998</v>
          </cell>
          <cell r="L19">
            <v>2147.7729383999995</v>
          </cell>
          <cell r="N19">
            <v>1200</v>
          </cell>
          <cell r="O19">
            <v>850</v>
          </cell>
          <cell r="P19">
            <v>1793.1914999999999</v>
          </cell>
        </row>
        <row r="20">
          <cell r="A20" t="str">
            <v>Arthritis and Pain</v>
          </cell>
          <cell r="B20" t="str">
            <v>Celebrex</v>
          </cell>
          <cell r="C20">
            <v>0</v>
          </cell>
          <cell r="D20">
            <v>0</v>
          </cell>
          <cell r="E20">
            <v>1855</v>
          </cell>
          <cell r="F20">
            <v>3302</v>
          </cell>
          <cell r="G20">
            <v>1862.24</v>
          </cell>
          <cell r="H20">
            <v>1918.1071999999999</v>
          </cell>
          <cell r="I20">
            <v>1955.361476</v>
          </cell>
          <cell r="J20">
            <v>1993.7333802800003</v>
          </cell>
          <cell r="K20">
            <v>2033.2564416884002</v>
          </cell>
          <cell r="L20">
            <v>1671.9533779186559</v>
          </cell>
          <cell r="N20">
            <v>-342.10199999999986</v>
          </cell>
          <cell r="O20">
            <v>138.73338028000035</v>
          </cell>
          <cell r="P20">
            <v>302.68962800000008</v>
          </cell>
        </row>
        <row r="21">
          <cell r="B21" t="str">
            <v>Bextra</v>
          </cell>
          <cell r="C21">
            <v>0</v>
          </cell>
          <cell r="D21">
            <v>0</v>
          </cell>
          <cell r="E21">
            <v>687</v>
          </cell>
          <cell r="F21">
            <v>1247.75</v>
          </cell>
          <cell r="G21">
            <v>1632.75</v>
          </cell>
          <cell r="H21">
            <v>2033.4649999999999</v>
          </cell>
          <cell r="I21">
            <v>2329.5177499999995</v>
          </cell>
          <cell r="J21">
            <v>2498.5022125</v>
          </cell>
          <cell r="K21">
            <v>530.91</v>
          </cell>
          <cell r="L21">
            <v>0</v>
          </cell>
          <cell r="N21">
            <v>1258.7745780000005</v>
          </cell>
          <cell r="O21">
            <v>-156.09000000000003</v>
          </cell>
          <cell r="P21">
            <v>-687</v>
          </cell>
        </row>
        <row r="22">
          <cell r="B22" t="str">
            <v>Dynastat/Parecoxib</v>
          </cell>
          <cell r="C22">
            <v>0</v>
          </cell>
          <cell r="D22">
            <v>0</v>
          </cell>
          <cell r="E22">
            <v>0</v>
          </cell>
          <cell r="F22">
            <v>0</v>
          </cell>
          <cell r="G22">
            <v>0</v>
          </cell>
          <cell r="H22">
            <v>0</v>
          </cell>
          <cell r="I22">
            <v>0</v>
          </cell>
          <cell r="J22">
            <v>0</v>
          </cell>
          <cell r="K22">
            <v>0</v>
          </cell>
          <cell r="L22">
            <v>0</v>
          </cell>
          <cell r="N22">
            <v>150</v>
          </cell>
          <cell r="O22">
            <v>150</v>
          </cell>
          <cell r="P22">
            <v>0</v>
          </cell>
        </row>
        <row r="23">
          <cell r="A23" t="str">
            <v>Anti-Infectives</v>
          </cell>
          <cell r="B23" t="str">
            <v>Zithromax</v>
          </cell>
          <cell r="C23">
            <v>1507</v>
          </cell>
          <cell r="D23">
            <v>1515.5</v>
          </cell>
          <cell r="E23">
            <v>2009</v>
          </cell>
          <cell r="F23">
            <v>1850.8</v>
          </cell>
          <cell r="G23">
            <v>1617.68</v>
          </cell>
          <cell r="H23">
            <v>852.11440000000005</v>
          </cell>
          <cell r="I23">
            <v>808.30731200000002</v>
          </cell>
          <cell r="J23">
            <v>768.05284576000008</v>
          </cell>
          <cell r="K23">
            <v>731.01230084480005</v>
          </cell>
          <cell r="L23">
            <v>630.71248390176015</v>
          </cell>
          <cell r="N23">
            <v>-1429.8554022464</v>
          </cell>
          <cell r="O23">
            <v>-1240.9471542399999</v>
          </cell>
          <cell r="P23">
            <v>-1328.7048055999999</v>
          </cell>
        </row>
        <row r="24">
          <cell r="B24" t="str">
            <v>Diflucan</v>
          </cell>
          <cell r="C24">
            <v>1067</v>
          </cell>
          <cell r="D24">
            <v>1112</v>
          </cell>
          <cell r="E24">
            <v>1175</v>
          </cell>
          <cell r="F24">
            <v>945</v>
          </cell>
          <cell r="G24">
            <v>498</v>
          </cell>
          <cell r="H24">
            <v>446.25</v>
          </cell>
          <cell r="I24">
            <v>423.51249999999999</v>
          </cell>
          <cell r="J24">
            <v>401.95437500000003</v>
          </cell>
          <cell r="K24">
            <v>381.51240625000003</v>
          </cell>
          <cell r="L24">
            <v>362.12696093749997</v>
          </cell>
          <cell r="N24">
            <v>-592.08640000000003</v>
          </cell>
          <cell r="O24">
            <v>-592.08640000000003</v>
          </cell>
          <cell r="P24">
            <v>-773.04562499999997</v>
          </cell>
        </row>
        <row r="25">
          <cell r="B25" t="str">
            <v>Viracept</v>
          </cell>
          <cell r="C25">
            <v>365</v>
          </cell>
          <cell r="D25">
            <v>337</v>
          </cell>
          <cell r="E25">
            <v>258</v>
          </cell>
          <cell r="F25">
            <v>0</v>
          </cell>
          <cell r="G25">
            <v>0</v>
          </cell>
          <cell r="H25">
            <v>0</v>
          </cell>
          <cell r="I25">
            <v>0</v>
          </cell>
          <cell r="J25">
            <v>0</v>
          </cell>
          <cell r="K25">
            <v>0</v>
          </cell>
          <cell r="L25">
            <v>0</v>
          </cell>
          <cell r="N25">
            <v>-258</v>
          </cell>
          <cell r="O25">
            <v>-258</v>
          </cell>
          <cell r="P25">
            <v>-258</v>
          </cell>
        </row>
        <row r="26">
          <cell r="B26" t="str">
            <v>Zyvox</v>
          </cell>
          <cell r="C26">
            <v>0</v>
          </cell>
          <cell r="D26">
            <v>0</v>
          </cell>
          <cell r="E26">
            <v>181</v>
          </cell>
          <cell r="F26">
            <v>462</v>
          </cell>
          <cell r="G26">
            <v>619.20000000000005</v>
          </cell>
          <cell r="H26">
            <v>699.1</v>
          </cell>
          <cell r="I26">
            <v>763.65840000000014</v>
          </cell>
          <cell r="J26">
            <v>814.3109280000001</v>
          </cell>
          <cell r="K26">
            <v>868.3892496000002</v>
          </cell>
          <cell r="L26">
            <v>1104.9936122880001</v>
          </cell>
          <cell r="N26">
            <v>458.39739395840013</v>
          </cell>
          <cell r="O26">
            <v>633.3109280000001</v>
          </cell>
          <cell r="P26">
            <v>766.35392000000002</v>
          </cell>
        </row>
        <row r="27">
          <cell r="B27" t="str">
            <v>Vfend</v>
          </cell>
          <cell r="C27">
            <v>0</v>
          </cell>
          <cell r="D27">
            <v>41.5</v>
          </cell>
          <cell r="E27">
            <v>199.6</v>
          </cell>
          <cell r="F27">
            <v>287</v>
          </cell>
          <cell r="G27">
            <v>367.1</v>
          </cell>
          <cell r="H27">
            <v>440.52</v>
          </cell>
          <cell r="I27">
            <v>484.572</v>
          </cell>
          <cell r="J27">
            <v>508.80060000000003</v>
          </cell>
          <cell r="K27">
            <v>534.24063000000001</v>
          </cell>
          <cell r="L27">
            <v>622.03624143075001</v>
          </cell>
          <cell r="N27">
            <v>354.53998639999998</v>
          </cell>
          <cell r="O27">
            <v>309.20060000000001</v>
          </cell>
          <cell r="P27">
            <v>374.02856750000001</v>
          </cell>
        </row>
        <row r="28">
          <cell r="A28" t="str">
            <v>Urology</v>
          </cell>
          <cell r="B28" t="str">
            <v>Viagra</v>
          </cell>
          <cell r="C28">
            <v>1518</v>
          </cell>
          <cell r="D28">
            <v>1735</v>
          </cell>
          <cell r="E28">
            <v>1878.6</v>
          </cell>
          <cell r="F28">
            <v>1677</v>
          </cell>
          <cell r="G28">
            <v>1654.85</v>
          </cell>
          <cell r="H28">
            <v>1678.58</v>
          </cell>
          <cell r="I28">
            <v>1703.0219000000002</v>
          </cell>
          <cell r="J28">
            <v>1728.1970570000001</v>
          </cell>
          <cell r="K28">
            <v>1754.1274687100001</v>
          </cell>
          <cell r="L28">
            <v>1470.9863129456398</v>
          </cell>
          <cell r="N28">
            <v>57.68853182410021</v>
          </cell>
          <cell r="O28">
            <v>-150.40294299999982</v>
          </cell>
          <cell r="P28">
            <v>-368.99267748000011</v>
          </cell>
        </row>
        <row r="29">
          <cell r="B29" t="str">
            <v>Detrol</v>
          </cell>
          <cell r="C29">
            <v>0</v>
          </cell>
          <cell r="D29">
            <v>0</v>
          </cell>
          <cell r="E29">
            <v>543</v>
          </cell>
          <cell r="F29">
            <v>904</v>
          </cell>
          <cell r="G29">
            <v>988</v>
          </cell>
          <cell r="H29">
            <v>1023.9000000000001</v>
          </cell>
          <cell r="I29">
            <v>1054.6170000000002</v>
          </cell>
          <cell r="J29">
            <v>1079.094435</v>
          </cell>
          <cell r="K29">
            <v>1104.1629715500001</v>
          </cell>
          <cell r="L29">
            <v>1129.8374782665001</v>
          </cell>
          <cell r="N29">
            <v>652.14725520000025</v>
          </cell>
          <cell r="O29">
            <v>652.14725520000025</v>
          </cell>
          <cell r="P29">
            <v>536.09443499999998</v>
          </cell>
        </row>
        <row r="30">
          <cell r="A30" t="str">
            <v>Opthamology</v>
          </cell>
          <cell r="B30" t="str">
            <v>Xalatan</v>
          </cell>
          <cell r="C30">
            <v>0</v>
          </cell>
          <cell r="D30">
            <v>0</v>
          </cell>
          <cell r="E30">
            <v>623</v>
          </cell>
          <cell r="F30">
            <v>1227</v>
          </cell>
          <cell r="G30">
            <v>1344.71</v>
          </cell>
          <cell r="H30">
            <v>1411.9455</v>
          </cell>
          <cell r="I30">
            <v>1472.9439900000002</v>
          </cell>
          <cell r="J30">
            <v>1536.6084531000004</v>
          </cell>
          <cell r="K30">
            <v>1603.0568298990001</v>
          </cell>
          <cell r="L30">
            <v>1514.6626050240002</v>
          </cell>
          <cell r="N30">
            <v>886.71147959500036</v>
          </cell>
          <cell r="O30">
            <v>913.60845310000036</v>
          </cell>
          <cell r="P30">
            <v>850.13442160000022</v>
          </cell>
        </row>
        <row r="31">
          <cell r="A31" t="str">
            <v>Oncology</v>
          </cell>
          <cell r="B31" t="str">
            <v>Camptosar</v>
          </cell>
          <cell r="C31">
            <v>0</v>
          </cell>
          <cell r="D31">
            <v>0</v>
          </cell>
          <cell r="E31">
            <v>299</v>
          </cell>
          <cell r="F31">
            <v>553</v>
          </cell>
          <cell r="G31">
            <v>911</v>
          </cell>
          <cell r="H31">
            <v>933.63000000000011</v>
          </cell>
          <cell r="I31">
            <v>977.79449999999997</v>
          </cell>
          <cell r="J31">
            <v>734.00145000000009</v>
          </cell>
          <cell r="K31">
            <v>711.76129500000013</v>
          </cell>
          <cell r="L31">
            <v>759.02734950000013</v>
          </cell>
          <cell r="N31">
            <v>42.033560401600027</v>
          </cell>
          <cell r="O31">
            <v>693.51042000000007</v>
          </cell>
          <cell r="P31">
            <v>435.00145000000009</v>
          </cell>
        </row>
        <row r="32">
          <cell r="B32" t="str">
            <v>Ellence</v>
          </cell>
          <cell r="C32">
            <v>261</v>
          </cell>
          <cell r="D32">
            <v>333</v>
          </cell>
          <cell r="E32">
            <v>215</v>
          </cell>
          <cell r="F32">
            <v>344</v>
          </cell>
          <cell r="G32">
            <v>366</v>
          </cell>
          <cell r="H32">
            <v>336.8</v>
          </cell>
          <cell r="I32">
            <v>319.31</v>
          </cell>
          <cell r="J32">
            <v>317.85169999999999</v>
          </cell>
          <cell r="K32">
            <v>322.97221100000002</v>
          </cell>
          <cell r="L32">
            <v>330.89536133000001</v>
          </cell>
          <cell r="N32">
            <v>97.78800063999995</v>
          </cell>
          <cell r="O32">
            <v>97.78800063999995</v>
          </cell>
          <cell r="P32">
            <v>102.85169999999999</v>
          </cell>
        </row>
        <row r="33">
          <cell r="A33" t="str">
            <v>Endocrinology</v>
          </cell>
          <cell r="B33" t="str">
            <v>Aromasin</v>
          </cell>
          <cell r="C33">
            <v>0</v>
          </cell>
          <cell r="D33">
            <v>0</v>
          </cell>
          <cell r="E33">
            <v>481</v>
          </cell>
          <cell r="F33">
            <v>735</v>
          </cell>
          <cell r="G33">
            <v>134</v>
          </cell>
          <cell r="H33">
            <v>323.60000000000002</v>
          </cell>
          <cell r="I33">
            <v>377.66249999999997</v>
          </cell>
          <cell r="J33">
            <v>426.95819999999998</v>
          </cell>
          <cell r="K33">
            <v>469.65402000000006</v>
          </cell>
          <cell r="L33">
            <v>508.23626700000005</v>
          </cell>
          <cell r="N33">
            <v>486.22311968000008</v>
          </cell>
          <cell r="O33">
            <v>486.22311968000008</v>
          </cell>
          <cell r="P33">
            <v>426.95819999999998</v>
          </cell>
        </row>
        <row r="34">
          <cell r="A34" t="str">
            <v>Other</v>
          </cell>
          <cell r="B34" t="str">
            <v>Zyrtec/Reactine</v>
          </cell>
          <cell r="C34">
            <v>989</v>
          </cell>
          <cell r="D34">
            <v>1115</v>
          </cell>
          <cell r="E34">
            <v>1337.6</v>
          </cell>
          <cell r="F34">
            <v>1287</v>
          </cell>
          <cell r="G34">
            <v>1299.8699999999999</v>
          </cell>
          <cell r="H34">
            <v>1299.8699999999999</v>
          </cell>
          <cell r="I34">
            <v>779.92199999999991</v>
          </cell>
          <cell r="J34">
            <v>467.95319999999992</v>
          </cell>
          <cell r="K34">
            <v>280.77191999999991</v>
          </cell>
          <cell r="L34">
            <v>990.82697336092815</v>
          </cell>
          <cell r="N34">
            <v>-804.06533503999992</v>
          </cell>
          <cell r="O34">
            <v>-869.64679999999998</v>
          </cell>
          <cell r="P34">
            <v>453.39185912000016</v>
          </cell>
        </row>
        <row r="35">
          <cell r="A35" t="str">
            <v>Endocrinology</v>
          </cell>
          <cell r="B35" t="str">
            <v>Genotropin</v>
          </cell>
          <cell r="C35">
            <v>323</v>
          </cell>
          <cell r="D35">
            <v>0</v>
          </cell>
          <cell r="E35">
            <v>481</v>
          </cell>
          <cell r="F35">
            <v>735</v>
          </cell>
          <cell r="G35">
            <v>808</v>
          </cell>
          <cell r="H35">
            <v>857.92000000000007</v>
          </cell>
          <cell r="I35">
            <v>888.04940000000011</v>
          </cell>
          <cell r="J35">
            <v>914.13777000000005</v>
          </cell>
          <cell r="K35">
            <v>941.16427650000003</v>
          </cell>
          <cell r="L35">
            <v>969.16850068500003</v>
          </cell>
          <cell r="N35">
            <v>-242</v>
          </cell>
          <cell r="O35">
            <v>-242</v>
          </cell>
          <cell r="P35">
            <v>433.13777000000005</v>
          </cell>
        </row>
        <row r="36">
          <cell r="A36" t="str">
            <v>Other</v>
          </cell>
          <cell r="B36" t="str">
            <v>Zyrtec/Reactine</v>
          </cell>
          <cell r="C36">
            <v>3050</v>
          </cell>
          <cell r="D36">
            <v>1115</v>
          </cell>
          <cell r="E36">
            <v>1337.6</v>
          </cell>
          <cell r="F36">
            <v>1287</v>
          </cell>
          <cell r="G36">
            <v>1362</v>
          </cell>
          <cell r="H36">
            <v>1402.86</v>
          </cell>
          <cell r="I36">
            <v>1262.5739999999998</v>
          </cell>
          <cell r="J36">
            <v>252.51479999999992</v>
          </cell>
          <cell r="K36">
            <v>151.50887999999995</v>
          </cell>
          <cell r="L36">
            <v>128.78254799999996</v>
          </cell>
          <cell r="N36">
            <v>2619.7139027800013</v>
          </cell>
          <cell r="O36">
            <v>2619.7139027800013</v>
          </cell>
          <cell r="P36">
            <v>-1085.0852</v>
          </cell>
        </row>
        <row r="37">
          <cell r="B37" t="str">
            <v>Medrol</v>
          </cell>
          <cell r="C37">
            <v>3050</v>
          </cell>
          <cell r="D37">
            <v>329</v>
          </cell>
          <cell r="E37">
            <v>242</v>
          </cell>
          <cell r="F37">
            <v>0</v>
          </cell>
          <cell r="G37">
            <v>0</v>
          </cell>
          <cell r="H37">
            <v>0</v>
          </cell>
          <cell r="I37">
            <v>0</v>
          </cell>
          <cell r="J37">
            <v>0</v>
          </cell>
          <cell r="K37">
            <v>0</v>
          </cell>
          <cell r="L37">
            <v>0</v>
          </cell>
          <cell r="M37" t="str">
            <v>Aventis</v>
          </cell>
          <cell r="N37">
            <v>750</v>
          </cell>
          <cell r="O37">
            <v>500</v>
          </cell>
          <cell r="P37">
            <v>-242</v>
          </cell>
        </row>
        <row r="38">
          <cell r="B38" t="str">
            <v>Other Pharmaceuticals</v>
          </cell>
          <cell r="C38">
            <v>3050</v>
          </cell>
          <cell r="D38">
            <v>2733.8999999999996</v>
          </cell>
          <cell r="E38">
            <v>4974.5</v>
          </cell>
          <cell r="F38">
            <v>6465</v>
          </cell>
          <cell r="G38">
            <v>6702</v>
          </cell>
          <cell r="H38">
            <v>6288.3700000000008</v>
          </cell>
          <cell r="I38">
            <v>6381.8646000000008</v>
          </cell>
          <cell r="J38">
            <v>6444.5412660000002</v>
          </cell>
          <cell r="K38">
            <v>6479.0700325400012</v>
          </cell>
          <cell r="L38">
            <v>6508.4786425193997</v>
          </cell>
          <cell r="M38" t="str">
            <v>royalty to Ligand</v>
          </cell>
          <cell r="N38" t="str">
            <v>With Nektar</v>
          </cell>
          <cell r="O38">
            <v>450</v>
          </cell>
          <cell r="P38">
            <v>1470.0412660000002</v>
          </cell>
        </row>
        <row r="39">
          <cell r="B39" t="str">
            <v xml:space="preserve">  Roflumilast</v>
          </cell>
          <cell r="G39" t="str">
            <v xml:space="preserve"> </v>
          </cell>
          <cell r="H39">
            <v>150</v>
          </cell>
          <cell r="I39">
            <v>250</v>
          </cell>
          <cell r="J39">
            <v>300</v>
          </cell>
          <cell r="K39">
            <v>400</v>
          </cell>
          <cell r="L39" t="str">
            <v>Altana; prob alliance revenue</v>
          </cell>
          <cell r="M39" t="str">
            <v>Altana; prob alliance revenue</v>
          </cell>
          <cell r="N39">
            <v>650</v>
          </cell>
          <cell r="O39">
            <v>300</v>
          </cell>
          <cell r="P39">
            <v>0</v>
          </cell>
        </row>
        <row r="40">
          <cell r="B40" t="str">
            <v xml:space="preserve">   Capravirine</v>
          </cell>
          <cell r="G40" t="str">
            <v xml:space="preserve"> </v>
          </cell>
          <cell r="H40">
            <v>150</v>
          </cell>
          <cell r="I40">
            <v>300</v>
          </cell>
          <cell r="J40">
            <v>400</v>
          </cell>
          <cell r="K40">
            <v>500</v>
          </cell>
          <cell r="L40" t="str">
            <v>internally developed</v>
          </cell>
          <cell r="M40" t="str">
            <v>internally developed</v>
          </cell>
          <cell r="N40" t="str">
            <v>royalty to Ligand</v>
          </cell>
          <cell r="O40">
            <v>400</v>
          </cell>
          <cell r="P40">
            <v>0</v>
          </cell>
        </row>
        <row r="41">
          <cell r="B41" t="str">
            <v xml:space="preserve">   CETP Inhibitor</v>
          </cell>
          <cell r="G41">
            <v>0</v>
          </cell>
          <cell r="H41">
            <v>0</v>
          </cell>
          <cell r="I41">
            <v>0</v>
          </cell>
          <cell r="J41">
            <v>500</v>
          </cell>
          <cell r="K41">
            <v>1000</v>
          </cell>
          <cell r="L41" t="str">
            <v>internally developed</v>
          </cell>
          <cell r="M41" t="str">
            <v>internally developed</v>
          </cell>
          <cell r="N41" t="str">
            <v>Vicuron</v>
          </cell>
          <cell r="O41">
            <v>500</v>
          </cell>
          <cell r="P41">
            <v>300</v>
          </cell>
        </row>
        <row r="42">
          <cell r="B42" t="str">
            <v xml:space="preserve">   Revatio</v>
          </cell>
          <cell r="G42">
            <v>0</v>
          </cell>
          <cell r="H42">
            <v>15</v>
          </cell>
          <cell r="I42">
            <v>45</v>
          </cell>
          <cell r="J42">
            <v>75</v>
          </cell>
          <cell r="K42">
            <v>100</v>
          </cell>
          <cell r="L42" t="str">
            <v>internally developed</v>
          </cell>
          <cell r="M42" t="str">
            <v>internally developed</v>
          </cell>
          <cell r="N42">
            <v>500</v>
          </cell>
          <cell r="O42">
            <v>75</v>
          </cell>
          <cell r="P42">
            <v>500</v>
          </cell>
        </row>
        <row r="43">
          <cell r="B43" t="str">
            <v xml:space="preserve">  Lipitor/ Torcetrapib combo</v>
          </cell>
          <cell r="F43">
            <v>0</v>
          </cell>
          <cell r="G43">
            <v>10</v>
          </cell>
          <cell r="H43">
            <v>20</v>
          </cell>
          <cell r="I43">
            <v>45</v>
          </cell>
          <cell r="J43">
            <v>500</v>
          </cell>
          <cell r="K43">
            <v>1000</v>
          </cell>
          <cell r="L43">
            <v>2000</v>
          </cell>
          <cell r="M43" t="str">
            <v>internally developed</v>
          </cell>
          <cell r="N43" t="str">
            <v>internally developed</v>
          </cell>
          <cell r="O43">
            <v>750</v>
          </cell>
          <cell r="P43">
            <v>500</v>
          </cell>
        </row>
        <row r="44">
          <cell r="B44" t="str">
            <v xml:space="preserve">  Sutent</v>
          </cell>
          <cell r="E44">
            <v>0</v>
          </cell>
          <cell r="F44">
            <v>0</v>
          </cell>
          <cell r="G44">
            <v>775</v>
          </cell>
          <cell r="H44">
            <v>50</v>
          </cell>
          <cell r="I44">
            <v>100</v>
          </cell>
          <cell r="J44">
            <v>250</v>
          </cell>
          <cell r="K44">
            <v>300</v>
          </cell>
          <cell r="L44">
            <v>800</v>
          </cell>
          <cell r="M44" t="str">
            <v>internally developed</v>
          </cell>
          <cell r="N44">
            <v>4350</v>
          </cell>
          <cell r="O44">
            <v>3750</v>
          </cell>
          <cell r="P44">
            <v>500</v>
          </cell>
        </row>
        <row r="45">
          <cell r="C45">
            <v>1378</v>
          </cell>
        </row>
        <row r="47">
          <cell r="C47">
            <v>1378</v>
          </cell>
        </row>
        <row r="48">
          <cell r="C48">
            <v>1201.5</v>
          </cell>
        </row>
        <row r="49">
          <cell r="C49">
            <v>24116</v>
          </cell>
        </row>
        <row r="50">
          <cell r="C50">
            <v>1201.5</v>
          </cell>
        </row>
        <row r="51">
          <cell r="C51">
            <v>2986</v>
          </cell>
        </row>
        <row r="52">
          <cell r="C52">
            <v>1880.25</v>
          </cell>
        </row>
        <row r="53">
          <cell r="C53">
            <v>5033.5</v>
          </cell>
        </row>
        <row r="54">
          <cell r="B54" t="str">
            <v xml:space="preserve">   Animal Health</v>
          </cell>
          <cell r="C54">
            <v>31803.75</v>
          </cell>
          <cell r="D54">
            <v>1260.2</v>
          </cell>
          <cell r="E54">
            <v>1598.364</v>
          </cell>
          <cell r="F54">
            <v>1953</v>
          </cell>
          <cell r="G54">
            <v>2207</v>
          </cell>
          <cell r="H54">
            <v>2353.7700000000004</v>
          </cell>
          <cell r="I54">
            <v>2474.1432000000004</v>
          </cell>
          <cell r="J54">
            <v>2576.1632400000008</v>
          </cell>
          <cell r="K54">
            <v>2668.0409028000004</v>
          </cell>
          <cell r="L54">
            <v>2763.2586061080005</v>
          </cell>
          <cell r="N54">
            <v>4.7836558476302082E-2</v>
          </cell>
          <cell r="O54">
            <v>2.1058624615309718E-2</v>
          </cell>
          <cell r="P54">
            <v>3.457691146959152E-2</v>
          </cell>
        </row>
        <row r="55">
          <cell r="C55">
            <v>5033.5</v>
          </cell>
        </row>
        <row r="56">
          <cell r="C56">
            <v>26770.25</v>
          </cell>
        </row>
        <row r="57">
          <cell r="B57" t="str">
            <v>Other</v>
          </cell>
          <cell r="C57">
            <v>11023</v>
          </cell>
          <cell r="D57">
            <v>12637.3</v>
          </cell>
          <cell r="E57">
            <v>918</v>
          </cell>
          <cell r="F57">
            <v>914.2</v>
          </cell>
          <cell r="G57">
            <v>927</v>
          </cell>
          <cell r="H57">
            <v>927</v>
          </cell>
          <cell r="I57">
            <v>927</v>
          </cell>
          <cell r="J57">
            <v>927</v>
          </cell>
          <cell r="K57">
            <v>927</v>
          </cell>
          <cell r="L57">
            <v>927</v>
          </cell>
          <cell r="M57">
            <v>1.9022981639181813E-2</v>
          </cell>
          <cell r="N57">
            <v>1.9022981639181813E-2</v>
          </cell>
          <cell r="O57" t="str">
            <v xml:space="preserve">5-yr </v>
          </cell>
          <cell r="P57" t="str">
            <v>4-yr</v>
          </cell>
          <cell r="Q57" t="str">
            <v>3-yr</v>
          </cell>
        </row>
        <row r="58">
          <cell r="B58" t="str">
            <v>Total Revenues</v>
          </cell>
          <cell r="C58">
            <v>278</v>
          </cell>
          <cell r="D58">
            <v>34504.300000000003</v>
          </cell>
          <cell r="E58">
            <v>45188.364000000001</v>
          </cell>
          <cell r="F58">
            <v>52516</v>
          </cell>
          <cell r="G58">
            <v>51307</v>
          </cell>
          <cell r="H58">
            <v>51447.437212663077</v>
          </cell>
          <cell r="I58">
            <v>51078.053269491807</v>
          </cell>
          <cell r="J58">
            <v>53032.429129876822</v>
          </cell>
          <cell r="K58">
            <v>55601.585416849426</v>
          </cell>
          <cell r="L58">
            <v>57394.736318321411</v>
          </cell>
          <cell r="O58">
            <v>3.2530716810986737E-2</v>
          </cell>
          <cell r="P58">
            <v>2.4494228813634056E-3</v>
          </cell>
          <cell r="Q58">
            <v>1.1086471692310251E-2</v>
          </cell>
        </row>
        <row r="59">
          <cell r="B59" t="str">
            <v>COGS</v>
          </cell>
          <cell r="C59">
            <v>11178.25</v>
          </cell>
          <cell r="D59">
            <v>4895</v>
          </cell>
          <cell r="E59">
            <v>6932</v>
          </cell>
          <cell r="F59">
            <v>7502</v>
          </cell>
          <cell r="G59">
            <v>8326</v>
          </cell>
          <cell r="H59">
            <v>8231.5899540260907</v>
          </cell>
          <cell r="I59">
            <v>8172.488523118689</v>
          </cell>
          <cell r="J59">
            <v>8273.0589442607834</v>
          </cell>
          <cell r="K59">
            <v>8562.6441541948116</v>
          </cell>
          <cell r="L59">
            <v>8723.9999203848529</v>
          </cell>
          <cell r="N59">
            <v>2.0299416805708237E-2</v>
          </cell>
          <cell r="O59">
            <v>2.7371940020479713E-3</v>
          </cell>
          <cell r="P59">
            <v>-7.1798317503043441E-3</v>
          </cell>
          <cell r="Q59">
            <v>3.8262536163498062E-2</v>
          </cell>
        </row>
        <row r="60">
          <cell r="C60">
            <v>278</v>
          </cell>
        </row>
        <row r="61">
          <cell r="C61">
            <v>11178.25</v>
          </cell>
        </row>
        <row r="62">
          <cell r="B62" t="str">
            <v>R&amp;D</v>
          </cell>
          <cell r="C62">
            <v>16</v>
          </cell>
          <cell r="D62">
            <v>5232</v>
          </cell>
          <cell r="E62">
            <v>6964</v>
          </cell>
          <cell r="F62">
            <v>7619</v>
          </cell>
          <cell r="G62">
            <v>7391</v>
          </cell>
          <cell r="H62">
            <v>7717.1155818994603</v>
          </cell>
          <cell r="I62">
            <v>7559.5518838847875</v>
          </cell>
          <cell r="J62">
            <v>7742.7346529620145</v>
          </cell>
          <cell r="K62">
            <v>8006.6283000263165</v>
          </cell>
          <cell r="L62">
            <v>8264.8420298382807</v>
          </cell>
        </row>
        <row r="63">
          <cell r="C63">
            <v>2850.8362414456324</v>
          </cell>
        </row>
        <row r="64">
          <cell r="C64">
            <v>16</v>
          </cell>
        </row>
        <row r="65">
          <cell r="B65" t="str">
            <v>Net Income</v>
          </cell>
          <cell r="C65">
            <v>8311.4137585543685</v>
          </cell>
          <cell r="D65">
            <v>9839.658730907031</v>
          </cell>
          <cell r="E65">
            <v>12706.000000000004</v>
          </cell>
          <cell r="F65">
            <v>16139</v>
          </cell>
          <cell r="G65">
            <v>14688.548148955091</v>
          </cell>
          <cell r="H65">
            <v>15823.914018236352</v>
          </cell>
          <cell r="I65">
            <v>17073.736283529113</v>
          </cell>
          <cell r="J65">
            <v>18688.197535643285</v>
          </cell>
          <cell r="K65">
            <v>19757.138609490099</v>
          </cell>
          <cell r="L65">
            <v>5458.4769783143311</v>
          </cell>
        </row>
        <row r="66">
          <cell r="B66" t="str">
            <v>Tax Rate</v>
          </cell>
          <cell r="C66">
            <v>8311.4137585543685</v>
          </cell>
          <cell r="D66">
            <v>0.22675843861964926</v>
          </cell>
          <cell r="E66">
            <v>0.22449353185257501</v>
          </cell>
          <cell r="F66">
            <v>0.2178524725141667</v>
          </cell>
          <cell r="G66">
            <v>0.22253287770529151</v>
          </cell>
          <cell r="H66">
            <v>0.22253287770529151</v>
          </cell>
          <cell r="I66">
            <v>0.22253287770529151</v>
          </cell>
          <cell r="J66">
            <v>0.22253287770529151</v>
          </cell>
          <cell r="K66">
            <v>0.22253287770529151</v>
          </cell>
          <cell r="L66">
            <v>0.22253287770529151</v>
          </cell>
        </row>
        <row r="67">
          <cell r="B67" t="str">
            <v>Taxes</v>
          </cell>
          <cell r="C67">
            <v>8311.4137585543685</v>
          </cell>
          <cell r="D67">
            <v>2885.8412690929654</v>
          </cell>
          <cell r="E67">
            <v>3679</v>
          </cell>
          <cell r="F67">
            <v>4498</v>
          </cell>
          <cell r="G67">
            <v>4300.2253287770527</v>
          </cell>
          <cell r="H67">
            <v>4178.4093765221669</v>
          </cell>
          <cell r="I67">
            <v>4342.8202118084519</v>
          </cell>
          <cell r="J67">
            <v>4649.8091081510256</v>
          </cell>
          <cell r="K67">
            <v>4948.1624534593402</v>
          </cell>
          <cell r="L67">
            <v>5141.807559577871</v>
          </cell>
        </row>
        <row r="68">
          <cell r="C68">
            <v>-523</v>
          </cell>
        </row>
        <row r="69">
          <cell r="B69" t="str">
            <v>Amortization expense</v>
          </cell>
          <cell r="C69">
            <v>8311.4137585543685</v>
          </cell>
          <cell r="D69">
            <v>278</v>
          </cell>
          <cell r="E69">
            <v>-2373</v>
          </cell>
          <cell r="F69">
            <v>-2300</v>
          </cell>
          <cell r="G69">
            <v>-2400</v>
          </cell>
          <cell r="H69">
            <v>-2500</v>
          </cell>
          <cell r="I69">
            <v>-2500</v>
          </cell>
          <cell r="J69">
            <v>-2500</v>
          </cell>
          <cell r="K69">
            <v>-2488</v>
          </cell>
          <cell r="L69">
            <v>0</v>
          </cell>
        </row>
        <row r="70">
          <cell r="C70">
            <v>-523</v>
          </cell>
        </row>
        <row r="71">
          <cell r="C71">
            <v>-523</v>
          </cell>
        </row>
        <row r="72">
          <cell r="C72">
            <v>7788</v>
          </cell>
        </row>
        <row r="73">
          <cell r="B73" t="str">
            <v>IPR &amp; D / Product Licensing Charges</v>
          </cell>
          <cell r="C73">
            <v>0.24</v>
          </cell>
          <cell r="D73">
            <v>0.22399999999999998</v>
          </cell>
          <cell r="E73">
            <v>-5052</v>
          </cell>
          <cell r="F73">
            <v>-822</v>
          </cell>
          <cell r="G73">
            <v>-1434.88</v>
          </cell>
          <cell r="H73">
            <v>0</v>
          </cell>
          <cell r="I73">
            <v>0</v>
          </cell>
          <cell r="J73">
            <v>0</v>
          </cell>
          <cell r="K73">
            <v>0</v>
          </cell>
          <cell r="L73">
            <v>0</v>
          </cell>
          <cell r="M73" t="str">
            <v>5-yr growth</v>
          </cell>
        </row>
        <row r="74">
          <cell r="C74">
            <v>1.3066206191722007</v>
          </cell>
        </row>
        <row r="75">
          <cell r="C75">
            <v>0.24</v>
          </cell>
        </row>
        <row r="76">
          <cell r="B76" t="str">
            <v>Disc. Operations</v>
          </cell>
          <cell r="C76" t="str">
            <v>--</v>
          </cell>
          <cell r="D76">
            <v>1.4E-2</v>
          </cell>
          <cell r="E76">
            <v>0</v>
          </cell>
          <cell r="F76">
            <v>0</v>
          </cell>
          <cell r="G76">
            <v>0</v>
          </cell>
          <cell r="H76">
            <v>0</v>
          </cell>
          <cell r="I76">
            <v>0</v>
          </cell>
          <cell r="J76">
            <v>0</v>
          </cell>
          <cell r="K76">
            <v>0</v>
          </cell>
          <cell r="L76" t="e">
            <v>#VALUE!</v>
          </cell>
          <cell r="N76" t="str">
            <v xml:space="preserve">5-yr </v>
          </cell>
          <cell r="O76" t="str">
            <v>4-yr</v>
          </cell>
          <cell r="P76" t="str">
            <v>3-yr</v>
          </cell>
        </row>
        <row r="77">
          <cell r="C77">
            <v>1.3066206191722007</v>
          </cell>
        </row>
        <row r="78">
          <cell r="A78" t="str">
            <v>E = Morgan Stanley Research Estimates       A = Actual       NM = Not Meaningful</v>
          </cell>
          <cell r="B78" t="str">
            <v>Annual EPS Growth</v>
          </cell>
          <cell r="C78" t="str">
            <v>--</v>
          </cell>
          <cell r="D78">
            <v>0.21730251857770955</v>
          </cell>
          <cell r="E78">
            <v>9.6466833783490857E-2</v>
          </cell>
          <cell r="F78">
            <v>0.21541873260468503</v>
          </cell>
          <cell r="G78">
            <v>-6.6884112980431509E-2</v>
          </cell>
          <cell r="H78">
            <v>9.5476329711248864E-2</v>
          </cell>
          <cell r="I78">
            <v>9.7351363477136355E-2</v>
          </cell>
          <cell r="J78">
            <v>0.11319820092536625</v>
          </cell>
          <cell r="K78">
            <v>7.5359194018708164E-2</v>
          </cell>
          <cell r="L78">
            <v>0</v>
          </cell>
          <cell r="M78">
            <v>0.36119642176862454</v>
          </cell>
          <cell r="N78">
            <v>0.10862324730854733</v>
          </cell>
          <cell r="O78" t="str">
            <v>3-yr</v>
          </cell>
          <cell r="P78" t="str">
            <v>3-yr</v>
          </cell>
          <cell r="Q78" t="str">
            <v>3-yr</v>
          </cell>
        </row>
        <row r="79">
          <cell r="C79">
            <v>6361</v>
          </cell>
        </row>
        <row r="80">
          <cell r="C80">
            <v>6361</v>
          </cell>
        </row>
        <row r="81">
          <cell r="C81" t="str">
            <v>2001A</v>
          </cell>
        </row>
        <row r="82">
          <cell r="A82" t="str">
            <v>E = Morgan Stanley Research Estimates       A = Actual       NM = Not Meaningful</v>
          </cell>
          <cell r="B82" t="str">
            <v>Annual EPS Growth</v>
          </cell>
          <cell r="C82" t="str">
            <v>--</v>
          </cell>
          <cell r="D82">
            <v>0.21730251857770955</v>
          </cell>
          <cell r="E82">
            <v>9.6466833783490857E-2</v>
          </cell>
          <cell r="F82">
            <v>0.21541873260468503</v>
          </cell>
          <cell r="G82">
            <v>-4.5128364617502137E-2</v>
          </cell>
          <cell r="H82">
            <v>-1.1417267627672367E-2</v>
          </cell>
          <cell r="I82">
            <v>6.0022056384030797E-2</v>
          </cell>
          <cell r="J82">
            <v>8.8910689479803073E-2</v>
          </cell>
          <cell r="K82">
            <v>8.2443417718437439E-2</v>
          </cell>
          <cell r="L82">
            <v>5.7270013899494154E-2</v>
          </cell>
          <cell r="N82">
            <v>0.32202092269528504</v>
          </cell>
          <cell r="O82" t="str">
            <v xml:space="preserve">5-yr </v>
          </cell>
          <cell r="P82" t="str">
            <v>4-yr</v>
          </cell>
          <cell r="Q82" t="str">
            <v>3-yr</v>
          </cell>
        </row>
        <row r="83">
          <cell r="B83" t="str">
            <v>Shares</v>
          </cell>
          <cell r="C83">
            <v>0.84173250009825884</v>
          </cell>
          <cell r="D83">
            <v>6241.25</v>
          </cell>
          <cell r="E83">
            <v>7285.6</v>
          </cell>
          <cell r="F83">
            <v>7613.9</v>
          </cell>
          <cell r="G83">
            <v>7411</v>
          </cell>
          <cell r="H83">
            <v>7285.7784999999994</v>
          </cell>
          <cell r="I83">
            <v>7142.6354999999994</v>
          </cell>
          <cell r="J83">
            <v>7022.5154999999995</v>
          </cell>
          <cell r="K83">
            <v>6903.3964999999989</v>
          </cell>
          <cell r="L83">
            <v>6784.2774999999992</v>
          </cell>
          <cell r="N83">
            <v>0.27389427162905911</v>
          </cell>
          <cell r="O83">
            <v>0.27674220698375618</v>
          </cell>
          <cell r="P83">
            <v>5.1004390405978484E-2</v>
          </cell>
          <cell r="Q83">
            <v>0.17947633737473057</v>
          </cell>
        </row>
        <row r="84">
          <cell r="A84" t="str">
            <v>E = Morgan Stanley Research Estimates       A = Actual       NM = Not Meaningful</v>
          </cell>
          <cell r="B84" t="str">
            <v>ADDITIONAL DATA</v>
          </cell>
          <cell r="C84">
            <v>0.84173250009825884</v>
          </cell>
          <cell r="D84" t="str">
            <v>2002E</v>
          </cell>
          <cell r="E84" t="str">
            <v>2003E</v>
          </cell>
          <cell r="F84" t="str">
            <v>2004E</v>
          </cell>
          <cell r="G84" t="str">
            <v>2005E</v>
          </cell>
          <cell r="H84" t="str">
            <v>2006E</v>
          </cell>
          <cell r="I84" t="str">
            <v>2007E</v>
          </cell>
          <cell r="J84" t="str">
            <v>2008E</v>
          </cell>
          <cell r="K84" t="str">
            <v>2008E</v>
          </cell>
          <cell r="L84" t="e">
            <v>#VALUE!</v>
          </cell>
          <cell r="O84" t="str">
            <v xml:space="preserve">5-yr </v>
          </cell>
          <cell r="P84" t="str">
            <v>4-yr</v>
          </cell>
          <cell r="Q84" t="str">
            <v>3-yr</v>
          </cell>
        </row>
        <row r="85">
          <cell r="B85" t="str">
            <v>Reported EPS</v>
          </cell>
          <cell r="C85">
            <v>0.34273474040011004</v>
          </cell>
          <cell r="D85">
            <v>0.36625290181223785</v>
          </cell>
          <cell r="E85">
            <v>0.53667508509937456</v>
          </cell>
          <cell r="F85">
            <v>1.4921393766663602</v>
          </cell>
          <cell r="G85">
            <v>1.1095830522196732</v>
          </cell>
          <cell r="H85">
            <v>1.4510630655492163</v>
          </cell>
          <cell r="I85">
            <v>1.4872086334427135</v>
          </cell>
          <cell r="J85">
            <v>1.838532334554182</v>
          </cell>
          <cell r="K85">
            <v>2.1395966857793569</v>
          </cell>
          <cell r="L85">
            <v>2.2764436841654829</v>
          </cell>
          <cell r="O85">
            <v>0.27923981435226786</v>
          </cell>
          <cell r="P85">
            <v>5.3575032574772807E-2</v>
          </cell>
          <cell r="Q85">
            <v>0.18332439860263916</v>
          </cell>
        </row>
        <row r="86">
          <cell r="B86" t="str">
            <v>Pre-tax margin</v>
          </cell>
          <cell r="C86">
            <v>0.35147584797390247</v>
          </cell>
          <cell r="D86">
            <v>0.36883808684714653</v>
          </cell>
          <cell r="E86">
            <v>0.36265973249219652</v>
          </cell>
          <cell r="F86">
            <v>20.105360443622921</v>
          </cell>
          <cell r="G86">
            <v>27.037182967049009</v>
          </cell>
          <cell r="H86">
            <v>20.674497692245534</v>
          </cell>
          <cell r="I86">
            <v>20.172018454837449</v>
          </cell>
          <cell r="J86">
            <v>16.317363277309219</v>
          </cell>
          <cell r="K86">
            <v>14.021334113757227</v>
          </cell>
          <cell r="L86">
            <v>13.178450320855463</v>
          </cell>
        </row>
        <row r="87">
          <cell r="C87">
            <v>0.34273474040011004</v>
          </cell>
        </row>
        <row r="88">
          <cell r="B88" t="str">
            <v>ADDITIONAL DATA</v>
          </cell>
          <cell r="C88">
            <v>0.35147584797390247</v>
          </cell>
          <cell r="D88" t="str">
            <v>2002E</v>
          </cell>
          <cell r="E88" t="str">
            <v>2003E</v>
          </cell>
          <cell r="F88" t="str">
            <v>2004E</v>
          </cell>
          <cell r="G88" t="str">
            <v>2005E</v>
          </cell>
          <cell r="H88" t="str">
            <v>2006E</v>
          </cell>
          <cell r="I88" t="str">
            <v>2007E</v>
          </cell>
          <cell r="J88" t="str">
            <v>2008E</v>
          </cell>
          <cell r="K88" t="str">
            <v>2009E</v>
          </cell>
          <cell r="L88" t="str">
            <v>2010E</v>
          </cell>
        </row>
        <row r="89">
          <cell r="B89" t="str">
            <v>Growth</v>
          </cell>
          <cell r="C89" t="str">
            <v>--</v>
          </cell>
          <cell r="D89">
            <v>0.11763974125062204</v>
          </cell>
          <cell r="E89">
            <v>0.4703372537379884</v>
          </cell>
          <cell r="F89">
            <v>0.16203414266607674</v>
          </cell>
          <cell r="G89">
            <v>4.8362036422100019E-2</v>
          </cell>
          <cell r="H89">
            <v>5.0536885426534228E-2</v>
          </cell>
          <cell r="I89">
            <v>1.2784324596068597E-2</v>
          </cell>
          <cell r="J89">
            <v>5.7327265370455072E-2</v>
          </cell>
          <cell r="K89">
            <v>0.3314167839128373</v>
          </cell>
          <cell r="L89">
            <v>0.44686978704254876</v>
          </cell>
        </row>
        <row r="90">
          <cell r="C90" t="str">
            <v>--</v>
          </cell>
        </row>
        <row r="91">
          <cell r="B91" t="str">
            <v xml:space="preserve">   Animal Health</v>
          </cell>
          <cell r="C91">
            <v>0.26133439479792064</v>
          </cell>
          <cell r="D91">
            <v>4.8855597170204046E-2</v>
          </cell>
          <cell r="E91">
            <v>0.26834153308998565</v>
          </cell>
          <cell r="F91">
            <v>0.17847799374860784</v>
          </cell>
          <cell r="G91">
            <v>9.9999999999999867E-2</v>
          </cell>
          <cell r="H91">
            <v>8.0000000000000293E-2</v>
          </cell>
          <cell r="I91">
            <v>6.5888413307703564E-2</v>
          </cell>
          <cell r="J91">
            <v>-0.23457019658113643</v>
          </cell>
          <cell r="K91">
            <v>5.5597331095601721E-2</v>
          </cell>
          <cell r="L91">
            <v>0.29035026674814912</v>
          </cell>
        </row>
        <row r="92">
          <cell r="B92" t="str">
            <v>Pre-tax margin</v>
          </cell>
          <cell r="C92" t="str">
            <v>--</v>
          </cell>
          <cell r="D92">
            <v>0.36883808684714653</v>
          </cell>
          <cell r="E92">
            <v>0.36265973249219652</v>
          </cell>
          <cell r="F92">
            <v>0.39315637139157589</v>
          </cell>
          <cell r="G92">
            <v>0.37663476718576411</v>
          </cell>
          <cell r="H92">
            <v>0.36496654603085166</v>
          </cell>
          <cell r="I92">
            <v>0.38207034418438063</v>
          </cell>
          <cell r="J92">
            <v>0.39400290101057062</v>
          </cell>
          <cell r="K92">
            <v>0.39991030037682868</v>
          </cell>
          <cell r="L92">
            <v>0.40257756561385377</v>
          </cell>
        </row>
        <row r="93">
          <cell r="B93" t="str">
            <v>Net income margin</v>
          </cell>
          <cell r="C93" t="str">
            <v>--</v>
          </cell>
          <cell r="D93">
            <v>0.28517195627521874</v>
          </cell>
          <cell r="E93">
            <v>0.28117857951219483</v>
          </cell>
          <cell r="F93">
            <v>0.30731586564094754</v>
          </cell>
          <cell r="G93">
            <v>0.2923577679458943</v>
          </cell>
          <cell r="H93">
            <v>0.28336074399317895</v>
          </cell>
          <cell r="I93">
            <v>0.29659683976607315</v>
          </cell>
          <cell r="J93">
            <v>0.30583403556599631</v>
          </cell>
          <cell r="K93">
            <v>0.3103955425485192</v>
          </cell>
          <cell r="L93">
            <v>0.31243327902138601</v>
          </cell>
        </row>
        <row r="94">
          <cell r="C94" t="str">
            <v>--</v>
          </cell>
        </row>
        <row r="95">
          <cell r="C95" t="str">
            <v>--</v>
          </cell>
        </row>
        <row r="96">
          <cell r="C96" t="str">
            <v>--</v>
          </cell>
        </row>
        <row r="97">
          <cell r="B97" t="str">
            <v xml:space="preserve">   Animal Health</v>
          </cell>
          <cell r="C97" t="str">
            <v>--</v>
          </cell>
          <cell r="D97">
            <v>4.8855597170204046E-2</v>
          </cell>
          <cell r="E97">
            <v>0.26834153308998565</v>
          </cell>
          <cell r="F97">
            <v>0.22187436653978687</v>
          </cell>
          <cell r="G97">
            <v>0.13005632360471076</v>
          </cell>
          <cell r="H97">
            <v>6.6502038966923527E-2</v>
          </cell>
          <cell r="I97">
            <v>5.1140595725155835E-2</v>
          </cell>
          <cell r="J97">
            <v>4.1234492813512214E-2</v>
          </cell>
          <cell r="K97">
            <v>3.5664534519171065E-2</v>
          </cell>
          <cell r="L97">
            <v>3.5688247210930335E-2</v>
          </cell>
        </row>
        <row r="98">
          <cell r="B98" t="str">
            <v xml:space="preserve">   Consumer Health</v>
          </cell>
          <cell r="C98" t="str">
            <v>--</v>
          </cell>
          <cell r="D98">
            <v>4.6885465505692725E-3</v>
          </cell>
          <cell r="E98">
            <v>1.4000000000000012E-2</v>
          </cell>
          <cell r="F98">
            <v>0.15581854043392496</v>
          </cell>
          <cell r="G98">
            <v>0.10295790671217286</v>
          </cell>
          <cell r="H98">
            <v>1.0015471892728334E-2</v>
          </cell>
          <cell r="I98">
            <v>2.4942759979983853E-2</v>
          </cell>
          <cell r="J98">
            <v>1.496714838932367E-2</v>
          </cell>
          <cell r="K98">
            <v>4.9917786651028084E-3</v>
          </cell>
          <cell r="L98">
            <v>5.0166544232337351E-3</v>
          </cell>
        </row>
        <row r="99">
          <cell r="C99" t="str">
            <v>--</v>
          </cell>
        </row>
        <row r="100">
          <cell r="C100" t="str">
            <v>--</v>
          </cell>
        </row>
        <row r="101">
          <cell r="B101" t="str">
            <v>Pre-tax profit</v>
          </cell>
          <cell r="C101" t="str">
            <v>--</v>
          </cell>
          <cell r="D101">
            <v>0.13850558003265268</v>
          </cell>
          <cell r="E101">
            <v>0.2877067536243274</v>
          </cell>
          <cell r="F101">
            <v>0.25988528191359506</v>
          </cell>
          <cell r="G101">
            <v>-7.5757797022485973E-2</v>
          </cell>
          <cell r="H101">
            <v>7.7269687196825476E-2</v>
          </cell>
          <cell r="I101">
            <v>7.8958181455333287E-2</v>
          </cell>
          <cell r="J101">
            <v>9.4530486642104616E-2</v>
          </cell>
          <cell r="K101">
            <v>5.7236921174491862E-2</v>
          </cell>
          <cell r="L101">
            <v>-0.13499220847389848</v>
          </cell>
        </row>
        <row r="102">
          <cell r="B102" t="str">
            <v>Sales of Products:</v>
          </cell>
          <cell r="C102" t="str">
            <v>--</v>
          </cell>
          <cell r="D102">
            <v>10</v>
          </cell>
          <cell r="E102">
            <v>14</v>
          </cell>
          <cell r="F102">
            <v>15</v>
          </cell>
          <cell r="G102">
            <v>17</v>
          </cell>
          <cell r="H102">
            <v>19</v>
          </cell>
          <cell r="I102">
            <v>21</v>
          </cell>
          <cell r="J102">
            <v>23</v>
          </cell>
          <cell r="K102">
            <v>5.7198725120925387E-2</v>
          </cell>
          <cell r="L102">
            <v>0.10228355392021737</v>
          </cell>
        </row>
        <row r="103">
          <cell r="B103" t="str">
            <v>R&amp;D</v>
          </cell>
          <cell r="C103">
            <v>10</v>
          </cell>
          <cell r="D103">
            <v>7.943057561378164E-2</v>
          </cell>
          <cell r="E103">
            <v>0.33103975535168195</v>
          </cell>
          <cell r="F103">
            <v>9.4055140723722008E-2</v>
          </cell>
          <cell r="G103">
            <v>-2.9925187032418976E-2</v>
          </cell>
          <cell r="H103">
            <v>4.4123336747322384E-2</v>
          </cell>
          <cell r="I103">
            <v>-2.0417433993633494E-2</v>
          </cell>
          <cell r="J103">
            <v>2.4231961350477782E-2</v>
          </cell>
          <cell r="K103">
            <v>3.4082744520161024E-2</v>
          </cell>
          <cell r="L103">
            <v>3.2249995895415218E-2</v>
          </cell>
        </row>
        <row r="104">
          <cell r="C104">
            <v>7</v>
          </cell>
        </row>
        <row r="105">
          <cell r="B105" t="str">
            <v>Concentration of Pharmaceutical Revenues</v>
          </cell>
          <cell r="C105">
            <v>10</v>
          </cell>
          <cell r="D105">
            <v>10</v>
          </cell>
          <cell r="E105">
            <v>14</v>
          </cell>
          <cell r="F105">
            <v>16</v>
          </cell>
          <cell r="G105">
            <v>16</v>
          </cell>
          <cell r="H105">
            <v>16</v>
          </cell>
          <cell r="I105">
            <v>18</v>
          </cell>
          <cell r="J105">
            <v>20</v>
          </cell>
          <cell r="K105">
            <v>22</v>
          </cell>
          <cell r="L105">
            <v>3.9134751120216471E-2</v>
          </cell>
        </row>
        <row r="106">
          <cell r="C106">
            <v>7</v>
          </cell>
        </row>
        <row r="107">
          <cell r="C107">
            <v>0.26741582351965498</v>
          </cell>
        </row>
        <row r="108">
          <cell r="C108">
            <v>0.41594791839442691</v>
          </cell>
        </row>
        <row r="109">
          <cell r="C109" t="e">
            <v>#REF!</v>
          </cell>
        </row>
        <row r="110">
          <cell r="C110" t="e">
            <v>#REF!</v>
          </cell>
        </row>
        <row r="111">
          <cell r="C111" t="e">
            <v>#REF!</v>
          </cell>
        </row>
        <row r="112">
          <cell r="C112" t="e">
            <v>#REF!</v>
          </cell>
        </row>
        <row r="113">
          <cell r="B113" t="str">
            <v>Top Product</v>
          </cell>
          <cell r="C113" t="e">
            <v>#REF!</v>
          </cell>
          <cell r="D113" t="e">
            <v>#REF!</v>
          </cell>
          <cell r="E113" t="e">
            <v>#REF!</v>
          </cell>
          <cell r="F113" t="e">
            <v>#REF!</v>
          </cell>
          <cell r="G113" t="e">
            <v>#REF!</v>
          </cell>
          <cell r="H113" t="e">
            <v>#REF!</v>
          </cell>
          <cell r="I113" t="e">
            <v>#REF!</v>
          </cell>
          <cell r="J113" t="e">
            <v>#REF!</v>
          </cell>
          <cell r="K113" t="e">
            <v>#REF!</v>
          </cell>
          <cell r="L113" t="e">
            <v>#REF!</v>
          </cell>
        </row>
        <row r="114">
          <cell r="C114" t="e">
            <v>#REF!</v>
          </cell>
        </row>
        <row r="115">
          <cell r="C115" t="e">
            <v>#REF!</v>
          </cell>
        </row>
        <row r="116">
          <cell r="C116" t="e">
            <v>#REF!</v>
          </cell>
        </row>
        <row r="117">
          <cell r="C117" t="e">
            <v>#REF!</v>
          </cell>
        </row>
        <row r="120">
          <cell r="B120" t="str">
            <v>P&amp;L 2003-2005E ($millions)  (Assume $4.0 billion Cost Savings From PHA Merger)</v>
          </cell>
          <cell r="C120" t="str">
            <v>2001A</v>
          </cell>
          <cell r="D120" t="str">
            <v>2002A</v>
          </cell>
          <cell r="E120">
            <v>225</v>
          </cell>
          <cell r="F120">
            <v>400</v>
          </cell>
          <cell r="G120">
            <v>200</v>
          </cell>
          <cell r="H120" t="str">
            <v>2006E</v>
          </cell>
          <cell r="I120" t="str">
            <v>2007E</v>
          </cell>
          <cell r="J120" t="str">
            <v>2008E</v>
          </cell>
        </row>
        <row r="121">
          <cell r="C121" t="str">
            <v>2001A</v>
          </cell>
        </row>
        <row r="122">
          <cell r="B122" t="str">
            <v>COGS</v>
          </cell>
          <cell r="C122">
            <v>0.15826749990174116</v>
          </cell>
          <cell r="D122">
            <v>0.14186637607486602</v>
          </cell>
          <cell r="E122">
            <v>225</v>
          </cell>
          <cell r="F122">
            <v>400</v>
          </cell>
          <cell r="G122">
            <v>200</v>
          </cell>
          <cell r="H122">
            <v>0.14300000000000002</v>
          </cell>
          <cell r="I122">
            <v>0.16000000000000003</v>
          </cell>
          <cell r="J122">
            <v>0.1415495516427559</v>
          </cell>
          <cell r="K122">
            <v>0.16400000000000003</v>
          </cell>
        </row>
        <row r="123">
          <cell r="B123" t="str">
            <v>COGS ex. cost savings</v>
          </cell>
          <cell r="C123">
            <v>0.15826749990174116</v>
          </cell>
          <cell r="D123">
            <v>0.14186637607486602</v>
          </cell>
          <cell r="E123">
            <v>425</v>
          </cell>
          <cell r="F123">
            <v>1400</v>
          </cell>
          <cell r="G123">
            <v>700</v>
          </cell>
          <cell r="H123">
            <v>0</v>
          </cell>
          <cell r="I123">
            <v>0</v>
          </cell>
          <cell r="J123">
            <v>0</v>
          </cell>
          <cell r="K123" t="str">
            <v>2009E</v>
          </cell>
        </row>
        <row r="124">
          <cell r="C124">
            <v>0.15826749990174116</v>
          </cell>
        </row>
        <row r="125">
          <cell r="B125" t="str">
            <v>COGS ex. cost savings</v>
          </cell>
          <cell r="C125">
            <v>0.15826749990174116</v>
          </cell>
          <cell r="D125">
            <v>0.14186637607486602</v>
          </cell>
          <cell r="E125">
            <v>0.15838148068383268</v>
          </cell>
          <cell r="F125">
            <v>0.15046842866935792</v>
          </cell>
          <cell r="G125">
            <v>0.16587993089117409</v>
          </cell>
          <cell r="H125">
            <v>0.30200000000000005</v>
          </cell>
          <cell r="I125">
            <v>0.29400000000000004</v>
          </cell>
          <cell r="J125">
            <v>0.29320978554570865</v>
          </cell>
          <cell r="K125">
            <v>0.32000000000000006</v>
          </cell>
          <cell r="L125" t="str">
            <v>2010E</v>
          </cell>
        </row>
        <row r="126">
          <cell r="C126">
            <v>0</v>
          </cell>
        </row>
        <row r="127">
          <cell r="B127" t="str">
            <v xml:space="preserve">SG&amp;A </v>
          </cell>
          <cell r="C127">
            <v>0.34659434815076839</v>
          </cell>
          <cell r="D127">
            <v>0.34024744741959695</v>
          </cell>
          <cell r="E127">
            <v>0.33641403791471625</v>
          </cell>
          <cell r="F127">
            <v>0.32186381293320132</v>
          </cell>
          <cell r="G127">
            <v>0.31900000000000006</v>
          </cell>
          <cell r="H127">
            <v>0.31400000000000011</v>
          </cell>
          <cell r="I127">
            <v>0.30150000000000005</v>
          </cell>
          <cell r="J127">
            <v>0.29649999999999993</v>
          </cell>
          <cell r="K127">
            <v>0.29719999999999996</v>
          </cell>
          <cell r="L127" t="str">
            <v>2010E</v>
          </cell>
        </row>
        <row r="128">
          <cell r="C128">
            <v>0.34659434815076839</v>
          </cell>
        </row>
        <row r="129">
          <cell r="C129">
            <v>0.15240341154738041</v>
          </cell>
        </row>
        <row r="130">
          <cell r="B130" t="str">
            <v>R&amp;D ex. Cost savings</v>
          </cell>
          <cell r="C130">
            <v>0.15240341154738041</v>
          </cell>
          <cell r="D130">
            <v>0.1516332746932991</v>
          </cell>
          <cell r="E130">
            <v>0.1618558264246964</v>
          </cell>
          <cell r="F130">
            <v>0.14888795795567064</v>
          </cell>
          <cell r="G130">
            <v>0.15543996544558705</v>
          </cell>
          <cell r="H130">
            <v>0.14700000000000002</v>
          </cell>
          <cell r="I130">
            <v>0.13770000000000002</v>
          </cell>
          <cell r="J130">
            <v>0.1358</v>
          </cell>
          <cell r="K130">
            <v>0.13600000000000001</v>
          </cell>
          <cell r="L130">
            <v>0</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2002"/>
      <sheetName val="__FDSCACHE__"/>
      <sheetName val="2003"/>
      <sheetName val="Natrecor-US"/>
      <sheetName val="Annual"/>
      <sheetName val="Balance Sheet"/>
      <sheetName val="Cash Flow"/>
      <sheetName val="Milestones"/>
      <sheetName val="Snap"/>
      <sheetName val="Sheet2"/>
      <sheetName val="NY UPLOAD shadow"/>
      <sheetName val="vendor"/>
    </sheetNames>
    <sheetDataSet>
      <sheetData sheetId="0"/>
      <sheetData sheetId="1"/>
      <sheetData sheetId="2"/>
      <sheetData sheetId="3"/>
      <sheetData sheetId="4"/>
      <sheetData sheetId="5" refreshError="1">
        <row r="18">
          <cell r="G18">
            <v>118000</v>
          </cell>
          <cell r="I18">
            <v>125000</v>
          </cell>
          <cell r="K18">
            <v>130000</v>
          </cell>
        </row>
      </sheetData>
      <sheetData sheetId="6"/>
      <sheetData sheetId="7"/>
      <sheetData sheetId="8"/>
      <sheetData sheetId="9"/>
      <sheetData sheetId="10"/>
      <sheetData sheetId="1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Annual"/>
      <sheetName val="diabetes_multiple"/>
      <sheetName val="TR Convert"/>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refreshError="1"/>
      <sheetData sheetId="49"/>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ly"/>
      <sheetName val="Annual"/>
      <sheetName val="Balance Sheet "/>
      <sheetName val="mwareTaxoPres"/>
      <sheetName val="Cashflow"/>
      <sheetName val="__FDSCACHE__"/>
      <sheetName val="MS Est vs Rep"/>
      <sheetName val="Model_Template"/>
      <sheetName val="mwarePreview"/>
      <sheetName val="Changes to Model"/>
      <sheetName val="Differences"/>
      <sheetName val="NPV Valuation"/>
      <sheetName val="Pipeline Drugs"/>
      <sheetName val="IND 2014"/>
      <sheetName val="IND 2015"/>
      <sheetName val="IND 2016"/>
      <sheetName val="MLN518"/>
      <sheetName val="MLN2704"/>
      <sheetName val="MLN2222"/>
      <sheetName val="MLN3897"/>
      <sheetName val="MLN02"/>
      <sheetName val="MLN519"/>
      <sheetName val="MLN1021"/>
      <sheetName val="Integrilin"/>
      <sheetName val="Campath"/>
      <sheetName val="Velcade "/>
      <sheetName val="Marketing"/>
      <sheetName val="mwareDates"/>
      <sheetName val="PrMa"/>
      <sheetName val="mwareSettings"/>
      <sheetName val="NY UPLOAD shadow"/>
      <sheetName val="mwareValPrintout"/>
      <sheetName val="mStartup"/>
      <sheetName val="MainCode"/>
    </sheetNames>
    <sheetDataSet>
      <sheetData sheetId="0">
        <row r="1">
          <cell r="A1" t="str">
            <v>Lexicon Genetics Quarterly Income Statement</v>
          </cell>
          <cell r="DD1" t="str">
            <v>ElementName</v>
          </cell>
          <cell r="DE1" t="str">
            <v>ScaleOverride</v>
          </cell>
          <cell r="DF1" t="str">
            <v>UnitOverride</v>
          </cell>
          <cell r="DG1" t="str">
            <v>ReverseSign</v>
          </cell>
          <cell r="DH1" t="str">
            <v>IsDrivingAssumption</v>
          </cell>
          <cell r="DI1" t="str">
            <v>SegmentID</v>
          </cell>
        </row>
        <row r="2">
          <cell r="A2" t="str">
            <v>(Dollars in millions except per-share data)</v>
          </cell>
          <cell r="AW2" t="str">
            <v>Check</v>
          </cell>
          <cell r="AX2" t="str">
            <v>Check</v>
          </cell>
          <cell r="AY2" t="str">
            <v>Guidance</v>
          </cell>
          <cell r="BA2" t="str">
            <v>Check</v>
          </cell>
          <cell r="BD2" t="str">
            <v>Guidance</v>
          </cell>
          <cell r="BF2" t="str">
            <v>Guidance</v>
          </cell>
          <cell r="BH2" t="str">
            <v>Guidance</v>
          </cell>
        </row>
        <row r="4">
          <cell r="B4" t="str">
            <v>1Q02A</v>
          </cell>
          <cell r="C4" t="str">
            <v>% chg</v>
          </cell>
          <cell r="D4" t="str">
            <v>2Q02A</v>
          </cell>
          <cell r="E4" t="str">
            <v>% chg</v>
          </cell>
          <cell r="F4" t="str">
            <v>3Q02A</v>
          </cell>
          <cell r="G4" t="str">
            <v>% chg</v>
          </cell>
          <cell r="H4" t="str">
            <v>4Q02A</v>
          </cell>
          <cell r="I4" t="str">
            <v>% chg</v>
          </cell>
          <cell r="J4" t="str">
            <v>2002A</v>
          </cell>
          <cell r="K4" t="str">
            <v>% chg</v>
          </cell>
          <cell r="N4" t="str">
            <v>1Q03A</v>
          </cell>
          <cell r="O4" t="str">
            <v>% chg</v>
          </cell>
          <cell r="P4" t="str">
            <v>2Q03A</v>
          </cell>
          <cell r="Q4" t="str">
            <v>% chg</v>
          </cell>
          <cell r="R4" t="str">
            <v>3Q03A</v>
          </cell>
          <cell r="S4" t="str">
            <v>% chg</v>
          </cell>
          <cell r="T4" t="str">
            <v>4Q03A</v>
          </cell>
          <cell r="U4" t="str">
            <v>% chg</v>
          </cell>
          <cell r="V4" t="str">
            <v>2003A</v>
          </cell>
          <cell r="W4" t="str">
            <v>% chg</v>
          </cell>
          <cell r="Z4" t="str">
            <v>1Q04A</v>
          </cell>
          <cell r="AA4" t="str">
            <v>% chg</v>
          </cell>
          <cell r="AB4" t="str">
            <v>2Q04A</v>
          </cell>
          <cell r="AC4" t="str">
            <v>% chg</v>
          </cell>
          <cell r="AD4" t="str">
            <v>3Q04A</v>
          </cell>
          <cell r="AE4" t="str">
            <v>% chg</v>
          </cell>
          <cell r="AF4" t="str">
            <v>4Q04A</v>
          </cell>
          <cell r="AG4" t="str">
            <v>% chg</v>
          </cell>
          <cell r="AH4" t="str">
            <v>2004A</v>
          </cell>
          <cell r="AI4" t="str">
            <v>% chg</v>
          </cell>
          <cell r="AL4" t="str">
            <v>1Q05A</v>
          </cell>
          <cell r="AM4" t="str">
            <v>% chg</v>
          </cell>
          <cell r="AN4" t="str">
            <v>2Q05A</v>
          </cell>
          <cell r="AO4" t="str">
            <v>% chg</v>
          </cell>
          <cell r="AP4" t="str">
            <v>3Q05A</v>
          </cell>
          <cell r="AQ4" t="str">
            <v>% chg</v>
          </cell>
          <cell r="AR4" t="str">
            <v>4Q05A</v>
          </cell>
          <cell r="AS4" t="str">
            <v>% chg</v>
          </cell>
          <cell r="AT4" t="str">
            <v>2005A</v>
          </cell>
          <cell r="AU4" t="str">
            <v>% chg</v>
          </cell>
          <cell r="AV4" t="str">
            <v>Guidance</v>
          </cell>
          <cell r="AX4" t="str">
            <v>Annual</v>
          </cell>
          <cell r="BA4" t="str">
            <v>Annual</v>
          </cell>
          <cell r="BD4" t="str">
            <v>1Q</v>
          </cell>
          <cell r="BE4" t="str">
            <v>FY</v>
          </cell>
          <cell r="BF4" t="str">
            <v>2Q</v>
          </cell>
          <cell r="BG4" t="str">
            <v>FY</v>
          </cell>
          <cell r="BH4" t="str">
            <v>3Q</v>
          </cell>
          <cell r="BI4" t="str">
            <v>FY</v>
          </cell>
          <cell r="BJ4" t="str">
            <v>4Q</v>
          </cell>
          <cell r="BK4" t="str">
            <v>FY</v>
          </cell>
          <cell r="BN4" t="str">
            <v>1Q06A</v>
          </cell>
          <cell r="BO4" t="str">
            <v>% chg</v>
          </cell>
          <cell r="BP4" t="str">
            <v>2Q06A</v>
          </cell>
          <cell r="BQ4" t="str">
            <v>% chg</v>
          </cell>
          <cell r="BR4" t="str">
            <v>3Q06A</v>
          </cell>
          <cell r="BS4" t="str">
            <v>% chg</v>
          </cell>
          <cell r="BT4" t="str">
            <v>4Q06A</v>
          </cell>
          <cell r="BU4" t="str">
            <v>% chg</v>
          </cell>
          <cell r="BV4" t="str">
            <v>2006A</v>
          </cell>
          <cell r="BW4" t="str">
            <v>% chg</v>
          </cell>
          <cell r="BZ4" t="str">
            <v>Guidance from 3Q Call</v>
          </cell>
          <cell r="CA4" t="str">
            <v>2006 Guidance</v>
          </cell>
          <cell r="CD4" t="str">
            <v>1Q07A</v>
          </cell>
          <cell r="CE4" t="str">
            <v>% chg</v>
          </cell>
          <cell r="CF4" t="str">
            <v>2Q07A</v>
          </cell>
          <cell r="CG4" t="str">
            <v>% chg</v>
          </cell>
          <cell r="CH4" t="str">
            <v>3Q07A</v>
          </cell>
          <cell r="CI4" t="str">
            <v>% chg</v>
          </cell>
          <cell r="CJ4" t="str">
            <v>4Q07A</v>
          </cell>
          <cell r="CK4" t="str">
            <v>% chg</v>
          </cell>
          <cell r="CL4" t="str">
            <v>2007E</v>
          </cell>
          <cell r="CM4" t="str">
            <v>% chg</v>
          </cell>
          <cell r="CO4" t="str">
            <v>2007 Guidance</v>
          </cell>
          <cell r="CQ4" t="str">
            <v>1Q08E</v>
          </cell>
          <cell r="CR4" t="str">
            <v>% chg</v>
          </cell>
          <cell r="CS4" t="str">
            <v>2Q08E</v>
          </cell>
          <cell r="CT4" t="str">
            <v>% chg</v>
          </cell>
          <cell r="CU4" t="str">
            <v>3Q08E</v>
          </cell>
          <cell r="CV4" t="str">
            <v>% chg</v>
          </cell>
          <cell r="CW4" t="str">
            <v>4Q08E</v>
          </cell>
          <cell r="CX4" t="str">
            <v>% chg</v>
          </cell>
          <cell r="CY4" t="str">
            <v>2008E</v>
          </cell>
          <cell r="CZ4" t="str">
            <v>% chg</v>
          </cell>
          <cell r="DB4" t="str">
            <v>2008 Guidance</v>
          </cell>
        </row>
        <row r="5">
          <cell r="A5" t="str">
            <v>Revenues:</v>
          </cell>
        </row>
        <row r="6">
          <cell r="A6" t="str">
            <v>LX6171</v>
          </cell>
          <cell r="AT6">
            <v>0</v>
          </cell>
          <cell r="BN6">
            <v>0</v>
          </cell>
          <cell r="BP6">
            <v>0</v>
          </cell>
          <cell r="BT6">
            <v>0</v>
          </cell>
          <cell r="BV6">
            <v>0</v>
          </cell>
          <cell r="CD6">
            <v>0</v>
          </cell>
          <cell r="CF6">
            <v>0</v>
          </cell>
          <cell r="CH6">
            <v>0</v>
          </cell>
          <cell r="CJ6">
            <v>0</v>
          </cell>
          <cell r="CL6">
            <v>0</v>
          </cell>
          <cell r="CQ6">
            <v>0</v>
          </cell>
          <cell r="CS6">
            <v>0</v>
          </cell>
          <cell r="CU6">
            <v>0</v>
          </cell>
          <cell r="CW6">
            <v>0</v>
          </cell>
          <cell r="CY6">
            <v>0</v>
          </cell>
        </row>
        <row r="7">
          <cell r="A7" t="str">
            <v>LX1031</v>
          </cell>
          <cell r="AT7">
            <v>0</v>
          </cell>
          <cell r="BN7">
            <v>0</v>
          </cell>
          <cell r="BP7">
            <v>0</v>
          </cell>
          <cell r="BR7">
            <v>0</v>
          </cell>
          <cell r="BT7">
            <v>0</v>
          </cell>
          <cell r="BV7">
            <v>0</v>
          </cell>
          <cell r="CD7">
            <v>0</v>
          </cell>
          <cell r="CF7">
            <v>0</v>
          </cell>
          <cell r="CH7">
            <v>0</v>
          </cell>
          <cell r="CJ7">
            <v>0</v>
          </cell>
          <cell r="CL7">
            <v>0</v>
          </cell>
          <cell r="CQ7">
            <v>0</v>
          </cell>
          <cell r="CS7">
            <v>0</v>
          </cell>
          <cell r="CU7">
            <v>0</v>
          </cell>
          <cell r="CW7">
            <v>0</v>
          </cell>
          <cell r="CY7">
            <v>0</v>
          </cell>
        </row>
        <row r="8">
          <cell r="A8" t="str">
            <v>Subscription and License Fees</v>
          </cell>
          <cell r="B8">
            <v>3.395</v>
          </cell>
          <cell r="D8">
            <v>4.9749999999999996</v>
          </cell>
          <cell r="F8">
            <v>3.319</v>
          </cell>
          <cell r="H8">
            <v>6.1819999999999995</v>
          </cell>
          <cell r="J8">
            <v>17.870999999999999</v>
          </cell>
          <cell r="N8">
            <v>3.1019999999999999</v>
          </cell>
          <cell r="P8">
            <v>4.3099999999999996</v>
          </cell>
          <cell r="R8">
            <v>8.0289999999999999</v>
          </cell>
          <cell r="T8">
            <v>6.1090000000000018</v>
          </cell>
          <cell r="V8">
            <v>21.55</v>
          </cell>
          <cell r="Z8">
            <v>3.548</v>
          </cell>
          <cell r="AB8">
            <v>2.5670000000000002</v>
          </cell>
          <cell r="AD8">
            <v>1.617</v>
          </cell>
          <cell r="AF8">
            <v>4.2720000000000002</v>
          </cell>
          <cell r="AH8">
            <v>12.004000000000001</v>
          </cell>
          <cell r="AL8">
            <v>5.0419999999999998</v>
          </cell>
          <cell r="AN8">
            <v>0.127</v>
          </cell>
          <cell r="AP8">
            <v>0.443</v>
          </cell>
          <cell r="AR8">
            <v>0.501</v>
          </cell>
          <cell r="AT8">
            <v>6.1129999999999995</v>
          </cell>
          <cell r="AY8" t="str">
            <v>Should be decreasing over time</v>
          </cell>
          <cell r="BA8">
            <v>-8.8817841970012523E-13</v>
          </cell>
          <cell r="BB8">
            <v>6.1130000000000004</v>
          </cell>
          <cell r="BN8">
            <v>1.649</v>
          </cell>
          <cell r="BP8">
            <v>0.81299999999999994</v>
          </cell>
          <cell r="BR8">
            <v>0.84299999999999997</v>
          </cell>
          <cell r="BT8">
            <v>1.1200000000000001</v>
          </cell>
          <cell r="BV8">
            <v>4.4249999999999998</v>
          </cell>
          <cell r="CD8">
            <v>1.224</v>
          </cell>
          <cell r="CF8">
            <v>0.17100000000000001</v>
          </cell>
          <cell r="CH8">
            <v>0.45500000000000002</v>
          </cell>
          <cell r="CJ8">
            <v>0.188</v>
          </cell>
          <cell r="CL8">
            <v>2.0380000000000003</v>
          </cell>
          <cell r="CQ8">
            <v>0.5</v>
          </cell>
          <cell r="CS8">
            <v>0.5</v>
          </cell>
          <cell r="CU8">
            <v>0.5</v>
          </cell>
          <cell r="CW8">
            <v>0.5</v>
          </cell>
          <cell r="CY8">
            <v>2</v>
          </cell>
        </row>
        <row r="9">
          <cell r="A9" t="str">
            <v>Collaborative Research</v>
          </cell>
          <cell r="B9">
            <v>4.2560000000000002</v>
          </cell>
          <cell r="D9">
            <v>4.2670000000000003</v>
          </cell>
          <cell r="F9">
            <v>4.6319999999999997</v>
          </cell>
          <cell r="H9">
            <v>3.9330000000000016</v>
          </cell>
          <cell r="J9">
            <v>17.088000000000001</v>
          </cell>
          <cell r="N9">
            <v>4.9930000000000003</v>
          </cell>
          <cell r="P9">
            <v>4.59</v>
          </cell>
          <cell r="R9">
            <v>4.0819999999999999</v>
          </cell>
          <cell r="T9">
            <v>7.5770000000000026</v>
          </cell>
          <cell r="V9">
            <v>21.242000000000001</v>
          </cell>
          <cell r="Z9">
            <v>8.2940000000000005</v>
          </cell>
          <cell r="AB9">
            <v>8.2110000000000003</v>
          </cell>
          <cell r="AD9">
            <v>11.492000000000001</v>
          </cell>
          <cell r="AF9">
            <v>21.739000000000001</v>
          </cell>
          <cell r="AH9">
            <v>49.736000000000004</v>
          </cell>
          <cell r="AL9">
            <v>8.8829999999999991</v>
          </cell>
          <cell r="AN9">
            <v>13.771000000000001</v>
          </cell>
          <cell r="AP9">
            <v>13.52</v>
          </cell>
          <cell r="AR9">
            <v>33.393000000000001</v>
          </cell>
          <cell r="AT9">
            <v>69.567000000000007</v>
          </cell>
          <cell r="BA9">
            <v>1.4210854715202004E-11</v>
          </cell>
          <cell r="BB9">
            <v>69.566999999999993</v>
          </cell>
          <cell r="BN9">
            <v>19.306000000000001</v>
          </cell>
          <cell r="BP9">
            <v>15.351000000000001</v>
          </cell>
          <cell r="BR9">
            <v>18.77</v>
          </cell>
          <cell r="BT9">
            <v>14.946</v>
          </cell>
          <cell r="BV9">
            <v>68.373000000000005</v>
          </cell>
          <cell r="BZ9" t="str">
            <v>4Q commiteted rev - 15-16MM from BMY and Organon and Tex Ent fund</v>
          </cell>
          <cell r="CD9">
            <v>12.271000000000001</v>
          </cell>
          <cell r="CF9">
            <v>12.477</v>
          </cell>
          <cell r="CH9">
            <v>9.7119999999999997</v>
          </cell>
          <cell r="CJ9">
            <v>13.62</v>
          </cell>
          <cell r="CL9">
            <v>48.08</v>
          </cell>
          <cell r="CQ9">
            <v>7</v>
          </cell>
          <cell r="CS9">
            <v>7</v>
          </cell>
          <cell r="CU9">
            <v>7</v>
          </cell>
          <cell r="CW9">
            <v>7</v>
          </cell>
          <cell r="CY9">
            <v>28</v>
          </cell>
        </row>
        <row r="10">
          <cell r="A10" t="str">
            <v>Compound Libraries and Other</v>
          </cell>
          <cell r="B10">
            <v>5.0000000000000001E-3</v>
          </cell>
          <cell r="D10">
            <v>0.16900000000000001</v>
          </cell>
          <cell r="F10">
            <v>6.2E-2</v>
          </cell>
          <cell r="H10">
            <v>4.9999999999999767E-3</v>
          </cell>
          <cell r="J10">
            <v>0.24099999999999999</v>
          </cell>
          <cell r="N10">
            <v>1.0999999999999999E-2</v>
          </cell>
          <cell r="P10">
            <v>2.1000000000000001E-2</v>
          </cell>
          <cell r="R10">
            <v>0</v>
          </cell>
          <cell r="T10">
            <v>1.4000000000000002E-2</v>
          </cell>
          <cell r="V10">
            <v>4.5999999999999999E-2</v>
          </cell>
          <cell r="Z10">
            <v>0</v>
          </cell>
          <cell r="AB10">
            <v>0</v>
          </cell>
          <cell r="AD10">
            <v>0</v>
          </cell>
          <cell r="AF10">
            <v>0</v>
          </cell>
          <cell r="AH10">
            <v>0</v>
          </cell>
          <cell r="AL10">
            <v>0</v>
          </cell>
          <cell r="AN10">
            <v>0</v>
          </cell>
          <cell r="AP10">
            <v>0</v>
          </cell>
          <cell r="AR10">
            <v>0</v>
          </cell>
          <cell r="AT10">
            <v>0</v>
          </cell>
          <cell r="BN10">
            <v>0</v>
          </cell>
          <cell r="BP10">
            <v>0</v>
          </cell>
          <cell r="BR10">
            <v>0</v>
          </cell>
          <cell r="BT10">
            <v>0</v>
          </cell>
          <cell r="BV10">
            <v>0</v>
          </cell>
          <cell r="CD10">
            <v>0</v>
          </cell>
          <cell r="CF10">
            <v>0</v>
          </cell>
          <cell r="CH10">
            <v>0</v>
          </cell>
          <cell r="CJ10">
            <v>0</v>
          </cell>
          <cell r="CL10">
            <v>0</v>
          </cell>
          <cell r="CQ10">
            <v>0</v>
          </cell>
          <cell r="CS10">
            <v>0</v>
          </cell>
          <cell r="CU10">
            <v>0</v>
          </cell>
          <cell r="CW10">
            <v>0</v>
          </cell>
          <cell r="CY10">
            <v>0</v>
          </cell>
        </row>
        <row r="11">
          <cell r="A11" t="str">
            <v>Total Revenues</v>
          </cell>
          <cell r="B11">
            <v>7.6559999999999997</v>
          </cell>
          <cell r="D11">
            <v>9.4110000000000014</v>
          </cell>
          <cell r="F11">
            <v>8.0129999999999999</v>
          </cell>
          <cell r="H11">
            <v>10.120000000000003</v>
          </cell>
          <cell r="J11">
            <v>35.200000000000003</v>
          </cell>
          <cell r="N11">
            <v>8.1059999999999999</v>
          </cell>
          <cell r="P11">
            <v>8.9209999999999994</v>
          </cell>
          <cell r="R11">
            <v>12.111000000000001</v>
          </cell>
          <cell r="T11">
            <v>13.700000000000003</v>
          </cell>
          <cell r="V11">
            <v>42.838000000000001</v>
          </cell>
          <cell r="Z11">
            <v>11.842000000000001</v>
          </cell>
          <cell r="AB11">
            <v>10.778</v>
          </cell>
          <cell r="AD11">
            <v>13.109000000000002</v>
          </cell>
          <cell r="AF11">
            <v>26.011000000000003</v>
          </cell>
          <cell r="AH11">
            <v>61.740000000000009</v>
          </cell>
          <cell r="AI11">
            <v>0.4412437555441433</v>
          </cell>
          <cell r="AL11">
            <v>13.924999999999999</v>
          </cell>
          <cell r="AN11">
            <v>13.898000000000001</v>
          </cell>
          <cell r="AP11">
            <v>13.962999999999999</v>
          </cell>
          <cell r="AR11">
            <v>33.893999999999998</v>
          </cell>
          <cell r="AT11">
            <v>75.680000000000007</v>
          </cell>
          <cell r="AU11">
            <v>0.22578555231616448</v>
          </cell>
          <cell r="AV11" t="str">
            <v>$59-61M for year.  Expect $23-25M for 4Q (of which $11M are contractually committed)</v>
          </cell>
          <cell r="AX11">
            <v>0</v>
          </cell>
          <cell r="AY11" t="str">
            <v>Total revenues of $70-$75M</v>
          </cell>
          <cell r="BA11">
            <v>1.4210854715202004E-11</v>
          </cell>
          <cell r="BB11">
            <v>75.679999999999993</v>
          </cell>
          <cell r="BD11" t="str">
            <v>$9-10M.  Revised to &gt;$13M</v>
          </cell>
          <cell r="BE11" t="str">
            <v>$70-75M</v>
          </cell>
          <cell r="BF11" t="str">
            <v>$9-11M</v>
          </cell>
          <cell r="BG11" t="str">
            <v>$70-75M</v>
          </cell>
          <cell r="BH11" t="str">
            <v>$12-14M</v>
          </cell>
          <cell r="BI11" t="str">
            <v>$70-75M</v>
          </cell>
          <cell r="BJ11" t="str">
            <v>$28-33M</v>
          </cell>
          <cell r="BK11" t="str">
            <v>$70-75M</v>
          </cell>
          <cell r="BN11">
            <v>20.955000000000002</v>
          </cell>
          <cell r="BP11">
            <v>16.164000000000001</v>
          </cell>
          <cell r="BR11">
            <v>19.613</v>
          </cell>
          <cell r="BT11">
            <v>16.065999999999999</v>
          </cell>
          <cell r="BV11">
            <v>72.798000000000002</v>
          </cell>
          <cell r="BW11">
            <v>-3.8081395348837255E-2</v>
          </cell>
          <cell r="CA11" t="str">
            <v>78-82MM</v>
          </cell>
          <cell r="CD11">
            <v>13.495000000000001</v>
          </cell>
          <cell r="CF11">
            <v>12.648</v>
          </cell>
          <cell r="CH11">
            <v>10.167</v>
          </cell>
          <cell r="CJ11">
            <v>13.808</v>
          </cell>
          <cell r="CL11">
            <v>50.117999999999995</v>
          </cell>
          <cell r="CM11">
            <v>-0.31154702052254191</v>
          </cell>
          <cell r="CO11" t="str">
            <v>75-78M (37-40 from new collabs, 38M dedicated) to $44-47MM</v>
          </cell>
          <cell r="CQ11">
            <v>7.5</v>
          </cell>
          <cell r="CS11">
            <v>7.5</v>
          </cell>
          <cell r="CU11">
            <v>7.5</v>
          </cell>
          <cell r="CW11">
            <v>7.5</v>
          </cell>
          <cell r="CY11">
            <v>30</v>
          </cell>
          <cell r="CZ11">
            <v>-0.40141266610798509</v>
          </cell>
          <cell r="DB11" t="str">
            <v>28-31</v>
          </cell>
          <cell r="DD11" t="str">
            <v>mstag:revenueNet</v>
          </cell>
          <cell r="DE11">
            <v>6</v>
          </cell>
          <cell r="DF11" t="str">
            <v>ISO4217:USD</v>
          </cell>
          <cell r="DG11" t="b">
            <v>0</v>
          </cell>
          <cell r="DH11" t="b">
            <v>0</v>
          </cell>
        </row>
        <row r="12">
          <cell r="A12" t="str">
            <v>Operating Expenses:</v>
          </cell>
          <cell r="CO12" t="str">
            <v>$124-126M incl ESO of $6.9</v>
          </cell>
        </row>
        <row r="13">
          <cell r="A13" t="str">
            <v>COGS</v>
          </cell>
          <cell r="B13">
            <v>0</v>
          </cell>
          <cell r="D13">
            <v>0</v>
          </cell>
          <cell r="F13">
            <v>0</v>
          </cell>
          <cell r="H13">
            <v>0</v>
          </cell>
          <cell r="J13">
            <v>0</v>
          </cell>
          <cell r="N13">
            <v>0</v>
          </cell>
          <cell r="P13">
            <v>0</v>
          </cell>
          <cell r="R13">
            <v>0</v>
          </cell>
          <cell r="T13">
            <v>0</v>
          </cell>
          <cell r="V13">
            <v>0</v>
          </cell>
          <cell r="Z13">
            <v>0</v>
          </cell>
          <cell r="AB13">
            <v>0</v>
          </cell>
          <cell r="AD13">
            <v>0</v>
          </cell>
          <cell r="AF13">
            <v>0</v>
          </cell>
          <cell r="AH13">
            <v>0</v>
          </cell>
          <cell r="AL13">
            <v>0</v>
          </cell>
          <cell r="AN13">
            <v>0</v>
          </cell>
          <cell r="AP13">
            <v>0</v>
          </cell>
          <cell r="AR13">
            <v>0</v>
          </cell>
          <cell r="AT13">
            <v>0</v>
          </cell>
          <cell r="BN13">
            <v>0</v>
          </cell>
          <cell r="BP13">
            <v>0</v>
          </cell>
          <cell r="BR13">
            <v>0</v>
          </cell>
          <cell r="BT13">
            <v>0</v>
          </cell>
          <cell r="BV13">
            <v>0</v>
          </cell>
          <cell r="CD13">
            <v>0</v>
          </cell>
          <cell r="CF13">
            <v>0</v>
          </cell>
          <cell r="CH13">
            <v>0</v>
          </cell>
          <cell r="CJ13">
            <v>0</v>
          </cell>
          <cell r="CL13">
            <v>0</v>
          </cell>
          <cell r="CQ13">
            <v>0</v>
          </cell>
          <cell r="CS13">
            <v>0</v>
          </cell>
          <cell r="CU13">
            <v>0</v>
          </cell>
          <cell r="CW13">
            <v>0</v>
          </cell>
          <cell r="CY13">
            <v>0</v>
          </cell>
          <cell r="DD13" t="str">
            <v>mstag:costOfSalesWithDepreciation</v>
          </cell>
          <cell r="DE13">
            <v>6</v>
          </cell>
          <cell r="DF13" t="str">
            <v>ISO4217:USD</v>
          </cell>
          <cell r="DG13" t="b">
            <v>0</v>
          </cell>
          <cell r="DH13" t="b">
            <v>0</v>
          </cell>
        </row>
        <row r="14">
          <cell r="A14" t="str">
            <v>% of Total Product Sales</v>
          </cell>
        </row>
        <row r="15">
          <cell r="A15" t="str">
            <v>R&amp;D</v>
          </cell>
          <cell r="B15">
            <v>16.864000000000001</v>
          </cell>
          <cell r="C15" t="str">
            <v>NM</v>
          </cell>
          <cell r="D15">
            <v>19.032</v>
          </cell>
          <cell r="E15" t="str">
            <v>NM</v>
          </cell>
          <cell r="F15">
            <v>19.753</v>
          </cell>
          <cell r="G15" t="str">
            <v>NM</v>
          </cell>
          <cell r="H15">
            <v>19.21</v>
          </cell>
          <cell r="I15" t="str">
            <v>NM</v>
          </cell>
          <cell r="J15">
            <v>74.858999999999995</v>
          </cell>
          <cell r="K15" t="str">
            <v>NM</v>
          </cell>
          <cell r="N15">
            <v>19.834</v>
          </cell>
          <cell r="O15">
            <v>0.1761148007590132</v>
          </cell>
          <cell r="P15">
            <v>20.794</v>
          </cell>
          <cell r="Q15">
            <v>9.2580916351408193E-2</v>
          </cell>
          <cell r="R15">
            <v>21.224</v>
          </cell>
          <cell r="S15">
            <v>7.4469700804941086E-2</v>
          </cell>
          <cell r="T15">
            <v>20.345999999999993</v>
          </cell>
          <cell r="U15">
            <v>5.9135866736074627E-2</v>
          </cell>
          <cell r="V15">
            <v>82.197999999999993</v>
          </cell>
          <cell r="W15">
            <v>9.8037644104249422E-2</v>
          </cell>
          <cell r="Z15">
            <v>22.401</v>
          </cell>
          <cell r="AA15">
            <v>0.12942422103458706</v>
          </cell>
          <cell r="AB15">
            <v>22.58</v>
          </cell>
          <cell r="AC15">
            <v>8.5890160623256495E-2</v>
          </cell>
          <cell r="AD15">
            <v>22.484999999999999</v>
          </cell>
          <cell r="AE15">
            <v>5.9413871089332826E-2</v>
          </cell>
          <cell r="AF15">
            <v>23.12</v>
          </cell>
          <cell r="AG15">
            <v>0.13634129558635655</v>
          </cell>
          <cell r="AH15">
            <v>90.585999999999999</v>
          </cell>
          <cell r="AI15">
            <v>0.10204627849826031</v>
          </cell>
          <cell r="AL15">
            <v>22.76</v>
          </cell>
          <cell r="AM15">
            <v>1.602607026472036E-2</v>
          </cell>
          <cell r="AN15">
            <v>23.667000000000002</v>
          </cell>
          <cell r="AO15">
            <v>4.8139946855624505E-2</v>
          </cell>
          <cell r="AP15">
            <v>23.344000000000001</v>
          </cell>
          <cell r="AQ15">
            <v>3.8203246608850439E-2</v>
          </cell>
          <cell r="AR15">
            <v>23.853999999999999</v>
          </cell>
          <cell r="AS15">
            <v>3.1747404844290505E-2</v>
          </cell>
          <cell r="AT15">
            <v>93.625000000000014</v>
          </cell>
          <cell r="AU15">
            <v>3.3548230410880509E-2</v>
          </cell>
          <cell r="AV15" t="str">
            <v>$93-96M for year</v>
          </cell>
          <cell r="AX15">
            <v>0</v>
          </cell>
          <cell r="BA15">
            <v>1.4210854715202004E-11</v>
          </cell>
          <cell r="BB15">
            <v>93.625</v>
          </cell>
          <cell r="BG15" t="str">
            <v>$100-103M</v>
          </cell>
          <cell r="BI15" t="str">
            <v>$100-103M</v>
          </cell>
          <cell r="BJ15" t="str">
            <v>$95-100M</v>
          </cell>
          <cell r="BN15">
            <v>25.523</v>
          </cell>
          <cell r="BO15">
            <v>0.12139718804920904</v>
          </cell>
          <cell r="BP15">
            <v>26.327999999999999</v>
          </cell>
          <cell r="BQ15">
            <v>0.11243503612625164</v>
          </cell>
          <cell r="BR15">
            <v>25.909000000000002</v>
          </cell>
          <cell r="BS15">
            <v>0.10987834132967791</v>
          </cell>
          <cell r="BT15">
            <v>24.540999999999997</v>
          </cell>
          <cell r="BU15">
            <v>2.8800201224113257E-2</v>
          </cell>
          <cell r="BV15">
            <v>102.301</v>
          </cell>
          <cell r="BW15">
            <v>9.2667556742322951E-2</v>
          </cell>
          <cell r="CA15" t="str">
            <v>124-128MM</v>
          </cell>
          <cell r="CB15" t="str">
            <v>Includes stock comp of 6MM</v>
          </cell>
          <cell r="CD15">
            <v>26.298999999999999</v>
          </cell>
          <cell r="CE15">
            <v>3.040394937899138E-2</v>
          </cell>
          <cell r="CF15">
            <v>24.55</v>
          </cell>
          <cell r="CG15">
            <v>-6.7532664843512613E-2</v>
          </cell>
          <cell r="CH15">
            <v>23.553000000000001</v>
          </cell>
          <cell r="CI15">
            <v>-9.0933652398780374E-2</v>
          </cell>
          <cell r="CJ15">
            <v>24.78</v>
          </cell>
          <cell r="CK15">
            <v>9.7388044496966586E-3</v>
          </cell>
          <cell r="CL15">
            <v>99.182000000000002</v>
          </cell>
          <cell r="CM15">
            <v>-3.0488460523357519E-2</v>
          </cell>
          <cell r="CO15" t="str">
            <v>108-113 M</v>
          </cell>
          <cell r="CQ15">
            <v>26.5</v>
          </cell>
          <cell r="CR15">
            <v>7.6428761549869328E-3</v>
          </cell>
          <cell r="CS15">
            <v>28.5</v>
          </cell>
          <cell r="CT15">
            <v>0.16089613034623218</v>
          </cell>
          <cell r="CU15">
            <v>30.5</v>
          </cell>
          <cell r="CV15">
            <v>0.29495181080966337</v>
          </cell>
          <cell r="CW15">
            <v>32.5</v>
          </cell>
          <cell r="CX15">
            <v>0.31154156577885384</v>
          </cell>
          <cell r="CY15">
            <v>118</v>
          </cell>
          <cell r="CZ15">
            <v>0.18973200782400035</v>
          </cell>
          <cell r="DD15" t="str">
            <v>mstag:researchAndDevelopment</v>
          </cell>
          <cell r="DE15">
            <v>6</v>
          </cell>
          <cell r="DF15" t="str">
            <v>ISO4217:USD</v>
          </cell>
          <cell r="DG15" t="b">
            <v>0</v>
          </cell>
          <cell r="DH15" t="b">
            <v>0</v>
          </cell>
        </row>
        <row r="16">
          <cell r="A16" t="str">
            <v>% of Total Revenues</v>
          </cell>
          <cell r="B16">
            <v>2.2027168234064787</v>
          </cell>
          <cell r="D16">
            <v>2.022314313037934</v>
          </cell>
          <cell r="F16">
            <v>2.4651191813303384</v>
          </cell>
          <cell r="H16">
            <v>1.8982213438735174</v>
          </cell>
          <cell r="J16">
            <v>2.1266761363636362</v>
          </cell>
          <cell r="N16">
            <v>2.4468295090056746</v>
          </cell>
          <cell r="P16">
            <v>2.3309046071068269</v>
          </cell>
          <cell r="R16">
            <v>1.7524564445545372</v>
          </cell>
          <cell r="T16">
            <v>1.4851094890510941</v>
          </cell>
          <cell r="V16">
            <v>1.9188104019795507</v>
          </cell>
          <cell r="Z16">
            <v>1.8916568147272419</v>
          </cell>
          <cell r="AB16">
            <v>2.0950083503432917</v>
          </cell>
          <cell r="AD16">
            <v>1.7152338088336254</v>
          </cell>
          <cell r="AF16">
            <v>0.88885471531275229</v>
          </cell>
          <cell r="AH16">
            <v>1.4672173631357301</v>
          </cell>
          <cell r="AL16">
            <v>1.6344703770197488</v>
          </cell>
          <cell r="AN16">
            <v>1.7029068930781406</v>
          </cell>
          <cell r="AP16">
            <v>1.6718470242784504</v>
          </cell>
          <cell r="AR16">
            <v>0.703782380362306</v>
          </cell>
          <cell r="AT16">
            <v>1.2371168076109937</v>
          </cell>
          <cell r="BN16">
            <v>1.2179909329515628</v>
          </cell>
          <cell r="BP16">
            <v>1.6288047512991832</v>
          </cell>
          <cell r="BR16">
            <v>1.3210115739560497</v>
          </cell>
          <cell r="BT16">
            <v>1.5275115150006224</v>
          </cell>
          <cell r="BV16">
            <v>1.4052721228605181</v>
          </cell>
          <cell r="CD16">
            <v>1.9487958503149312</v>
          </cell>
          <cell r="CF16">
            <v>1.9410183428209995</v>
          </cell>
          <cell r="CH16">
            <v>2.3166125700796698</v>
          </cell>
          <cell r="CJ16">
            <v>1.7946118192352261</v>
          </cell>
          <cell r="CL16">
            <v>1.9789696316692609</v>
          </cell>
          <cell r="CQ16">
            <v>3.5333333333333332</v>
          </cell>
          <cell r="CS16">
            <v>3.8</v>
          </cell>
          <cell r="CU16">
            <v>4.0666666666666664</v>
          </cell>
          <cell r="CW16">
            <v>4.333333333333333</v>
          </cell>
          <cell r="CY16">
            <v>3.9333333333333331</v>
          </cell>
        </row>
        <row r="17">
          <cell r="A17" t="str">
            <v>SG&amp;A</v>
          </cell>
          <cell r="B17">
            <v>5.9690000000000003</v>
          </cell>
          <cell r="C17" t="str">
            <v>NM</v>
          </cell>
          <cell r="D17">
            <v>6.0190000000000001</v>
          </cell>
          <cell r="E17" t="str">
            <v>NM</v>
          </cell>
          <cell r="F17">
            <v>5.7510000000000003</v>
          </cell>
          <cell r="G17" t="str">
            <v>NM</v>
          </cell>
          <cell r="H17">
            <v>5.4950000000000001</v>
          </cell>
          <cell r="I17" t="str">
            <v>NM</v>
          </cell>
          <cell r="J17">
            <v>23.234000000000002</v>
          </cell>
          <cell r="K17" t="str">
            <v>NM</v>
          </cell>
          <cell r="N17">
            <v>5.8040000000000003</v>
          </cell>
          <cell r="O17">
            <v>-2.7642821243089255E-2</v>
          </cell>
          <cell r="P17">
            <v>5.9790000000000001</v>
          </cell>
          <cell r="Q17">
            <v>-6.6456221963780981E-3</v>
          </cell>
          <cell r="R17">
            <v>5.7549999999999999</v>
          </cell>
          <cell r="S17">
            <v>6.9553121196297418E-4</v>
          </cell>
          <cell r="T17">
            <v>5.6950000000000003</v>
          </cell>
          <cell r="U17">
            <v>3.6396724294813554E-2</v>
          </cell>
          <cell r="V17">
            <v>23.233000000000001</v>
          </cell>
          <cell r="W17">
            <v>-4.3040371868863225E-5</v>
          </cell>
          <cell r="Z17">
            <v>5.0439999999999996</v>
          </cell>
          <cell r="AA17">
            <v>-0.1309441764300483</v>
          </cell>
          <cell r="AB17">
            <v>4.6420000000000003</v>
          </cell>
          <cell r="AC17">
            <v>-0.22361598929586879</v>
          </cell>
          <cell r="AD17">
            <v>4.5730000000000004</v>
          </cell>
          <cell r="AE17">
            <v>-0.20538662033014765</v>
          </cell>
          <cell r="AF17">
            <v>4.3490000000000002</v>
          </cell>
          <cell r="AG17">
            <v>-0.23634767339771734</v>
          </cell>
          <cell r="AH17">
            <v>18.608000000000001</v>
          </cell>
          <cell r="AI17">
            <v>-0.19907028795248138</v>
          </cell>
          <cell r="AL17">
            <v>4.4320000000000004</v>
          </cell>
          <cell r="AM17">
            <v>-0.12133227597145113</v>
          </cell>
          <cell r="AN17">
            <v>4.75</v>
          </cell>
          <cell r="AO17">
            <v>2.3265833692373894E-2</v>
          </cell>
          <cell r="AP17">
            <v>4.6740000000000004</v>
          </cell>
          <cell r="AQ17">
            <v>2.2086157883227653E-2</v>
          </cell>
          <cell r="AR17">
            <v>4.3179999999999996</v>
          </cell>
          <cell r="AS17">
            <v>-7.1280754196367813E-3</v>
          </cell>
          <cell r="AT17">
            <v>18.173999999999999</v>
          </cell>
          <cell r="AU17">
            <v>-2.332330180567499E-2</v>
          </cell>
          <cell r="AV17" t="str">
            <v>$20-22M for year.  Expect Capex of $10-12M</v>
          </cell>
          <cell r="AX17">
            <v>0</v>
          </cell>
          <cell r="BA17">
            <v>0</v>
          </cell>
          <cell r="BB17">
            <v>18.173999999999999</v>
          </cell>
          <cell r="BE17" t="str">
            <v>$21-23M</v>
          </cell>
          <cell r="BG17" t="str">
            <v>$20-22</v>
          </cell>
          <cell r="BI17" t="str">
            <v>$20-22M</v>
          </cell>
          <cell r="BJ17" t="str">
            <v>$18-19M</v>
          </cell>
          <cell r="BN17">
            <v>4.6109999999999998</v>
          </cell>
          <cell r="BO17">
            <v>4.0388086642599137E-2</v>
          </cell>
          <cell r="BP17">
            <v>5.0049999999999999</v>
          </cell>
          <cell r="BQ17">
            <v>5.3684210526315765E-2</v>
          </cell>
          <cell r="BR17">
            <v>4.649</v>
          </cell>
          <cell r="BS17">
            <v>-5.3487376979033706E-3</v>
          </cell>
          <cell r="BT17">
            <v>4.4329999999999998</v>
          </cell>
          <cell r="BU17">
            <v>2.663270032422423E-2</v>
          </cell>
          <cell r="BV17">
            <v>18.698</v>
          </cell>
          <cell r="BW17">
            <v>2.8832397931110428E-2</v>
          </cell>
          <cell r="CA17" t="str">
            <v>21-23MM</v>
          </cell>
          <cell r="CB17" t="str">
            <v>7-9MM of stock compensation-75% in R&amp;D; 25% in SG&amp;A</v>
          </cell>
          <cell r="CD17">
            <v>4.7320000000000002</v>
          </cell>
          <cell r="CE17">
            <v>2.6241596183040672E-2</v>
          </cell>
          <cell r="CF17">
            <v>4.3769999999999998</v>
          </cell>
          <cell r="CG17">
            <v>-0.12547452547452553</v>
          </cell>
          <cell r="CH17">
            <v>4.4560000000000004</v>
          </cell>
          <cell r="CI17">
            <v>-4.1514304151430315E-2</v>
          </cell>
          <cell r="CJ17">
            <v>4.399</v>
          </cell>
          <cell r="CK17">
            <v>-7.6697496052334779E-3</v>
          </cell>
          <cell r="CL17">
            <v>17.964000000000002</v>
          </cell>
          <cell r="CM17">
            <v>-3.9255535351374382E-2</v>
          </cell>
          <cell r="CO17">
            <v>20</v>
          </cell>
          <cell r="CQ17">
            <v>5.05</v>
          </cell>
          <cell r="CR17">
            <v>6.7202028740490194E-2</v>
          </cell>
          <cell r="CS17">
            <v>5.05</v>
          </cell>
          <cell r="CT17">
            <v>0.15375828192826146</v>
          </cell>
          <cell r="CU17">
            <v>5.05</v>
          </cell>
          <cell r="CV17">
            <v>0.13330341113105915</v>
          </cell>
          <cell r="CW17">
            <v>5.05</v>
          </cell>
          <cell r="CX17">
            <v>0.14798817913162088</v>
          </cell>
          <cell r="CY17">
            <v>20.2</v>
          </cell>
          <cell r="CZ17">
            <v>0.12447116455132479</v>
          </cell>
          <cell r="DD17" t="str">
            <v>mstag:sellingGeneralAndAdministrativeExpenses</v>
          </cell>
          <cell r="DE17">
            <v>6</v>
          </cell>
          <cell r="DF17" t="str">
            <v>ISO4217:USD</v>
          </cell>
          <cell r="DG17" t="b">
            <v>0</v>
          </cell>
          <cell r="DH17" t="b">
            <v>0</v>
          </cell>
        </row>
        <row r="18">
          <cell r="A18" t="str">
            <v>% of Total Revenues</v>
          </cell>
          <cell r="B18">
            <v>0.77964994775339613</v>
          </cell>
          <cell r="D18">
            <v>0.63957071512060348</v>
          </cell>
          <cell r="F18">
            <v>0.71770872332459756</v>
          </cell>
          <cell r="H18">
            <v>0.54298418972331997</v>
          </cell>
          <cell r="J18">
            <v>0.66005681818181816</v>
          </cell>
          <cell r="N18">
            <v>0.7160128300024674</v>
          </cell>
          <cell r="P18">
            <v>0.67021634345925352</v>
          </cell>
          <cell r="R18">
            <v>0.4751878457600528</v>
          </cell>
          <cell r="T18">
            <v>0.41569343065693426</v>
          </cell>
          <cell r="V18">
            <v>0.54234558102619168</v>
          </cell>
          <cell r="Z18">
            <v>0.42594156392501259</v>
          </cell>
          <cell r="AB18">
            <v>0.43069215067730565</v>
          </cell>
          <cell r="AD18">
            <v>0.34884430543901135</v>
          </cell>
          <cell r="AF18">
            <v>0.16719849294529238</v>
          </cell>
          <cell r="AH18">
            <v>0.30139293812763196</v>
          </cell>
          <cell r="AL18">
            <v>0.31827648114901264</v>
          </cell>
          <cell r="AN18">
            <v>0.34177579507842853</v>
          </cell>
          <cell r="AP18">
            <v>0.33474181766096117</v>
          </cell>
          <cell r="AR18">
            <v>0.1273971794417891</v>
          </cell>
          <cell r="AT18">
            <v>0.24014270613107819</v>
          </cell>
          <cell r="BN18">
            <v>0.22004294917680742</v>
          </cell>
          <cell r="BP18">
            <v>0.30963870329126453</v>
          </cell>
          <cell r="BR18">
            <v>0.2370366593585887</v>
          </cell>
          <cell r="BT18">
            <v>0.27592431221212499</v>
          </cell>
          <cell r="BV18">
            <v>0.25684771559658232</v>
          </cell>
          <cell r="CD18">
            <v>0.35064838829195999</v>
          </cell>
          <cell r="CF18">
            <v>0.34606261859582543</v>
          </cell>
          <cell r="CH18">
            <v>0.43828071210779979</v>
          </cell>
          <cell r="CJ18">
            <v>0.31858342989571264</v>
          </cell>
          <cell r="CL18">
            <v>0.35843409553453859</v>
          </cell>
          <cell r="CQ18">
            <v>0.67333333333333334</v>
          </cell>
          <cell r="CS18">
            <v>0.67333333333333334</v>
          </cell>
          <cell r="CU18">
            <v>0.67333333333333334</v>
          </cell>
          <cell r="CW18">
            <v>0.67333333333333334</v>
          </cell>
          <cell r="CY18">
            <v>0.67333333333333334</v>
          </cell>
        </row>
        <row r="19">
          <cell r="A19" t="str">
            <v>Total Operating Expenses</v>
          </cell>
          <cell r="B19">
            <v>22.833000000000002</v>
          </cell>
          <cell r="D19">
            <v>25.051000000000002</v>
          </cell>
          <cell r="F19">
            <v>25.504000000000001</v>
          </cell>
          <cell r="H19">
            <v>24.705000000000002</v>
          </cell>
          <cell r="J19">
            <v>98.092999999999989</v>
          </cell>
          <cell r="N19">
            <v>25.637999999999998</v>
          </cell>
          <cell r="P19">
            <v>26.773</v>
          </cell>
          <cell r="R19">
            <v>26.978999999999999</v>
          </cell>
          <cell r="T19">
            <v>26.040999999999993</v>
          </cell>
          <cell r="V19">
            <v>105.431</v>
          </cell>
          <cell r="Z19">
            <v>27.445</v>
          </cell>
          <cell r="AB19">
            <v>27.221999999999998</v>
          </cell>
          <cell r="AD19">
            <v>27.058</v>
          </cell>
          <cell r="AF19">
            <v>27.469000000000001</v>
          </cell>
          <cell r="AH19">
            <v>109.194</v>
          </cell>
          <cell r="AI19">
            <v>3.569158976012754E-2</v>
          </cell>
          <cell r="AL19">
            <v>27.192</v>
          </cell>
          <cell r="AN19">
            <v>28.417000000000002</v>
          </cell>
          <cell r="AP19">
            <v>28.018000000000001</v>
          </cell>
          <cell r="AR19">
            <v>28.171999999999997</v>
          </cell>
          <cell r="AT19">
            <v>111.79900000000001</v>
          </cell>
          <cell r="AU19">
            <v>2.3856622158726637E-2</v>
          </cell>
          <cell r="AV19" t="str">
            <v>Op expenses of $113-$118M for year.  $29-$31 for 4Q</v>
          </cell>
          <cell r="AX19">
            <v>0</v>
          </cell>
          <cell r="BA19">
            <v>0</v>
          </cell>
          <cell r="BB19">
            <v>111.79900000000001</v>
          </cell>
          <cell r="BD19" t="str">
            <v>$30-32M</v>
          </cell>
          <cell r="BE19" t="str">
            <v>$125-131M</v>
          </cell>
          <cell r="BF19" t="str">
            <v>$28-30M</v>
          </cell>
          <cell r="BG19" t="str">
            <v>$120-125M</v>
          </cell>
          <cell r="BH19" t="str">
            <v>$30-42M</v>
          </cell>
          <cell r="BI19" t="str">
            <v>$120-125M</v>
          </cell>
          <cell r="BJ19" t="str">
            <v>$29-32M</v>
          </cell>
          <cell r="BK19" t="str">
            <v>$113-116M</v>
          </cell>
          <cell r="BN19">
            <v>30.134</v>
          </cell>
          <cell r="BP19">
            <v>31.332999999999998</v>
          </cell>
          <cell r="BR19">
            <v>30.558000000000003</v>
          </cell>
          <cell r="BT19">
            <v>28.973999999999997</v>
          </cell>
          <cell r="BV19">
            <v>120.999</v>
          </cell>
          <cell r="BZ19" t="str">
            <v>32-34 MM including 1.8 MM in 4Q, 130-133 for Fully Year</v>
          </cell>
          <cell r="CA19" t="str">
            <v>130-133 MM from 135-140mm</v>
          </cell>
          <cell r="CB19" t="str">
            <v>(old 145-151MM) includes stock comp of 7-8MM</v>
          </cell>
          <cell r="CD19">
            <v>31.030999999999999</v>
          </cell>
          <cell r="CF19">
            <v>28.927</v>
          </cell>
          <cell r="CH19">
            <v>28.009</v>
          </cell>
          <cell r="CJ19">
            <v>29.179000000000002</v>
          </cell>
          <cell r="CL19">
            <v>117.146</v>
          </cell>
          <cell r="CO19" t="str">
            <v>$128-133M (Incl. 6-8M ESO, 65% RD)</v>
          </cell>
          <cell r="CQ19">
            <v>31.55</v>
          </cell>
          <cell r="CS19">
            <v>33.549999999999997</v>
          </cell>
          <cell r="CU19">
            <v>35.549999999999997</v>
          </cell>
          <cell r="CW19">
            <v>37.549999999999997</v>
          </cell>
          <cell r="CY19">
            <v>138.19999999999999</v>
          </cell>
          <cell r="DB19" t="str">
            <v>145-155</v>
          </cell>
        </row>
        <row r="20">
          <cell r="A20" t="str">
            <v>Operating Income (Loss)</v>
          </cell>
          <cell r="B20">
            <v>-15.177000000000003</v>
          </cell>
          <cell r="D20">
            <v>-15.64</v>
          </cell>
          <cell r="F20">
            <v>-17.491</v>
          </cell>
          <cell r="H20">
            <v>-14.584999999999999</v>
          </cell>
          <cell r="J20">
            <v>-62.892999999999986</v>
          </cell>
          <cell r="N20">
            <v>-17.531999999999996</v>
          </cell>
          <cell r="P20">
            <v>-17.852</v>
          </cell>
          <cell r="R20">
            <v>-14.867999999999999</v>
          </cell>
          <cell r="T20">
            <v>-12.34099999999999</v>
          </cell>
          <cell r="V20">
            <v>-62.592999999999996</v>
          </cell>
          <cell r="Z20">
            <v>-15.603</v>
          </cell>
          <cell r="AB20">
            <v>-16.443999999999996</v>
          </cell>
          <cell r="AD20">
            <v>-13.948999999999998</v>
          </cell>
          <cell r="AF20">
            <v>-1.4579999999999984</v>
          </cell>
          <cell r="AH20">
            <v>-47.453999999999994</v>
          </cell>
          <cell r="AL20">
            <v>-13.267000000000001</v>
          </cell>
          <cell r="AN20">
            <v>-14.519</v>
          </cell>
          <cell r="AP20">
            <v>-14.055000000000001</v>
          </cell>
          <cell r="AR20">
            <v>5.7220000000000013</v>
          </cell>
          <cell r="AT20">
            <v>-36.119</v>
          </cell>
          <cell r="AX20">
            <v>0</v>
          </cell>
          <cell r="BA20">
            <v>1.4210854715202004E-11</v>
          </cell>
          <cell r="BB20">
            <v>-36.119000000000014</v>
          </cell>
          <cell r="BN20">
            <v>-9.1789999999999985</v>
          </cell>
          <cell r="BP20">
            <v>-15.168999999999997</v>
          </cell>
          <cell r="BR20">
            <v>-10.945000000000004</v>
          </cell>
          <cell r="BT20">
            <v>-12.907999999999998</v>
          </cell>
          <cell r="BV20">
            <v>-48.200999999999993</v>
          </cell>
          <cell r="CD20">
            <v>-17.535999999999998</v>
          </cell>
          <cell r="CF20">
            <v>-16.279</v>
          </cell>
          <cell r="CH20">
            <v>-17.841999999999999</v>
          </cell>
          <cell r="CJ20">
            <v>-15.371000000000002</v>
          </cell>
          <cell r="CL20">
            <v>-67.028000000000006</v>
          </cell>
          <cell r="CQ20">
            <v>-24.05</v>
          </cell>
          <cell r="CS20">
            <v>-26.049999999999997</v>
          </cell>
          <cell r="CU20">
            <v>-28.049999999999997</v>
          </cell>
          <cell r="CW20">
            <v>-30.049999999999997</v>
          </cell>
          <cell r="CY20">
            <v>-108.19999999999999</v>
          </cell>
        </row>
        <row r="21">
          <cell r="A21" t="str">
            <v>Operating Margin</v>
          </cell>
          <cell r="B21" t="str">
            <v>NMF</v>
          </cell>
          <cell r="D21" t="str">
            <v>NMF</v>
          </cell>
          <cell r="F21" t="str">
            <v>NMF</v>
          </cell>
          <cell r="H21" t="str">
            <v>NMF</v>
          </cell>
          <cell r="J21" t="str">
            <v>NMF</v>
          </cell>
          <cell r="N21" t="str">
            <v>NMF</v>
          </cell>
          <cell r="P21" t="str">
            <v>NMF</v>
          </cell>
          <cell r="R21" t="str">
            <v>NMF</v>
          </cell>
          <cell r="T21" t="str">
            <v>NMF</v>
          </cell>
          <cell r="V21" t="str">
            <v>NMF</v>
          </cell>
          <cell r="Z21" t="str">
            <v>NMF</v>
          </cell>
          <cell r="AB21" t="str">
            <v>NMF</v>
          </cell>
          <cell r="AD21" t="str">
            <v>NMF</v>
          </cell>
          <cell r="AF21" t="str">
            <v>NMF</v>
          </cell>
          <cell r="AH21" t="str">
            <v>NMF</v>
          </cell>
          <cell r="AL21" t="str">
            <v>NMF</v>
          </cell>
          <cell r="AN21" t="str">
            <v>NMF</v>
          </cell>
          <cell r="AP21" t="str">
            <v>NMF</v>
          </cell>
          <cell r="AR21" t="str">
            <v>NMF</v>
          </cell>
          <cell r="AT21" t="str">
            <v>NMF</v>
          </cell>
          <cell r="BN21" t="str">
            <v>NMF</v>
          </cell>
          <cell r="BP21" t="str">
            <v>NMF</v>
          </cell>
          <cell r="BR21" t="str">
            <v>NMF</v>
          </cell>
          <cell r="BT21" t="str">
            <v>NMF</v>
          </cell>
          <cell r="BV21" t="str">
            <v>NMF</v>
          </cell>
          <cell r="CD21" t="str">
            <v>NMF</v>
          </cell>
          <cell r="CF21" t="str">
            <v>NMF</v>
          </cell>
          <cell r="CH21" t="str">
            <v>NMF</v>
          </cell>
          <cell r="CJ21" t="str">
            <v>NMF</v>
          </cell>
          <cell r="CL21" t="str">
            <v>NMF</v>
          </cell>
          <cell r="CQ21" t="str">
            <v>NMF</v>
          </cell>
          <cell r="CS21" t="str">
            <v>NMF</v>
          </cell>
          <cell r="CU21" t="str">
            <v>NMF</v>
          </cell>
          <cell r="CW21" t="str">
            <v>NMF</v>
          </cell>
          <cell r="CY21" t="str">
            <v>NMF</v>
          </cell>
        </row>
        <row r="22">
          <cell r="A22" t="str">
            <v>Interest Income</v>
          </cell>
          <cell r="B22">
            <v>1.1200000000000001</v>
          </cell>
          <cell r="D22">
            <v>0.70199999999999996</v>
          </cell>
          <cell r="F22">
            <v>0.68300000000000005</v>
          </cell>
          <cell r="H22">
            <v>0.72499999999999998</v>
          </cell>
          <cell r="J22">
            <v>3.23</v>
          </cell>
          <cell r="N22">
            <v>0.46800000000000003</v>
          </cell>
          <cell r="P22">
            <v>0.316</v>
          </cell>
          <cell r="R22">
            <v>0.38600000000000001</v>
          </cell>
          <cell r="T22">
            <v>0.626</v>
          </cell>
          <cell r="V22">
            <v>1.796</v>
          </cell>
          <cell r="Z22">
            <v>0.42799999999999999</v>
          </cell>
          <cell r="AB22">
            <v>0.36099999999999999</v>
          </cell>
          <cell r="AD22">
            <v>0.40500000000000003</v>
          </cell>
          <cell r="AF22">
            <v>0.44</v>
          </cell>
          <cell r="AH22">
            <v>1.6339999999999999</v>
          </cell>
          <cell r="AL22">
            <v>0.49099999999999999</v>
          </cell>
          <cell r="AN22">
            <v>0.50600000000000001</v>
          </cell>
          <cell r="AP22">
            <v>0.76700000000000002</v>
          </cell>
          <cell r="AR22">
            <v>0.88100000000000001</v>
          </cell>
          <cell r="AT22">
            <v>2.645</v>
          </cell>
          <cell r="AW22">
            <v>1.6339999999999999</v>
          </cell>
          <cell r="AX22">
            <v>0</v>
          </cell>
          <cell r="BA22">
            <v>0</v>
          </cell>
          <cell r="BB22">
            <v>2.645</v>
          </cell>
          <cell r="BN22">
            <v>1.0029999999999999</v>
          </cell>
          <cell r="BP22">
            <v>0.9</v>
          </cell>
          <cell r="BR22">
            <v>0.77400000000000002</v>
          </cell>
          <cell r="BT22">
            <v>0.97599999999999998</v>
          </cell>
          <cell r="BV22">
            <v>3.653</v>
          </cell>
          <cell r="CD22">
            <v>0.88</v>
          </cell>
          <cell r="CF22">
            <v>0.76500000000000001</v>
          </cell>
          <cell r="CH22">
            <v>2.1659999999999999</v>
          </cell>
          <cell r="CJ22">
            <v>3.4750000000000001</v>
          </cell>
          <cell r="CL22">
            <v>7.2859999999999996</v>
          </cell>
          <cell r="CQ22">
            <v>2.2000000000000002</v>
          </cell>
          <cell r="CS22">
            <v>1.9</v>
          </cell>
          <cell r="CU22">
            <v>1.6</v>
          </cell>
          <cell r="CW22">
            <v>0.60739360526950747</v>
          </cell>
          <cell r="CY22">
            <v>6.3073936052695068</v>
          </cell>
          <cell r="DD22" t="str">
            <v>mstag:interestIncome</v>
          </cell>
          <cell r="DE22">
            <v>6</v>
          </cell>
          <cell r="DF22" t="str">
            <v>ISO4217:USD</v>
          </cell>
          <cell r="DG22" t="b">
            <v>0</v>
          </cell>
          <cell r="DH22" t="b">
            <v>0</v>
          </cell>
        </row>
        <row r="23">
          <cell r="A23" t="str">
            <v>Interest Expense</v>
          </cell>
          <cell r="B23">
            <v>-2E-3</v>
          </cell>
          <cell r="D23">
            <v>-2E-3</v>
          </cell>
          <cell r="F23">
            <v>-1E-3</v>
          </cell>
          <cell r="H23">
            <v>-2E-3</v>
          </cell>
          <cell r="J23">
            <v>-7.0000000000000001E-3</v>
          </cell>
          <cell r="N23">
            <v>-8.1000000000000003E-2</v>
          </cell>
          <cell r="P23">
            <v>-8.3000000000000004E-2</v>
          </cell>
          <cell r="R23">
            <v>-7.5999999999999998E-2</v>
          </cell>
          <cell r="T23">
            <v>-8.5000000000000006E-2</v>
          </cell>
          <cell r="V23">
            <v>-0.32500000000000001</v>
          </cell>
          <cell r="Z23">
            <v>-0.29099999999999998</v>
          </cell>
          <cell r="AB23">
            <v>-0.70499999999999996</v>
          </cell>
          <cell r="AD23">
            <v>-0.83299999999999996</v>
          </cell>
          <cell r="AF23">
            <v>-0.83099999999999996</v>
          </cell>
          <cell r="AH23">
            <v>-2.66</v>
          </cell>
          <cell r="AL23">
            <v>-0.80500000000000005</v>
          </cell>
          <cell r="AN23">
            <v>-0.82699999999999996</v>
          </cell>
          <cell r="AP23">
            <v>-0.83299999999999996</v>
          </cell>
          <cell r="AR23">
            <v>-0.81499999999999995</v>
          </cell>
          <cell r="AT23">
            <v>-3.28</v>
          </cell>
          <cell r="AW23">
            <v>-2.66</v>
          </cell>
          <cell r="AX23">
            <v>0</v>
          </cell>
          <cell r="BA23">
            <v>0</v>
          </cell>
          <cell r="BB23">
            <v>-3.28</v>
          </cell>
          <cell r="BN23">
            <v>-0.81400000000000006</v>
          </cell>
          <cell r="BP23">
            <v>-0.81299999999999994</v>
          </cell>
          <cell r="BR23">
            <v>-0.81699999999999995</v>
          </cell>
          <cell r="BT23">
            <v>-0.81599999999999995</v>
          </cell>
          <cell r="BV23">
            <v>-3.26</v>
          </cell>
          <cell r="CD23">
            <v>-0.7</v>
          </cell>
          <cell r="CF23">
            <v>-0.69499999999999995</v>
          </cell>
          <cell r="CH23">
            <v>-0.69399999999999995</v>
          </cell>
          <cell r="CJ23">
            <v>-0.69399999999999995</v>
          </cell>
          <cell r="CL23">
            <v>-2.7829999999999999</v>
          </cell>
          <cell r="CQ23">
            <v>-0.625</v>
          </cell>
          <cell r="CS23">
            <v>-0.625</v>
          </cell>
          <cell r="CU23">
            <v>-0.625</v>
          </cell>
          <cell r="CW23">
            <v>-0.6183696000000003</v>
          </cell>
          <cell r="CY23">
            <v>-2.4933696000000003</v>
          </cell>
          <cell r="DD23" t="str">
            <v>mstag:interestExpense</v>
          </cell>
          <cell r="DE23">
            <v>6</v>
          </cell>
          <cell r="DF23" t="str">
            <v>ISO4217:USD</v>
          </cell>
          <cell r="DG23" t="b">
            <v>1</v>
          </cell>
          <cell r="DH23" t="b">
            <v>0</v>
          </cell>
        </row>
        <row r="24">
          <cell r="A24" t="str">
            <v>Other Expense (Income) and noncontrolling Symphony interest</v>
          </cell>
          <cell r="B24">
            <v>0</v>
          </cell>
          <cell r="D24">
            <v>0</v>
          </cell>
          <cell r="F24">
            <v>0</v>
          </cell>
          <cell r="H24">
            <v>0</v>
          </cell>
          <cell r="J24">
            <v>0</v>
          </cell>
          <cell r="N24">
            <v>0</v>
          </cell>
          <cell r="P24">
            <v>0</v>
          </cell>
          <cell r="R24">
            <v>0</v>
          </cell>
          <cell r="T24">
            <v>0</v>
          </cell>
          <cell r="V24">
            <v>0</v>
          </cell>
          <cell r="Z24">
            <v>0</v>
          </cell>
          <cell r="AB24">
            <v>0</v>
          </cell>
          <cell r="AD24">
            <v>0</v>
          </cell>
          <cell r="AF24">
            <v>1.3080000000000001</v>
          </cell>
          <cell r="AH24">
            <v>1.3080000000000001</v>
          </cell>
          <cell r="AL24">
            <v>0.315</v>
          </cell>
          <cell r="AN24">
            <v>-2E-3</v>
          </cell>
          <cell r="AP24">
            <v>0</v>
          </cell>
          <cell r="AR24">
            <v>0.245</v>
          </cell>
          <cell r="AT24">
            <v>0.55800000000000005</v>
          </cell>
          <cell r="AW24">
            <v>1.3080000000000001</v>
          </cell>
          <cell r="AX24">
            <v>0</v>
          </cell>
          <cell r="BA24">
            <v>0</v>
          </cell>
          <cell r="BN24">
            <v>0</v>
          </cell>
          <cell r="BP24">
            <v>-5.6000000000000001E-2</v>
          </cell>
          <cell r="BR24">
            <v>-6.0000000000000001E-3</v>
          </cell>
          <cell r="BT24">
            <v>0.47</v>
          </cell>
          <cell r="BV24">
            <v>0.40799999999999997</v>
          </cell>
          <cell r="CD24">
            <v>0</v>
          </cell>
          <cell r="CF24">
            <v>4.2889999999999997</v>
          </cell>
          <cell r="CH24">
            <v>3.859</v>
          </cell>
          <cell r="CJ24">
            <v>3.5090000000000003</v>
          </cell>
          <cell r="CL24">
            <v>11.657</v>
          </cell>
          <cell r="CQ24">
            <v>3.75</v>
          </cell>
          <cell r="CS24">
            <v>3.75</v>
          </cell>
          <cell r="CU24">
            <v>3.75</v>
          </cell>
          <cell r="CW24">
            <v>3.75</v>
          </cell>
          <cell r="CY24">
            <v>15</v>
          </cell>
          <cell r="DD24" t="str">
            <v>mstag:otherOperatingExpense</v>
          </cell>
          <cell r="DE24">
            <v>6</v>
          </cell>
          <cell r="DF24" t="str">
            <v>ISO4217:USD</v>
          </cell>
          <cell r="DG24" t="b">
            <v>1</v>
          </cell>
          <cell r="DH24" t="b">
            <v>0</v>
          </cell>
        </row>
        <row r="25">
          <cell r="A25" t="str">
            <v>Total Other Income (Expense)</v>
          </cell>
          <cell r="B25">
            <v>1.1180000000000001</v>
          </cell>
          <cell r="D25">
            <v>0.7</v>
          </cell>
          <cell r="F25">
            <v>0.68200000000000005</v>
          </cell>
          <cell r="H25">
            <v>0.72299999999999998</v>
          </cell>
          <cell r="J25">
            <v>3.2229999999999999</v>
          </cell>
          <cell r="N25">
            <v>0.38700000000000001</v>
          </cell>
          <cell r="P25">
            <v>0.23299999999999998</v>
          </cell>
          <cell r="R25">
            <v>0.31</v>
          </cell>
          <cell r="T25">
            <v>0.54100000000000004</v>
          </cell>
          <cell r="V25">
            <v>1.4710000000000001</v>
          </cell>
          <cell r="Z25">
            <v>0.13700000000000001</v>
          </cell>
          <cell r="AB25">
            <v>-0.34399999999999997</v>
          </cell>
          <cell r="AD25">
            <v>-0.42799999999999994</v>
          </cell>
          <cell r="AF25">
            <v>0.91700000000000004</v>
          </cell>
          <cell r="AH25">
            <v>0.28199999999999981</v>
          </cell>
          <cell r="AL25">
            <v>9.9999999999994538E-4</v>
          </cell>
          <cell r="AN25">
            <v>-0.32299999999999995</v>
          </cell>
          <cell r="AP25">
            <v>-6.5999999999999948E-2</v>
          </cell>
          <cell r="AR25">
            <v>0.31100000000000005</v>
          </cell>
          <cell r="AT25">
            <v>-7.6999999999999735E-2</v>
          </cell>
          <cell r="AX25">
            <v>0</v>
          </cell>
          <cell r="BA25">
            <v>0</v>
          </cell>
          <cell r="BB25">
            <v>-7.6999999999999735E-2</v>
          </cell>
          <cell r="BN25">
            <v>0.18899999999999983</v>
          </cell>
          <cell r="BP25">
            <v>3.1000000000000076E-2</v>
          </cell>
          <cell r="BR25">
            <v>-4.8999999999999926E-2</v>
          </cell>
          <cell r="BT25">
            <v>0.63</v>
          </cell>
          <cell r="BV25">
            <v>0.80100000000000016</v>
          </cell>
          <cell r="CD25">
            <v>0.18000000000000005</v>
          </cell>
          <cell r="CF25">
            <v>4.359</v>
          </cell>
          <cell r="CH25">
            <v>5.3309999999999995</v>
          </cell>
          <cell r="CJ25">
            <v>6.2900000000000009</v>
          </cell>
          <cell r="CL25">
            <v>16.16</v>
          </cell>
          <cell r="CQ25">
            <v>5.3250000000000002</v>
          </cell>
          <cell r="CS25">
            <v>5.0250000000000004</v>
          </cell>
          <cell r="CU25">
            <v>4.7249999999999996</v>
          </cell>
          <cell r="CW25">
            <v>3.7390240052695072</v>
          </cell>
          <cell r="CY25">
            <v>18.814024005269506</v>
          </cell>
        </row>
        <row r="26">
          <cell r="A26" t="str">
            <v>Pretax Income (Loss)</v>
          </cell>
          <cell r="B26">
            <v>-14.059000000000003</v>
          </cell>
          <cell r="D26">
            <v>-14.940000000000001</v>
          </cell>
          <cell r="F26">
            <v>-16.809000000000001</v>
          </cell>
          <cell r="H26">
            <v>-13.861999999999998</v>
          </cell>
          <cell r="J26">
            <v>-59.669999999999987</v>
          </cell>
          <cell r="N26">
            <v>-17.144999999999996</v>
          </cell>
          <cell r="P26">
            <v>-17.619</v>
          </cell>
          <cell r="R26">
            <v>-14.557999999999998</v>
          </cell>
          <cell r="T26">
            <v>-11.79999999999999</v>
          </cell>
          <cell r="V26">
            <v>-61.122</v>
          </cell>
          <cell r="Z26">
            <v>-15.465999999999999</v>
          </cell>
          <cell r="AB26">
            <v>-16.787999999999997</v>
          </cell>
          <cell r="AD26">
            <v>-14.376999999999999</v>
          </cell>
          <cell r="AF26">
            <v>-0.54099999999999837</v>
          </cell>
          <cell r="AH26">
            <v>-47.171999999999997</v>
          </cell>
          <cell r="AL26">
            <v>-13.266000000000002</v>
          </cell>
          <cell r="AN26">
            <v>-14.842000000000001</v>
          </cell>
          <cell r="AP26">
            <v>-14.121000000000002</v>
          </cell>
          <cell r="AR26">
            <v>6.0330000000000013</v>
          </cell>
          <cell r="AT26">
            <v>-36.195999999999998</v>
          </cell>
          <cell r="AX26">
            <v>0</v>
          </cell>
          <cell r="BA26">
            <v>1.4210854715202004E-11</v>
          </cell>
          <cell r="BB26">
            <v>-36.196000000000012</v>
          </cell>
          <cell r="BN26">
            <v>-8.9899999999999984</v>
          </cell>
          <cell r="BP26">
            <v>-15.137999999999996</v>
          </cell>
          <cell r="BR26">
            <v>-10.994000000000003</v>
          </cell>
          <cell r="BT26">
            <v>-12.277999999999997</v>
          </cell>
          <cell r="BV26">
            <v>-47.399999999999991</v>
          </cell>
          <cell r="CD26">
            <v>-17.355999999999998</v>
          </cell>
          <cell r="CF26">
            <v>-11.92</v>
          </cell>
          <cell r="CH26">
            <v>-12.510999999999999</v>
          </cell>
          <cell r="CJ26">
            <v>-9.0810000000000013</v>
          </cell>
          <cell r="CL26">
            <v>-50.868000000000009</v>
          </cell>
          <cell r="CQ26">
            <v>-18.725000000000001</v>
          </cell>
          <cell r="CS26">
            <v>-21.024999999999999</v>
          </cell>
          <cell r="CU26">
            <v>-23.324999999999996</v>
          </cell>
          <cell r="CW26">
            <v>-26.310975994730491</v>
          </cell>
          <cell r="CY26">
            <v>-89.385975994730487</v>
          </cell>
        </row>
        <row r="27">
          <cell r="A27" t="str">
            <v>Provision for Taxes</v>
          </cell>
          <cell r="B27">
            <v>0</v>
          </cell>
          <cell r="D27">
            <v>0</v>
          </cell>
          <cell r="F27">
            <v>0</v>
          </cell>
          <cell r="H27">
            <v>0</v>
          </cell>
          <cell r="J27">
            <v>0</v>
          </cell>
          <cell r="N27">
            <v>0</v>
          </cell>
          <cell r="P27">
            <v>0</v>
          </cell>
          <cell r="R27">
            <v>0</v>
          </cell>
          <cell r="T27">
            <v>0</v>
          </cell>
          <cell r="V27">
            <v>0</v>
          </cell>
          <cell r="Z27">
            <v>0</v>
          </cell>
          <cell r="AB27">
            <v>0</v>
          </cell>
          <cell r="AD27">
            <v>0</v>
          </cell>
          <cell r="AF27">
            <v>0</v>
          </cell>
          <cell r="AH27">
            <v>0</v>
          </cell>
          <cell r="AL27">
            <v>0</v>
          </cell>
          <cell r="AN27">
            <v>0</v>
          </cell>
          <cell r="AP27">
            <v>0</v>
          </cell>
          <cell r="AR27">
            <v>-0.11899999999999999</v>
          </cell>
          <cell r="AT27">
            <v>0</v>
          </cell>
          <cell r="AW27">
            <v>0</v>
          </cell>
          <cell r="AX27">
            <v>0</v>
          </cell>
          <cell r="BA27">
            <v>-119</v>
          </cell>
          <cell r="BN27">
            <v>0</v>
          </cell>
          <cell r="BP27">
            <v>0</v>
          </cell>
          <cell r="BR27">
            <v>0</v>
          </cell>
          <cell r="BT27">
            <v>0.11899999999999999</v>
          </cell>
          <cell r="BV27">
            <v>0.11899999999999999</v>
          </cell>
          <cell r="CD27">
            <v>0</v>
          </cell>
          <cell r="CF27">
            <v>0</v>
          </cell>
          <cell r="CH27">
            <v>0</v>
          </cell>
          <cell r="CJ27">
            <v>0</v>
          </cell>
          <cell r="CL27">
            <v>0</v>
          </cell>
          <cell r="CQ27">
            <v>0</v>
          </cell>
          <cell r="CS27">
            <v>0</v>
          </cell>
          <cell r="CU27">
            <v>0</v>
          </cell>
          <cell r="CW27">
            <v>0</v>
          </cell>
          <cell r="CY27">
            <v>0</v>
          </cell>
          <cell r="DD27" t="str">
            <v>mstag:taxExpenseIncome</v>
          </cell>
          <cell r="DE27">
            <v>6</v>
          </cell>
          <cell r="DF27" t="str">
            <v>ISO4217:USD</v>
          </cell>
          <cell r="DG27" t="b">
            <v>0</v>
          </cell>
          <cell r="DH27" t="b">
            <v>0</v>
          </cell>
        </row>
        <row r="28">
          <cell r="A28" t="str">
            <v>Effective Tax Rate</v>
          </cell>
          <cell r="BN28">
            <v>0</v>
          </cell>
          <cell r="BP28">
            <v>0</v>
          </cell>
          <cell r="BR28">
            <v>0</v>
          </cell>
          <cell r="BT28">
            <v>-9.6921322690992039E-3</v>
          </cell>
          <cell r="BV28">
            <v>-2.5105485232067514E-3</v>
          </cell>
          <cell r="CD28">
            <v>0</v>
          </cell>
          <cell r="CF28">
            <v>0</v>
          </cell>
          <cell r="CH28">
            <v>0</v>
          </cell>
          <cell r="CJ28">
            <v>0</v>
          </cell>
          <cell r="CL28">
            <v>0</v>
          </cell>
          <cell r="CQ28">
            <v>0</v>
          </cell>
          <cell r="CS28">
            <v>0</v>
          </cell>
          <cell r="CU28">
            <v>0</v>
          </cell>
          <cell r="CW28">
            <v>0</v>
          </cell>
          <cell r="CY28">
            <v>0</v>
          </cell>
        </row>
        <row r="29">
          <cell r="A29" t="str">
            <v>Cumulative Effect of Change in Accounting</v>
          </cell>
          <cell r="B29">
            <v>0</v>
          </cell>
          <cell r="D29">
            <v>0</v>
          </cell>
          <cell r="F29">
            <v>0</v>
          </cell>
          <cell r="H29">
            <v>0</v>
          </cell>
          <cell r="J29">
            <v>0</v>
          </cell>
          <cell r="N29">
            <v>0</v>
          </cell>
          <cell r="P29">
            <v>0</v>
          </cell>
          <cell r="R29">
            <v>0</v>
          </cell>
          <cell r="T29">
            <v>-3.0760000000000001</v>
          </cell>
          <cell r="V29">
            <v>-3.0760000000000001</v>
          </cell>
          <cell r="Z29">
            <v>0</v>
          </cell>
          <cell r="AB29">
            <v>0</v>
          </cell>
          <cell r="AD29">
            <v>0</v>
          </cell>
          <cell r="AF29">
            <v>0</v>
          </cell>
          <cell r="AH29">
            <v>0</v>
          </cell>
          <cell r="AL29">
            <v>0</v>
          </cell>
          <cell r="AN29">
            <v>0</v>
          </cell>
          <cell r="AP29">
            <v>0</v>
          </cell>
          <cell r="AR29">
            <v>0</v>
          </cell>
          <cell r="AT29">
            <v>0</v>
          </cell>
          <cell r="BN29">
            <v>0</v>
          </cell>
          <cell r="BP29">
            <v>0</v>
          </cell>
          <cell r="BR29">
            <v>0</v>
          </cell>
          <cell r="BT29">
            <v>0</v>
          </cell>
          <cell r="BV29">
            <v>0</v>
          </cell>
          <cell r="CD29">
            <v>0</v>
          </cell>
          <cell r="CF29">
            <v>0</v>
          </cell>
          <cell r="CH29">
            <v>0</v>
          </cell>
          <cell r="CJ29">
            <v>0</v>
          </cell>
          <cell r="CL29">
            <v>0</v>
          </cell>
          <cell r="CQ29">
            <v>0</v>
          </cell>
          <cell r="CS29">
            <v>0</v>
          </cell>
          <cell r="CU29">
            <v>0</v>
          </cell>
          <cell r="CW29">
            <v>0</v>
          </cell>
          <cell r="CY29">
            <v>0</v>
          </cell>
          <cell r="DD29" t="str">
            <v>mstag:cumulativeEffectOfChangeInAccountingPrincipleNetOfTax</v>
          </cell>
          <cell r="DE29">
            <v>6</v>
          </cell>
          <cell r="DF29" t="str">
            <v>ISO4217:USD</v>
          </cell>
          <cell r="DG29" t="b">
            <v>0</v>
          </cell>
          <cell r="DH29" t="b">
            <v>0</v>
          </cell>
        </row>
        <row r="30">
          <cell r="A30" t="str">
            <v>Net Income (Loss)</v>
          </cell>
          <cell r="B30">
            <v>-14.059000000000003</v>
          </cell>
          <cell r="D30">
            <v>-14.940000000000001</v>
          </cell>
          <cell r="F30">
            <v>-16.809000000000001</v>
          </cell>
          <cell r="H30">
            <v>-13.861999999999998</v>
          </cell>
          <cell r="J30">
            <v>-59.669999999999987</v>
          </cell>
          <cell r="N30">
            <v>-17.144999999999996</v>
          </cell>
          <cell r="P30">
            <v>-17.619</v>
          </cell>
          <cell r="R30">
            <v>-14.557999999999998</v>
          </cell>
          <cell r="T30">
            <v>-14.875999999999991</v>
          </cell>
          <cell r="V30">
            <v>-64.197999999999993</v>
          </cell>
          <cell r="Z30">
            <v>-15.465999999999999</v>
          </cell>
          <cell r="AB30">
            <v>-16.787999999999997</v>
          </cell>
          <cell r="AD30">
            <v>-14.376999999999999</v>
          </cell>
          <cell r="AF30">
            <v>-0.54099999999999837</v>
          </cell>
          <cell r="AH30">
            <v>-47.171999999999997</v>
          </cell>
          <cell r="AL30">
            <v>-13.266000000000002</v>
          </cell>
          <cell r="AN30">
            <v>-14.842000000000001</v>
          </cell>
          <cell r="AP30">
            <v>-14.121000000000002</v>
          </cell>
          <cell r="AR30">
            <v>5.9140000000000015</v>
          </cell>
          <cell r="AT30">
            <v>-36.195999999999998</v>
          </cell>
          <cell r="AX30">
            <v>0</v>
          </cell>
          <cell r="BA30">
            <v>119.00000000001398</v>
          </cell>
          <cell r="BB30">
            <v>-36.315000000000012</v>
          </cell>
          <cell r="BD30" t="str">
            <v>$20-22M</v>
          </cell>
          <cell r="BE30" t="str">
            <v>$59-61M</v>
          </cell>
          <cell r="BF30" t="str">
            <v>$19-21M</v>
          </cell>
          <cell r="BG30" t="str">
            <v>$49-52M</v>
          </cell>
          <cell r="BH30" t="str">
            <v>$(17-19)M</v>
          </cell>
          <cell r="BI30" t="str">
            <v>$49-52M</v>
          </cell>
          <cell r="BJ30" t="str">
            <v>$(2-4)M</v>
          </cell>
          <cell r="BK30" t="str">
            <v>$(44-46)M</v>
          </cell>
          <cell r="BN30">
            <v>-8.9899999999999984</v>
          </cell>
          <cell r="BP30">
            <v>-15.137999999999996</v>
          </cell>
          <cell r="BR30">
            <v>-10.994000000000003</v>
          </cell>
          <cell r="BT30">
            <v>-12.158999999999997</v>
          </cell>
          <cell r="BV30">
            <v>-47.518999999999991</v>
          </cell>
          <cell r="CD30">
            <v>-17.355999999999998</v>
          </cell>
          <cell r="CF30">
            <v>-11.92</v>
          </cell>
          <cell r="CH30">
            <v>-12.510999999999999</v>
          </cell>
          <cell r="CJ30">
            <v>-9.0810000000000013</v>
          </cell>
          <cell r="CL30">
            <v>-50.868000000000009</v>
          </cell>
          <cell r="CQ30">
            <v>-18.725000000000001</v>
          </cell>
          <cell r="CS30">
            <v>-21.024999999999999</v>
          </cell>
          <cell r="CU30">
            <v>-23.324999999999996</v>
          </cell>
          <cell r="CW30">
            <v>-26.310975994730491</v>
          </cell>
          <cell r="CY30">
            <v>-89.385975994730487</v>
          </cell>
        </row>
        <row r="32">
          <cell r="A32" t="str">
            <v>EPS - Basic (Non-GAAP, Non ESO)</v>
          </cell>
          <cell r="B32">
            <v>-0.26971185205080006</v>
          </cell>
          <cell r="D32">
            <v>-0.28593301435406698</v>
          </cell>
          <cell r="F32">
            <v>-0.32130978323202203</v>
          </cell>
          <cell r="H32">
            <v>-0.26475924900204362</v>
          </cell>
          <cell r="J32">
            <v>-1.1417255037024279</v>
          </cell>
          <cell r="N32">
            <v>-0.32737583777281309</v>
          </cell>
          <cell r="P32">
            <v>-0.33562557147211214</v>
          </cell>
          <cell r="R32">
            <v>-0.24477511559478768</v>
          </cell>
          <cell r="T32">
            <v>-0.23690161480396202</v>
          </cell>
          <cell r="V32">
            <v>-1.1298486448433649</v>
          </cell>
          <cell r="Z32">
            <v>-0.24523903908665662</v>
          </cell>
          <cell r="AB32">
            <v>-0.26492448989253414</v>
          </cell>
          <cell r="AD32">
            <v>-0.22668790009775786</v>
          </cell>
          <cell r="AF32">
            <v>-8.5265331210893532E-3</v>
          </cell>
          <cell r="AH32">
            <v>-0.74490436430390239</v>
          </cell>
          <cell r="AL32">
            <v>-0.20883116883116887</v>
          </cell>
          <cell r="AN32">
            <v>-0.23323276133006474</v>
          </cell>
          <cell r="AP32">
            <v>-0.22017962391243337</v>
          </cell>
          <cell r="AR32">
            <v>9.1634515564232494E-2</v>
          </cell>
          <cell r="AT32">
            <v>-0.5659294698906322</v>
          </cell>
          <cell r="AX32">
            <v>0</v>
          </cell>
          <cell r="BA32">
            <v>1.8295120048683611</v>
          </cell>
          <cell r="BB32">
            <v>-0.56775898189550056</v>
          </cell>
          <cell r="BF32" t="str">
            <v>$0.30-$0.33</v>
          </cell>
          <cell r="BG32" t="str">
            <v>$0.77-0.82</v>
          </cell>
          <cell r="BH32" t="str">
            <v>$(.27-.30)</v>
          </cell>
          <cell r="BI32" t="str">
            <v>$0.77-0.82</v>
          </cell>
          <cell r="BJ32" t="str">
            <v>$(.03-.06)</v>
          </cell>
          <cell r="BK32" t="str">
            <v>$(-.69-.72)</v>
          </cell>
          <cell r="BN32">
            <v>-0.13923736951336613</v>
          </cell>
          <cell r="BP32">
            <v>-0.23423646463552381</v>
          </cell>
          <cell r="BR32">
            <v>-0.16957675222112545</v>
          </cell>
          <cell r="BT32">
            <v>-0.1656426673932293</v>
          </cell>
          <cell r="BV32">
            <v>-0.71055386087684647</v>
          </cell>
          <cell r="CD32">
            <v>-0.22268983037799273</v>
          </cell>
          <cell r="CF32">
            <v>-0.14980896842951941</v>
          </cell>
          <cell r="CH32">
            <v>-0.12007178778455986</v>
          </cell>
          <cell r="CJ32">
            <v>-6.6384490547831049E-2</v>
          </cell>
          <cell r="CL32">
            <v>-0.51059985545651665</v>
          </cell>
          <cell r="CQ32">
            <v>-0.13647523298490569</v>
          </cell>
          <cell r="CS32">
            <v>-0.15278020536561968</v>
          </cell>
          <cell r="CU32">
            <v>-0.16898641958325161</v>
          </cell>
          <cell r="CW32">
            <v>-0.19004925754741731</v>
          </cell>
          <cell r="CY32">
            <v>-0.64855613129800072</v>
          </cell>
        </row>
        <row r="33">
          <cell r="A33" t="str">
            <v>EPS - Fully Diluted (Non-GAAP, Non ESO)</v>
          </cell>
          <cell r="B33">
            <v>-0.26971185205080006</v>
          </cell>
          <cell r="D33">
            <v>-0.28593301435406698</v>
          </cell>
          <cell r="F33">
            <v>-0.32130978323202203</v>
          </cell>
          <cell r="H33">
            <v>-0.26475924900204362</v>
          </cell>
          <cell r="J33">
            <v>-1.1417255037024279</v>
          </cell>
          <cell r="N33">
            <v>-0.32737583777281309</v>
          </cell>
          <cell r="P33">
            <v>-0.33562557147211214</v>
          </cell>
          <cell r="R33">
            <v>-0.24477511559478768</v>
          </cell>
          <cell r="T33">
            <v>-0.23690161480396202</v>
          </cell>
          <cell r="V33">
            <v>-1.1298486448433649</v>
          </cell>
          <cell r="Z33">
            <v>-0.24523903908665662</v>
          </cell>
          <cell r="AB33">
            <v>-0.26492448989253414</v>
          </cell>
          <cell r="AD33">
            <v>-0.22668790009775786</v>
          </cell>
          <cell r="AF33">
            <v>-8.5265331210893532E-3</v>
          </cell>
          <cell r="AH33">
            <v>-0.74490436430390239</v>
          </cell>
          <cell r="AL33">
            <v>-0.20883116883116887</v>
          </cell>
          <cell r="AN33">
            <v>-0.23323276133006474</v>
          </cell>
          <cell r="AP33">
            <v>-0.22017962391243337</v>
          </cell>
          <cell r="AR33">
            <v>9.1634515564232494E-2</v>
          </cell>
          <cell r="AT33">
            <v>-0.5659294698906322</v>
          </cell>
          <cell r="AV33" t="str">
            <v>Loss of ($0.84)-($0.89)</v>
          </cell>
          <cell r="AX33">
            <v>0</v>
          </cell>
          <cell r="BA33">
            <v>1.8295120048683611</v>
          </cell>
          <cell r="BB33">
            <v>-0.56775898189550056</v>
          </cell>
          <cell r="BN33">
            <v>-0.13923736951336613</v>
          </cell>
          <cell r="BP33">
            <v>-0.23423646463552381</v>
          </cell>
          <cell r="BR33">
            <v>-0.16957675222112545</v>
          </cell>
          <cell r="BT33">
            <v>-0.1656426673932293</v>
          </cell>
          <cell r="BV33">
            <v>-0.71055386087684647</v>
          </cell>
          <cell r="CD33">
            <v>-0.22268983037799273</v>
          </cell>
          <cell r="CF33">
            <v>-0.14980896842951941</v>
          </cell>
          <cell r="CH33">
            <v>-0.12007178778455986</v>
          </cell>
          <cell r="CJ33">
            <v>-6.6384490547831049E-2</v>
          </cell>
          <cell r="CL33">
            <v>-0.51059985545651665</v>
          </cell>
          <cell r="CQ33">
            <v>-0.13647523298490569</v>
          </cell>
          <cell r="CS33">
            <v>-0.15278020536561968</v>
          </cell>
          <cell r="CU33">
            <v>-0.16898641958325161</v>
          </cell>
          <cell r="CW33">
            <v>-0.19004925754741731</v>
          </cell>
          <cell r="CY33">
            <v>-0.64855613129800072</v>
          </cell>
        </row>
        <row r="35">
          <cell r="A35" t="str">
            <v>Options Expense</v>
          </cell>
          <cell r="AL35">
            <v>0</v>
          </cell>
          <cell r="AN35">
            <v>0</v>
          </cell>
          <cell r="AP35">
            <v>0</v>
          </cell>
          <cell r="AR35">
            <v>0</v>
          </cell>
          <cell r="AT35">
            <v>0</v>
          </cell>
          <cell r="BN35">
            <v>1.841</v>
          </cell>
          <cell r="BP35">
            <v>1.764</v>
          </cell>
          <cell r="BR35">
            <v>1.7610000000000001</v>
          </cell>
          <cell r="BT35">
            <v>1.6639999999999999</v>
          </cell>
          <cell r="BV35">
            <v>7.0299999999999994</v>
          </cell>
          <cell r="CA35" t="str">
            <v>7-8MM</v>
          </cell>
          <cell r="CD35">
            <v>1.5589999999999999</v>
          </cell>
          <cell r="CF35">
            <v>1.671</v>
          </cell>
          <cell r="CH35">
            <v>1.6</v>
          </cell>
          <cell r="CJ35">
            <v>3.0960000000000001</v>
          </cell>
          <cell r="CL35">
            <v>7.9260000000000002</v>
          </cell>
          <cell r="CQ35">
            <v>1.5</v>
          </cell>
          <cell r="CS35">
            <v>1.5</v>
          </cell>
          <cell r="CU35">
            <v>1.5</v>
          </cell>
          <cell r="CW35">
            <v>1.5</v>
          </cell>
          <cell r="CY35">
            <v>6</v>
          </cell>
        </row>
        <row r="36">
          <cell r="A36" t="str">
            <v>% of operating expenses</v>
          </cell>
          <cell r="AL36">
            <v>0</v>
          </cell>
          <cell r="AN36">
            <v>0</v>
          </cell>
          <cell r="AP36">
            <v>0</v>
          </cell>
          <cell r="AR36">
            <v>0</v>
          </cell>
          <cell r="AT36">
            <v>0</v>
          </cell>
          <cell r="BN36">
            <v>6.1093781111037367E-2</v>
          </cell>
          <cell r="BP36">
            <v>5.6298471260332557E-2</v>
          </cell>
          <cell r="BR36">
            <v>5.7628117023365399E-2</v>
          </cell>
          <cell r="BT36">
            <v>5.7430800027610966E-2</v>
          </cell>
          <cell r="BV36">
            <v>5.8099653716146414E-2</v>
          </cell>
          <cell r="CD36">
            <v>5.0240082498147015E-2</v>
          </cell>
          <cell r="CF36">
            <v>5.7766100874615416E-2</v>
          </cell>
          <cell r="CH36">
            <v>5.7124495697811417E-2</v>
          </cell>
          <cell r="CJ36">
            <v>0.10610370471914733</v>
          </cell>
          <cell r="CL36">
            <v>6.7659160363990237E-2</v>
          </cell>
          <cell r="CQ36">
            <v>4.7543581616481777E-2</v>
          </cell>
          <cell r="CS36">
            <v>4.4709388971684055E-2</v>
          </cell>
          <cell r="CU36">
            <v>4.2194092827004225E-2</v>
          </cell>
          <cell r="CW36">
            <v>3.994673768308922E-2</v>
          </cell>
          <cell r="CY36">
            <v>4.3415340086830685E-2</v>
          </cell>
        </row>
        <row r="37">
          <cell r="A37" t="str">
            <v>Tax Benefit from Stock Options</v>
          </cell>
          <cell r="BN37">
            <v>0</v>
          </cell>
          <cell r="BP37">
            <v>0</v>
          </cell>
          <cell r="BR37">
            <v>0</v>
          </cell>
          <cell r="BT37">
            <v>-1.6127708095781075E-2</v>
          </cell>
          <cell r="BV37">
            <v>-1.7649156118143459E-2</v>
          </cell>
          <cell r="CD37">
            <v>0</v>
          </cell>
          <cell r="CF37">
            <v>0</v>
          </cell>
          <cell r="CH37">
            <v>0</v>
          </cell>
          <cell r="CJ37">
            <v>0</v>
          </cell>
          <cell r="CL37">
            <v>0</v>
          </cell>
          <cell r="CQ37">
            <v>0</v>
          </cell>
          <cell r="CS37">
            <v>0</v>
          </cell>
          <cell r="CU37">
            <v>0</v>
          </cell>
          <cell r="CW37">
            <v>0</v>
          </cell>
          <cell r="CY37">
            <v>0</v>
          </cell>
        </row>
        <row r="39">
          <cell r="A39" t="str">
            <v>Net Income (Non-GAAP, With ESO)</v>
          </cell>
          <cell r="BN39">
            <v>-10.830999999999998</v>
          </cell>
          <cell r="BP39">
            <v>-16.901999999999997</v>
          </cell>
          <cell r="BR39">
            <v>-12.755000000000003</v>
          </cell>
          <cell r="BT39">
            <v>-13.839127708095777</v>
          </cell>
          <cell r="BV39">
            <v>-54.566649156118139</v>
          </cell>
          <cell r="CD39">
            <v>-18.914999999999999</v>
          </cell>
          <cell r="CF39">
            <v>-13.590999999999999</v>
          </cell>
          <cell r="CH39">
            <v>-14.110999999999999</v>
          </cell>
          <cell r="CJ39">
            <v>-12.177000000000001</v>
          </cell>
          <cell r="CL39">
            <v>-58.794000000000011</v>
          </cell>
          <cell r="CQ39">
            <v>-20.225000000000001</v>
          </cell>
          <cell r="CS39">
            <v>-22.524999999999999</v>
          </cell>
          <cell r="CU39">
            <v>-24.824999999999996</v>
          </cell>
          <cell r="CW39">
            <v>-27.810975994730491</v>
          </cell>
          <cell r="CY39">
            <v>-95.385975994730487</v>
          </cell>
        </row>
        <row r="40">
          <cell r="A40" t="str">
            <v>Net Income (GAAP, With ESO)</v>
          </cell>
          <cell r="AL40">
            <v>-13.266000000000002</v>
          </cell>
          <cell r="AN40">
            <v>-14.842000000000001</v>
          </cell>
          <cell r="AP40">
            <v>-14.121000000000002</v>
          </cell>
          <cell r="AR40">
            <v>5.9140000000000015</v>
          </cell>
          <cell r="AT40">
            <v>-36.315000000000005</v>
          </cell>
          <cell r="BN40">
            <v>-10.830999999999998</v>
          </cell>
          <cell r="BP40">
            <v>-16.901999999999997</v>
          </cell>
          <cell r="BR40">
            <v>-12.755000000000003</v>
          </cell>
          <cell r="BT40">
            <v>-13.839127708095777</v>
          </cell>
          <cell r="BV40">
            <v>-54.566649156118139</v>
          </cell>
          <cell r="BZ40" t="str">
            <v>16-18 MM for 4Q</v>
          </cell>
          <cell r="CA40" t="str">
            <v>57-60mm</v>
          </cell>
          <cell r="CB40" t="str">
            <v>(old 67-70MM)  Includes stock comp</v>
          </cell>
          <cell r="CD40">
            <v>-18.914999999999999</v>
          </cell>
          <cell r="CF40">
            <v>-13.590999999999999</v>
          </cell>
          <cell r="CH40">
            <v>-14.110999999999999</v>
          </cell>
          <cell r="CJ40">
            <v>-12.177000000000001</v>
          </cell>
          <cell r="CL40">
            <v>-58.794000000000011</v>
          </cell>
          <cell r="CO40" t="str">
            <v>55-58 loss</v>
          </cell>
          <cell r="CQ40">
            <v>-20.225000000000001</v>
          </cell>
          <cell r="CS40">
            <v>-22.524999999999999</v>
          </cell>
          <cell r="CU40">
            <v>-24.824999999999996</v>
          </cell>
          <cell r="CW40">
            <v>-27.810975994730491</v>
          </cell>
          <cell r="CY40">
            <v>-95.385975994730487</v>
          </cell>
        </row>
        <row r="42">
          <cell r="A42" t="str">
            <v>EPS - Fully Diluted; Fully-Taxed (Non-GAAP, Non ESO)</v>
          </cell>
          <cell r="B42">
            <v>-0.26971185205080006</v>
          </cell>
          <cell r="D42">
            <v>-0.28593301435406698</v>
          </cell>
          <cell r="F42">
            <v>-0.32130978323202203</v>
          </cell>
          <cell r="H42">
            <v>-0.26475924900204362</v>
          </cell>
          <cell r="J42">
            <v>-1.1417255037024279</v>
          </cell>
          <cell r="N42">
            <v>-0.32737583777281309</v>
          </cell>
          <cell r="P42">
            <v>-0.33562557147211214</v>
          </cell>
          <cell r="R42">
            <v>-0.24477511559478768</v>
          </cell>
          <cell r="T42">
            <v>-0.23690161480396202</v>
          </cell>
          <cell r="V42">
            <v>-1.1298486448433649</v>
          </cell>
          <cell r="Z42">
            <v>-0.24523903908665662</v>
          </cell>
          <cell r="AB42">
            <v>-0.26492448989253414</v>
          </cell>
          <cell r="AD42">
            <v>-0.22668790009775786</v>
          </cell>
          <cell r="AF42">
            <v>-8.5265331210893532E-3</v>
          </cell>
          <cell r="AH42">
            <v>-0.74490436430390239</v>
          </cell>
          <cell r="AL42">
            <v>-0.20883116883116887</v>
          </cell>
          <cell r="AN42">
            <v>-0.23323276133006474</v>
          </cell>
          <cell r="AP42">
            <v>-0.22017962391243337</v>
          </cell>
          <cell r="AR42">
            <v>5.7357279736173647E-2</v>
          </cell>
          <cell r="AT42">
            <v>-0.5659294698906322</v>
          </cell>
          <cell r="AX42">
            <v>0</v>
          </cell>
          <cell r="BA42">
            <v>1.8295120048683611</v>
          </cell>
          <cell r="BB42">
            <v>-0.56775898189550056</v>
          </cell>
          <cell r="BN42">
            <v>-0.13923736951336613</v>
          </cell>
          <cell r="BP42">
            <v>-0.23423646463552381</v>
          </cell>
          <cell r="BR42">
            <v>-0.16957675222112545</v>
          </cell>
          <cell r="BT42">
            <v>-0.1656426673932293</v>
          </cell>
          <cell r="BV42">
            <v>-0.71055386087684647</v>
          </cell>
          <cell r="CD42">
            <v>-0.22268983037799273</v>
          </cell>
          <cell r="CF42">
            <v>-0.14980896842951941</v>
          </cell>
          <cell r="CH42">
            <v>-0.12007178778455986</v>
          </cell>
          <cell r="CJ42">
            <v>-6.6384490547831049E-2</v>
          </cell>
          <cell r="CL42">
            <v>-0.51059985545651665</v>
          </cell>
          <cell r="CQ42">
            <v>-0.13647523298490569</v>
          </cell>
          <cell r="CS42">
            <v>-0.15278020536561968</v>
          </cell>
          <cell r="CU42">
            <v>-0.16898641958325161</v>
          </cell>
          <cell r="CW42">
            <v>-0.19004925754741731</v>
          </cell>
          <cell r="CY42">
            <v>-0.64855613129800072</v>
          </cell>
        </row>
        <row r="43">
          <cell r="A43" t="str">
            <v>EPS - Diluted (Non-GAAP, With ESO)</v>
          </cell>
          <cell r="N43">
            <v>-0.32737583777281309</v>
          </cell>
          <cell r="P43">
            <v>-0.33562557147211214</v>
          </cell>
          <cell r="R43">
            <v>-0.24477511559478768</v>
          </cell>
          <cell r="T43">
            <v>-0.23690161480396202</v>
          </cell>
          <cell r="V43">
            <v>-1.1298486448433649</v>
          </cell>
          <cell r="Z43">
            <v>-0.24523903908665662</v>
          </cell>
          <cell r="AB43">
            <v>-0.26492448989253414</v>
          </cell>
          <cell r="AD43">
            <v>-0.22668790009775786</v>
          </cell>
          <cell r="AF43">
            <v>-8.5265331210893532E-3</v>
          </cell>
          <cell r="AH43">
            <v>-0.74490436430390239</v>
          </cell>
          <cell r="AL43">
            <v>-0.20883116883116887</v>
          </cell>
          <cell r="AN43">
            <v>-0.23323276133006474</v>
          </cell>
          <cell r="AP43">
            <v>-0.22017962391243337</v>
          </cell>
          <cell r="AR43">
            <v>9.1634515564232494E-2</v>
          </cell>
          <cell r="AT43">
            <v>-0.5659294698906322</v>
          </cell>
          <cell r="BN43">
            <v>-0.16775082860948481</v>
          </cell>
          <cell r="BP43">
            <v>-0.26153155801754685</v>
          </cell>
          <cell r="BR43">
            <v>-0.19673926456071081</v>
          </cell>
          <cell r="BT43">
            <v>-0.18853113150460837</v>
          </cell>
          <cell r="BV43">
            <v>-0.81616346941058449</v>
          </cell>
          <cell r="CD43">
            <v>-0.24269290974877464</v>
          </cell>
          <cell r="CF43">
            <v>-0.17080987331590589</v>
          </cell>
          <cell r="CH43">
            <v>-0.13542746362624283</v>
          </cell>
          <cell r="CJ43">
            <v>-8.9017062151848764E-2</v>
          </cell>
          <cell r="CL43">
            <v>-0.59015899783184789</v>
          </cell>
          <cell r="CQ43">
            <v>-0.14740782841760841</v>
          </cell>
          <cell r="CS43">
            <v>-0.163680101111086</v>
          </cell>
          <cell r="CU43">
            <v>-0.17985371344712631</v>
          </cell>
          <cell r="CW43">
            <v>-0.20088404704280582</v>
          </cell>
          <cell r="CY43">
            <v>-0.69209021754009092</v>
          </cell>
          <cell r="DD43" t="str">
            <v>mstag:adjEpsForConsensus</v>
          </cell>
          <cell r="DE43">
            <v>0</v>
          </cell>
          <cell r="DF43" t="str">
            <v>ISO4217:USD</v>
          </cell>
          <cell r="DG43" t="b">
            <v>0</v>
          </cell>
          <cell r="DH43" t="b">
            <v>0</v>
          </cell>
        </row>
        <row r="44">
          <cell r="A44" t="str">
            <v>EPS - Diluted (GAAP,With ESO)</v>
          </cell>
          <cell r="AL44">
            <v>-0.20883116883116887</v>
          </cell>
          <cell r="AN44">
            <v>-0.23323276133006474</v>
          </cell>
          <cell r="AP44">
            <v>-0.22017962391243337</v>
          </cell>
          <cell r="AR44">
            <v>8.7852994043109492E-2</v>
          </cell>
          <cell r="AT44">
            <v>-0.56779005136142979</v>
          </cell>
          <cell r="BN44">
            <v>-0.16775082860948481</v>
          </cell>
          <cell r="BP44">
            <v>-0.26153155801754685</v>
          </cell>
          <cell r="BR44">
            <v>-0.19673926456071081</v>
          </cell>
          <cell r="BT44">
            <v>-0.18853113150460837</v>
          </cell>
          <cell r="BV44">
            <v>-0.81616346941058449</v>
          </cell>
          <cell r="CA44" t="str">
            <v>(1.03-1.08)</v>
          </cell>
          <cell r="CB44" t="str">
            <v>includes stock compensation expense</v>
          </cell>
          <cell r="CD44">
            <v>-0.24269290974877464</v>
          </cell>
          <cell r="CF44">
            <v>-0.17080987331590589</v>
          </cell>
          <cell r="CH44">
            <v>-0.13542746362624283</v>
          </cell>
          <cell r="CJ44">
            <v>-8.9017062151848764E-2</v>
          </cell>
          <cell r="CL44">
            <v>-0.59015899783184789</v>
          </cell>
          <cell r="CO44" t="str">
            <v>.71-.74 loss</v>
          </cell>
          <cell r="CQ44">
            <v>-0.14740782841760841</v>
          </cell>
          <cell r="CS44">
            <v>-0.163680101111086</v>
          </cell>
          <cell r="CU44">
            <v>-0.17985371344712631</v>
          </cell>
          <cell r="CW44">
            <v>-0.20088404704280582</v>
          </cell>
          <cell r="CY44">
            <v>-0.69209021754009092</v>
          </cell>
        </row>
        <row r="46">
          <cell r="A46" t="str">
            <v>Basic Shares Oustanding</v>
          </cell>
          <cell r="B46">
            <v>52.125999999999998</v>
          </cell>
          <cell r="D46">
            <v>52.25</v>
          </cell>
          <cell r="F46">
            <v>52.314</v>
          </cell>
          <cell r="H46">
            <v>52.356999999999999</v>
          </cell>
          <cell r="J46">
            <v>52.262999999999998</v>
          </cell>
          <cell r="N46">
            <v>52.371000000000002</v>
          </cell>
          <cell r="P46">
            <v>52.496000000000002</v>
          </cell>
          <cell r="R46">
            <v>59.475000000000001</v>
          </cell>
          <cell r="T46">
            <v>62.793999999999997</v>
          </cell>
          <cell r="V46">
            <v>56.82</v>
          </cell>
          <cell r="Z46">
            <v>63.064999999999998</v>
          </cell>
          <cell r="AB46">
            <v>63.369</v>
          </cell>
          <cell r="AD46">
            <v>63.421999999999997</v>
          </cell>
          <cell r="AF46">
            <v>63.448999999999998</v>
          </cell>
          <cell r="AH46">
            <v>63.326250000000002</v>
          </cell>
          <cell r="AL46">
            <v>63.524999999999999</v>
          </cell>
          <cell r="AN46">
            <v>63.636000000000003</v>
          </cell>
          <cell r="AP46">
            <v>64.134</v>
          </cell>
          <cell r="AR46">
            <v>64.539000000000001</v>
          </cell>
          <cell r="AT46">
            <v>63.958500000000001</v>
          </cell>
          <cell r="AX46">
            <v>0</v>
          </cell>
          <cell r="BA46">
            <v>-3.5000000000025011</v>
          </cell>
          <cell r="BB46">
            <v>63.962000000000003</v>
          </cell>
          <cell r="BI46">
            <v>63.9</v>
          </cell>
          <cell r="BK46">
            <v>64</v>
          </cell>
          <cell r="BN46">
            <v>64.566000000000003</v>
          </cell>
          <cell r="BP46">
            <v>64.626999999999995</v>
          </cell>
          <cell r="BR46">
            <v>64.831999999999994</v>
          </cell>
          <cell r="BT46">
            <v>73.405000000000001</v>
          </cell>
          <cell r="BV46">
            <v>66.876000000000005</v>
          </cell>
          <cell r="CA46">
            <v>64.8</v>
          </cell>
          <cell r="CD46">
            <v>77.938000000000002</v>
          </cell>
          <cell r="CF46">
            <v>79.567999999999998</v>
          </cell>
          <cell r="CH46">
            <v>104.196</v>
          </cell>
          <cell r="CJ46">
            <v>136.79400000000001</v>
          </cell>
          <cell r="CL46">
            <v>99.623999999999995</v>
          </cell>
          <cell r="CO46" t="str">
            <v>78.2M</v>
          </cell>
          <cell r="CQ46">
            <v>137.20438200000001</v>
          </cell>
          <cell r="CS46">
            <v>137.61599514599999</v>
          </cell>
          <cell r="CU46">
            <v>138.02884313143798</v>
          </cell>
          <cell r="CW46">
            <v>138.44292966083228</v>
          </cell>
          <cell r="CY46">
            <v>137.82303748456758</v>
          </cell>
          <cell r="DD46" t="str">
            <v>mstag:averageBasicSharesOutstanding</v>
          </cell>
          <cell r="DE46">
            <v>6</v>
          </cell>
          <cell r="DF46" t="str">
            <v>ms_eqr_gcim_Decimal:ms_eqr_gcim_decimal</v>
          </cell>
          <cell r="DG46" t="b">
            <v>0</v>
          </cell>
          <cell r="DH46" t="b">
            <v>0</v>
          </cell>
        </row>
        <row r="47">
          <cell r="A47" t="str">
            <v>Diluted Shares Outstanding</v>
          </cell>
          <cell r="B47">
            <v>52.125999999999998</v>
          </cell>
          <cell r="D47">
            <v>52.25</v>
          </cell>
          <cell r="F47">
            <v>52.314</v>
          </cell>
          <cell r="H47">
            <v>52.356999999999999</v>
          </cell>
          <cell r="J47">
            <v>52.262999999999998</v>
          </cell>
          <cell r="N47">
            <v>52.371000000000002</v>
          </cell>
          <cell r="P47">
            <v>52.496000000000002</v>
          </cell>
          <cell r="R47">
            <v>59.475000000000001</v>
          </cell>
          <cell r="T47">
            <v>62.793999999999997</v>
          </cell>
          <cell r="V47">
            <v>56.82</v>
          </cell>
          <cell r="Z47">
            <v>63.064999999999998</v>
          </cell>
          <cell r="AB47">
            <v>63.369</v>
          </cell>
          <cell r="AD47">
            <v>63.421999999999997</v>
          </cell>
          <cell r="AF47">
            <v>63.448999999999998</v>
          </cell>
          <cell r="AH47">
            <v>63.326250000000002</v>
          </cell>
          <cell r="AL47">
            <v>63.524999999999999</v>
          </cell>
          <cell r="AN47">
            <v>63.636000000000003</v>
          </cell>
          <cell r="AP47">
            <v>64.134</v>
          </cell>
          <cell r="AR47">
            <v>67.316999999999993</v>
          </cell>
          <cell r="AT47">
            <v>63.958500000000001</v>
          </cell>
          <cell r="AV47" t="str">
            <v>63.3 M shares</v>
          </cell>
          <cell r="AX47">
            <v>0</v>
          </cell>
          <cell r="BA47">
            <v>-3.5000000000025011</v>
          </cell>
          <cell r="BB47">
            <v>63.962000000000003</v>
          </cell>
          <cell r="BI47">
            <v>63.9</v>
          </cell>
          <cell r="BK47">
            <v>64</v>
          </cell>
          <cell r="BN47">
            <v>64.566000000000003</v>
          </cell>
          <cell r="BP47">
            <v>64.626999999999995</v>
          </cell>
          <cell r="BR47">
            <v>64.831999999999994</v>
          </cell>
          <cell r="BT47">
            <v>73.405000000000001</v>
          </cell>
          <cell r="BV47">
            <v>66.857499999999987</v>
          </cell>
          <cell r="CD47">
            <v>77.938000000000002</v>
          </cell>
          <cell r="CF47">
            <v>79.567999999999998</v>
          </cell>
          <cell r="CH47">
            <v>104.196</v>
          </cell>
          <cell r="CJ47">
            <v>136.79400000000001</v>
          </cell>
          <cell r="CL47">
            <v>99.623999999999995</v>
          </cell>
          <cell r="CQ47">
            <v>137.20438200000001</v>
          </cell>
          <cell r="CS47">
            <v>137.61599514599999</v>
          </cell>
          <cell r="CU47">
            <v>138.02884313143798</v>
          </cell>
          <cell r="CW47">
            <v>138.44292966083228</v>
          </cell>
          <cell r="CY47">
            <v>137.82303748456758</v>
          </cell>
          <cell r="DD47" t="str">
            <v>mstag:averageDilutedSharesOutstanding</v>
          </cell>
          <cell r="DE47">
            <v>6</v>
          </cell>
          <cell r="DF47" t="str">
            <v>ms_eqr_gcim_Decimal:ms_eqr_gcim_decimal</v>
          </cell>
          <cell r="DG47" t="b">
            <v>0</v>
          </cell>
          <cell r="DH47" t="b">
            <v>0</v>
          </cell>
        </row>
        <row r="51">
          <cell r="A51" t="str">
            <v>Reconciliation to GAAP earnings/loss</v>
          </cell>
        </row>
        <row r="52">
          <cell r="A52" t="str">
            <v>Adjustments to pro-forma earnings:</v>
          </cell>
        </row>
        <row r="53">
          <cell r="A53" t="str">
            <v>Stock Compensation Expense</v>
          </cell>
          <cell r="AL53">
            <v>0</v>
          </cell>
          <cell r="AN53">
            <v>0</v>
          </cell>
          <cell r="AP53">
            <v>0</v>
          </cell>
          <cell r="AR53">
            <v>0</v>
          </cell>
          <cell r="AT53">
            <v>0</v>
          </cell>
          <cell r="BN53">
            <v>1.841</v>
          </cell>
          <cell r="BP53">
            <v>1.764</v>
          </cell>
          <cell r="BR53">
            <v>1.7610000000000001</v>
          </cell>
          <cell r="BT53">
            <v>1.6639999999999999</v>
          </cell>
          <cell r="BV53">
            <v>7.0299999999999994</v>
          </cell>
          <cell r="CD53">
            <v>1.5589999999999999</v>
          </cell>
          <cell r="CF53">
            <v>1.671</v>
          </cell>
          <cell r="CH53">
            <v>1.6</v>
          </cell>
          <cell r="CJ53">
            <v>3.0960000000000001</v>
          </cell>
          <cell r="CL53">
            <v>7.9260000000000002</v>
          </cell>
          <cell r="CQ53">
            <v>1.5</v>
          </cell>
          <cell r="CS53">
            <v>1.5</v>
          </cell>
          <cell r="CU53">
            <v>1.5</v>
          </cell>
          <cell r="CW53">
            <v>1.5</v>
          </cell>
          <cell r="CY53">
            <v>6</v>
          </cell>
          <cell r="DD53" t="str">
            <v>mstag:stockCompensation</v>
          </cell>
          <cell r="DE53">
            <v>6</v>
          </cell>
          <cell r="DF53" t="str">
            <v>ISO4217:USD</v>
          </cell>
          <cell r="DG53" t="b">
            <v>0</v>
          </cell>
          <cell r="DH53" t="b">
            <v>0</v>
          </cell>
        </row>
        <row r="54">
          <cell r="A54" t="str">
            <v>Tax Benefit of Stock Options</v>
          </cell>
          <cell r="BN54">
            <v>0</v>
          </cell>
          <cell r="BP54">
            <v>0</v>
          </cell>
          <cell r="BR54">
            <v>0</v>
          </cell>
          <cell r="BT54">
            <v>-1.6127708095781075E-2</v>
          </cell>
          <cell r="BV54">
            <v>-1.7649156118143459E-2</v>
          </cell>
          <cell r="CD54">
            <v>0</v>
          </cell>
          <cell r="CF54">
            <v>0</v>
          </cell>
          <cell r="CH54">
            <v>0</v>
          </cell>
          <cell r="CJ54">
            <v>0</v>
          </cell>
          <cell r="CL54">
            <v>0</v>
          </cell>
          <cell r="CQ54">
            <v>0</v>
          </cell>
          <cell r="CS54">
            <v>0</v>
          </cell>
          <cell r="CU54">
            <v>0</v>
          </cell>
          <cell r="CW54">
            <v>0</v>
          </cell>
          <cell r="CY54">
            <v>0</v>
          </cell>
          <cell r="DD54" t="str">
            <v>mstag:taxExpenseIncome</v>
          </cell>
          <cell r="DE54">
            <v>6</v>
          </cell>
          <cell r="DF54" t="str">
            <v>ISO4217:USD</v>
          </cell>
          <cell r="DG54" t="b">
            <v>1</v>
          </cell>
          <cell r="DH54" t="b">
            <v>0</v>
          </cell>
        </row>
        <row r="55">
          <cell r="A55" t="str">
            <v>GAAP Net Income</v>
          </cell>
          <cell r="AL55">
            <v>-13.266000000000002</v>
          </cell>
          <cell r="AN55">
            <v>-14.842000000000001</v>
          </cell>
          <cell r="AP55">
            <v>-14.121000000000002</v>
          </cell>
          <cell r="AR55">
            <v>5.9140000000000015</v>
          </cell>
          <cell r="AT55">
            <v>-36.315000000000005</v>
          </cell>
          <cell r="BN55">
            <v>-10.830999999999998</v>
          </cell>
          <cell r="BP55">
            <v>-16.901999999999997</v>
          </cell>
          <cell r="BR55">
            <v>-12.755000000000003</v>
          </cell>
          <cell r="BT55">
            <v>-13.839127708095777</v>
          </cell>
          <cell r="BV55">
            <v>-54.566649156118139</v>
          </cell>
          <cell r="CD55">
            <v>-18.914999999999999</v>
          </cell>
          <cell r="CF55">
            <v>-13.590999999999999</v>
          </cell>
          <cell r="CH55">
            <v>-14.110999999999999</v>
          </cell>
          <cell r="CJ55">
            <v>-12.177000000000001</v>
          </cell>
          <cell r="CL55">
            <v>-58.794000000000011</v>
          </cell>
          <cell r="CQ55">
            <v>-20.225000000000001</v>
          </cell>
          <cell r="CS55">
            <v>-22.524999999999999</v>
          </cell>
          <cell r="CU55">
            <v>-24.824999999999996</v>
          </cell>
          <cell r="CW55">
            <v>-27.810975994730491</v>
          </cell>
          <cell r="CY55">
            <v>-95.385975994730487</v>
          </cell>
        </row>
        <row r="56">
          <cell r="A56" t="str">
            <v>GAAP (loss) EPS, Basic</v>
          </cell>
          <cell r="AL56">
            <v>-0.20883116883116887</v>
          </cell>
          <cell r="AN56">
            <v>-0.23323276133006474</v>
          </cell>
          <cell r="AP56">
            <v>-0.22017962391243337</v>
          </cell>
          <cell r="AR56">
            <v>9.1634515564232494E-2</v>
          </cell>
          <cell r="AT56">
            <v>-0.56779005136142979</v>
          </cell>
          <cell r="BN56">
            <v>-0.16775082860948481</v>
          </cell>
          <cell r="BP56">
            <v>-0.26153155801754685</v>
          </cell>
          <cell r="BR56">
            <v>-0.19673926456071081</v>
          </cell>
          <cell r="BT56">
            <v>-0.18853113150460837</v>
          </cell>
          <cell r="BV56">
            <v>-0.81593769298579666</v>
          </cell>
          <cell r="CD56">
            <v>-0.24269290974877464</v>
          </cell>
          <cell r="CF56">
            <v>-0.17080987331590589</v>
          </cell>
          <cell r="CH56">
            <v>-0.13542746362624283</v>
          </cell>
          <cell r="CJ56">
            <v>-8.9017062151848764E-2</v>
          </cell>
          <cell r="CL56">
            <v>-0.59015899783184789</v>
          </cell>
          <cell r="CQ56">
            <v>-0.14740782841760841</v>
          </cell>
          <cell r="CS56">
            <v>-0.163680101111086</v>
          </cell>
          <cell r="CU56">
            <v>-0.17985371344712631</v>
          </cell>
          <cell r="CW56">
            <v>-0.20088404704280582</v>
          </cell>
          <cell r="CY56">
            <v>-0.69209021754009092</v>
          </cell>
        </row>
        <row r="57">
          <cell r="A57" t="str">
            <v>GAAP (loss) EPS, Diluted</v>
          </cell>
          <cell r="AL57">
            <v>-0.20883116883116887</v>
          </cell>
          <cell r="AN57">
            <v>-0.23323276133006474</v>
          </cell>
          <cell r="AP57">
            <v>-0.22017962391243337</v>
          </cell>
          <cell r="AR57">
            <v>8.7852994043109492E-2</v>
          </cell>
          <cell r="AT57">
            <v>-0.56779005136142979</v>
          </cell>
          <cell r="BN57">
            <v>-0.16775082860948481</v>
          </cell>
          <cell r="BP57">
            <v>-0.26153155801754685</v>
          </cell>
          <cell r="BR57">
            <v>-0.19673926456071081</v>
          </cell>
          <cell r="BT57">
            <v>-0.18853113150460837</v>
          </cell>
          <cell r="BV57">
            <v>-0.81616346941058449</v>
          </cell>
          <cell r="CD57">
            <v>-0.24269290974877464</v>
          </cell>
          <cell r="CF57">
            <v>-0.17080987331590589</v>
          </cell>
          <cell r="CH57">
            <v>-0.13542746362624283</v>
          </cell>
          <cell r="CJ57">
            <v>-8.9017062151848764E-2</v>
          </cell>
          <cell r="CL57">
            <v>-0.59015899783184789</v>
          </cell>
          <cell r="CQ57">
            <v>-0.14740782841760841</v>
          </cell>
          <cell r="CS57">
            <v>-0.163680101111086</v>
          </cell>
          <cell r="CU57">
            <v>-0.17985371344712631</v>
          </cell>
          <cell r="CW57">
            <v>-0.20088404704280582</v>
          </cell>
          <cell r="CY57">
            <v>-0.69209021754009092</v>
          </cell>
        </row>
        <row r="63">
          <cell r="BN63" t="str">
            <v>2006-Q1</v>
          </cell>
          <cell r="BP63" t="str">
            <v>2006-Q2</v>
          </cell>
          <cell r="BR63" t="str">
            <v>2006-Q3</v>
          </cell>
          <cell r="BT63" t="str">
            <v>2006-Q4</v>
          </cell>
          <cell r="CD63" t="str">
            <v>2007-Q1</v>
          </cell>
          <cell r="CF63" t="str">
            <v>2007-Q2</v>
          </cell>
          <cell r="CH63" t="str">
            <v>2007-Q3</v>
          </cell>
          <cell r="CJ63" t="str">
            <v>2007-Q4</v>
          </cell>
          <cell r="CQ63" t="str">
            <v>2008-Q1</v>
          </cell>
          <cell r="CS63" t="str">
            <v>2008-Q2</v>
          </cell>
          <cell r="CU63" t="str">
            <v>2008-Q3</v>
          </cell>
          <cell r="CW63" t="str">
            <v>2008-Q4</v>
          </cell>
        </row>
      </sheetData>
      <sheetData sheetId="1">
        <row r="1">
          <cell r="A1" t="str">
            <v>Lexicon Genetics Annual Income Statement</v>
          </cell>
          <cell r="AK1" t="str">
            <v>ElementName</v>
          </cell>
          <cell r="AL1" t="str">
            <v>ScaleOverride</v>
          </cell>
          <cell r="AM1" t="str">
            <v>UnitOverride</v>
          </cell>
          <cell r="AN1" t="str">
            <v>ReverseSign</v>
          </cell>
          <cell r="AO1" t="str">
            <v>IsDrivingAssumption</v>
          </cell>
          <cell r="AP1" t="str">
            <v>SegmentID</v>
          </cell>
        </row>
        <row r="2">
          <cell r="A2" t="str">
            <v>(Dollars in millions expect per-share data)</v>
          </cell>
        </row>
        <row r="4">
          <cell r="B4" t="str">
            <v>2001A</v>
          </cell>
          <cell r="D4" t="str">
            <v>2002A</v>
          </cell>
          <cell r="F4" t="str">
            <v>2003A</v>
          </cell>
          <cell r="H4" t="str">
            <v>2004A</v>
          </cell>
          <cell r="I4" t="str">
            <v>% chg</v>
          </cell>
          <cell r="J4" t="str">
            <v>2005A</v>
          </cell>
          <cell r="K4" t="str">
            <v>% chg</v>
          </cell>
          <cell r="L4" t="str">
            <v>2006A</v>
          </cell>
          <cell r="M4" t="str">
            <v>% chg</v>
          </cell>
          <cell r="N4" t="str">
            <v>2007E</v>
          </cell>
          <cell r="O4" t="str">
            <v>% chg</v>
          </cell>
          <cell r="P4" t="str">
            <v>2008E</v>
          </cell>
          <cell r="Q4" t="str">
            <v>% chg</v>
          </cell>
          <cell r="R4" t="str">
            <v>2009E</v>
          </cell>
          <cell r="S4" t="str">
            <v>% chg</v>
          </cell>
          <cell r="T4" t="str">
            <v>2010E</v>
          </cell>
          <cell r="U4" t="str">
            <v>% chg</v>
          </cell>
          <cell r="V4" t="str">
            <v>2011E</v>
          </cell>
          <cell r="W4" t="str">
            <v>% chg</v>
          </cell>
          <cell r="X4" t="str">
            <v>2012E</v>
          </cell>
          <cell r="Y4" t="str">
            <v>% chg</v>
          </cell>
          <cell r="Z4" t="str">
            <v>2013E</v>
          </cell>
          <cell r="AA4" t="str">
            <v>% chg</v>
          </cell>
          <cell r="AB4" t="str">
            <v>2014E</v>
          </cell>
          <cell r="AC4" t="str">
            <v>% chg</v>
          </cell>
          <cell r="AD4" t="str">
            <v>2015E</v>
          </cell>
          <cell r="AE4" t="str">
            <v>% chg</v>
          </cell>
        </row>
        <row r="5">
          <cell r="A5" t="str">
            <v>Revenues:</v>
          </cell>
        </row>
        <row r="6">
          <cell r="A6" t="str">
            <v>LX6171</v>
          </cell>
          <cell r="B6">
            <v>0</v>
          </cell>
          <cell r="D6">
            <v>0</v>
          </cell>
          <cell r="F6">
            <v>0</v>
          </cell>
          <cell r="H6">
            <v>0</v>
          </cell>
          <cell r="I6" t="str">
            <v>NM</v>
          </cell>
          <cell r="J6">
            <v>0</v>
          </cell>
          <cell r="K6" t="str">
            <v>NM</v>
          </cell>
          <cell r="L6">
            <v>0</v>
          </cell>
          <cell r="M6" t="str">
            <v>NM</v>
          </cell>
          <cell r="N6">
            <v>0</v>
          </cell>
          <cell r="O6" t="str">
            <v>NM</v>
          </cell>
          <cell r="P6">
            <v>0</v>
          </cell>
          <cell r="Q6" t="str">
            <v>NM</v>
          </cell>
          <cell r="R6">
            <v>0</v>
          </cell>
          <cell r="S6" t="str">
            <v>NM</v>
          </cell>
          <cell r="T6">
            <v>0</v>
          </cell>
          <cell r="U6" t="str">
            <v>NM</v>
          </cell>
          <cell r="V6">
            <v>0</v>
          </cell>
          <cell r="W6" t="str">
            <v>NM</v>
          </cell>
          <cell r="X6">
            <v>0</v>
          </cell>
          <cell r="Y6" t="str">
            <v>NM</v>
          </cell>
          <cell r="Z6">
            <v>109.5</v>
          </cell>
          <cell r="AA6" t="str">
            <v>NM</v>
          </cell>
          <cell r="AB6">
            <v>219</v>
          </cell>
          <cell r="AC6">
            <v>1.4</v>
          </cell>
          <cell r="AD6">
            <v>328.5</v>
          </cell>
          <cell r="AE6">
            <v>0.4</v>
          </cell>
        </row>
        <row r="7">
          <cell r="A7" t="str">
            <v>LX1031</v>
          </cell>
          <cell r="B7">
            <v>0</v>
          </cell>
          <cell r="D7">
            <v>0</v>
          </cell>
          <cell r="F7">
            <v>0</v>
          </cell>
          <cell r="H7">
            <v>0</v>
          </cell>
          <cell r="I7" t="str">
            <v>NM</v>
          </cell>
          <cell r="J7">
            <v>0</v>
          </cell>
          <cell r="K7" t="str">
            <v>NM</v>
          </cell>
          <cell r="L7">
            <v>0</v>
          </cell>
          <cell r="M7" t="str">
            <v>NM</v>
          </cell>
          <cell r="N7">
            <v>0</v>
          </cell>
          <cell r="O7" t="str">
            <v>NM</v>
          </cell>
          <cell r="P7">
            <v>0</v>
          </cell>
          <cell r="Q7" t="str">
            <v>NM</v>
          </cell>
          <cell r="R7">
            <v>0</v>
          </cell>
          <cell r="S7" t="str">
            <v>NM</v>
          </cell>
          <cell r="T7">
            <v>0</v>
          </cell>
          <cell r="U7" t="str">
            <v>NM</v>
          </cell>
          <cell r="V7">
            <v>0</v>
          </cell>
          <cell r="W7" t="str">
            <v>NM</v>
          </cell>
          <cell r="X7">
            <v>0</v>
          </cell>
          <cell r="Y7" t="str">
            <v>NM</v>
          </cell>
          <cell r="Z7">
            <v>0</v>
          </cell>
          <cell r="AA7" t="str">
            <v>NM</v>
          </cell>
          <cell r="AB7">
            <v>70.5</v>
          </cell>
          <cell r="AC7" t="str">
            <v>NM</v>
          </cell>
          <cell r="AD7">
            <v>141</v>
          </cell>
          <cell r="AE7">
            <v>0.84210526315789469</v>
          </cell>
        </row>
        <row r="8">
          <cell r="A8" t="str">
            <v>Subscription and License Fees</v>
          </cell>
          <cell r="B8">
            <v>14.744</v>
          </cell>
          <cell r="D8">
            <v>17.870999999999999</v>
          </cell>
          <cell r="F8">
            <v>21.55</v>
          </cell>
          <cell r="H8">
            <v>12.004000000000001</v>
          </cell>
          <cell r="I8">
            <v>-0.44296983758700692</v>
          </cell>
          <cell r="J8">
            <v>6.1130000000000004</v>
          </cell>
          <cell r="K8">
            <v>-0.49075308230589809</v>
          </cell>
          <cell r="L8">
            <v>4.4249999999999998</v>
          </cell>
          <cell r="M8">
            <v>-0.27613283167021108</v>
          </cell>
          <cell r="N8">
            <v>2.0380000000000003</v>
          </cell>
          <cell r="O8">
            <v>0</v>
          </cell>
          <cell r="P8">
            <v>2</v>
          </cell>
          <cell r="Q8">
            <v>-1.5343484009658126E-2</v>
          </cell>
          <cell r="R8">
            <v>2</v>
          </cell>
          <cell r="S8">
            <v>0</v>
          </cell>
          <cell r="T8">
            <v>2</v>
          </cell>
          <cell r="U8">
            <v>0</v>
          </cell>
          <cell r="V8">
            <v>2</v>
          </cell>
          <cell r="W8">
            <v>0</v>
          </cell>
          <cell r="X8">
            <v>2</v>
          </cell>
          <cell r="Y8">
            <v>0</v>
          </cell>
          <cell r="Z8">
            <v>2</v>
          </cell>
          <cell r="AA8">
            <v>0</v>
          </cell>
          <cell r="AB8">
            <v>2</v>
          </cell>
          <cell r="AC8">
            <v>0</v>
          </cell>
          <cell r="AD8">
            <v>2</v>
          </cell>
          <cell r="AE8">
            <v>0</v>
          </cell>
        </row>
        <row r="9">
          <cell r="A9" t="str">
            <v>Collaborative Research</v>
          </cell>
          <cell r="B9">
            <v>11.22</v>
          </cell>
          <cell r="D9">
            <v>17.088000000000001</v>
          </cell>
          <cell r="F9">
            <v>21.242000000000001</v>
          </cell>
          <cell r="H9">
            <v>49.736000000000004</v>
          </cell>
          <cell r="I9">
            <v>1.3413991149609266</v>
          </cell>
          <cell r="J9">
            <v>69.566999999999993</v>
          </cell>
          <cell r="K9">
            <v>0.39872526942255071</v>
          </cell>
          <cell r="L9">
            <v>68.373000000000005</v>
          </cell>
          <cell r="M9">
            <v>-1.7163310190176251E-2</v>
          </cell>
          <cell r="N9">
            <v>48.08</v>
          </cell>
          <cell r="O9">
            <v>0.13</v>
          </cell>
          <cell r="P9">
            <v>28</v>
          </cell>
          <cell r="Q9">
            <v>0.13</v>
          </cell>
          <cell r="R9">
            <v>29.12</v>
          </cell>
          <cell r="S9">
            <v>0.04</v>
          </cell>
          <cell r="T9">
            <v>30.867200000000004</v>
          </cell>
          <cell r="U9">
            <v>0.06</v>
          </cell>
          <cell r="V9">
            <v>32.410560000000004</v>
          </cell>
          <cell r="W9">
            <v>0.05</v>
          </cell>
          <cell r="X9">
            <v>33.706982400000008</v>
          </cell>
          <cell r="Y9">
            <v>0.04</v>
          </cell>
          <cell r="Z9">
            <v>35.055261696000009</v>
          </cell>
          <cell r="AA9">
            <v>0.04</v>
          </cell>
          <cell r="AB9">
            <v>36.457472163840009</v>
          </cell>
          <cell r="AC9">
            <v>0.04</v>
          </cell>
          <cell r="AD9">
            <v>37.915771050393609</v>
          </cell>
          <cell r="AE9">
            <v>0.04</v>
          </cell>
        </row>
        <row r="10">
          <cell r="A10" t="str">
            <v>Compound Libraries and Other</v>
          </cell>
          <cell r="B10">
            <v>4.6130000000000004</v>
          </cell>
          <cell r="D10">
            <v>0.24099999999999999</v>
          </cell>
          <cell r="F10">
            <v>4.5999999999999999E-2</v>
          </cell>
          <cell r="H10">
            <v>0</v>
          </cell>
          <cell r="I10">
            <v>-1</v>
          </cell>
          <cell r="J10">
            <v>0</v>
          </cell>
          <cell r="K10" t="str">
            <v>NM</v>
          </cell>
          <cell r="L10">
            <v>0</v>
          </cell>
          <cell r="M10" t="str">
            <v>NM</v>
          </cell>
          <cell r="N10">
            <v>0</v>
          </cell>
          <cell r="O10" t="str">
            <v>NM</v>
          </cell>
          <cell r="P10">
            <v>0</v>
          </cell>
          <cell r="Q10" t="str">
            <v>NM</v>
          </cell>
          <cell r="R10">
            <v>0</v>
          </cell>
          <cell r="S10" t="str">
            <v>NM</v>
          </cell>
          <cell r="T10">
            <v>0</v>
          </cell>
          <cell r="U10" t="str">
            <v>NM</v>
          </cell>
          <cell r="V10">
            <v>0</v>
          </cell>
          <cell r="W10" t="str">
            <v>NM</v>
          </cell>
          <cell r="X10">
            <v>0</v>
          </cell>
          <cell r="Y10" t="str">
            <v>NM</v>
          </cell>
          <cell r="Z10">
            <v>0</v>
          </cell>
          <cell r="AA10" t="str">
            <v>NM</v>
          </cell>
          <cell r="AB10">
            <v>0</v>
          </cell>
          <cell r="AC10" t="str">
            <v>NM</v>
          </cell>
          <cell r="AD10">
            <v>0</v>
          </cell>
          <cell r="AE10" t="str">
            <v>NM</v>
          </cell>
        </row>
        <row r="11">
          <cell r="A11" t="str">
            <v>Total Revenues</v>
          </cell>
          <cell r="B11">
            <v>30.576999999999998</v>
          </cell>
          <cell r="D11">
            <v>35.200000000000003</v>
          </cell>
          <cell r="F11">
            <v>42.838000000000001</v>
          </cell>
          <cell r="H11">
            <v>61.740000000000009</v>
          </cell>
          <cell r="I11">
            <v>0.4412437555441433</v>
          </cell>
          <cell r="J11">
            <v>75.679999999999993</v>
          </cell>
          <cell r="K11">
            <v>0.22578555231616426</v>
          </cell>
          <cell r="L11">
            <v>72.798000000000002</v>
          </cell>
          <cell r="M11">
            <v>-3.8081395348837144E-2</v>
          </cell>
          <cell r="N11">
            <v>50.117999999999995</v>
          </cell>
          <cell r="O11">
            <v>-0.31154702052254191</v>
          </cell>
          <cell r="P11">
            <v>30</v>
          </cell>
          <cell r="Q11">
            <v>-0.40141266610798509</v>
          </cell>
          <cell r="R11">
            <v>31.12</v>
          </cell>
          <cell r="S11">
            <v>3.7333333333333441E-2</v>
          </cell>
          <cell r="T11">
            <v>32.867200000000004</v>
          </cell>
          <cell r="U11">
            <v>5.6143958868894783E-2</v>
          </cell>
          <cell r="V11">
            <v>34.410560000000004</v>
          </cell>
          <cell r="W11">
            <v>4.6957453023074747E-2</v>
          </cell>
          <cell r="X11">
            <v>35.706982400000008</v>
          </cell>
          <cell r="Y11">
            <v>3.7675132284973101E-2</v>
          </cell>
          <cell r="Z11">
            <v>146.555261696</v>
          </cell>
          <cell r="AA11">
            <v>3.1043866450053192</v>
          </cell>
          <cell r="AB11">
            <v>327.95747216384001</v>
          </cell>
          <cell r="AC11">
            <v>1.2377734403294447</v>
          </cell>
          <cell r="AD11">
            <v>509.41577105039363</v>
          </cell>
          <cell r="AE11">
            <v>0.55329826056197073</v>
          </cell>
          <cell r="AK11" t="str">
            <v>mstag:revenueNet</v>
          </cell>
          <cell r="AL11">
            <v>6</v>
          </cell>
          <cell r="AM11" t="str">
            <v>ISO4217:USD</v>
          </cell>
          <cell r="AN11" t="b">
            <v>0</v>
          </cell>
          <cell r="AO11" t="b">
            <v>0</v>
          </cell>
        </row>
        <row r="12">
          <cell r="A12" t="str">
            <v>Operating Expenses:</v>
          </cell>
        </row>
        <row r="13">
          <cell r="A13" t="str">
            <v>COGS</v>
          </cell>
          <cell r="B13">
            <v>0</v>
          </cell>
          <cell r="D13">
            <v>0</v>
          </cell>
          <cell r="F13">
            <v>0</v>
          </cell>
          <cell r="H13">
            <v>0</v>
          </cell>
          <cell r="I13" t="str">
            <v>NM</v>
          </cell>
          <cell r="J13">
            <v>0</v>
          </cell>
          <cell r="K13" t="str">
            <v>NM</v>
          </cell>
          <cell r="L13">
            <v>0</v>
          </cell>
          <cell r="M13" t="str">
            <v>NM</v>
          </cell>
          <cell r="N13">
            <v>0</v>
          </cell>
          <cell r="O13" t="str">
            <v>NM</v>
          </cell>
          <cell r="P13">
            <v>0</v>
          </cell>
          <cell r="Q13" t="str">
            <v>NM</v>
          </cell>
          <cell r="R13">
            <v>0</v>
          </cell>
          <cell r="S13" t="str">
            <v>NM</v>
          </cell>
          <cell r="T13">
            <v>0</v>
          </cell>
          <cell r="U13" t="str">
            <v>NM</v>
          </cell>
          <cell r="V13">
            <v>0</v>
          </cell>
          <cell r="W13" t="str">
            <v>NM</v>
          </cell>
          <cell r="X13">
            <v>0</v>
          </cell>
          <cell r="Y13" t="str">
            <v>NM</v>
          </cell>
          <cell r="Z13">
            <v>13.139999999999999</v>
          </cell>
          <cell r="AA13" t="str">
            <v>NM</v>
          </cell>
          <cell r="AB13">
            <v>33.885000000000005</v>
          </cell>
          <cell r="AC13" t="str">
            <v>NM</v>
          </cell>
          <cell r="AD13">
            <v>56.820000000000007</v>
          </cell>
          <cell r="AE13" t="str">
            <v>NM</v>
          </cell>
          <cell r="AK13" t="str">
            <v>mstag:costOfSalesWithDepreciation</v>
          </cell>
          <cell r="AL13">
            <v>6</v>
          </cell>
          <cell r="AM13" t="str">
            <v>ISO4217:USD</v>
          </cell>
          <cell r="AN13" t="b">
            <v>0</v>
          </cell>
          <cell r="AO13" t="b">
            <v>0</v>
          </cell>
        </row>
        <row r="14">
          <cell r="A14" t="str">
            <v>% of Total Product Sales</v>
          </cell>
          <cell r="B14">
            <v>0</v>
          </cell>
          <cell r="D14">
            <v>0</v>
          </cell>
          <cell r="F14">
            <v>0</v>
          </cell>
          <cell r="H14">
            <v>0</v>
          </cell>
          <cell r="J14">
            <v>0</v>
          </cell>
          <cell r="L14">
            <v>0</v>
          </cell>
          <cell r="N14">
            <v>0</v>
          </cell>
          <cell r="P14">
            <v>0</v>
          </cell>
          <cell r="R14">
            <v>0</v>
          </cell>
          <cell r="T14">
            <v>0</v>
          </cell>
          <cell r="V14">
            <v>0</v>
          </cell>
          <cell r="X14">
            <v>0</v>
          </cell>
          <cell r="Z14">
            <v>0.12</v>
          </cell>
          <cell r="AB14">
            <v>0.11704663212435235</v>
          </cell>
          <cell r="AD14">
            <v>0.12102236421725242</v>
          </cell>
        </row>
        <row r="15">
          <cell r="A15" t="str">
            <v>R&amp;D</v>
          </cell>
          <cell r="B15">
            <v>53.354999999999997</v>
          </cell>
          <cell r="D15">
            <v>74.858999999999995</v>
          </cell>
          <cell r="F15">
            <v>82.197999999999993</v>
          </cell>
          <cell r="H15">
            <v>90.585999999999999</v>
          </cell>
          <cell r="I15">
            <v>0.10204627849826031</v>
          </cell>
          <cell r="J15">
            <v>93.625</v>
          </cell>
          <cell r="K15">
            <v>3.3548230410880286E-2</v>
          </cell>
          <cell r="L15">
            <v>102.301</v>
          </cell>
          <cell r="M15">
            <v>9.2667556742323187E-2</v>
          </cell>
          <cell r="N15">
            <v>99.182000000000002</v>
          </cell>
          <cell r="O15">
            <v>-3.0488460523357519E-2</v>
          </cell>
          <cell r="P15">
            <v>118</v>
          </cell>
          <cell r="Q15">
            <v>0.18973200782400035</v>
          </cell>
          <cell r="R15">
            <v>129.14800000000002</v>
          </cell>
          <cell r="S15">
            <v>9.4474576271186717E-2</v>
          </cell>
          <cell r="T15">
            <v>140.67161600000003</v>
          </cell>
          <cell r="U15">
            <v>8.9227986496112965E-2</v>
          </cell>
          <cell r="V15">
            <v>154.15930880000002</v>
          </cell>
          <cell r="W15">
            <v>9.5880698491442651E-2</v>
          </cell>
          <cell r="X15">
            <v>167.82281728000004</v>
          </cell>
          <cell r="Y15">
            <v>8.8632393245395846E-2</v>
          </cell>
          <cell r="Z15">
            <v>186.12518235392</v>
          </cell>
          <cell r="AA15">
            <v>0.10905766790569249</v>
          </cell>
          <cell r="AB15">
            <v>206.6132074632192</v>
          </cell>
          <cell r="AC15">
            <v>0.110076588509882</v>
          </cell>
          <cell r="AD15">
            <v>229.23709697267714</v>
          </cell>
          <cell r="AE15">
            <v>0.10949875754426497</v>
          </cell>
          <cell r="AK15" t="str">
            <v>mstag:researchAndDevelopment</v>
          </cell>
          <cell r="AL15">
            <v>6</v>
          </cell>
          <cell r="AM15" t="str">
            <v>ISO4217:USD</v>
          </cell>
          <cell r="AN15" t="b">
            <v>0</v>
          </cell>
          <cell r="AO15" t="b">
            <v>0</v>
          </cell>
        </row>
        <row r="16">
          <cell r="A16" t="str">
            <v>% of Total Revenues</v>
          </cell>
          <cell r="B16">
            <v>1.744939006442751</v>
          </cell>
          <cell r="D16">
            <v>2.1266761363636362</v>
          </cell>
          <cell r="F16">
            <v>1.9188104019795507</v>
          </cell>
          <cell r="H16">
            <v>1.4672173631357301</v>
          </cell>
          <cell r="J16">
            <v>1.2371168076109937</v>
          </cell>
          <cell r="L16">
            <v>1.4052721228605181</v>
          </cell>
          <cell r="N16">
            <v>1.42</v>
          </cell>
          <cell r="P16">
            <v>3.9333333333333331</v>
          </cell>
          <cell r="R16">
            <v>4.1500000000000004</v>
          </cell>
          <cell r="T16">
            <v>4.28</v>
          </cell>
          <cell r="V16">
            <v>4.4800000000000004</v>
          </cell>
          <cell r="X16">
            <v>4.7</v>
          </cell>
          <cell r="Z16">
            <v>1.27</v>
          </cell>
          <cell r="AB16">
            <v>0.63</v>
          </cell>
          <cell r="AD16">
            <v>0.45</v>
          </cell>
        </row>
        <row r="17">
          <cell r="A17" t="str">
            <v>SG&amp;A</v>
          </cell>
          <cell r="B17">
            <v>20.861000000000001</v>
          </cell>
          <cell r="D17">
            <v>23.234000000000002</v>
          </cell>
          <cell r="F17">
            <v>23.233000000000001</v>
          </cell>
          <cell r="H17">
            <v>18.608000000000001</v>
          </cell>
          <cell r="I17">
            <v>-0.19907028795248138</v>
          </cell>
          <cell r="J17">
            <v>18.173999999999999</v>
          </cell>
          <cell r="K17">
            <v>-2.332330180567499E-2</v>
          </cell>
          <cell r="L17">
            <v>18.698</v>
          </cell>
          <cell r="M17">
            <v>2.8832397931110476E-2</v>
          </cell>
          <cell r="N17">
            <v>17.964000000000002</v>
          </cell>
          <cell r="O17">
            <v>-3.9255535351374382E-2</v>
          </cell>
          <cell r="P17">
            <v>20.2</v>
          </cell>
          <cell r="Q17">
            <v>0.12447116455132479</v>
          </cell>
          <cell r="R17">
            <v>21.783999999999999</v>
          </cell>
          <cell r="S17">
            <v>7.8415841584158485E-2</v>
          </cell>
          <cell r="T17">
            <v>23.664384000000002</v>
          </cell>
          <cell r="U17">
            <v>8.6319500550863237E-2</v>
          </cell>
          <cell r="V17">
            <v>25.979972800000002</v>
          </cell>
          <cell r="W17">
            <v>9.785121810058528E-2</v>
          </cell>
          <cell r="X17">
            <v>28.565585920000007</v>
          </cell>
          <cell r="Y17">
            <v>9.9523318977454922E-2</v>
          </cell>
          <cell r="Z17">
            <v>74.743183464959998</v>
          </cell>
          <cell r="AA17">
            <v>1.6165464861908907</v>
          </cell>
          <cell r="AB17">
            <v>100.0270290099712</v>
          </cell>
          <cell r="AC17">
            <v>0.33827627313819741</v>
          </cell>
          <cell r="AD17">
            <v>117.16562734159054</v>
          </cell>
          <cell r="AE17">
            <v>0.17133967189919108</v>
          </cell>
          <cell r="AK17" t="str">
            <v>mstag:sellingGeneralAndAdministrativeExpenses</v>
          </cell>
          <cell r="AL17">
            <v>6</v>
          </cell>
          <cell r="AM17" t="str">
            <v>ISO4217:USD</v>
          </cell>
          <cell r="AN17" t="b">
            <v>0</v>
          </cell>
          <cell r="AO17" t="b">
            <v>0</v>
          </cell>
        </row>
        <row r="18">
          <cell r="A18" t="str">
            <v>% of Total Revenues</v>
          </cell>
          <cell r="B18">
            <v>0.68224482454132196</v>
          </cell>
          <cell r="D18">
            <v>0.66005681818181816</v>
          </cell>
          <cell r="F18">
            <v>0.54234558102619168</v>
          </cell>
          <cell r="H18">
            <v>0.30139293812763196</v>
          </cell>
          <cell r="J18">
            <v>0.24014270613107824</v>
          </cell>
          <cell r="L18">
            <v>0.25684771559658232</v>
          </cell>
          <cell r="N18">
            <v>0.28999999999999998</v>
          </cell>
          <cell r="P18">
            <v>0.67333333333333334</v>
          </cell>
          <cell r="R18">
            <v>0.7</v>
          </cell>
          <cell r="T18">
            <v>0.72</v>
          </cell>
          <cell r="V18">
            <v>0.755</v>
          </cell>
          <cell r="X18">
            <v>0.8</v>
          </cell>
          <cell r="Z18">
            <v>0.51</v>
          </cell>
          <cell r="AB18">
            <v>0.30499999999999999</v>
          </cell>
          <cell r="AD18">
            <v>0.23</v>
          </cell>
        </row>
        <row r="19">
          <cell r="A19" t="str">
            <v>Total Operating Expenses</v>
          </cell>
          <cell r="B19">
            <v>74.215999999999994</v>
          </cell>
          <cell r="D19">
            <v>98.092999999999989</v>
          </cell>
          <cell r="F19">
            <v>105.431</v>
          </cell>
          <cell r="H19">
            <v>109.194</v>
          </cell>
          <cell r="I19">
            <v>3.569158976012754E-2</v>
          </cell>
          <cell r="J19">
            <v>111.79900000000001</v>
          </cell>
          <cell r="K19">
            <v>2.3856622158726637E-2</v>
          </cell>
          <cell r="L19">
            <v>120.999</v>
          </cell>
          <cell r="M19">
            <v>8.2290539271370866E-2</v>
          </cell>
          <cell r="N19">
            <v>117.146</v>
          </cell>
          <cell r="O19">
            <v>-3.1843238373870819E-2</v>
          </cell>
          <cell r="P19">
            <v>138.19999999999999</v>
          </cell>
          <cell r="Q19">
            <v>0.17972444641729113</v>
          </cell>
          <cell r="R19">
            <v>150.93200000000002</v>
          </cell>
          <cell r="S19">
            <v>9.2127351664254897E-2</v>
          </cell>
          <cell r="T19">
            <v>164.33600000000004</v>
          </cell>
          <cell r="U19">
            <v>8.8808205019479169E-2</v>
          </cell>
          <cell r="V19">
            <v>180.13928160000003</v>
          </cell>
          <cell r="W19">
            <v>9.6164453315159104E-2</v>
          </cell>
          <cell r="X19">
            <v>196.38840320000006</v>
          </cell>
          <cell r="Y19">
            <v>9.0203099821843713E-2</v>
          </cell>
          <cell r="Z19">
            <v>274.00836581887995</v>
          </cell>
          <cell r="AA19">
            <v>0.39523699645254751</v>
          </cell>
          <cell r="AB19">
            <v>340.52523647319043</v>
          </cell>
          <cell r="AC19">
            <v>0.24275488982069349</v>
          </cell>
          <cell r="AD19">
            <v>403.22272431426768</v>
          </cell>
          <cell r="AE19">
            <v>0.18411994508963048</v>
          </cell>
        </row>
        <row r="20">
          <cell r="A20" t="str">
            <v>Operating Income (Loss)</v>
          </cell>
          <cell r="B20">
            <v>-43.638999999999996</v>
          </cell>
          <cell r="D20">
            <v>-62.892999999999986</v>
          </cell>
          <cell r="F20">
            <v>-62.592999999999996</v>
          </cell>
          <cell r="H20">
            <v>-47.453999999999994</v>
          </cell>
          <cell r="I20" t="str">
            <v>NM</v>
          </cell>
          <cell r="J20">
            <v>-36.119000000000014</v>
          </cell>
          <cell r="K20" t="str">
            <v>NM</v>
          </cell>
          <cell r="L20">
            <v>-48.200999999999993</v>
          </cell>
          <cell r="M20" t="str">
            <v>NM</v>
          </cell>
          <cell r="N20">
            <v>-67.028000000000006</v>
          </cell>
          <cell r="O20" t="str">
            <v>NM</v>
          </cell>
          <cell r="P20">
            <v>-108.19999999999999</v>
          </cell>
          <cell r="Q20" t="str">
            <v>NM</v>
          </cell>
          <cell r="R20">
            <v>-119.81200000000001</v>
          </cell>
          <cell r="S20" t="str">
            <v>NM</v>
          </cell>
          <cell r="T20">
            <v>-131.46880000000004</v>
          </cell>
          <cell r="U20" t="str">
            <v>NM</v>
          </cell>
          <cell r="V20">
            <v>-145.72872160000003</v>
          </cell>
          <cell r="W20" t="str">
            <v>NM</v>
          </cell>
          <cell r="X20">
            <v>-160.68142080000004</v>
          </cell>
          <cell r="Y20" t="str">
            <v>NM</v>
          </cell>
          <cell r="Z20">
            <v>-127.45310412287995</v>
          </cell>
          <cell r="AA20">
            <v>-0.20679625878140162</v>
          </cell>
          <cell r="AB20">
            <v>-12.567764309350423</v>
          </cell>
          <cell r="AC20">
            <v>-0.90139303082619626</v>
          </cell>
          <cell r="AD20">
            <v>106.19304673612595</v>
          </cell>
          <cell r="AE20">
            <v>-9.4496370334633237</v>
          </cell>
        </row>
        <row r="21">
          <cell r="A21" t="str">
            <v>Operating Margin</v>
          </cell>
          <cell r="B21" t="str">
            <v>NM</v>
          </cell>
          <cell r="D21" t="str">
            <v>NM</v>
          </cell>
          <cell r="F21" t="str">
            <v>NM</v>
          </cell>
          <cell r="H21" t="str">
            <v>NM</v>
          </cell>
          <cell r="J21" t="str">
            <v>NM</v>
          </cell>
          <cell r="L21" t="str">
            <v>NM</v>
          </cell>
          <cell r="N21" t="str">
            <v>NM</v>
          </cell>
          <cell r="P21" t="str">
            <v>NM</v>
          </cell>
          <cell r="R21" t="str">
            <v>NM</v>
          </cell>
          <cell r="T21" t="str">
            <v>NM</v>
          </cell>
          <cell r="V21" t="str">
            <v>NM</v>
          </cell>
          <cell r="X21" t="str">
            <v>NM</v>
          </cell>
          <cell r="Z21" t="str">
            <v>NM</v>
          </cell>
          <cell r="AB21">
            <v>-3.8321323269231253E-2</v>
          </cell>
          <cell r="AD21">
            <v>0.20846046151488482</v>
          </cell>
        </row>
        <row r="22">
          <cell r="A22" t="str">
            <v>Interest Income</v>
          </cell>
          <cell r="B22">
            <v>8.7810000000000006</v>
          </cell>
          <cell r="D22">
            <v>3.23</v>
          </cell>
          <cell r="F22">
            <v>1.796</v>
          </cell>
          <cell r="H22">
            <v>1.6339999999999999</v>
          </cell>
          <cell r="J22">
            <v>2.645</v>
          </cell>
          <cell r="L22">
            <v>3.653</v>
          </cell>
          <cell r="N22">
            <v>7.2859999999999996</v>
          </cell>
          <cell r="P22">
            <v>6.3073936052695068</v>
          </cell>
          <cell r="R22">
            <v>2.5288101961890508</v>
          </cell>
          <cell r="T22">
            <v>1.317604944275073</v>
          </cell>
          <cell r="V22">
            <v>1.085615733135898</v>
          </cell>
          <cell r="X22">
            <v>0.76620981588854487</v>
          </cell>
          <cell r="Z22">
            <v>1.1853494569791543</v>
          </cell>
          <cell r="AB22">
            <v>1.9496897604660817</v>
          </cell>
          <cell r="AD22">
            <v>4.2533109752105398</v>
          </cell>
        </row>
        <row r="23">
          <cell r="A23" t="str">
            <v>Interest Expense</v>
          </cell>
          <cell r="B23">
            <v>-0.314</v>
          </cell>
          <cell r="D23">
            <v>-7.0000000000000001E-3</v>
          </cell>
          <cell r="F23">
            <v>-0.32500000000000001</v>
          </cell>
          <cell r="H23">
            <v>-2.66</v>
          </cell>
          <cell r="J23">
            <v>-3.28</v>
          </cell>
          <cell r="L23">
            <v>-3.2530000000000001</v>
          </cell>
          <cell r="N23">
            <v>-2.7829999999999999</v>
          </cell>
          <cell r="P23">
            <v>-2.4933696000000003</v>
          </cell>
          <cell r="R23">
            <v>-2.4215616000000004</v>
          </cell>
          <cell r="T23">
            <v>-2.3428992000000006</v>
          </cell>
          <cell r="V23">
            <v>-2.2574640000000006</v>
          </cell>
          <cell r="X23">
            <v>-2.1720288000000005</v>
          </cell>
          <cell r="Z23">
            <v>-2.0865936000000005</v>
          </cell>
          <cell r="AB23">
            <v>-2.0011584</v>
          </cell>
          <cell r="AD23">
            <v>-1.9157232000000002</v>
          </cell>
        </row>
        <row r="24">
          <cell r="A24" t="str">
            <v>Other Income (Expense) and noncontrolling Symphony interest</v>
          </cell>
          <cell r="B24">
            <v>0</v>
          </cell>
          <cell r="D24">
            <v>0</v>
          </cell>
          <cell r="F24">
            <v>0</v>
          </cell>
          <cell r="H24">
            <v>1.3080000000000001</v>
          </cell>
          <cell r="J24">
            <v>0.55800000000000005</v>
          </cell>
          <cell r="L24">
            <v>0.40799999999999997</v>
          </cell>
          <cell r="N24">
            <v>11.657</v>
          </cell>
          <cell r="P24">
            <v>15</v>
          </cell>
          <cell r="R24">
            <v>17.5</v>
          </cell>
          <cell r="T24">
            <v>20</v>
          </cell>
          <cell r="V24">
            <v>-80</v>
          </cell>
          <cell r="X24">
            <v>0</v>
          </cell>
          <cell r="Z24">
            <v>0</v>
          </cell>
          <cell r="AB24">
            <v>0</v>
          </cell>
          <cell r="AD24">
            <v>0</v>
          </cell>
          <cell r="AK24" t="str">
            <v>mstag:otherOperatingExpense</v>
          </cell>
          <cell r="AL24">
            <v>6</v>
          </cell>
          <cell r="AM24" t="str">
            <v>ISO4217:USD</v>
          </cell>
          <cell r="AN24" t="b">
            <v>1</v>
          </cell>
          <cell r="AO24" t="b">
            <v>0</v>
          </cell>
        </row>
        <row r="25">
          <cell r="A25" t="str">
            <v>Total Other Income (Expense)</v>
          </cell>
          <cell r="B25">
            <v>8.4670000000000005</v>
          </cell>
          <cell r="D25">
            <v>3.2229999999999999</v>
          </cell>
          <cell r="F25">
            <v>1.4710000000000001</v>
          </cell>
          <cell r="H25">
            <v>0.28199999999999981</v>
          </cell>
          <cell r="I25">
            <v>-0.80829367777022454</v>
          </cell>
          <cell r="J25">
            <v>-7.6999999999999735E-2</v>
          </cell>
          <cell r="K25" t="str">
            <v>NM</v>
          </cell>
          <cell r="L25">
            <v>0.80799999999999983</v>
          </cell>
          <cell r="M25">
            <v>-11.493506493506528</v>
          </cell>
          <cell r="N25">
            <v>16.16</v>
          </cell>
          <cell r="O25">
            <v>19.000000000000004</v>
          </cell>
          <cell r="P25">
            <v>18.814024005269506</v>
          </cell>
          <cell r="Q25">
            <v>0.16423415874192493</v>
          </cell>
          <cell r="R25">
            <v>17.607248596189052</v>
          </cell>
          <cell r="S25">
            <v>-6.414233386448609E-2</v>
          </cell>
          <cell r="T25">
            <v>18.974705744275074</v>
          </cell>
          <cell r="U25" t="str">
            <v>NM</v>
          </cell>
          <cell r="V25">
            <v>-81.171848266864103</v>
          </cell>
          <cell r="W25" t="str">
            <v>NM</v>
          </cell>
          <cell r="X25">
            <v>-1.4058189841114557</v>
          </cell>
          <cell r="Y25" t="str">
            <v>NM</v>
          </cell>
          <cell r="Z25">
            <v>-0.90124414302084621</v>
          </cell>
          <cell r="AA25" t="str">
            <v>NM</v>
          </cell>
          <cell r="AB25">
            <v>-5.1468639533918337E-2</v>
          </cell>
          <cell r="AC25" t="str">
            <v>NM</v>
          </cell>
          <cell r="AD25">
            <v>2.3375877752105394</v>
          </cell>
          <cell r="AE25">
            <v>-46.417710597732942</v>
          </cell>
        </row>
        <row r="26">
          <cell r="A26" t="str">
            <v>Pretax Income (Loss)</v>
          </cell>
          <cell r="B26">
            <v>-35.171999999999997</v>
          </cell>
          <cell r="D26">
            <v>-59.669999999999987</v>
          </cell>
          <cell r="F26">
            <v>-61.122</v>
          </cell>
          <cell r="H26">
            <v>-47.171999999999997</v>
          </cell>
          <cell r="I26" t="str">
            <v>NM</v>
          </cell>
          <cell r="J26">
            <v>-36.196000000000012</v>
          </cell>
          <cell r="K26" t="str">
            <v>NM</v>
          </cell>
          <cell r="L26">
            <v>-47.392999999999994</v>
          </cell>
          <cell r="M26" t="str">
            <v>NM</v>
          </cell>
          <cell r="N26">
            <v>-50.868000000000009</v>
          </cell>
          <cell r="O26" t="str">
            <v>NM</v>
          </cell>
          <cell r="P26">
            <v>-89.385975994730487</v>
          </cell>
          <cell r="Q26" t="str">
            <v>NM</v>
          </cell>
          <cell r="R26">
            <v>-102.20475140381096</v>
          </cell>
          <cell r="S26">
            <v>0.14340924587360515</v>
          </cell>
          <cell r="T26">
            <v>-112.49409425572497</v>
          </cell>
          <cell r="U26">
            <v>0.1006738210365663</v>
          </cell>
          <cell r="V26">
            <v>-226.90056986686415</v>
          </cell>
          <cell r="W26">
            <v>1.0169998377965239</v>
          </cell>
          <cell r="X26">
            <v>-162.08723978411149</v>
          </cell>
          <cell r="Y26" t="str">
            <v>NM</v>
          </cell>
          <cell r="Z26">
            <v>-128.3543482659008</v>
          </cell>
          <cell r="AA26">
            <v>-0.20811565156603606</v>
          </cell>
          <cell r="AB26">
            <v>-12.619232948884342</v>
          </cell>
          <cell r="AC26">
            <v>-0.90168441412875122</v>
          </cell>
          <cell r="AD26">
            <v>108.53063451133649</v>
          </cell>
          <cell r="AE26">
            <v>-9.6004145379479358</v>
          </cell>
        </row>
        <row r="27">
          <cell r="A27" t="str">
            <v>Provision for Taxes</v>
          </cell>
          <cell r="B27">
            <v>0</v>
          </cell>
          <cell r="D27">
            <v>0</v>
          </cell>
          <cell r="F27">
            <v>0</v>
          </cell>
          <cell r="H27">
            <v>0</v>
          </cell>
          <cell r="J27">
            <v>0.11899999999999999</v>
          </cell>
          <cell r="L27">
            <v>-0.11899999999999999</v>
          </cell>
          <cell r="N27">
            <v>0</v>
          </cell>
          <cell r="P27">
            <v>0</v>
          </cell>
          <cell r="R27">
            <v>0</v>
          </cell>
          <cell r="T27">
            <v>0</v>
          </cell>
          <cell r="V27">
            <v>0</v>
          </cell>
          <cell r="X27">
            <v>0</v>
          </cell>
          <cell r="Z27">
            <v>0</v>
          </cell>
          <cell r="AB27">
            <v>0</v>
          </cell>
          <cell r="AD27">
            <v>7.814205684816228</v>
          </cell>
          <cell r="AK27" t="str">
            <v>mstag:taxExpenseIncome</v>
          </cell>
          <cell r="AL27">
            <v>6</v>
          </cell>
          <cell r="AM27" t="str">
            <v>ISO4217:USD</v>
          </cell>
          <cell r="AN27" t="b">
            <v>0</v>
          </cell>
          <cell r="AO27" t="b">
            <v>0</v>
          </cell>
        </row>
        <row r="28">
          <cell r="A28" t="str">
            <v>Effective Tax Rate</v>
          </cell>
          <cell r="B28" t="str">
            <v>NM</v>
          </cell>
          <cell r="D28" t="str">
            <v>NM</v>
          </cell>
          <cell r="F28" t="str">
            <v>NM</v>
          </cell>
          <cell r="H28" t="str">
            <v>NM</v>
          </cell>
          <cell r="J28" t="str">
            <v>NM</v>
          </cell>
          <cell r="L28">
            <v>2.5109193340788726E-3</v>
          </cell>
          <cell r="N28">
            <v>0</v>
          </cell>
          <cell r="P28">
            <v>0</v>
          </cell>
          <cell r="R28">
            <v>0</v>
          </cell>
          <cell r="T28">
            <v>0</v>
          </cell>
          <cell r="V28">
            <v>0</v>
          </cell>
          <cell r="X28">
            <v>0</v>
          </cell>
          <cell r="Z28">
            <v>0</v>
          </cell>
          <cell r="AB28">
            <v>0</v>
          </cell>
          <cell r="AD28">
            <v>7.2000000000000008E-2</v>
          </cell>
        </row>
        <row r="29">
          <cell r="A29" t="str">
            <v>Cumulative Effect of Change in Accounting</v>
          </cell>
          <cell r="B29">
            <v>0</v>
          </cell>
          <cell r="D29">
            <v>0</v>
          </cell>
          <cell r="F29">
            <v>-3.0760000000000001</v>
          </cell>
          <cell r="H29">
            <v>0</v>
          </cell>
          <cell r="J29">
            <v>0</v>
          </cell>
          <cell r="P29">
            <v>0</v>
          </cell>
          <cell r="AK29" t="str">
            <v>mstag:cumulativeEffectOfChangeInAccountingPrincipleNetOfTax</v>
          </cell>
          <cell r="AL29">
            <v>6</v>
          </cell>
          <cell r="AM29" t="str">
            <v>ISO4217:USD</v>
          </cell>
          <cell r="AN29" t="b">
            <v>0</v>
          </cell>
          <cell r="AO29" t="b">
            <v>0</v>
          </cell>
        </row>
        <row r="30">
          <cell r="A30" t="str">
            <v>Net Income (Loss)</v>
          </cell>
          <cell r="B30">
            <v>-35.171999999999997</v>
          </cell>
          <cell r="D30">
            <v>-59.669999999999987</v>
          </cell>
          <cell r="F30">
            <v>-64.197999999999993</v>
          </cell>
          <cell r="H30">
            <v>-47.171999999999997</v>
          </cell>
          <cell r="I30" t="str">
            <v>NM</v>
          </cell>
          <cell r="J30">
            <v>-36.315000000000012</v>
          </cell>
          <cell r="K30" t="str">
            <v>NM</v>
          </cell>
          <cell r="L30">
            <v>-47.273999999999994</v>
          </cell>
          <cell r="M30" t="str">
            <v>NM</v>
          </cell>
          <cell r="N30">
            <v>-50.868000000000009</v>
          </cell>
          <cell r="O30" t="str">
            <v>NM</v>
          </cell>
          <cell r="P30">
            <v>-89.385975994730487</v>
          </cell>
          <cell r="Q30" t="str">
            <v>NM</v>
          </cell>
          <cell r="R30">
            <v>-102.20475140381096</v>
          </cell>
          <cell r="S30">
            <v>0.14340924587360515</v>
          </cell>
          <cell r="T30">
            <v>-112.49409425572497</v>
          </cell>
          <cell r="U30">
            <v>0.1006738210365663</v>
          </cell>
          <cell r="V30">
            <v>-226.90056986686415</v>
          </cell>
          <cell r="W30">
            <v>1.0169998377965239</v>
          </cell>
          <cell r="X30">
            <v>-162.08723978411149</v>
          </cell>
          <cell r="Y30" t="str">
            <v>NM</v>
          </cell>
          <cell r="Z30">
            <v>-128.3543482659008</v>
          </cell>
          <cell r="AA30">
            <v>-0.20811565156603606</v>
          </cell>
          <cell r="AB30">
            <v>-12.619232948884342</v>
          </cell>
          <cell r="AC30">
            <v>-0.90168441412875122</v>
          </cell>
          <cell r="AD30">
            <v>100.71642882652026</v>
          </cell>
          <cell r="AE30">
            <v>-8.9811846912156845</v>
          </cell>
        </row>
        <row r="32">
          <cell r="A32" t="str">
            <v>EPS - Basic (Non-GAAP, Non ESO)</v>
          </cell>
          <cell r="B32">
            <v>-0.70045605719634352</v>
          </cell>
          <cell r="D32">
            <v>-1.1417255037024279</v>
          </cell>
          <cell r="F32">
            <v>-1.1298486448433649</v>
          </cell>
          <cell r="H32">
            <v>-0.74490436430390239</v>
          </cell>
          <cell r="J32">
            <v>-0.56775898189550056</v>
          </cell>
          <cell r="L32">
            <v>-0.7068903642562353</v>
          </cell>
          <cell r="N32">
            <v>-0.51059985545651665</v>
          </cell>
          <cell r="P32">
            <v>-0.64855613129800072</v>
          </cell>
          <cell r="R32">
            <v>-0.73274260853343143</v>
          </cell>
          <cell r="T32">
            <v>-0.7553703658920794</v>
          </cell>
          <cell r="V32">
            <v>-1.3428640428426206</v>
          </cell>
          <cell r="X32">
            <v>-0.85939171841901263</v>
          </cell>
          <cell r="Z32">
            <v>-0.63423409265237374</v>
          </cell>
          <cell r="AB32">
            <v>-6.0440812168599499E-2</v>
          </cell>
          <cell r="AD32">
            <v>0.47880427302805029</v>
          </cell>
        </row>
        <row r="33">
          <cell r="A33" t="str">
            <v>EPS - Fully Diluted (Non-GAAP, Non ESO)</v>
          </cell>
          <cell r="B33">
            <v>-0.70045605719634352</v>
          </cell>
          <cell r="D33">
            <v>-1.1417255037024279</v>
          </cell>
          <cell r="F33">
            <v>-1.1298486448433649</v>
          </cell>
          <cell r="H33">
            <v>-0.74490436430390239</v>
          </cell>
          <cell r="J33">
            <v>-0.56775898189550056</v>
          </cell>
          <cell r="L33">
            <v>-0.70708596642111954</v>
          </cell>
          <cell r="N33">
            <v>-0.51059985545651665</v>
          </cell>
          <cell r="P33">
            <v>-0.64855613129800072</v>
          </cell>
          <cell r="R33">
            <v>-0.73274260853343143</v>
          </cell>
          <cell r="T33">
            <v>-0.7553703658920794</v>
          </cell>
          <cell r="V33">
            <v>-1.3428640428426206</v>
          </cell>
          <cell r="X33">
            <v>-0.85939171841901263</v>
          </cell>
          <cell r="Z33">
            <v>-0.63423409265237374</v>
          </cell>
          <cell r="AB33">
            <v>-6.0440812168599499E-2</v>
          </cell>
          <cell r="AD33">
            <v>0.46441665865797904</v>
          </cell>
        </row>
        <row r="35">
          <cell r="A35" t="str">
            <v>Options Expense</v>
          </cell>
          <cell r="B35">
            <v>0</v>
          </cell>
          <cell r="D35">
            <v>0</v>
          </cell>
          <cell r="F35">
            <v>0</v>
          </cell>
          <cell r="H35">
            <v>0</v>
          </cell>
          <cell r="J35">
            <v>0</v>
          </cell>
          <cell r="L35">
            <v>7.03</v>
          </cell>
          <cell r="N35">
            <v>7.9260000000000002</v>
          </cell>
          <cell r="P35">
            <v>6</v>
          </cell>
          <cell r="R35">
            <v>8</v>
          </cell>
          <cell r="T35">
            <v>10</v>
          </cell>
          <cell r="V35">
            <v>12</v>
          </cell>
          <cell r="X35">
            <v>14</v>
          </cell>
          <cell r="Z35">
            <v>16</v>
          </cell>
          <cell r="AB35">
            <v>18</v>
          </cell>
          <cell r="AD35">
            <v>20</v>
          </cell>
        </row>
        <row r="36">
          <cell r="A36" t="str">
            <v>% of operating expense</v>
          </cell>
          <cell r="B36">
            <v>0</v>
          </cell>
          <cell r="D36">
            <v>0</v>
          </cell>
          <cell r="F36">
            <v>0</v>
          </cell>
          <cell r="H36">
            <v>0</v>
          </cell>
          <cell r="J36">
            <v>0</v>
          </cell>
          <cell r="L36">
            <v>5.8099653716146421E-2</v>
          </cell>
          <cell r="N36">
            <v>6.7659160363990237E-2</v>
          </cell>
          <cell r="P36">
            <v>4.3415340086830685E-2</v>
          </cell>
          <cell r="R36">
            <v>5.3004001802136054E-2</v>
          </cell>
          <cell r="T36">
            <v>6.0850939538506461E-2</v>
          </cell>
          <cell r="V36">
            <v>6.661512077441302E-2</v>
          </cell>
          <cell r="X36">
            <v>7.1287305013333885E-2</v>
          </cell>
          <cell r="Z36">
            <v>6.133361532654652E-2</v>
          </cell>
          <cell r="AB36">
            <v>5.8700711318991378E-2</v>
          </cell>
          <cell r="AD36">
            <v>5.773626647882641E-2</v>
          </cell>
        </row>
        <row r="37">
          <cell r="A37" t="str">
            <v>Tax Benefit from Stock options</v>
          </cell>
          <cell r="H37">
            <v>0</v>
          </cell>
          <cell r="J37">
            <v>0</v>
          </cell>
          <cell r="L37">
            <v>1.7651762918574475E-2</v>
          </cell>
          <cell r="N37">
            <v>0</v>
          </cell>
          <cell r="P37">
            <v>0</v>
          </cell>
          <cell r="R37">
            <v>0</v>
          </cell>
          <cell r="T37">
            <v>0</v>
          </cell>
          <cell r="V37">
            <v>0</v>
          </cell>
          <cell r="X37">
            <v>0</v>
          </cell>
          <cell r="Z37">
            <v>0</v>
          </cell>
          <cell r="AB37">
            <v>0</v>
          </cell>
          <cell r="AD37">
            <v>1.4400000000000002</v>
          </cell>
        </row>
        <row r="39">
          <cell r="A39" t="str">
            <v>Non-GAAP NI (with ESOs)</v>
          </cell>
          <cell r="H39">
            <v>-47.171999999999997</v>
          </cell>
          <cell r="J39">
            <v>-36.315000000000012</v>
          </cell>
          <cell r="L39">
            <v>-54.28634823708142</v>
          </cell>
          <cell r="N39">
            <v>-58.794000000000011</v>
          </cell>
          <cell r="P39">
            <v>-95.385975994730487</v>
          </cell>
          <cell r="R39">
            <v>-110.20475140381096</v>
          </cell>
          <cell r="T39">
            <v>-122.49409425572497</v>
          </cell>
          <cell r="V39">
            <v>-238.90056986686415</v>
          </cell>
          <cell r="X39">
            <v>-176.08723978411149</v>
          </cell>
          <cell r="Z39">
            <v>-144.3543482659008</v>
          </cell>
          <cell r="AB39">
            <v>-30.619232948884342</v>
          </cell>
          <cell r="AD39">
            <v>82.156428826520255</v>
          </cell>
        </row>
        <row r="40">
          <cell r="A40" t="str">
            <v>GAAP Net Income (Loss)</v>
          </cell>
          <cell r="B40">
            <v>-35.171999999999997</v>
          </cell>
          <cell r="D40">
            <v>-59.669999999999987</v>
          </cell>
          <cell r="F40">
            <v>-64.197999999999993</v>
          </cell>
          <cell r="H40">
            <v>-47.171999999999997</v>
          </cell>
          <cell r="J40">
            <v>-36.315000000000012</v>
          </cell>
          <cell r="L40">
            <v>-54.28634823708142</v>
          </cell>
          <cell r="N40">
            <v>-58.794000000000011</v>
          </cell>
          <cell r="P40">
            <v>-95.385975994730487</v>
          </cell>
          <cell r="R40">
            <v>-110.20475140381096</v>
          </cell>
          <cell r="T40">
            <v>-122.49409425572497</v>
          </cell>
          <cell r="V40">
            <v>-238.90056986686415</v>
          </cell>
          <cell r="X40">
            <v>-176.08723978411149</v>
          </cell>
          <cell r="Z40">
            <v>-144.3543482659008</v>
          </cell>
          <cell r="AB40">
            <v>-30.619232948884342</v>
          </cell>
          <cell r="AD40">
            <v>82.156428826520255</v>
          </cell>
        </row>
        <row r="42">
          <cell r="A42" t="str">
            <v>EPS - Fully Diluted; Fully-Taxed (Non-GAAP, Non ESO)</v>
          </cell>
          <cell r="B42">
            <v>-0.70045605719634352</v>
          </cell>
          <cell r="D42">
            <v>-1.1417255037024279</v>
          </cell>
          <cell r="F42">
            <v>-1.1298486448433649</v>
          </cell>
          <cell r="H42">
            <v>-0.74490436430390239</v>
          </cell>
          <cell r="J42">
            <v>-0.56775898189550056</v>
          </cell>
          <cell r="L42">
            <v>-0.70708596642111954</v>
          </cell>
          <cell r="N42">
            <v>-0.51059985545651665</v>
          </cell>
          <cell r="P42">
            <v>-0.64855613129800072</v>
          </cell>
          <cell r="R42">
            <v>-0.73274260853343143</v>
          </cell>
          <cell r="T42">
            <v>-0.7553703658920794</v>
          </cell>
          <cell r="V42">
            <v>-1.3428640428426206</v>
          </cell>
          <cell r="X42">
            <v>-0.85939171841901263</v>
          </cell>
          <cell r="Z42">
            <v>-0.63423409265237374</v>
          </cell>
          <cell r="AB42">
            <v>-6.0440812168599499E-2</v>
          </cell>
          <cell r="AD42">
            <v>0.32028735079860626</v>
          </cell>
        </row>
        <row r="43">
          <cell r="A43" t="str">
            <v>EPS - Diluted (Non-GAAP, With ESO)</v>
          </cell>
          <cell r="B43">
            <v>-0.70045605719634352</v>
          </cell>
          <cell r="D43">
            <v>-1.1417255037024279</v>
          </cell>
          <cell r="F43">
            <v>-1.1298486448433649</v>
          </cell>
          <cell r="H43">
            <v>-0.74490436430390239</v>
          </cell>
          <cell r="J43">
            <v>-0.56775898189550056</v>
          </cell>
          <cell r="L43">
            <v>-0.81197095669268859</v>
          </cell>
          <cell r="N43">
            <v>-0.59015899783184789</v>
          </cell>
          <cell r="P43">
            <v>-0.69209021754009092</v>
          </cell>
          <cell r="R43">
            <v>-0.79009748477697239</v>
          </cell>
          <cell r="T43">
            <v>-0.82251792336073626</v>
          </cell>
          <cell r="V43">
            <v>-1.4138835582346123</v>
          </cell>
          <cell r="X43">
            <v>-0.93362016523500657</v>
          </cell>
          <cell r="Z43">
            <v>-0.71329448771912884</v>
          </cell>
          <cell r="AB43">
            <v>-0.14665323279999568</v>
          </cell>
          <cell r="AD43">
            <v>0.37883406518120938</v>
          </cell>
          <cell r="AK43" t="str">
            <v>mstag:adjEpsForConsensus</v>
          </cell>
          <cell r="AL43">
            <v>0</v>
          </cell>
          <cell r="AM43" t="str">
            <v>ISO4217:USD</v>
          </cell>
          <cell r="AN43" t="b">
            <v>0</v>
          </cell>
          <cell r="AO43" t="b">
            <v>0</v>
          </cell>
        </row>
        <row r="44">
          <cell r="A44" t="str">
            <v>EPS - Diluted (GAAP,With ESO)</v>
          </cell>
          <cell r="B44">
            <v>-0.70045605719634352</v>
          </cell>
          <cell r="D44">
            <v>-1.1417255037024279</v>
          </cell>
          <cell r="F44">
            <v>-1.1298486448433649</v>
          </cell>
          <cell r="H44">
            <v>-0.74490436430390239</v>
          </cell>
          <cell r="J44">
            <v>-0.56775898189550056</v>
          </cell>
          <cell r="L44">
            <v>-0.81197095669268859</v>
          </cell>
          <cell r="N44">
            <v>-0.59015899783184789</v>
          </cell>
          <cell r="P44">
            <v>-0.69209021754009092</v>
          </cell>
          <cell r="R44">
            <v>-0.79009748477697239</v>
          </cell>
          <cell r="T44">
            <v>-0.82251792336073626</v>
          </cell>
          <cell r="V44">
            <v>-1.4138835582346123</v>
          </cell>
          <cell r="X44">
            <v>-0.93362016523500657</v>
          </cell>
          <cell r="Z44">
            <v>-0.71329448771912884</v>
          </cell>
          <cell r="AB44">
            <v>-0.14665323279999568</v>
          </cell>
          <cell r="AD44">
            <v>0.37883406518120938</v>
          </cell>
        </row>
        <row r="46">
          <cell r="A46" t="str">
            <v>Basic Shares Oustanding</v>
          </cell>
          <cell r="B46">
            <v>50.213000000000001</v>
          </cell>
          <cell r="D46">
            <v>52.262999999999998</v>
          </cell>
          <cell r="F46">
            <v>56.82</v>
          </cell>
          <cell r="H46">
            <v>63.326250000000002</v>
          </cell>
          <cell r="J46">
            <v>63.962000000000003</v>
          </cell>
          <cell r="L46">
            <v>66.876000000000005</v>
          </cell>
          <cell r="N46">
            <v>99.623999999999995</v>
          </cell>
          <cell r="P46">
            <v>137.82303748456758</v>
          </cell>
          <cell r="R46">
            <v>139.4824734</v>
          </cell>
          <cell r="T46">
            <v>148.92574468800001</v>
          </cell>
          <cell r="V46">
            <v>168.96764127108003</v>
          </cell>
          <cell r="X46">
            <v>188.60693710464963</v>
          </cell>
          <cell r="Z46">
            <v>202.37692951686267</v>
          </cell>
          <cell r="AB46">
            <v>208.78662109441916</v>
          </cell>
          <cell r="AD46">
            <v>210.34989556289921</v>
          </cell>
          <cell r="AK46" t="str">
            <v>mstag:averageBasicSharesOutstanding</v>
          </cell>
          <cell r="AL46">
            <v>6</v>
          </cell>
          <cell r="AM46" t="str">
            <v>ms_eqr_gcim_Decimal:ms_eqr_gcim_decimal</v>
          </cell>
          <cell r="AN46" t="b">
            <v>0</v>
          </cell>
          <cell r="AO46" t="b">
            <v>0</v>
          </cell>
        </row>
        <row r="47">
          <cell r="A47" t="str">
            <v>Diluted Shares Outstanding</v>
          </cell>
          <cell r="B47">
            <v>50.213000000000001</v>
          </cell>
          <cell r="D47">
            <v>52.262999999999998</v>
          </cell>
          <cell r="F47">
            <v>56.82</v>
          </cell>
          <cell r="H47">
            <v>63.326250000000002</v>
          </cell>
          <cell r="J47">
            <v>63.962000000000003</v>
          </cell>
          <cell r="L47">
            <v>66.857499999999987</v>
          </cell>
          <cell r="N47">
            <v>99.623999999999995</v>
          </cell>
          <cell r="P47">
            <v>137.82303748456758</v>
          </cell>
          <cell r="R47">
            <v>139.4824734</v>
          </cell>
          <cell r="T47">
            <v>148.92574468800001</v>
          </cell>
          <cell r="V47">
            <v>168.96764127108003</v>
          </cell>
          <cell r="X47">
            <v>188.60693710464963</v>
          </cell>
          <cell r="Z47">
            <v>202.37692951686267</v>
          </cell>
          <cell r="AB47">
            <v>208.78662109441916</v>
          </cell>
          <cell r="AD47">
            <v>216.86652911538462</v>
          </cell>
          <cell r="AK47" t="str">
            <v>mstag:averageDilutedSharesOutstanding</v>
          </cell>
          <cell r="AL47">
            <v>6</v>
          </cell>
          <cell r="AM47" t="str">
            <v>ms_eqr_gcim_Decimal:ms_eqr_gcim_decimal</v>
          </cell>
          <cell r="AN47" t="b">
            <v>0</v>
          </cell>
          <cell r="AO47" t="b">
            <v>0</v>
          </cell>
        </row>
        <row r="50">
          <cell r="D50" t="str">
            <v>2002-FY</v>
          </cell>
          <cell r="F50" t="str">
            <v>2003-FY</v>
          </cell>
          <cell r="H50" t="str">
            <v>2004-FY</v>
          </cell>
          <cell r="J50" t="str">
            <v>2005-FY</v>
          </cell>
          <cell r="L50" t="str">
            <v>2006-FY</v>
          </cell>
          <cell r="N50" t="str">
            <v>2007-FY</v>
          </cell>
          <cell r="P50" t="str">
            <v>2008-FY</v>
          </cell>
          <cell r="R50" t="str">
            <v>2009-FY</v>
          </cell>
          <cell r="T50" t="str">
            <v>2010-FY</v>
          </cell>
          <cell r="V50" t="str">
            <v>2011-FY</v>
          </cell>
          <cell r="X50" t="str">
            <v>2012-FY</v>
          </cell>
          <cell r="Z50" t="str">
            <v>2013-FY</v>
          </cell>
          <cell r="AB50" t="str">
            <v>2014-FY</v>
          </cell>
          <cell r="AD50" t="str">
            <v>2015-FY</v>
          </cell>
        </row>
        <row r="52">
          <cell r="A52" t="str">
            <v>Effective Tax Rate</v>
          </cell>
          <cell r="H52" t="str">
            <v>NM</v>
          </cell>
          <cell r="J52" t="str">
            <v>NM</v>
          </cell>
          <cell r="L52">
            <v>2.5109193340788726E-3</v>
          </cell>
          <cell r="N52">
            <v>0</v>
          </cell>
          <cell r="P52">
            <v>0</v>
          </cell>
          <cell r="R52">
            <v>0</v>
          </cell>
          <cell r="T52">
            <v>0</v>
          </cell>
          <cell r="V52">
            <v>0</v>
          </cell>
          <cell r="X52">
            <v>0</v>
          </cell>
          <cell r="Z52">
            <v>0</v>
          </cell>
          <cell r="AB52">
            <v>0</v>
          </cell>
          <cell r="AD52">
            <v>7.2000000000000008E-2</v>
          </cell>
          <cell r="AF52" t="str">
            <v>AMT - 20%</v>
          </cell>
        </row>
        <row r="53">
          <cell r="A53" t="str">
            <v>Statutory Tax Rate</v>
          </cell>
          <cell r="B53">
            <v>0.36</v>
          </cell>
          <cell r="D53">
            <v>0.36</v>
          </cell>
          <cell r="F53">
            <v>0.36</v>
          </cell>
          <cell r="H53">
            <v>0.36</v>
          </cell>
          <cell r="J53">
            <v>0.36</v>
          </cell>
          <cell r="L53">
            <v>0.36</v>
          </cell>
          <cell r="N53">
            <v>0.36</v>
          </cell>
          <cell r="P53">
            <v>0.36</v>
          </cell>
          <cell r="R53">
            <v>0.36</v>
          </cell>
          <cell r="T53">
            <v>0.36</v>
          </cell>
          <cell r="V53">
            <v>0.36</v>
          </cell>
          <cell r="X53">
            <v>0.36</v>
          </cell>
          <cell r="Z53">
            <v>0.36</v>
          </cell>
          <cell r="AB53">
            <v>0.36</v>
          </cell>
          <cell r="AD53">
            <v>0.36</v>
          </cell>
          <cell r="AK53" t="str">
            <v>mstag:statutoryTaxRate</v>
          </cell>
          <cell r="AL53">
            <v>0</v>
          </cell>
          <cell r="AM53" t="str">
            <v>ms_eqr_gcim_Decimal:ms_eqr_gcim_decimal</v>
          </cell>
          <cell r="AN53" t="b">
            <v>0</v>
          </cell>
          <cell r="AO53" t="b">
            <v>0</v>
          </cell>
        </row>
        <row r="54">
          <cell r="A54" t="str">
            <v>Unreported Goodwill</v>
          </cell>
          <cell r="B54">
            <v>0</v>
          </cell>
          <cell r="D54">
            <v>0</v>
          </cell>
          <cell r="F54">
            <v>0</v>
          </cell>
          <cell r="H54">
            <v>0</v>
          </cell>
          <cell r="J54">
            <v>0</v>
          </cell>
          <cell r="L54">
            <v>0</v>
          </cell>
          <cell r="N54">
            <v>0</v>
          </cell>
          <cell r="P54">
            <v>0</v>
          </cell>
          <cell r="R54">
            <v>0</v>
          </cell>
          <cell r="T54">
            <v>0</v>
          </cell>
          <cell r="V54">
            <v>0</v>
          </cell>
          <cell r="X54">
            <v>0</v>
          </cell>
          <cell r="Z54">
            <v>0</v>
          </cell>
          <cell r="AB54">
            <v>0</v>
          </cell>
          <cell r="AD54">
            <v>0</v>
          </cell>
          <cell r="AK54" t="str">
            <v>mstag:unrecordedGoodwillFromPoolingAndAmortizedOrWrittenOffGoodwill</v>
          </cell>
          <cell r="AL54">
            <v>6</v>
          </cell>
          <cell r="AM54" t="str">
            <v>ISO4217:USD</v>
          </cell>
          <cell r="AN54" t="b">
            <v>0</v>
          </cell>
          <cell r="AO54" t="b">
            <v>0</v>
          </cell>
        </row>
        <row r="56">
          <cell r="A56" t="str">
            <v>Tax Shelters</v>
          </cell>
        </row>
        <row r="57">
          <cell r="A57" t="str">
            <v>Net Operating Loss Carryforward</v>
          </cell>
          <cell r="B57">
            <v>131.80000000000001</v>
          </cell>
        </row>
        <row r="58">
          <cell r="A58" t="str">
            <v>Tax Rate</v>
          </cell>
          <cell r="B58">
            <v>0.36</v>
          </cell>
        </row>
        <row r="59">
          <cell r="A59" t="str">
            <v>% Annual NOL expiration</v>
          </cell>
          <cell r="B59">
            <v>0.1</v>
          </cell>
        </row>
        <row r="60">
          <cell r="A60" t="str">
            <v>% of Taxable Income not Shielded</v>
          </cell>
          <cell r="B60">
            <v>0.2</v>
          </cell>
        </row>
        <row r="62">
          <cell r="A62" t="str">
            <v>NOL Carryforward</v>
          </cell>
          <cell r="H62">
            <v>-131.80000000000001</v>
          </cell>
          <cell r="J62">
            <v>-135.60192000000001</v>
          </cell>
          <cell r="L62">
            <v>-184.7</v>
          </cell>
          <cell r="N62">
            <v>-267.39999999999998</v>
          </cell>
          <cell r="P62">
            <v>-318.26799999999997</v>
          </cell>
          <cell r="R62">
            <v>-407.65397599473044</v>
          </cell>
          <cell r="T62">
            <v>-509.85872739854142</v>
          </cell>
          <cell r="V62">
            <v>-622.35282165426634</v>
          </cell>
          <cell r="X62">
            <v>-787.01810935570393</v>
          </cell>
          <cell r="Z62">
            <v>-870.40353820424502</v>
          </cell>
          <cell r="AB62">
            <v>-911.71753264972131</v>
          </cell>
          <cell r="AD62">
            <v>-833.16501233363351</v>
          </cell>
        </row>
        <row r="63">
          <cell r="A63" t="str">
            <v>NOL Expiration</v>
          </cell>
          <cell r="H63">
            <v>13.180000000000001</v>
          </cell>
          <cell r="J63">
            <v>13.560192000000001</v>
          </cell>
          <cell r="V63">
            <v>62.235282165426639</v>
          </cell>
          <cell r="X63">
            <v>78.701810935570393</v>
          </cell>
          <cell r="Z63">
            <v>87.040353820424514</v>
          </cell>
          <cell r="AB63">
            <v>91.171753264972139</v>
          </cell>
          <cell r="AD63">
            <v>83.316501233363354</v>
          </cell>
        </row>
        <row r="64">
          <cell r="A64" t="str">
            <v>NOL (Additions) Subtractions</v>
          </cell>
          <cell r="H64">
            <v>-16.981919999999999</v>
          </cell>
          <cell r="J64">
            <v>-13.030560000000003</v>
          </cell>
          <cell r="L64">
            <v>-47.392999999999994</v>
          </cell>
          <cell r="N64">
            <v>-50.868000000000009</v>
          </cell>
          <cell r="P64">
            <v>-89.385975994730487</v>
          </cell>
          <cell r="R64">
            <v>-102.20475140381096</v>
          </cell>
          <cell r="T64">
            <v>-112.49409425572497</v>
          </cell>
          <cell r="V64">
            <v>-226.90056986686415</v>
          </cell>
          <cell r="X64">
            <v>-162.08723978411149</v>
          </cell>
          <cell r="Z64">
            <v>-128.3543482659008</v>
          </cell>
          <cell r="AB64">
            <v>-12.619232948884342</v>
          </cell>
          <cell r="AD64">
            <v>108.53063451133649</v>
          </cell>
        </row>
        <row r="65">
          <cell r="A65" t="str">
            <v>Non-shielded Pretax Income</v>
          </cell>
          <cell r="H65">
            <v>0</v>
          </cell>
          <cell r="J65">
            <v>0</v>
          </cell>
          <cell r="L65">
            <v>0</v>
          </cell>
          <cell r="N65">
            <v>0</v>
          </cell>
          <cell r="P65">
            <v>0</v>
          </cell>
          <cell r="R65">
            <v>0</v>
          </cell>
          <cell r="T65">
            <v>0</v>
          </cell>
          <cell r="V65">
            <v>0</v>
          </cell>
          <cell r="X65">
            <v>0</v>
          </cell>
          <cell r="Z65">
            <v>0</v>
          </cell>
          <cell r="AB65">
            <v>0</v>
          </cell>
          <cell r="AD65">
            <v>21.7061269022673</v>
          </cell>
        </row>
        <row r="66">
          <cell r="A66" t="str">
            <v>Ending NOL</v>
          </cell>
          <cell r="F66">
            <v>-131.80000000000001</v>
          </cell>
          <cell r="H66">
            <v>-135.60192000000001</v>
          </cell>
          <cell r="J66">
            <v>-135.07228800000001</v>
          </cell>
          <cell r="L66">
            <v>-232.09299999999999</v>
          </cell>
          <cell r="N66">
            <v>-318.26799999999997</v>
          </cell>
          <cell r="P66">
            <v>-407.65397599473044</v>
          </cell>
          <cell r="R66">
            <v>-509.85872739854142</v>
          </cell>
          <cell r="T66">
            <v>-622.35282165426634</v>
          </cell>
          <cell r="V66">
            <v>-787.01810935570393</v>
          </cell>
          <cell r="X66">
            <v>-870.40353820424502</v>
          </cell>
          <cell r="Z66">
            <v>-911.71753264972131</v>
          </cell>
          <cell r="AB66">
            <v>-833.16501233363351</v>
          </cell>
          <cell r="AD66">
            <v>-663.02400349120092</v>
          </cell>
        </row>
        <row r="68">
          <cell r="A68" t="str">
            <v>Taxable Income</v>
          </cell>
          <cell r="H68">
            <v>0</v>
          </cell>
          <cell r="J68">
            <v>0</v>
          </cell>
          <cell r="L68">
            <v>0</v>
          </cell>
          <cell r="N68">
            <v>0</v>
          </cell>
          <cell r="P68">
            <v>0</v>
          </cell>
          <cell r="R68">
            <v>0</v>
          </cell>
          <cell r="T68">
            <v>0</v>
          </cell>
          <cell r="V68">
            <v>0</v>
          </cell>
          <cell r="X68">
            <v>0</v>
          </cell>
          <cell r="Z68">
            <v>0</v>
          </cell>
          <cell r="AB68">
            <v>0</v>
          </cell>
          <cell r="AD68">
            <v>21.7061269022673</v>
          </cell>
        </row>
        <row r="69">
          <cell r="A69" t="str">
            <v>Income Taxes Owed</v>
          </cell>
          <cell r="H69">
            <v>0</v>
          </cell>
          <cell r="J69">
            <v>0</v>
          </cell>
          <cell r="L69">
            <v>0</v>
          </cell>
          <cell r="N69">
            <v>0</v>
          </cell>
          <cell r="P69">
            <v>0</v>
          </cell>
          <cell r="R69">
            <v>0</v>
          </cell>
          <cell r="T69">
            <v>0</v>
          </cell>
          <cell r="V69">
            <v>0</v>
          </cell>
          <cell r="X69">
            <v>0</v>
          </cell>
          <cell r="Z69">
            <v>0</v>
          </cell>
          <cell r="AB69">
            <v>0</v>
          </cell>
          <cell r="AD69">
            <v>7.814205684816228</v>
          </cell>
        </row>
        <row r="71">
          <cell r="A71" t="str">
            <v>Interest Calculations</v>
          </cell>
        </row>
        <row r="72">
          <cell r="A72" t="str">
            <v>Cash and Cash Equivalents</v>
          </cell>
          <cell r="D72">
            <v>121.679</v>
          </cell>
          <cell r="F72">
            <v>120.119</v>
          </cell>
          <cell r="H72">
            <v>117.09350000000001</v>
          </cell>
          <cell r="J72">
            <v>93.626499999999993</v>
          </cell>
          <cell r="L72">
            <v>89.846999999999994</v>
          </cell>
          <cell r="N72">
            <v>155.25513088507321</v>
          </cell>
          <cell r="P72">
            <v>180.21124586484302</v>
          </cell>
          <cell r="R72">
            <v>84.29367320630169</v>
          </cell>
          <cell r="T72">
            <v>43.920164809169101</v>
          </cell>
          <cell r="V72">
            <v>36.187191104529937</v>
          </cell>
          <cell r="X72">
            <v>25.540327196284832</v>
          </cell>
          <cell r="Z72">
            <v>39.511648565971811</v>
          </cell>
          <cell r="AB72">
            <v>55.705421727602328</v>
          </cell>
          <cell r="AD72">
            <v>121.52317072030112</v>
          </cell>
        </row>
        <row r="73">
          <cell r="A73" t="str">
            <v>Return on cash/marketable securities</v>
          </cell>
          <cell r="D73">
            <v>2.6545254316685706E-2</v>
          </cell>
          <cell r="F73">
            <v>1.4951839425902646E-2</v>
          </cell>
          <cell r="H73">
            <v>1.3954660164740142E-2</v>
          </cell>
          <cell r="J73">
            <v>2.8250548722850904E-2</v>
          </cell>
          <cell r="L73">
            <v>4.0658007501641683E-2</v>
          </cell>
          <cell r="N73">
            <v>4.1000000000000002E-2</v>
          </cell>
          <cell r="P73">
            <v>3.5000000000000003E-2</v>
          </cell>
          <cell r="R73">
            <v>0.03</v>
          </cell>
          <cell r="T73">
            <v>0.03</v>
          </cell>
          <cell r="V73">
            <v>0.03</v>
          </cell>
          <cell r="X73">
            <v>0.03</v>
          </cell>
          <cell r="Z73">
            <v>0.03</v>
          </cell>
          <cell r="AB73">
            <v>3.5000000000000003E-2</v>
          </cell>
          <cell r="AD73">
            <v>3.5000000000000003E-2</v>
          </cell>
        </row>
        <row r="74">
          <cell r="A74" t="str">
            <v xml:space="preserve">Interest Income </v>
          </cell>
          <cell r="D74">
            <v>3.23</v>
          </cell>
          <cell r="F74">
            <v>1.796</v>
          </cell>
          <cell r="H74">
            <v>1.6339999999999999</v>
          </cell>
          <cell r="J74">
            <v>2.645</v>
          </cell>
          <cell r="L74">
            <v>3.653</v>
          </cell>
          <cell r="N74">
            <v>7.2859999999999996</v>
          </cell>
          <cell r="P74">
            <v>6.3073936052695068</v>
          </cell>
          <cell r="R74">
            <v>2.5288101961890508</v>
          </cell>
          <cell r="T74">
            <v>1.317604944275073</v>
          </cell>
          <cell r="V74">
            <v>1.085615733135898</v>
          </cell>
          <cell r="X74">
            <v>0.76620981588854487</v>
          </cell>
          <cell r="Z74">
            <v>1.1853494569791543</v>
          </cell>
          <cell r="AB74">
            <v>1.9496897604660817</v>
          </cell>
          <cell r="AD74">
            <v>4.2533109752105398</v>
          </cell>
          <cell r="AK74" t="str">
            <v>mstag:interestIncome</v>
          </cell>
          <cell r="AL74">
            <v>6</v>
          </cell>
          <cell r="AM74" t="str">
            <v>ISO4217:USD</v>
          </cell>
          <cell r="AN74" t="b">
            <v>0</v>
          </cell>
          <cell r="AO74" t="b">
            <v>0</v>
          </cell>
        </row>
        <row r="75">
          <cell r="A75" t="str">
            <v>Test</v>
          </cell>
          <cell r="J75">
            <v>2.645</v>
          </cell>
          <cell r="L75">
            <v>3.653</v>
          </cell>
          <cell r="N75">
            <v>7.2859999999999996</v>
          </cell>
          <cell r="P75">
            <v>6.3073936052695068</v>
          </cell>
          <cell r="R75">
            <v>2.5288101961890508</v>
          </cell>
          <cell r="T75">
            <v>1.317604944275073</v>
          </cell>
          <cell r="V75">
            <v>1.085615733135898</v>
          </cell>
          <cell r="X75">
            <v>0.76620981588854487</v>
          </cell>
          <cell r="Z75">
            <v>1.1853494569791543</v>
          </cell>
          <cell r="AB75">
            <v>1.9496897604660817</v>
          </cell>
          <cell r="AD75">
            <v>4.2533109752105398</v>
          </cell>
        </row>
        <row r="77">
          <cell r="A77" t="str">
            <v>Interest Bearing Obligations</v>
          </cell>
          <cell r="D77">
            <v>4</v>
          </cell>
          <cell r="F77">
            <v>56.344000000000001</v>
          </cell>
          <cell r="H77">
            <v>32.94</v>
          </cell>
          <cell r="J77">
            <v>36.94</v>
          </cell>
          <cell r="L77">
            <v>32.188000000000002</v>
          </cell>
          <cell r="N77">
            <v>31.372</v>
          </cell>
          <cell r="P77">
            <v>30.556000000000001</v>
          </cell>
          <cell r="R77">
            <v>29.676000000000002</v>
          </cell>
          <cell r="T77">
            <v>28.712000000000003</v>
          </cell>
          <cell r="V77">
            <v>27.665000000000003</v>
          </cell>
          <cell r="X77">
            <v>26.618000000000002</v>
          </cell>
          <cell r="Z77">
            <v>25.571000000000002</v>
          </cell>
          <cell r="AB77">
            <v>24.524000000000001</v>
          </cell>
          <cell r="AD77">
            <v>23.477</v>
          </cell>
        </row>
        <row r="78">
          <cell r="A78" t="str">
            <v>Interest Rate</v>
          </cell>
          <cell r="D78">
            <v>1.75E-3</v>
          </cell>
          <cell r="F78">
            <v>5.768138577310805E-3</v>
          </cell>
          <cell r="H78">
            <v>8.0752884031572561E-2</v>
          </cell>
          <cell r="J78">
            <v>8.8792636708175415E-2</v>
          </cell>
          <cell r="L78">
            <v>0.10106250776686963</v>
          </cell>
          <cell r="N78">
            <v>8.1600000000000006E-2</v>
          </cell>
          <cell r="P78">
            <v>8.1600000000000006E-2</v>
          </cell>
          <cell r="R78">
            <v>8.1600000000000006E-2</v>
          </cell>
          <cell r="T78">
            <v>8.1600000000000006E-2</v>
          </cell>
          <cell r="V78">
            <v>8.1600000000000006E-2</v>
          </cell>
          <cell r="X78">
            <v>8.1600000000000006E-2</v>
          </cell>
          <cell r="Z78">
            <v>8.1600000000000006E-2</v>
          </cell>
          <cell r="AB78">
            <v>8.1600000000000006E-2</v>
          </cell>
          <cell r="AD78">
            <v>8.1600000000000006E-2</v>
          </cell>
        </row>
        <row r="79">
          <cell r="A79" t="str">
            <v>Interest Expense</v>
          </cell>
          <cell r="D79">
            <v>7.0000000000000001E-3</v>
          </cell>
          <cell r="F79">
            <v>0.32500000000000001</v>
          </cell>
          <cell r="H79">
            <v>2.66</v>
          </cell>
          <cell r="J79">
            <v>3.28</v>
          </cell>
          <cell r="L79">
            <v>3.2530000000000001</v>
          </cell>
          <cell r="N79">
            <v>2.7829999999999999</v>
          </cell>
          <cell r="P79">
            <v>2.4933696000000003</v>
          </cell>
          <cell r="R79">
            <v>2.4215616000000004</v>
          </cell>
          <cell r="T79">
            <v>2.3428992000000006</v>
          </cell>
          <cell r="V79">
            <v>2.2574640000000006</v>
          </cell>
          <cell r="X79">
            <v>2.1720288000000005</v>
          </cell>
          <cell r="Z79">
            <v>2.0865936000000005</v>
          </cell>
          <cell r="AB79">
            <v>2.0011584</v>
          </cell>
          <cell r="AD79">
            <v>1.9157232000000002</v>
          </cell>
          <cell r="AK79" t="str">
            <v>mstag:interestExpense</v>
          </cell>
          <cell r="AL79">
            <v>6</v>
          </cell>
          <cell r="AM79" t="str">
            <v>ISO4217:USD</v>
          </cell>
          <cell r="AN79" t="b">
            <v>0</v>
          </cell>
          <cell r="AO79" t="b">
            <v>0</v>
          </cell>
        </row>
        <row r="82">
          <cell r="A82" t="str">
            <v>Reconciliation to GAAP earnings/loss</v>
          </cell>
        </row>
        <row r="83">
          <cell r="A83" t="str">
            <v>Adjustments to pro-forma earnings:</v>
          </cell>
        </row>
        <row r="84">
          <cell r="A84" t="str">
            <v>Stock Compensation Expense</v>
          </cell>
          <cell r="J84">
            <v>0</v>
          </cell>
          <cell r="L84">
            <v>7.03</v>
          </cell>
          <cell r="N84">
            <v>7.9260000000000002</v>
          </cell>
          <cell r="P84">
            <v>6</v>
          </cell>
          <cell r="R84">
            <v>8</v>
          </cell>
          <cell r="T84">
            <v>10</v>
          </cell>
          <cell r="V84">
            <v>12</v>
          </cell>
          <cell r="X84">
            <v>14</v>
          </cell>
          <cell r="Z84">
            <v>16</v>
          </cell>
          <cell r="AB84">
            <v>18</v>
          </cell>
          <cell r="AD84">
            <v>20</v>
          </cell>
          <cell r="AK84" t="str">
            <v>mstag:stockCompensation</v>
          </cell>
          <cell r="AL84">
            <v>6</v>
          </cell>
          <cell r="AM84" t="str">
            <v>ISO4217:USD</v>
          </cell>
          <cell r="AN84" t="b">
            <v>0</v>
          </cell>
          <cell r="AO84" t="b">
            <v>0</v>
          </cell>
        </row>
        <row r="85">
          <cell r="A85" t="str">
            <v>Tax Benefit from ESOs</v>
          </cell>
          <cell r="L85">
            <v>1.7651762918574475E-2</v>
          </cell>
          <cell r="N85">
            <v>0</v>
          </cell>
          <cell r="P85">
            <v>0</v>
          </cell>
          <cell r="R85">
            <v>0</v>
          </cell>
          <cell r="T85">
            <v>0</v>
          </cell>
          <cell r="V85">
            <v>0</v>
          </cell>
          <cell r="X85">
            <v>0</v>
          </cell>
          <cell r="Z85">
            <v>0</v>
          </cell>
          <cell r="AB85">
            <v>0</v>
          </cell>
          <cell r="AD85">
            <v>1.4400000000000002</v>
          </cell>
          <cell r="AK85" t="str">
            <v>mstag:taxExpenseIncome</v>
          </cell>
          <cell r="AL85">
            <v>6</v>
          </cell>
          <cell r="AM85" t="str">
            <v>ISO4217:USD</v>
          </cell>
          <cell r="AN85" t="b">
            <v>1</v>
          </cell>
          <cell r="AO85" t="b">
            <v>0</v>
          </cell>
        </row>
        <row r="86">
          <cell r="A86" t="str">
            <v>GAAP Net Income</v>
          </cell>
          <cell r="J86">
            <v>-36.315000000000012</v>
          </cell>
          <cell r="L86">
            <v>-54.28634823708142</v>
          </cell>
          <cell r="N86">
            <v>-58.794000000000011</v>
          </cell>
          <cell r="P86">
            <v>-95.385975994730487</v>
          </cell>
          <cell r="R86">
            <v>-110.20475140381096</v>
          </cell>
          <cell r="T86">
            <v>-122.49409425572497</v>
          </cell>
          <cell r="V86">
            <v>-238.90056986686415</v>
          </cell>
          <cell r="X86">
            <v>-176.08723978411149</v>
          </cell>
          <cell r="Z86">
            <v>-144.3543482659008</v>
          </cell>
          <cell r="AB86">
            <v>-30.619232948884342</v>
          </cell>
          <cell r="AD86">
            <v>82.156428826520255</v>
          </cell>
        </row>
        <row r="87">
          <cell r="A87" t="str">
            <v>GAAP (loss) EPS, Basic</v>
          </cell>
          <cell r="J87">
            <v>-0.56775898189550056</v>
          </cell>
          <cell r="L87">
            <v>-0.81174634004846902</v>
          </cell>
          <cell r="N87">
            <v>-0.59015899783184789</v>
          </cell>
          <cell r="P87">
            <v>-0.69209021754009092</v>
          </cell>
          <cell r="R87">
            <v>-0.79009748477697239</v>
          </cell>
          <cell r="T87">
            <v>-0.82251792336073626</v>
          </cell>
          <cell r="V87">
            <v>-1.4138835582346123</v>
          </cell>
          <cell r="X87">
            <v>-0.93362016523500657</v>
          </cell>
          <cell r="Z87">
            <v>-0.71329448771912884</v>
          </cell>
          <cell r="AB87">
            <v>-0.14665323279999568</v>
          </cell>
          <cell r="AD87">
            <v>0.39057033333279545</v>
          </cell>
        </row>
        <row r="88">
          <cell r="A88" t="str">
            <v>GAAP (loss) EPS, Diluted</v>
          </cell>
          <cell r="J88">
            <v>-0.56775898189550056</v>
          </cell>
          <cell r="L88">
            <v>-0.81197095669268859</v>
          </cell>
          <cell r="N88">
            <v>-0.59015899783184789</v>
          </cell>
          <cell r="P88">
            <v>-0.69209021754009092</v>
          </cell>
          <cell r="R88">
            <v>-0.79009748477697239</v>
          </cell>
          <cell r="T88">
            <v>-0.82251792336073626</v>
          </cell>
          <cell r="V88">
            <v>-1.4138835582346123</v>
          </cell>
          <cell r="X88">
            <v>-0.93362016523500657</v>
          </cell>
          <cell r="Z88">
            <v>-0.71329448771912884</v>
          </cell>
          <cell r="AB88">
            <v>-0.14665323279999568</v>
          </cell>
          <cell r="AD88">
            <v>0.37883406518120938</v>
          </cell>
        </row>
      </sheetData>
      <sheetData sheetId="2">
        <row r="1">
          <cell r="A1" t="str">
            <v>Lexicon Genetics Balance Sheet</v>
          </cell>
          <cell r="AH1" t="str">
            <v>ElementName</v>
          </cell>
          <cell r="AI1" t="str">
            <v>ScaleOverride</v>
          </cell>
          <cell r="AJ1" t="str">
            <v>UnitOverride</v>
          </cell>
          <cell r="AK1" t="str">
            <v>ReverseSign</v>
          </cell>
          <cell r="AL1" t="str">
            <v>IsDrivingAssumption</v>
          </cell>
          <cell r="AM1" t="str">
            <v>SegmentID</v>
          </cell>
        </row>
        <row r="2">
          <cell r="A2" t="str">
            <v>(Dollars in millions)</v>
          </cell>
        </row>
        <row r="4">
          <cell r="B4" t="str">
            <v>2001A</v>
          </cell>
          <cell r="D4" t="str">
            <v>2002A</v>
          </cell>
          <cell r="F4" t="str">
            <v>2003A</v>
          </cell>
          <cell r="H4" t="str">
            <v>2004A</v>
          </cell>
          <cell r="J4" t="str">
            <v>2005A</v>
          </cell>
          <cell r="L4" t="str">
            <v>2006A</v>
          </cell>
          <cell r="N4" t="str">
            <v>2007E</v>
          </cell>
          <cell r="P4" t="str">
            <v>2008E</v>
          </cell>
          <cell r="R4" t="str">
            <v>2009E</v>
          </cell>
          <cell r="T4" t="str">
            <v>2010E</v>
          </cell>
          <cell r="V4" t="str">
            <v>2011E</v>
          </cell>
          <cell r="X4" t="str">
            <v>2012E</v>
          </cell>
          <cell r="Z4" t="str">
            <v>2013E</v>
          </cell>
          <cell r="AB4" t="str">
            <v>2014E</v>
          </cell>
          <cell r="AD4" t="str">
            <v>2015E</v>
          </cell>
        </row>
        <row r="5">
          <cell r="A5" t="str">
            <v>Current assets:</v>
          </cell>
        </row>
        <row r="6">
          <cell r="A6" t="str">
            <v>Cash and Equivalents</v>
          </cell>
          <cell r="B6">
            <v>16.355</v>
          </cell>
          <cell r="D6">
            <v>24.765999999999998</v>
          </cell>
          <cell r="F6">
            <v>35.856000000000002</v>
          </cell>
          <cell r="H6">
            <v>14.612</v>
          </cell>
          <cell r="J6">
            <v>21.97</v>
          </cell>
          <cell r="L6">
            <v>30.225999999999999</v>
          </cell>
          <cell r="N6">
            <v>170.51201177014644</v>
          </cell>
          <cell r="P6">
            <v>49.23228833998833</v>
          </cell>
          <cell r="R6">
            <v>12.693870461155882</v>
          </cell>
          <cell r="T6">
            <v>33.693766584048888</v>
          </cell>
          <cell r="V6">
            <v>10.919115752466865</v>
          </cell>
          <cell r="X6">
            <v>16.265400826891465</v>
          </cell>
          <cell r="Z6">
            <v>34.430520573888913</v>
          </cell>
          <cell r="AB6">
            <v>21.893422834675647</v>
          </cell>
          <cell r="AD6">
            <v>152.65929393253441</v>
          </cell>
          <cell r="AH6" t="str">
            <v>mstag:cashAndCashEquivalents</v>
          </cell>
          <cell r="AI6">
            <v>6</v>
          </cell>
          <cell r="AJ6" t="str">
            <v>ISO4217:USD</v>
          </cell>
          <cell r="AK6" t="b">
            <v>0</v>
          </cell>
          <cell r="AL6" t="b">
            <v>0</v>
          </cell>
        </row>
        <row r="7">
          <cell r="A7" t="str">
            <v>Restricted Cash</v>
          </cell>
          <cell r="B7">
            <v>6.6929999999999996</v>
          </cell>
          <cell r="D7">
            <v>29.486999999999998</v>
          </cell>
          <cell r="F7">
            <v>14.372</v>
          </cell>
          <cell r="H7">
            <v>0</v>
          </cell>
          <cell r="J7">
            <v>0</v>
          </cell>
          <cell r="L7">
            <v>0</v>
          </cell>
          <cell r="N7">
            <v>0</v>
          </cell>
          <cell r="P7">
            <v>0</v>
          </cell>
          <cell r="R7">
            <v>0</v>
          </cell>
          <cell r="T7">
            <v>0</v>
          </cell>
          <cell r="V7">
            <v>0</v>
          </cell>
          <cell r="X7">
            <v>0</v>
          </cell>
          <cell r="Z7">
            <v>0</v>
          </cell>
          <cell r="AB7">
            <v>0</v>
          </cell>
          <cell r="AD7">
            <v>0</v>
          </cell>
          <cell r="AH7" t="str">
            <v>mstag:otherAssetsOperatingCurrent</v>
          </cell>
          <cell r="AI7">
            <v>6</v>
          </cell>
          <cell r="AJ7" t="str">
            <v>ISO4217:USD</v>
          </cell>
          <cell r="AK7" t="b">
            <v>0</v>
          </cell>
          <cell r="AL7" t="b">
            <v>0</v>
          </cell>
        </row>
        <row r="8">
          <cell r="A8" t="str">
            <v>Short-Term Investments</v>
          </cell>
          <cell r="B8">
            <v>133.39400000000001</v>
          </cell>
          <cell r="D8">
            <v>68.843000000000004</v>
          </cell>
          <cell r="F8">
            <v>110.773</v>
          </cell>
          <cell r="H8">
            <v>72.945999999999998</v>
          </cell>
          <cell r="J8">
            <v>77.724999999999994</v>
          </cell>
          <cell r="L8">
            <v>49.773000000000003</v>
          </cell>
          <cell r="N8">
            <v>59.999249999999996</v>
          </cell>
          <cell r="P8">
            <v>80.678941619551253</v>
          </cell>
          <cell r="R8">
            <v>25.982245991907917</v>
          </cell>
          <cell r="T8">
            <v>15.47044658122552</v>
          </cell>
          <cell r="V8">
            <v>12.291053291318601</v>
          </cell>
          <cell r="X8">
            <v>11.605084521892733</v>
          </cell>
          <cell r="Z8">
            <v>16.722291209270519</v>
          </cell>
          <cell r="AB8">
            <v>38.364608837369573</v>
          </cell>
          <cell r="AD8">
            <v>30.12901583602261</v>
          </cell>
          <cell r="AH8" t="str">
            <v>mstag:shortTermInvestments</v>
          </cell>
          <cell r="AI8">
            <v>6</v>
          </cell>
          <cell r="AJ8" t="str">
            <v>ISO4217:USD</v>
          </cell>
          <cell r="AK8" t="b">
            <v>0</v>
          </cell>
          <cell r="AL8" t="b">
            <v>0</v>
          </cell>
        </row>
        <row r="9">
          <cell r="A9" t="str">
            <v>Accounts Receivables</v>
          </cell>
          <cell r="B9">
            <v>4.5439999999999996</v>
          </cell>
          <cell r="D9">
            <v>5.1429999999999998</v>
          </cell>
          <cell r="F9">
            <v>6.5709999999999997</v>
          </cell>
          <cell r="H9">
            <v>5.3449999999999998</v>
          </cell>
          <cell r="J9">
            <v>2.5859999999999999</v>
          </cell>
          <cell r="L9">
            <v>1.1859999999999999</v>
          </cell>
          <cell r="N9">
            <v>2.5058999999999996</v>
          </cell>
          <cell r="P9">
            <v>1.5</v>
          </cell>
          <cell r="R9">
            <v>1.9450000000000001</v>
          </cell>
          <cell r="T9">
            <v>2.191146666666667</v>
          </cell>
          <cell r="V9">
            <v>2.2940373333333337</v>
          </cell>
          <cell r="X9">
            <v>3.5706982400000009</v>
          </cell>
          <cell r="Z9">
            <v>14.6555261696</v>
          </cell>
          <cell r="AB9">
            <v>21.863831477589333</v>
          </cell>
          <cell r="AD9">
            <v>33.961051403359576</v>
          </cell>
          <cell r="AH9" t="str">
            <v>mstag:tradeReceivablesCurrent</v>
          </cell>
          <cell r="AI9">
            <v>6</v>
          </cell>
          <cell r="AJ9" t="str">
            <v>ISO4217:USD</v>
          </cell>
          <cell r="AK9" t="b">
            <v>0</v>
          </cell>
          <cell r="AL9" t="b">
            <v>0</v>
          </cell>
        </row>
        <row r="10">
          <cell r="A10" t="str">
            <v>Other Receivables</v>
          </cell>
          <cell r="B10">
            <v>0</v>
          </cell>
          <cell r="D10">
            <v>0</v>
          </cell>
          <cell r="F10">
            <v>0</v>
          </cell>
          <cell r="H10">
            <v>1.052</v>
          </cell>
          <cell r="J10">
            <v>2.1999999999999999E-2</v>
          </cell>
          <cell r="L10">
            <v>0</v>
          </cell>
          <cell r="N10">
            <v>0.50117999999999996</v>
          </cell>
          <cell r="P10">
            <v>0.3</v>
          </cell>
          <cell r="R10">
            <v>0.31120000000000003</v>
          </cell>
          <cell r="T10">
            <v>0.32867200000000002</v>
          </cell>
          <cell r="V10">
            <v>0.34410560000000007</v>
          </cell>
          <cell r="X10">
            <v>0.35706982400000009</v>
          </cell>
          <cell r="Z10">
            <v>1.4655526169599999</v>
          </cell>
          <cell r="AB10">
            <v>3.2795747216384004</v>
          </cell>
          <cell r="AD10">
            <v>5.0941577105039366</v>
          </cell>
          <cell r="AH10" t="str">
            <v>mstag:otherReceivablesCurrent</v>
          </cell>
          <cell r="AI10">
            <v>6</v>
          </cell>
          <cell r="AJ10" t="str">
            <v>ISO4217:USD</v>
          </cell>
          <cell r="AK10" t="b">
            <v>0</v>
          </cell>
          <cell r="AL10" t="b">
            <v>0</v>
          </cell>
        </row>
        <row r="11">
          <cell r="A11" t="str">
            <v>Inventories</v>
          </cell>
          <cell r="B11">
            <v>0</v>
          </cell>
          <cell r="D11">
            <v>0</v>
          </cell>
          <cell r="F11">
            <v>0</v>
          </cell>
          <cell r="H11">
            <v>0</v>
          </cell>
          <cell r="J11">
            <v>0</v>
          </cell>
          <cell r="L11">
            <v>0</v>
          </cell>
          <cell r="N11">
            <v>0</v>
          </cell>
          <cell r="P11">
            <v>0</v>
          </cell>
          <cell r="R11">
            <v>0</v>
          </cell>
          <cell r="T11">
            <v>0</v>
          </cell>
          <cell r="V11">
            <v>0</v>
          </cell>
          <cell r="X11">
            <v>0</v>
          </cell>
          <cell r="Z11">
            <v>5.4749999999999996</v>
          </cell>
          <cell r="AB11">
            <v>14.118750000000002</v>
          </cell>
          <cell r="AD11">
            <v>23.675000000000004</v>
          </cell>
          <cell r="AH11" t="str">
            <v>mstag:inventories</v>
          </cell>
          <cell r="AI11">
            <v>6</v>
          </cell>
          <cell r="AJ11" t="str">
            <v>ISO4217:USD</v>
          </cell>
          <cell r="AK11" t="b">
            <v>0</v>
          </cell>
          <cell r="AL11" t="b">
            <v>0</v>
          </cell>
        </row>
        <row r="12">
          <cell r="A12" t="str">
            <v>Prepaid Expenses and Other</v>
          </cell>
          <cell r="B12">
            <v>5.4560000000000004</v>
          </cell>
          <cell r="D12">
            <v>4.8929999999999998</v>
          </cell>
          <cell r="F12">
            <v>3.9329999999999998</v>
          </cell>
          <cell r="H12">
            <v>4.7930000000000001</v>
          </cell>
          <cell r="J12">
            <v>3.7440000000000002</v>
          </cell>
          <cell r="L12">
            <v>4.367</v>
          </cell>
          <cell r="N12">
            <v>2.5059</v>
          </cell>
          <cell r="P12">
            <v>1.5</v>
          </cell>
          <cell r="R12">
            <v>1.556</v>
          </cell>
          <cell r="T12">
            <v>1.6433600000000004</v>
          </cell>
          <cell r="V12">
            <v>1.7205280000000003</v>
          </cell>
          <cell r="X12">
            <v>1.7853491200000005</v>
          </cell>
          <cell r="Z12">
            <v>7.3277630848000008</v>
          </cell>
          <cell r="AB12">
            <v>16.397873608192</v>
          </cell>
          <cell r="AD12">
            <v>25.470788552519682</v>
          </cell>
          <cell r="AH12" t="str">
            <v>mstag:prepaidExpensesCurrent</v>
          </cell>
          <cell r="AI12">
            <v>6</v>
          </cell>
          <cell r="AJ12" t="str">
            <v>ISO4217:USD</v>
          </cell>
          <cell r="AK12" t="b">
            <v>0</v>
          </cell>
          <cell r="AL12" t="b">
            <v>0</v>
          </cell>
        </row>
        <row r="13">
          <cell r="A13" t="str">
            <v>Total current assets</v>
          </cell>
          <cell r="B13">
            <v>166.44200000000001</v>
          </cell>
          <cell r="D13">
            <v>133.13200000000001</v>
          </cell>
          <cell r="F13">
            <v>171.505</v>
          </cell>
          <cell r="H13">
            <v>98.748000000000005</v>
          </cell>
          <cell r="J13">
            <v>106.047</v>
          </cell>
          <cell r="L13">
            <v>85.552000000000007</v>
          </cell>
          <cell r="N13">
            <v>236.02424177014643</v>
          </cell>
          <cell r="P13">
            <v>133.21122995953959</v>
          </cell>
          <cell r="R13">
            <v>42.488316453063796</v>
          </cell>
          <cell r="T13">
            <v>53.327391831941071</v>
          </cell>
          <cell r="V13">
            <v>27.568839977118799</v>
          </cell>
          <cell r="X13">
            <v>33.583602532784205</v>
          </cell>
          <cell r="Z13">
            <v>80.076653654519419</v>
          </cell>
          <cell r="AB13">
            <v>115.91806147946495</v>
          </cell>
          <cell r="AD13">
            <v>270.9893074349402</v>
          </cell>
        </row>
        <row r="15">
          <cell r="A15" t="str">
            <v>Property and Equipment, net</v>
          </cell>
          <cell r="B15">
            <v>26.707000000000001</v>
          </cell>
          <cell r="D15">
            <v>37.362000000000002</v>
          </cell>
          <cell r="F15">
            <v>83.676000000000002</v>
          </cell>
          <cell r="H15">
            <v>84.573000000000008</v>
          </cell>
          <cell r="J15">
            <v>85.265000000000001</v>
          </cell>
          <cell r="L15">
            <v>78.192000000000007</v>
          </cell>
          <cell r="N15">
            <v>72.267682806324117</v>
          </cell>
          <cell r="P15">
            <v>68.422856367158445</v>
          </cell>
          <cell r="R15">
            <v>64.551345041251849</v>
          </cell>
          <cell r="T15">
            <v>60.733587292829483</v>
          </cell>
          <cell r="V15">
            <v>56.927317046866747</v>
          </cell>
          <cell r="X15">
            <v>53.086119765715509</v>
          </cell>
          <cell r="Z15">
            <v>56.697037479235831</v>
          </cell>
          <cell r="AB15">
            <v>59.224775927544499</v>
          </cell>
          <cell r="AD15">
            <v>63.113675963872524</v>
          </cell>
        </row>
        <row r="16">
          <cell r="A16" t="str">
            <v>Property and Equipment, gross</v>
          </cell>
          <cell r="B16">
            <v>37.454000000000001</v>
          </cell>
          <cell r="D16">
            <v>57.13</v>
          </cell>
          <cell r="F16">
            <v>115.617</v>
          </cell>
          <cell r="H16">
            <v>126.465</v>
          </cell>
          <cell r="J16">
            <v>133.191</v>
          </cell>
          <cell r="L16">
            <v>135.09700000000001</v>
          </cell>
          <cell r="N16">
            <v>135.97124505928855</v>
          </cell>
          <cell r="P16">
            <v>139.08044065276093</v>
          </cell>
          <cell r="R16">
            <v>142.32518876510983</v>
          </cell>
          <cell r="T16">
            <v>145.79729580703943</v>
          </cell>
          <cell r="V16">
            <v>149.46423743271231</v>
          </cell>
          <cell r="X16">
            <v>153.28741068585376</v>
          </cell>
          <cell r="Z16">
            <v>165.15613515723587</v>
          </cell>
          <cell r="AB16">
            <v>176.50934063741531</v>
          </cell>
          <cell r="AD16">
            <v>189.89288491972982</v>
          </cell>
          <cell r="AH16" t="str">
            <v>mstag:propertyPlantAndEquipmentGross</v>
          </cell>
          <cell r="AI16">
            <v>6</v>
          </cell>
          <cell r="AJ16" t="str">
            <v>ISO4217:USD</v>
          </cell>
          <cell r="AK16" t="b">
            <v>0</v>
          </cell>
          <cell r="AL16" t="b">
            <v>0</v>
          </cell>
        </row>
        <row r="17">
          <cell r="A17" t="str">
            <v>Accumulated Depreciation</v>
          </cell>
          <cell r="B17">
            <v>-10.747</v>
          </cell>
          <cell r="D17">
            <v>-19.768000000000001</v>
          </cell>
          <cell r="F17">
            <v>-31.940999999999999</v>
          </cell>
          <cell r="H17">
            <v>-42.774999999999999</v>
          </cell>
          <cell r="J17">
            <v>-47.925999999999995</v>
          </cell>
          <cell r="L17">
            <v>-56.905000000000001</v>
          </cell>
          <cell r="N17">
            <v>-63.703562252964431</v>
          </cell>
          <cell r="P17">
            <v>-70.657584285602482</v>
          </cell>
          <cell r="R17">
            <v>-77.773843723857979</v>
          </cell>
          <cell r="T17">
            <v>-85.063708514209949</v>
          </cell>
          <cell r="V17">
            <v>-92.536920385845562</v>
          </cell>
          <cell r="X17">
            <v>-100.20129092013825</v>
          </cell>
          <cell r="Z17">
            <v>-108.45909767800003</v>
          </cell>
          <cell r="AB17">
            <v>-117.28456470987081</v>
          </cell>
          <cell r="AD17">
            <v>-126.7792089558573</v>
          </cell>
          <cell r="AH17" t="str">
            <v>mstag:accumulatedDepreciation</v>
          </cell>
          <cell r="AI17">
            <v>6</v>
          </cell>
          <cell r="AJ17" t="str">
            <v>ISO4217:USD</v>
          </cell>
          <cell r="AK17" t="b">
            <v>1</v>
          </cell>
          <cell r="AL17" t="b">
            <v>0</v>
          </cell>
        </row>
        <row r="18">
          <cell r="A18" t="str">
            <v>Long-Term Investments</v>
          </cell>
          <cell r="B18">
            <v>10.398</v>
          </cell>
          <cell r="D18">
            <v>0</v>
          </cell>
          <cell r="F18">
            <v>0</v>
          </cell>
          <cell r="H18">
            <v>0</v>
          </cell>
          <cell r="J18">
            <v>0</v>
          </cell>
          <cell r="L18">
            <v>0</v>
          </cell>
          <cell r="N18">
            <v>0</v>
          </cell>
          <cell r="P18">
            <v>0</v>
          </cell>
          <cell r="R18">
            <v>0</v>
          </cell>
          <cell r="T18">
            <v>0</v>
          </cell>
          <cell r="V18">
            <v>0</v>
          </cell>
          <cell r="X18">
            <v>0</v>
          </cell>
          <cell r="Z18">
            <v>0</v>
          </cell>
          <cell r="AB18">
            <v>0</v>
          </cell>
          <cell r="AD18">
            <v>0</v>
          </cell>
          <cell r="AH18" t="str">
            <v>mstag:longTermInvestmentsNonOperating</v>
          </cell>
          <cell r="AI18">
            <v>6</v>
          </cell>
          <cell r="AJ18" t="str">
            <v>ISO4217:USD</v>
          </cell>
          <cell r="AK18" t="b">
            <v>0</v>
          </cell>
          <cell r="AL18" t="b">
            <v>0</v>
          </cell>
        </row>
        <row r="19">
          <cell r="A19" t="str">
            <v>Goodwill</v>
          </cell>
          <cell r="B19">
            <v>25.797999999999998</v>
          </cell>
          <cell r="D19">
            <v>25.797999999999998</v>
          </cell>
          <cell r="F19">
            <v>25.797999999999998</v>
          </cell>
          <cell r="H19">
            <v>25.797999999999998</v>
          </cell>
          <cell r="J19">
            <v>25.797999999999998</v>
          </cell>
          <cell r="L19">
            <v>25.797999999999998</v>
          </cell>
          <cell r="N19">
            <v>25.797999999999998</v>
          </cell>
          <cell r="P19">
            <v>25.797999999999998</v>
          </cell>
          <cell r="R19">
            <v>25.797999999999998</v>
          </cell>
          <cell r="T19">
            <v>25.797999999999998</v>
          </cell>
          <cell r="V19">
            <v>25.797999999999998</v>
          </cell>
          <cell r="X19">
            <v>25.797999999999998</v>
          </cell>
          <cell r="Z19">
            <v>25.797999999999998</v>
          </cell>
          <cell r="AB19">
            <v>25.797999999999998</v>
          </cell>
          <cell r="AD19">
            <v>25.797999999999998</v>
          </cell>
          <cell r="AH19" t="str">
            <v>mstag:goodwill</v>
          </cell>
          <cell r="AI19">
            <v>6</v>
          </cell>
          <cell r="AJ19" t="str">
            <v>ISO4217:USD</v>
          </cell>
          <cell r="AK19" t="b">
            <v>0</v>
          </cell>
          <cell r="AL19" t="b">
            <v>0</v>
          </cell>
        </row>
        <row r="20">
          <cell r="A20" t="str">
            <v xml:space="preserve">Intangible Assets, net </v>
          </cell>
          <cell r="B20">
            <v>5.44</v>
          </cell>
          <cell r="D20">
            <v>4.24</v>
          </cell>
          <cell r="F20">
            <v>3.04</v>
          </cell>
          <cell r="H20">
            <v>1.84</v>
          </cell>
          <cell r="J20">
            <v>0.64</v>
          </cell>
          <cell r="L20">
            <v>0</v>
          </cell>
          <cell r="N20">
            <v>0</v>
          </cell>
          <cell r="P20">
            <v>0</v>
          </cell>
          <cell r="R20">
            <v>0</v>
          </cell>
          <cell r="T20">
            <v>0</v>
          </cell>
          <cell r="V20">
            <v>0</v>
          </cell>
          <cell r="X20">
            <v>0</v>
          </cell>
          <cell r="Z20">
            <v>0</v>
          </cell>
          <cell r="AB20">
            <v>0</v>
          </cell>
          <cell r="AD20">
            <v>0</v>
          </cell>
        </row>
        <row r="21">
          <cell r="A21" t="str">
            <v>Other Assets</v>
          </cell>
          <cell r="B21">
            <v>5.2050000000000001</v>
          </cell>
          <cell r="D21">
            <v>1.24</v>
          </cell>
          <cell r="F21">
            <v>0.18</v>
          </cell>
          <cell r="H21">
            <v>1.0209999999999999</v>
          </cell>
          <cell r="J21">
            <v>0.96399999999999997</v>
          </cell>
          <cell r="L21">
            <v>0.72399999999999998</v>
          </cell>
          <cell r="N21">
            <v>0.9372066</v>
          </cell>
          <cell r="P21">
            <v>0.51</v>
          </cell>
          <cell r="R21">
            <v>0.49792000000000003</v>
          </cell>
          <cell r="T21">
            <v>0.49300800000000006</v>
          </cell>
          <cell r="V21">
            <v>0.24087392000000002</v>
          </cell>
          <cell r="X21">
            <v>0.14282792960000004</v>
          </cell>
          <cell r="Z21">
            <v>0.43966578508800003</v>
          </cell>
          <cell r="AB21">
            <v>0.88548517484236811</v>
          </cell>
          <cell r="AD21">
            <v>1.2735394276259842</v>
          </cell>
          <cell r="AH21" t="str">
            <v>mstag:otherAssetsOperatingNonCurrent</v>
          </cell>
          <cell r="AI21">
            <v>6</v>
          </cell>
          <cell r="AJ21" t="str">
            <v>ISO4217:USD</v>
          </cell>
          <cell r="AK21" t="b">
            <v>0</v>
          </cell>
          <cell r="AL21" t="b">
            <v>0</v>
          </cell>
        </row>
        <row r="23">
          <cell r="A23" t="str">
            <v>Total assets</v>
          </cell>
          <cell r="B23">
            <v>239.99</v>
          </cell>
          <cell r="D23">
            <v>201.77199999999999</v>
          </cell>
          <cell r="F23">
            <v>284.19899999999996</v>
          </cell>
          <cell r="H23">
            <v>211.98000000000002</v>
          </cell>
          <cell r="J23">
            <v>218.714</v>
          </cell>
          <cell r="L23">
            <v>190.26600000000002</v>
          </cell>
          <cell r="N23">
            <v>335.02713117647056</v>
          </cell>
          <cell r="P23">
            <v>227.94208632669802</v>
          </cell>
          <cell r="R23">
            <v>133.33558149431565</v>
          </cell>
          <cell r="T23">
            <v>140.35198712477055</v>
          </cell>
          <cell r="V23">
            <v>110.53503094398555</v>
          </cell>
          <cell r="X23">
            <v>112.61055022809973</v>
          </cell>
          <cell r="Z23">
            <v>163.01135691884326</v>
          </cell>
          <cell r="AB23">
            <v>201.8263225818518</v>
          </cell>
          <cell r="AD23">
            <v>361.1745228264387</v>
          </cell>
        </row>
        <row r="25">
          <cell r="A25" t="str">
            <v>Current liabilities:</v>
          </cell>
        </row>
        <row r="26">
          <cell r="A26" t="str">
            <v>Accounts Payable</v>
          </cell>
          <cell r="B26">
            <v>3.1680000000000001</v>
          </cell>
          <cell r="D26">
            <v>4.3780000000000001</v>
          </cell>
          <cell r="F26">
            <v>5.8840000000000003</v>
          </cell>
          <cell r="H26">
            <v>7.5739999999999998</v>
          </cell>
          <cell r="J26">
            <v>6.883</v>
          </cell>
          <cell r="L26">
            <v>6.5129999999999999</v>
          </cell>
          <cell r="N26">
            <v>6.8909411764705881</v>
          </cell>
          <cell r="P26">
            <v>9.8714285714285701</v>
          </cell>
          <cell r="R26">
            <v>10.780857142857144</v>
          </cell>
          <cell r="T26">
            <v>12.173037037037041</v>
          </cell>
          <cell r="V26">
            <v>13.856867815384618</v>
          </cell>
          <cell r="X26">
            <v>16.365700266666671</v>
          </cell>
          <cell r="Z26">
            <v>22.097448856361286</v>
          </cell>
          <cell r="AB26">
            <v>27.911904628950037</v>
          </cell>
          <cell r="AD26">
            <v>33.60189369285564</v>
          </cell>
          <cell r="AH26" t="str">
            <v>mstag:tradeAndOtherPayablesCurrent</v>
          </cell>
          <cell r="AI26">
            <v>6</v>
          </cell>
          <cell r="AJ26" t="str">
            <v>ISO4217:USD</v>
          </cell>
          <cell r="AK26" t="b">
            <v>0</v>
          </cell>
          <cell r="AL26" t="b">
            <v>0</v>
          </cell>
        </row>
        <row r="27">
          <cell r="A27" t="str">
            <v>Accrued Liabilities</v>
          </cell>
          <cell r="B27">
            <v>5.016</v>
          </cell>
          <cell r="D27">
            <v>4.1609999999999996</v>
          </cell>
          <cell r="F27">
            <v>4.7569999999999997</v>
          </cell>
          <cell r="H27">
            <v>6.9450000000000003</v>
          </cell>
          <cell r="J27">
            <v>6.7869999999999999</v>
          </cell>
          <cell r="L27">
            <v>7.3250000000000002</v>
          </cell>
          <cell r="N27">
            <v>5.2715699999999996</v>
          </cell>
          <cell r="P27">
            <v>6.2189999999999994</v>
          </cell>
          <cell r="R27">
            <v>6.7919400000000003</v>
          </cell>
          <cell r="T27">
            <v>8.2168000000000028</v>
          </cell>
          <cell r="V27">
            <v>10.808356896000001</v>
          </cell>
          <cell r="X27">
            <v>13.747188224000006</v>
          </cell>
          <cell r="Z27">
            <v>19.1805856073216</v>
          </cell>
          <cell r="AB27">
            <v>25.539392735489283</v>
          </cell>
          <cell r="AD27">
            <v>32.257817945141412</v>
          </cell>
          <cell r="AH27" t="str">
            <v>mstag:otherLiabilitiesOperatingCurrent</v>
          </cell>
          <cell r="AI27">
            <v>6</v>
          </cell>
          <cell r="AJ27" t="str">
            <v>ISO4217:USD</v>
          </cell>
          <cell r="AK27" t="b">
            <v>0</v>
          </cell>
          <cell r="AL27" t="b">
            <v>0</v>
          </cell>
        </row>
        <row r="28">
          <cell r="A28" t="str">
            <v>Current Portion of Long-term Debt</v>
          </cell>
          <cell r="B28">
            <v>0</v>
          </cell>
          <cell r="D28">
            <v>0</v>
          </cell>
          <cell r="F28">
            <v>0</v>
          </cell>
          <cell r="H28">
            <v>4.6909999999999998</v>
          </cell>
          <cell r="J28">
            <v>4.7510000000000003</v>
          </cell>
          <cell r="L28">
            <v>0.81599999999999995</v>
          </cell>
          <cell r="N28">
            <v>0.81599999999999995</v>
          </cell>
          <cell r="P28">
            <v>0.88</v>
          </cell>
          <cell r="R28">
            <v>0.96399999999999997</v>
          </cell>
          <cell r="T28">
            <v>1.0469999999999999</v>
          </cell>
          <cell r="V28">
            <v>1.0469999999999999</v>
          </cell>
          <cell r="X28">
            <v>1.0469999999999999</v>
          </cell>
          <cell r="Z28">
            <v>1.0469999999999999</v>
          </cell>
          <cell r="AB28">
            <v>1.0469999999999999</v>
          </cell>
          <cell r="AD28">
            <v>1.0469999999999999</v>
          </cell>
          <cell r="AH28" t="str">
            <v>mstag:shortTermBorrowings</v>
          </cell>
          <cell r="AI28">
            <v>6</v>
          </cell>
          <cell r="AJ28" t="str">
            <v>ISO4217:USD</v>
          </cell>
          <cell r="AK28" t="b">
            <v>0</v>
          </cell>
          <cell r="AL28" t="b">
            <v>0</v>
          </cell>
        </row>
        <row r="29">
          <cell r="A29" t="str">
            <v>Deferred Revenue, current</v>
          </cell>
          <cell r="B29">
            <v>10.595000000000001</v>
          </cell>
          <cell r="D29">
            <v>12.76</v>
          </cell>
          <cell r="F29">
            <v>21.125</v>
          </cell>
          <cell r="H29">
            <v>19.5</v>
          </cell>
          <cell r="J29">
            <v>39.042000000000002</v>
          </cell>
          <cell r="L29">
            <v>31.312000000000001</v>
          </cell>
          <cell r="N29">
            <v>19.546019999999999</v>
          </cell>
          <cell r="P29">
            <v>7.5</v>
          </cell>
          <cell r="R29">
            <v>7.78</v>
          </cell>
          <cell r="T29">
            <v>7.8881280000000009</v>
          </cell>
          <cell r="V29">
            <v>6.8821120000000011</v>
          </cell>
          <cell r="X29">
            <v>4.2848378880000011</v>
          </cell>
          <cell r="Z29">
            <v>14.655526169600002</v>
          </cell>
          <cell r="AB29">
            <v>32.795747216384001</v>
          </cell>
          <cell r="AD29">
            <v>50.941577105039364</v>
          </cell>
          <cell r="AH29" t="str">
            <v>mstag:deferredRevenueCurrent</v>
          </cell>
          <cell r="AI29">
            <v>6</v>
          </cell>
          <cell r="AJ29" t="str">
            <v>ISO4217:USD</v>
          </cell>
          <cell r="AK29" t="b">
            <v>0</v>
          </cell>
          <cell r="AL29" t="b">
            <v>0</v>
          </cell>
        </row>
        <row r="30">
          <cell r="A30" t="str">
            <v>Total current liabilities</v>
          </cell>
          <cell r="B30">
            <v>18.779000000000003</v>
          </cell>
          <cell r="D30">
            <v>21.298999999999999</v>
          </cell>
          <cell r="F30">
            <v>31.765999999999998</v>
          </cell>
          <cell r="H30">
            <v>38.71</v>
          </cell>
          <cell r="J30">
            <v>57.463000000000001</v>
          </cell>
          <cell r="L30">
            <v>45.966000000000001</v>
          </cell>
          <cell r="N30">
            <v>32.524531176470589</v>
          </cell>
          <cell r="P30">
            <v>24.470428571428567</v>
          </cell>
          <cell r="R30">
            <v>26.316797142857144</v>
          </cell>
          <cell r="T30">
            <v>29.324965037037046</v>
          </cell>
          <cell r="V30">
            <v>32.594336711384621</v>
          </cell>
          <cell r="X30">
            <v>35.44472637866668</v>
          </cell>
          <cell r="Z30">
            <v>56.980560633282884</v>
          </cell>
          <cell r="AB30">
            <v>87.294044580823311</v>
          </cell>
          <cell r="AD30">
            <v>117.84828874303642</v>
          </cell>
        </row>
        <row r="32">
          <cell r="A32" t="str">
            <v>Deferred Revenue, non-current</v>
          </cell>
          <cell r="B32">
            <v>2.5</v>
          </cell>
          <cell r="D32">
            <v>5.8869999999999996</v>
          </cell>
          <cell r="F32">
            <v>26.567</v>
          </cell>
          <cell r="H32">
            <v>18.091999999999999</v>
          </cell>
          <cell r="J32">
            <v>42.54</v>
          </cell>
          <cell r="L32">
            <v>26.687999999999999</v>
          </cell>
          <cell r="N32">
            <v>25.560179999999999</v>
          </cell>
          <cell r="P32">
            <v>13.65</v>
          </cell>
          <cell r="R32">
            <v>13.070399999999999</v>
          </cell>
          <cell r="T32">
            <v>12.982544000000003</v>
          </cell>
          <cell r="V32">
            <v>12.731907200000002</v>
          </cell>
          <cell r="X32">
            <v>12.675978752000002</v>
          </cell>
          <cell r="Z32">
            <v>36.638815424000001</v>
          </cell>
          <cell r="AB32">
            <v>42.6344713812992</v>
          </cell>
          <cell r="AD32">
            <v>50.941577105039364</v>
          </cell>
          <cell r="AH32" t="str">
            <v>mstag:deferredRevenueNonCurrent</v>
          </cell>
          <cell r="AI32">
            <v>6</v>
          </cell>
          <cell r="AJ32" t="str">
            <v>ISO4217:USD</v>
          </cell>
          <cell r="AK32" t="b">
            <v>0</v>
          </cell>
          <cell r="AL32" t="b">
            <v>0</v>
          </cell>
        </row>
        <row r="33">
          <cell r="A33" t="str">
            <v>Long-Term Debt</v>
          </cell>
          <cell r="B33">
            <v>0</v>
          </cell>
          <cell r="D33">
            <v>4</v>
          </cell>
          <cell r="F33">
            <v>56.344000000000001</v>
          </cell>
          <cell r="H33">
            <v>32.94</v>
          </cell>
          <cell r="J33">
            <v>32.189</v>
          </cell>
          <cell r="L33">
            <v>31.372</v>
          </cell>
          <cell r="N33">
            <v>30.556000000000001</v>
          </cell>
          <cell r="P33">
            <v>29.676000000000002</v>
          </cell>
          <cell r="R33">
            <v>28.712000000000003</v>
          </cell>
          <cell r="T33">
            <v>27.665000000000003</v>
          </cell>
          <cell r="V33">
            <v>26.618000000000002</v>
          </cell>
          <cell r="X33">
            <v>25.571000000000002</v>
          </cell>
          <cell r="Z33">
            <v>24.524000000000001</v>
          </cell>
          <cell r="AB33">
            <v>23.477</v>
          </cell>
          <cell r="AD33">
            <v>22.43</v>
          </cell>
          <cell r="AH33" t="str">
            <v>mstag:otherLongTermDebtCi</v>
          </cell>
          <cell r="AI33">
            <v>6</v>
          </cell>
          <cell r="AJ33" t="str">
            <v>ISO4217:USD</v>
          </cell>
          <cell r="AK33" t="b">
            <v>0</v>
          </cell>
          <cell r="AL33" t="b">
            <v>0</v>
          </cell>
        </row>
        <row r="34">
          <cell r="A34" t="str">
            <v>Other Long-Term Liabilities</v>
          </cell>
          <cell r="B34">
            <v>0.33900000000000002</v>
          </cell>
          <cell r="D34">
            <v>0.68400000000000005</v>
          </cell>
          <cell r="F34">
            <v>3.306</v>
          </cell>
          <cell r="H34">
            <v>0.64400000000000002</v>
          </cell>
          <cell r="J34">
            <v>0.72</v>
          </cell>
          <cell r="L34">
            <v>0.73899999999999999</v>
          </cell>
          <cell r="N34">
            <v>2.3429199999999999</v>
          </cell>
          <cell r="P34">
            <v>2.7639999999999998</v>
          </cell>
          <cell r="R34">
            <v>3.0186400000000004</v>
          </cell>
          <cell r="T34">
            <v>3.6153920000000008</v>
          </cell>
          <cell r="V34">
            <v>3.2732338609315867</v>
          </cell>
          <cell r="X34">
            <v>2.9458260480000007</v>
          </cell>
          <cell r="Z34">
            <v>3.4799062458997754</v>
          </cell>
          <cell r="AB34">
            <v>4.0863028376782848</v>
          </cell>
          <cell r="AD34">
            <v>4.8386726917712126</v>
          </cell>
          <cell r="AH34" t="str">
            <v>mstag:otherLiabilitiesOperatingNonCurrent</v>
          </cell>
          <cell r="AI34">
            <v>6</v>
          </cell>
          <cell r="AJ34" t="str">
            <v>ISO4217:USD</v>
          </cell>
          <cell r="AK34" t="b">
            <v>0</v>
          </cell>
          <cell r="AL34" t="b">
            <v>0</v>
          </cell>
        </row>
        <row r="35">
          <cell r="A35" t="str">
            <v>Total liabilities</v>
          </cell>
          <cell r="B35">
            <v>21.618000000000002</v>
          </cell>
          <cell r="D35">
            <v>31.87</v>
          </cell>
          <cell r="F35">
            <v>117.98299999999999</v>
          </cell>
          <cell r="H35">
            <v>90.385999999999996</v>
          </cell>
          <cell r="J35">
            <v>132.91200000000001</v>
          </cell>
          <cell r="L35">
            <v>104.765</v>
          </cell>
          <cell r="N35">
            <v>90.983631176470595</v>
          </cell>
          <cell r="P35">
            <v>70.560428571428574</v>
          </cell>
          <cell r="R35">
            <v>71.117837142857155</v>
          </cell>
          <cell r="T35">
            <v>73.587901037037057</v>
          </cell>
          <cell r="V35">
            <v>75.217477772316215</v>
          </cell>
          <cell r="X35">
            <v>76.637531178666677</v>
          </cell>
          <cell r="Z35">
            <v>121.62328230318266</v>
          </cell>
          <cell r="AB35">
            <v>157.4918187998008</v>
          </cell>
          <cell r="AD35">
            <v>196.05853853984701</v>
          </cell>
        </row>
        <row r="37">
          <cell r="A37" t="str">
            <v>Stockholders' equity:</v>
          </cell>
        </row>
        <row r="38">
          <cell r="A38" t="str">
            <v>Common Stock and APIC</v>
          </cell>
          <cell r="B38">
            <v>331.14400000000001</v>
          </cell>
          <cell r="D38">
            <v>330.75300000000004</v>
          </cell>
          <cell r="F38">
            <v>381.05799999999999</v>
          </cell>
          <cell r="H38">
            <v>382.72899999999998</v>
          </cell>
          <cell r="J38">
            <v>383.286</v>
          </cell>
          <cell r="L38">
            <v>437.25799999999998</v>
          </cell>
          <cell r="N38">
            <v>654.59450000000004</v>
          </cell>
          <cell r="P38">
            <v>663.31863375</v>
          </cell>
          <cell r="R38">
            <v>678.35947175000001</v>
          </cell>
          <cell r="T38">
            <v>805.39990774199998</v>
          </cell>
          <cell r="V38">
            <v>1012.8539446928</v>
          </cell>
          <cell r="X38">
            <v>1189.5966503546751</v>
          </cell>
          <cell r="Z38">
            <v>1339.3660541868035</v>
          </cell>
          <cell r="AB38">
            <v>1372.9317163020783</v>
          </cell>
          <cell r="AD38">
            <v>1411.5567679800988</v>
          </cell>
          <cell r="AH38" t="str">
            <v>mstag:totalShareCapital</v>
          </cell>
          <cell r="AI38">
            <v>6</v>
          </cell>
          <cell r="AJ38" t="str">
            <v>ISO4217:USD</v>
          </cell>
          <cell r="AK38" t="b">
            <v>0</v>
          </cell>
          <cell r="AL38" t="b">
            <v>0</v>
          </cell>
        </row>
        <row r="39">
          <cell r="A39" t="str">
            <v>(Accumulated Deficit) Retained Earnings</v>
          </cell>
          <cell r="B39">
            <v>-90.075000000000003</v>
          </cell>
          <cell r="D39">
            <v>-149.745</v>
          </cell>
          <cell r="F39">
            <v>-213.94300000000001</v>
          </cell>
          <cell r="H39">
            <v>-261.11500000000001</v>
          </cell>
          <cell r="J39">
            <v>-297.43</v>
          </cell>
          <cell r="L39">
            <v>-351.74099999999999</v>
          </cell>
          <cell r="N39">
            <v>-410.53499999999997</v>
          </cell>
          <cell r="P39">
            <v>-505.92097599473044</v>
          </cell>
          <cell r="R39">
            <v>-616.12572739854136</v>
          </cell>
          <cell r="T39">
            <v>-738.61982165426639</v>
          </cell>
          <cell r="V39">
            <v>-977.52039152113048</v>
          </cell>
          <cell r="X39">
            <v>-1153.607631305242</v>
          </cell>
          <cell r="Z39">
            <v>-1297.9619795711428</v>
          </cell>
          <cell r="AB39">
            <v>-1328.5812125200271</v>
          </cell>
          <cell r="AD39">
            <v>-1246.4247836935069</v>
          </cell>
          <cell r="AH39" t="str">
            <v>mstag:retainedEarnings</v>
          </cell>
          <cell r="AI39">
            <v>6</v>
          </cell>
          <cell r="AJ39" t="str">
            <v>ISO4217:USD</v>
          </cell>
          <cell r="AK39" t="b">
            <v>0</v>
          </cell>
          <cell r="AL39" t="b">
            <v>0</v>
          </cell>
        </row>
        <row r="40">
          <cell r="A40" t="str">
            <v>Deferred Compensation</v>
          </cell>
          <cell r="B40">
            <v>-22.26</v>
          </cell>
          <cell r="D40">
            <v>-11.106</v>
          </cell>
          <cell r="F40">
            <v>-0.89900000000000002</v>
          </cell>
          <cell r="H40">
            <v>-0.02</v>
          </cell>
          <cell r="J40">
            <v>-2E-3</v>
          </cell>
          <cell r="L40">
            <v>0</v>
          </cell>
          <cell r="N40">
            <v>0</v>
          </cell>
          <cell r="P40">
            <v>0</v>
          </cell>
          <cell r="R40">
            <v>0</v>
          </cell>
          <cell r="T40">
            <v>0</v>
          </cell>
          <cell r="V40">
            <v>0</v>
          </cell>
          <cell r="X40">
            <v>0</v>
          </cell>
          <cell r="Z40">
            <v>0</v>
          </cell>
          <cell r="AB40">
            <v>0</v>
          </cell>
          <cell r="AD40">
            <v>0</v>
          </cell>
          <cell r="AH40" t="str">
            <v>mstag:unearnedCompensationReserve</v>
          </cell>
          <cell r="AI40">
            <v>6</v>
          </cell>
          <cell r="AJ40" t="str">
            <v>ISO4217:USD</v>
          </cell>
          <cell r="AK40" t="b">
            <v>0</v>
          </cell>
          <cell r="AL40" t="b">
            <v>0</v>
          </cell>
        </row>
        <row r="41">
          <cell r="A41" t="str">
            <v>Accumulated Other Comprehensive Loss (Income)</v>
          </cell>
          <cell r="B41">
            <v>-0.437</v>
          </cell>
          <cell r="D41">
            <v>0</v>
          </cell>
          <cell r="F41">
            <v>0</v>
          </cell>
          <cell r="H41">
            <v>0</v>
          </cell>
          <cell r="J41">
            <v>-5.1999999999999998E-2</v>
          </cell>
          <cell r="L41">
            <v>-1.6E-2</v>
          </cell>
          <cell r="N41">
            <v>-1.6E-2</v>
          </cell>
          <cell r="P41">
            <v>-1.6E-2</v>
          </cell>
          <cell r="R41">
            <v>-1.6E-2</v>
          </cell>
          <cell r="T41">
            <v>-1.6E-2</v>
          </cell>
          <cell r="V41">
            <v>-1.6E-2</v>
          </cell>
          <cell r="X41">
            <v>-1.6E-2</v>
          </cell>
          <cell r="Z41">
            <v>-1.6E-2</v>
          </cell>
          <cell r="AB41">
            <v>-1.6E-2</v>
          </cell>
          <cell r="AD41">
            <v>-1.6E-2</v>
          </cell>
          <cell r="AH41" t="str">
            <v>mstag:otherAccumulatedOciAndReserves</v>
          </cell>
          <cell r="AI41">
            <v>6</v>
          </cell>
          <cell r="AJ41" t="str">
            <v>ISO4217:USD</v>
          </cell>
          <cell r="AK41" t="b">
            <v>0</v>
          </cell>
          <cell r="AL41" t="b">
            <v>0</v>
          </cell>
        </row>
        <row r="42">
          <cell r="A42" t="str">
            <v>Total stockholders' equity</v>
          </cell>
          <cell r="B42">
            <v>218.37200000000001</v>
          </cell>
          <cell r="D42">
            <v>169.90200000000004</v>
          </cell>
          <cell r="F42">
            <v>166.21599999999998</v>
          </cell>
          <cell r="H42">
            <v>121.59399999999998</v>
          </cell>
          <cell r="J42">
            <v>85.801999999999992</v>
          </cell>
          <cell r="L42">
            <v>85.500999999999991</v>
          </cell>
          <cell r="N42">
            <v>244.04350000000008</v>
          </cell>
          <cell r="P42">
            <v>157.38165775526957</v>
          </cell>
          <cell r="R42">
            <v>62.217744351458656</v>
          </cell>
          <cell r="T42">
            <v>66.764086087733588</v>
          </cell>
          <cell r="V42">
            <v>35.317553171669566</v>
          </cell>
          <cell r="X42">
            <v>35.973019049433184</v>
          </cell>
          <cell r="Z42">
            <v>41.388074615660649</v>
          </cell>
          <cell r="AB42">
            <v>44.334503782051193</v>
          </cell>
          <cell r="AD42">
            <v>165.1159842865919</v>
          </cell>
        </row>
        <row r="44">
          <cell r="A44" t="str">
            <v>Total Liabilities and Equity</v>
          </cell>
          <cell r="B44">
            <v>239.99</v>
          </cell>
          <cell r="D44">
            <v>201.77200000000005</v>
          </cell>
          <cell r="F44">
            <v>284.19899999999996</v>
          </cell>
          <cell r="H44">
            <v>211.97999999999996</v>
          </cell>
          <cell r="J44">
            <v>218.714</v>
          </cell>
          <cell r="L44">
            <v>190.26599999999999</v>
          </cell>
          <cell r="N44">
            <v>335.02713117647068</v>
          </cell>
          <cell r="P44">
            <v>227.94208632669813</v>
          </cell>
          <cell r="R44">
            <v>133.33558149431582</v>
          </cell>
          <cell r="T44">
            <v>140.35198712477063</v>
          </cell>
          <cell r="V44">
            <v>110.53503094398579</v>
          </cell>
          <cell r="X44">
            <v>112.61055022809987</v>
          </cell>
          <cell r="Z44">
            <v>163.01135691884332</v>
          </cell>
          <cell r="AB44">
            <v>201.826322581852</v>
          </cell>
          <cell r="AD44">
            <v>361.17452282643887</v>
          </cell>
        </row>
        <row r="46">
          <cell r="A46" t="str">
            <v>Common Stock and APIC</v>
          </cell>
          <cell r="D46">
            <v>-0.39099999999996271</v>
          </cell>
          <cell r="F46">
            <v>50.30499999999995</v>
          </cell>
          <cell r="H46">
            <v>1.6709999999999923</v>
          </cell>
          <cell r="J46">
            <v>0.55700000000001637</v>
          </cell>
          <cell r="L46">
            <v>53.97199999999998</v>
          </cell>
          <cell r="N46">
            <v>217.33650000000006</v>
          </cell>
          <cell r="P46">
            <v>8.7241337499999645</v>
          </cell>
          <cell r="R46">
            <v>15.040838000000008</v>
          </cell>
          <cell r="T46">
            <v>127.04043599199997</v>
          </cell>
          <cell r="V46">
            <v>207.45403695080006</v>
          </cell>
          <cell r="X46">
            <v>176.74270566187511</v>
          </cell>
          <cell r="Z46">
            <v>149.76940383212832</v>
          </cell>
          <cell r="AB46">
            <v>33.56566211527479</v>
          </cell>
          <cell r="AD46">
            <v>38.625051678020554</v>
          </cell>
        </row>
        <row r="47">
          <cell r="A47" t="str">
            <v>(Accumulated Deficit) Retained Earnings</v>
          </cell>
          <cell r="D47">
            <v>-59.67</v>
          </cell>
          <cell r="F47">
            <v>-64.198000000000008</v>
          </cell>
          <cell r="H47">
            <v>-47.171999999999997</v>
          </cell>
          <cell r="J47">
            <v>-36.314999999999998</v>
          </cell>
          <cell r="L47">
            <v>-54.310999999999979</v>
          </cell>
          <cell r="N47">
            <v>-58.793999999999983</v>
          </cell>
          <cell r="P47">
            <v>-95.385975994730472</v>
          </cell>
          <cell r="R47">
            <v>-110.20475140381092</v>
          </cell>
          <cell r="T47">
            <v>-122.49409425572503</v>
          </cell>
          <cell r="V47">
            <v>-238.90056986686409</v>
          </cell>
          <cell r="X47">
            <v>-176.08723978411149</v>
          </cell>
          <cell r="Z47">
            <v>-144.35434826590085</v>
          </cell>
          <cell r="AB47">
            <v>-30.619232948884246</v>
          </cell>
          <cell r="AD47">
            <v>82.156428826520141</v>
          </cell>
        </row>
        <row r="48">
          <cell r="A48" t="str">
            <v>Accumulated Other Comprehensive Income</v>
          </cell>
          <cell r="D48">
            <v>0.437</v>
          </cell>
          <cell r="F48">
            <v>0</v>
          </cell>
          <cell r="H48">
            <v>0</v>
          </cell>
          <cell r="J48">
            <v>-5.1999999999999998E-2</v>
          </cell>
          <cell r="L48">
            <v>3.5999999999999997E-2</v>
          </cell>
          <cell r="N48">
            <v>0</v>
          </cell>
          <cell r="P48">
            <v>0</v>
          </cell>
          <cell r="R48">
            <v>0</v>
          </cell>
          <cell r="T48">
            <v>0</v>
          </cell>
          <cell r="V48">
            <v>0</v>
          </cell>
          <cell r="X48">
            <v>0</v>
          </cell>
          <cell r="Z48">
            <v>0</v>
          </cell>
          <cell r="AB48">
            <v>0</v>
          </cell>
          <cell r="AD48">
            <v>0</v>
          </cell>
        </row>
        <row r="50">
          <cell r="B50">
            <v>0</v>
          </cell>
          <cell r="D50">
            <v>0</v>
          </cell>
          <cell r="F50">
            <v>0</v>
          </cell>
          <cell r="H50">
            <v>0</v>
          </cell>
          <cell r="J50">
            <v>0</v>
          </cell>
          <cell r="L50">
            <v>0</v>
          </cell>
          <cell r="N50">
            <v>0</v>
          </cell>
          <cell r="P50">
            <v>0</v>
          </cell>
          <cell r="R50">
            <v>0</v>
          </cell>
          <cell r="T50">
            <v>0</v>
          </cell>
          <cell r="V50">
            <v>-2.4158453015843406E-13</v>
          </cell>
          <cell r="X50">
            <v>-1.4210854715202004E-13</v>
          </cell>
          <cell r="Z50">
            <v>0</v>
          </cell>
          <cell r="AB50">
            <v>0</v>
          </cell>
          <cell r="AD50">
            <v>0</v>
          </cell>
        </row>
        <row r="51">
          <cell r="B51">
            <v>0</v>
          </cell>
          <cell r="D51">
            <v>0</v>
          </cell>
          <cell r="F51">
            <v>0</v>
          </cell>
          <cell r="H51">
            <v>0</v>
          </cell>
          <cell r="J51">
            <v>0</v>
          </cell>
          <cell r="L51">
            <v>0</v>
          </cell>
          <cell r="N51">
            <v>0</v>
          </cell>
          <cell r="P51">
            <v>0</v>
          </cell>
          <cell r="R51">
            <v>0</v>
          </cell>
          <cell r="T51">
            <v>0</v>
          </cell>
          <cell r="V51">
            <v>-1.2079226507921703E-13</v>
          </cell>
          <cell r="X51">
            <v>-7.1054273576010019E-14</v>
          </cell>
          <cell r="Z51">
            <v>0</v>
          </cell>
          <cell r="AB51">
            <v>0</v>
          </cell>
          <cell r="AD51">
            <v>0</v>
          </cell>
        </row>
        <row r="52">
          <cell r="A52" t="str">
            <v>CALCULATIONS</v>
          </cell>
        </row>
        <row r="53">
          <cell r="D53" t="str">
            <v>2002-FY</v>
          </cell>
          <cell r="F53" t="str">
            <v>2003-FY</v>
          </cell>
          <cell r="H53" t="str">
            <v>2004-FY</v>
          </cell>
          <cell r="J53" t="str">
            <v>2005-FY</v>
          </cell>
          <cell r="L53" t="str">
            <v>2006-FY</v>
          </cell>
          <cell r="N53" t="str">
            <v>2007-FY</v>
          </cell>
          <cell r="P53" t="str">
            <v>2008-FY</v>
          </cell>
          <cell r="R53" t="str">
            <v>2009-FY</v>
          </cell>
          <cell r="T53" t="str">
            <v>2010-FY</v>
          </cell>
          <cell r="V53" t="str">
            <v>2011-FY</v>
          </cell>
          <cell r="X53" t="str">
            <v>2012-FY</v>
          </cell>
          <cell r="Z53" t="str">
            <v>2013-FY</v>
          </cell>
          <cell r="AB53" t="str">
            <v>2014-FY</v>
          </cell>
          <cell r="AD53" t="str">
            <v>2015-FY</v>
          </cell>
        </row>
        <row r="54">
          <cell r="A54" t="str">
            <v>Revenues</v>
          </cell>
          <cell r="B54">
            <v>30.576999999999998</v>
          </cell>
          <cell r="D54">
            <v>35.200000000000003</v>
          </cell>
          <cell r="F54">
            <v>42.838000000000001</v>
          </cell>
          <cell r="H54">
            <v>61.740000000000009</v>
          </cell>
          <cell r="J54">
            <v>75.679999999999993</v>
          </cell>
          <cell r="L54">
            <v>72.798000000000002</v>
          </cell>
          <cell r="N54">
            <v>50.117999999999995</v>
          </cell>
          <cell r="P54">
            <v>30</v>
          </cell>
          <cell r="R54">
            <v>31.12</v>
          </cell>
          <cell r="T54">
            <v>32.867200000000004</v>
          </cell>
          <cell r="V54">
            <v>34.410560000000004</v>
          </cell>
          <cell r="X54">
            <v>35.706982400000008</v>
          </cell>
          <cell r="Z54">
            <v>146.555261696</v>
          </cell>
          <cell r="AB54">
            <v>327.95747216384001</v>
          </cell>
          <cell r="AD54">
            <v>509.41577105039363</v>
          </cell>
        </row>
        <row r="55">
          <cell r="A55" t="str">
            <v>Operating expenses</v>
          </cell>
          <cell r="B55">
            <v>74.215999999999994</v>
          </cell>
          <cell r="D55">
            <v>98.092999999999989</v>
          </cell>
          <cell r="F55">
            <v>105.431</v>
          </cell>
          <cell r="H55">
            <v>109.194</v>
          </cell>
          <cell r="J55">
            <v>111.79900000000001</v>
          </cell>
          <cell r="L55">
            <v>120.999</v>
          </cell>
          <cell r="N55">
            <v>117.146</v>
          </cell>
          <cell r="P55">
            <v>138.19999999999999</v>
          </cell>
          <cell r="R55">
            <v>150.93200000000002</v>
          </cell>
          <cell r="T55">
            <v>164.33600000000004</v>
          </cell>
          <cell r="V55">
            <v>180.13928160000003</v>
          </cell>
          <cell r="X55">
            <v>196.38840320000006</v>
          </cell>
          <cell r="Z55">
            <v>274.00836581887995</v>
          </cell>
          <cell r="AB55">
            <v>340.52523647319043</v>
          </cell>
          <cell r="AD55">
            <v>403.22272431426768</v>
          </cell>
        </row>
        <row r="56">
          <cell r="A56" t="str">
            <v>COGS</v>
          </cell>
          <cell r="B56">
            <v>0</v>
          </cell>
          <cell r="D56">
            <v>0</v>
          </cell>
          <cell r="F56">
            <v>0</v>
          </cell>
          <cell r="H56">
            <v>0</v>
          </cell>
          <cell r="J56">
            <v>0</v>
          </cell>
          <cell r="L56">
            <v>0</v>
          </cell>
          <cell r="N56">
            <v>0</v>
          </cell>
          <cell r="P56">
            <v>0</v>
          </cell>
          <cell r="R56">
            <v>0</v>
          </cell>
          <cell r="T56">
            <v>0</v>
          </cell>
          <cell r="V56">
            <v>0</v>
          </cell>
          <cell r="X56">
            <v>0</v>
          </cell>
          <cell r="Z56">
            <v>13.139999999999999</v>
          </cell>
          <cell r="AB56">
            <v>33.885000000000005</v>
          </cell>
          <cell r="AD56">
            <v>56.820000000000007</v>
          </cell>
        </row>
        <row r="57">
          <cell r="A57" t="str">
            <v>Property Plant &amp; Equipment, gross</v>
          </cell>
        </row>
        <row r="58">
          <cell r="A58" t="str">
            <v>Beginning balance</v>
          </cell>
          <cell r="B58">
            <v>20.184999999999999</v>
          </cell>
          <cell r="D58">
            <v>37.454000000000001</v>
          </cell>
          <cell r="F58">
            <v>57.13</v>
          </cell>
          <cell r="H58">
            <v>115.617</v>
          </cell>
          <cell r="J58">
            <v>126.465</v>
          </cell>
          <cell r="L58">
            <v>133.191</v>
          </cell>
          <cell r="N58">
            <v>135.09700000000001</v>
          </cell>
          <cell r="P58">
            <v>135.97124505928855</v>
          </cell>
          <cell r="R58">
            <v>139.08044065276093</v>
          </cell>
          <cell r="T58">
            <v>142.32518876510983</v>
          </cell>
          <cell r="V58">
            <v>145.79729580703943</v>
          </cell>
          <cell r="X58">
            <v>149.46423743271231</v>
          </cell>
          <cell r="Z58">
            <v>153.28741068585376</v>
          </cell>
          <cell r="AB58">
            <v>165.15613515723587</v>
          </cell>
          <cell r="AD58">
            <v>176.50934063741531</v>
          </cell>
        </row>
        <row r="59">
          <cell r="A59" t="str">
            <v>Capital expenditures</v>
          </cell>
          <cell r="B59">
            <v>13.471</v>
          </cell>
          <cell r="D59">
            <v>19.765999999999998</v>
          </cell>
          <cell r="F59">
            <v>4.8239999999999998</v>
          </cell>
          <cell r="H59">
            <v>11.811</v>
          </cell>
          <cell r="J59">
            <v>11.281000000000001</v>
          </cell>
          <cell r="L59">
            <v>3.5790000000000002</v>
          </cell>
          <cell r="N59">
            <v>2.5059</v>
          </cell>
          <cell r="P59">
            <v>4.5</v>
          </cell>
          <cell r="R59">
            <v>4.6680000000000001</v>
          </cell>
          <cell r="T59">
            <v>4.9300800000000002</v>
          </cell>
          <cell r="V59">
            <v>5.1615840000000004</v>
          </cell>
          <cell r="X59">
            <v>5.3560473600000007</v>
          </cell>
          <cell r="Z59">
            <v>13.18997355264</v>
          </cell>
          <cell r="AB59">
            <v>13.118298886553601</v>
          </cell>
          <cell r="AD59">
            <v>15.282473131511809</v>
          </cell>
        </row>
        <row r="60">
          <cell r="A60" t="str">
            <v>% revenue</v>
          </cell>
          <cell r="B60">
            <v>0.44055989796252087</v>
          </cell>
          <cell r="D60">
            <v>0.56153409090909079</v>
          </cell>
          <cell r="F60">
            <v>0.11261029926700593</v>
          </cell>
          <cell r="H60">
            <v>0.19130223517978617</v>
          </cell>
          <cell r="J60">
            <v>0.14906183932346725</v>
          </cell>
          <cell r="L60">
            <v>0.15</v>
          </cell>
          <cell r="N60">
            <v>0.05</v>
          </cell>
          <cell r="P60">
            <v>0.15</v>
          </cell>
          <cell r="R60">
            <v>0.15</v>
          </cell>
          <cell r="T60">
            <v>0.15</v>
          </cell>
          <cell r="V60">
            <v>0.15</v>
          </cell>
          <cell r="X60">
            <v>0.15</v>
          </cell>
          <cell r="Z60">
            <v>0.09</v>
          </cell>
          <cell r="AB60">
            <v>0.04</v>
          </cell>
          <cell r="AD60">
            <v>0.03</v>
          </cell>
        </row>
        <row r="61">
          <cell r="A61" t="str">
            <v>Retirements</v>
          </cell>
          <cell r="H61">
            <v>0.96299999999999997</v>
          </cell>
          <cell r="J61">
            <v>4.5550000000000068</v>
          </cell>
          <cell r="L61">
            <v>1.6730000000000018</v>
          </cell>
          <cell r="N61">
            <v>1.6316549407114627</v>
          </cell>
          <cell r="P61">
            <v>1.3908044065276093</v>
          </cell>
          <cell r="R61">
            <v>1.4232518876510982</v>
          </cell>
          <cell r="T61">
            <v>1.4579729580703944</v>
          </cell>
          <cell r="V61">
            <v>1.4946423743271231</v>
          </cell>
          <cell r="X61">
            <v>1.5328741068585376</v>
          </cell>
          <cell r="Z61">
            <v>1.321249081257887</v>
          </cell>
          <cell r="AB61">
            <v>1.765093406374153</v>
          </cell>
          <cell r="AD61">
            <v>1.8989288491972982</v>
          </cell>
        </row>
        <row r="62">
          <cell r="A62" t="str">
            <v>Retirement %</v>
          </cell>
          <cell r="H62">
            <v>7.6147550705728852E-3</v>
          </cell>
          <cell r="J62">
            <v>3.4199007440442721E-2</v>
          </cell>
          <cell r="L62">
            <v>1.2383694678638325E-2</v>
          </cell>
          <cell r="N62">
            <v>1.2E-2</v>
          </cell>
          <cell r="P62">
            <v>0.01</v>
          </cell>
          <cell r="R62">
            <v>0.01</v>
          </cell>
          <cell r="T62">
            <v>0.01</v>
          </cell>
          <cell r="V62">
            <v>0.01</v>
          </cell>
          <cell r="X62">
            <v>0.01</v>
          </cell>
          <cell r="Z62">
            <v>8.0000000000000002E-3</v>
          </cell>
          <cell r="AB62">
            <v>0.01</v>
          </cell>
          <cell r="AD62">
            <v>0.01</v>
          </cell>
        </row>
        <row r="63">
          <cell r="A63" t="str">
            <v>Ending Balance</v>
          </cell>
          <cell r="B63">
            <v>37.454000000000001</v>
          </cell>
          <cell r="D63">
            <v>57.13</v>
          </cell>
          <cell r="F63">
            <v>115.617</v>
          </cell>
          <cell r="H63">
            <v>126.465</v>
          </cell>
          <cell r="J63">
            <v>133.191</v>
          </cell>
          <cell r="L63">
            <v>135.09700000000001</v>
          </cell>
          <cell r="N63">
            <v>135.97124505928855</v>
          </cell>
          <cell r="P63">
            <v>139.08044065276093</v>
          </cell>
          <cell r="R63">
            <v>142.32518876510983</v>
          </cell>
          <cell r="T63">
            <v>145.79729580703943</v>
          </cell>
          <cell r="V63">
            <v>149.46423743271231</v>
          </cell>
          <cell r="X63">
            <v>153.28741068585376</v>
          </cell>
          <cell r="Z63">
            <v>165.15613515723587</v>
          </cell>
          <cell r="AB63">
            <v>176.50934063741531</v>
          </cell>
          <cell r="AD63">
            <v>189.89288491972982</v>
          </cell>
        </row>
        <row r="64">
          <cell r="A64" t="str">
            <v>Depreciation from</v>
          </cell>
        </row>
        <row r="65">
          <cell r="A65" t="str">
            <v>Existing PP&amp;E</v>
          </cell>
          <cell r="B65">
            <v>5.22</v>
          </cell>
          <cell r="D65">
            <v>9.1110000000000007</v>
          </cell>
          <cell r="F65">
            <v>10.215</v>
          </cell>
          <cell r="H65">
            <v>9.9510000000000005</v>
          </cell>
          <cell r="J65">
            <v>6.0339999999999989</v>
          </cell>
          <cell r="L65">
            <v>6.7548500000000002</v>
          </cell>
          <cell r="N65">
            <v>6.7985622529644276</v>
          </cell>
          <cell r="P65">
            <v>6.9540220326380462</v>
          </cell>
          <cell r="R65">
            <v>7.1162594382554918</v>
          </cell>
          <cell r="T65">
            <v>7.289864790351972</v>
          </cell>
          <cell r="V65">
            <v>7.4732118716356153</v>
          </cell>
          <cell r="X65">
            <v>7.6643705342926882</v>
          </cell>
          <cell r="Z65">
            <v>8.2578067578617933</v>
          </cell>
          <cell r="AB65">
            <v>8.8254670318707653</v>
          </cell>
          <cell r="AD65">
            <v>9.4946442459864908</v>
          </cell>
          <cell r="AF65">
            <v>20</v>
          </cell>
        </row>
        <row r="66">
          <cell r="A66" t="str">
            <v>2004 capital expenditures</v>
          </cell>
        </row>
        <row r="67">
          <cell r="A67" t="str">
            <v>2005 capital expenditures</v>
          </cell>
        </row>
        <row r="68">
          <cell r="A68" t="str">
            <v>2006 capital expenditures</v>
          </cell>
        </row>
        <row r="69">
          <cell r="A69" t="str">
            <v>2007 capital expenditures</v>
          </cell>
        </row>
        <row r="70">
          <cell r="A70" t="str">
            <v>2008 capital expenditures</v>
          </cell>
        </row>
        <row r="71">
          <cell r="A71" t="str">
            <v>2009 capital expenditures</v>
          </cell>
        </row>
        <row r="72">
          <cell r="A72" t="str">
            <v>2010 capital expendiutres</v>
          </cell>
        </row>
        <row r="73">
          <cell r="A73" t="str">
            <v>Total depreciation</v>
          </cell>
          <cell r="B73">
            <v>5.22</v>
          </cell>
          <cell r="D73">
            <v>9.1110000000000007</v>
          </cell>
          <cell r="F73">
            <v>10.215</v>
          </cell>
          <cell r="H73">
            <v>9.9510000000000005</v>
          </cell>
          <cell r="J73">
            <v>6.0339999999999989</v>
          </cell>
          <cell r="L73">
            <v>6.7548500000000002</v>
          </cell>
          <cell r="N73">
            <v>6.7985622529644276</v>
          </cell>
          <cell r="P73">
            <v>6.9540220326380462</v>
          </cell>
          <cell r="R73">
            <v>7.1162594382554918</v>
          </cell>
          <cell r="T73">
            <v>7.289864790351972</v>
          </cell>
          <cell r="V73">
            <v>7.4732118716356153</v>
          </cell>
          <cell r="X73">
            <v>7.6643705342926882</v>
          </cell>
          <cell r="Z73">
            <v>8.2578067578617933</v>
          </cell>
          <cell r="AB73">
            <v>8.8254670318707653</v>
          </cell>
          <cell r="AD73">
            <v>9.4946442459864908</v>
          </cell>
        </row>
        <row r="74">
          <cell r="A74" t="str">
            <v>Accumulated Depreciation</v>
          </cell>
        </row>
        <row r="75">
          <cell r="A75" t="str">
            <v>Beginning balance</v>
          </cell>
          <cell r="B75">
            <v>-5.7080000000000002</v>
          </cell>
          <cell r="D75">
            <v>-10.747</v>
          </cell>
          <cell r="F75">
            <v>-19.768000000000001</v>
          </cell>
          <cell r="H75">
            <v>-31.940999999999999</v>
          </cell>
          <cell r="J75">
            <v>-41.891999999999996</v>
          </cell>
          <cell r="L75">
            <v>-47.925999999999995</v>
          </cell>
          <cell r="N75">
            <v>-56.905000000000001</v>
          </cell>
          <cell r="P75">
            <v>-63.703562252964431</v>
          </cell>
          <cell r="R75">
            <v>-70.657584285602482</v>
          </cell>
          <cell r="T75">
            <v>-77.773843723857979</v>
          </cell>
          <cell r="V75">
            <v>-85.063708514209949</v>
          </cell>
          <cell r="X75">
            <v>-92.536920385845562</v>
          </cell>
          <cell r="Z75">
            <v>-100.20129092013825</v>
          </cell>
          <cell r="AB75">
            <v>-108.45909767800003</v>
          </cell>
          <cell r="AD75">
            <v>-117.28456470987081</v>
          </cell>
        </row>
        <row r="76">
          <cell r="A76" t="str">
            <v>Depreciation expense</v>
          </cell>
          <cell r="B76">
            <v>-5.22</v>
          </cell>
          <cell r="D76">
            <v>-9.1110000000000007</v>
          </cell>
          <cell r="F76">
            <v>-10.215</v>
          </cell>
          <cell r="H76">
            <v>-9.9510000000000005</v>
          </cell>
          <cell r="J76">
            <v>-6.0339999999999989</v>
          </cell>
          <cell r="L76">
            <v>-10.561</v>
          </cell>
          <cell r="N76">
            <v>-6.7985622529644276</v>
          </cell>
          <cell r="P76">
            <v>-6.9540220326380462</v>
          </cell>
          <cell r="R76">
            <v>-7.1162594382554918</v>
          </cell>
          <cell r="T76">
            <v>-7.289864790351972</v>
          </cell>
          <cell r="V76">
            <v>-7.4732118716356153</v>
          </cell>
          <cell r="X76">
            <v>-7.6643705342926882</v>
          </cell>
          <cell r="Z76">
            <v>-8.2578067578617933</v>
          </cell>
          <cell r="AB76">
            <v>-8.8254670318707653</v>
          </cell>
          <cell r="AD76">
            <v>-9.4946442459864908</v>
          </cell>
        </row>
        <row r="77">
          <cell r="A77" t="str">
            <v>Ending Balance</v>
          </cell>
          <cell r="B77">
            <v>-10.747</v>
          </cell>
          <cell r="D77">
            <v>-19.768000000000001</v>
          </cell>
          <cell r="F77">
            <v>-31.940999999999999</v>
          </cell>
          <cell r="H77">
            <v>-41.891999999999996</v>
          </cell>
          <cell r="J77">
            <v>-47.925999999999995</v>
          </cell>
          <cell r="L77">
            <v>-56.905000000000001</v>
          </cell>
          <cell r="N77">
            <v>-63.703562252964431</v>
          </cell>
          <cell r="P77">
            <v>-70.657584285602482</v>
          </cell>
          <cell r="R77">
            <v>-77.773843723857979</v>
          </cell>
          <cell r="T77">
            <v>-85.063708514209949</v>
          </cell>
          <cell r="V77">
            <v>-92.536920385845562</v>
          </cell>
          <cell r="X77">
            <v>-100.20129092013825</v>
          </cell>
          <cell r="Z77">
            <v>-108.45909767800003</v>
          </cell>
          <cell r="AB77">
            <v>-117.28456470987081</v>
          </cell>
          <cell r="AD77">
            <v>-126.7792089558573</v>
          </cell>
        </row>
        <row r="78">
          <cell r="A78" t="str">
            <v>Property, Plant &amp; Equipment, net</v>
          </cell>
          <cell r="B78">
            <v>26.707000000000001</v>
          </cell>
          <cell r="D78">
            <v>37.362000000000002</v>
          </cell>
          <cell r="F78">
            <v>83.676000000000002</v>
          </cell>
          <cell r="H78">
            <v>84.573000000000008</v>
          </cell>
          <cell r="J78">
            <v>85.265000000000015</v>
          </cell>
          <cell r="L78">
            <v>78.192000000000007</v>
          </cell>
          <cell r="N78">
            <v>72.267682806324117</v>
          </cell>
          <cell r="P78">
            <v>68.422856367158445</v>
          </cell>
          <cell r="R78">
            <v>64.551345041251849</v>
          </cell>
          <cell r="T78">
            <v>60.733587292829483</v>
          </cell>
          <cell r="V78">
            <v>56.927317046866747</v>
          </cell>
          <cell r="X78">
            <v>53.086119765715509</v>
          </cell>
          <cell r="Z78">
            <v>56.697037479235831</v>
          </cell>
          <cell r="AB78">
            <v>59.224775927544499</v>
          </cell>
          <cell r="AD78">
            <v>63.113675963872524</v>
          </cell>
        </row>
        <row r="80">
          <cell r="A80" t="str">
            <v>Gross Intangibles</v>
          </cell>
        </row>
        <row r="81">
          <cell r="A81" t="str">
            <v>Begininng balance</v>
          </cell>
          <cell r="B81">
            <v>0</v>
          </cell>
          <cell r="D81">
            <v>6</v>
          </cell>
          <cell r="F81">
            <v>6</v>
          </cell>
          <cell r="H81">
            <v>6</v>
          </cell>
          <cell r="J81">
            <v>6</v>
          </cell>
          <cell r="L81">
            <v>6</v>
          </cell>
          <cell r="N81">
            <v>6</v>
          </cell>
          <cell r="P81">
            <v>6</v>
          </cell>
          <cell r="R81">
            <v>6</v>
          </cell>
          <cell r="T81">
            <v>6</v>
          </cell>
          <cell r="V81">
            <v>6</v>
          </cell>
          <cell r="X81">
            <v>6</v>
          </cell>
          <cell r="Z81">
            <v>6</v>
          </cell>
          <cell r="AB81">
            <v>6</v>
          </cell>
          <cell r="AD81">
            <v>6</v>
          </cell>
        </row>
        <row r="82">
          <cell r="A82" t="str">
            <v>Additions to intangibles</v>
          </cell>
          <cell r="B82">
            <v>6</v>
          </cell>
          <cell r="D82">
            <v>0</v>
          </cell>
          <cell r="F82">
            <v>0</v>
          </cell>
          <cell r="H82">
            <v>0</v>
          </cell>
          <cell r="J82">
            <v>0</v>
          </cell>
          <cell r="L82">
            <v>0</v>
          </cell>
          <cell r="N82">
            <v>0</v>
          </cell>
          <cell r="P82">
            <v>0</v>
          </cell>
          <cell r="R82">
            <v>0</v>
          </cell>
          <cell r="T82">
            <v>0</v>
          </cell>
          <cell r="V82">
            <v>0</v>
          </cell>
          <cell r="X82">
            <v>0</v>
          </cell>
          <cell r="Z82">
            <v>0</v>
          </cell>
          <cell r="AB82">
            <v>0</v>
          </cell>
          <cell r="AD82">
            <v>0</v>
          </cell>
        </row>
        <row r="83">
          <cell r="A83" t="str">
            <v>% of revenue</v>
          </cell>
          <cell r="B83">
            <v>0.1962259214442228</v>
          </cell>
          <cell r="D83">
            <v>0</v>
          </cell>
          <cell r="F83">
            <v>0</v>
          </cell>
          <cell r="H83">
            <v>0</v>
          </cell>
          <cell r="J83">
            <v>0</v>
          </cell>
          <cell r="L83">
            <v>0</v>
          </cell>
          <cell r="N83">
            <v>0</v>
          </cell>
          <cell r="P83">
            <v>0</v>
          </cell>
          <cell r="R83">
            <v>0</v>
          </cell>
          <cell r="T83">
            <v>0</v>
          </cell>
          <cell r="V83">
            <v>0</v>
          </cell>
          <cell r="X83">
            <v>0</v>
          </cell>
          <cell r="Z83">
            <v>0</v>
          </cell>
          <cell r="AB83">
            <v>0</v>
          </cell>
          <cell r="AD83">
            <v>0</v>
          </cell>
        </row>
        <row r="84">
          <cell r="A84" t="str">
            <v>Other</v>
          </cell>
          <cell r="B84">
            <v>0</v>
          </cell>
          <cell r="D84">
            <v>0</v>
          </cell>
          <cell r="F84">
            <v>0</v>
          </cell>
          <cell r="H84">
            <v>0</v>
          </cell>
          <cell r="J84">
            <v>0</v>
          </cell>
          <cell r="L84">
            <v>0</v>
          </cell>
          <cell r="N84">
            <v>0</v>
          </cell>
          <cell r="P84">
            <v>0</v>
          </cell>
          <cell r="R84">
            <v>0</v>
          </cell>
          <cell r="T84">
            <v>0</v>
          </cell>
          <cell r="V84">
            <v>0</v>
          </cell>
          <cell r="X84">
            <v>0</v>
          </cell>
          <cell r="Z84">
            <v>0</v>
          </cell>
          <cell r="AB84">
            <v>0</v>
          </cell>
          <cell r="AD84">
            <v>0</v>
          </cell>
        </row>
        <row r="85">
          <cell r="A85" t="str">
            <v>Ending Balance</v>
          </cell>
          <cell r="B85">
            <v>6</v>
          </cell>
          <cell r="D85">
            <v>6</v>
          </cell>
          <cell r="F85">
            <v>6</v>
          </cell>
          <cell r="H85">
            <v>6</v>
          </cell>
          <cell r="J85">
            <v>6</v>
          </cell>
          <cell r="L85">
            <v>6</v>
          </cell>
          <cell r="N85">
            <v>6</v>
          </cell>
          <cell r="P85">
            <v>6</v>
          </cell>
          <cell r="R85">
            <v>6</v>
          </cell>
          <cell r="T85">
            <v>6</v>
          </cell>
          <cell r="V85">
            <v>6</v>
          </cell>
          <cell r="X85">
            <v>6</v>
          </cell>
          <cell r="Z85">
            <v>6</v>
          </cell>
          <cell r="AB85">
            <v>6</v>
          </cell>
          <cell r="AD85">
            <v>6</v>
          </cell>
          <cell r="AH85" t="str">
            <v>mstag:otherIndefiniteLifeIntangibleAssets</v>
          </cell>
          <cell r="AI85">
            <v>6</v>
          </cell>
          <cell r="AJ85" t="str">
            <v>ISO4217:USD</v>
          </cell>
          <cell r="AK85" t="b">
            <v>0</v>
          </cell>
          <cell r="AL85" t="b">
            <v>0</v>
          </cell>
        </row>
        <row r="86">
          <cell r="A86" t="str">
            <v>Amortization from</v>
          </cell>
        </row>
        <row r="87">
          <cell r="A87" t="str">
            <v>Intangibles</v>
          </cell>
          <cell r="B87">
            <v>0.56000000000000005</v>
          </cell>
          <cell r="D87">
            <v>1.2</v>
          </cell>
          <cell r="F87">
            <v>1.2</v>
          </cell>
          <cell r="H87">
            <v>1.2</v>
          </cell>
          <cell r="J87">
            <v>1.179</v>
          </cell>
          <cell r="L87">
            <v>0.64</v>
          </cell>
          <cell r="N87">
            <v>0</v>
          </cell>
          <cell r="P87">
            <v>0</v>
          </cell>
          <cell r="R87">
            <v>0</v>
          </cell>
          <cell r="T87">
            <v>0</v>
          </cell>
          <cell r="V87">
            <v>0</v>
          </cell>
          <cell r="X87">
            <v>0</v>
          </cell>
          <cell r="Z87">
            <v>0</v>
          </cell>
          <cell r="AB87">
            <v>0</v>
          </cell>
          <cell r="AD87">
            <v>0</v>
          </cell>
        </row>
        <row r="88">
          <cell r="A88" t="str">
            <v>% of Gross Intangibles</v>
          </cell>
          <cell r="B88">
            <v>9.3333333333333338E-2</v>
          </cell>
          <cell r="D88">
            <v>0.19999999999999998</v>
          </cell>
          <cell r="F88">
            <v>0.19999999999999998</v>
          </cell>
          <cell r="H88">
            <v>0.19999999999999998</v>
          </cell>
          <cell r="J88">
            <v>0.19650000000000001</v>
          </cell>
          <cell r="L88">
            <v>0.1</v>
          </cell>
          <cell r="N88">
            <v>0</v>
          </cell>
          <cell r="P88">
            <v>0</v>
          </cell>
          <cell r="R88">
            <v>0</v>
          </cell>
          <cell r="T88">
            <v>0</v>
          </cell>
          <cell r="V88">
            <v>0</v>
          </cell>
          <cell r="X88">
            <v>0</v>
          </cell>
          <cell r="Z88">
            <v>0</v>
          </cell>
          <cell r="AB88">
            <v>0</v>
          </cell>
          <cell r="AD88">
            <v>0</v>
          </cell>
        </row>
        <row r="89">
          <cell r="A89" t="str">
            <v>Amortization Expense</v>
          </cell>
          <cell r="B89">
            <v>0.56000000000000005</v>
          </cell>
          <cell r="D89">
            <v>1.2</v>
          </cell>
          <cell r="F89">
            <v>1.2</v>
          </cell>
          <cell r="H89">
            <v>1.2</v>
          </cell>
          <cell r="J89">
            <v>1.179</v>
          </cell>
          <cell r="L89">
            <v>0.64</v>
          </cell>
          <cell r="N89">
            <v>0</v>
          </cell>
          <cell r="P89">
            <v>0</v>
          </cell>
          <cell r="R89">
            <v>0</v>
          </cell>
          <cell r="T89">
            <v>0</v>
          </cell>
          <cell r="V89">
            <v>0</v>
          </cell>
          <cell r="X89">
            <v>0</v>
          </cell>
          <cell r="Z89">
            <v>0</v>
          </cell>
          <cell r="AB89">
            <v>0</v>
          </cell>
          <cell r="AD89">
            <v>0</v>
          </cell>
        </row>
        <row r="90">
          <cell r="A90" t="str">
            <v>Accumulated Amortization</v>
          </cell>
        </row>
        <row r="91">
          <cell r="A91" t="str">
            <v>Begininng balance</v>
          </cell>
          <cell r="B91">
            <v>0</v>
          </cell>
          <cell r="D91">
            <v>0.56000000000000005</v>
          </cell>
          <cell r="F91">
            <v>1.76</v>
          </cell>
          <cell r="H91">
            <v>2.96</v>
          </cell>
          <cell r="J91">
            <v>4.16</v>
          </cell>
          <cell r="L91">
            <v>5.3390000000000004</v>
          </cell>
          <cell r="N91">
            <v>5.9790000000000001</v>
          </cell>
          <cell r="P91">
            <v>5.9790000000000001</v>
          </cell>
          <cell r="R91">
            <v>5.9790000000000001</v>
          </cell>
          <cell r="T91">
            <v>5.9790000000000001</v>
          </cell>
          <cell r="V91">
            <v>5.9790000000000001</v>
          </cell>
          <cell r="X91">
            <v>5.9790000000000001</v>
          </cell>
          <cell r="Z91">
            <v>5.9790000000000001</v>
          </cell>
          <cell r="AB91">
            <v>5.9790000000000001</v>
          </cell>
          <cell r="AD91">
            <v>5.9790000000000001</v>
          </cell>
        </row>
        <row r="92">
          <cell r="A92" t="str">
            <v>Amortization Expense</v>
          </cell>
          <cell r="B92">
            <v>0.56000000000000005</v>
          </cell>
          <cell r="D92">
            <v>1.2</v>
          </cell>
          <cell r="F92">
            <v>1.2</v>
          </cell>
          <cell r="H92">
            <v>1.2</v>
          </cell>
          <cell r="J92">
            <v>1.179</v>
          </cell>
          <cell r="L92">
            <v>0.64</v>
          </cell>
          <cell r="N92">
            <v>0</v>
          </cell>
          <cell r="P92">
            <v>0</v>
          </cell>
          <cell r="R92">
            <v>0</v>
          </cell>
          <cell r="T92">
            <v>0</v>
          </cell>
          <cell r="V92">
            <v>0</v>
          </cell>
          <cell r="X92">
            <v>0</v>
          </cell>
          <cell r="Z92">
            <v>0</v>
          </cell>
          <cell r="AB92">
            <v>0</v>
          </cell>
          <cell r="AD92">
            <v>0</v>
          </cell>
        </row>
        <row r="93">
          <cell r="A93" t="str">
            <v>Ending Balance</v>
          </cell>
          <cell r="B93">
            <v>0.56000000000000005</v>
          </cell>
          <cell r="D93">
            <v>1.76</v>
          </cell>
          <cell r="F93">
            <v>2.96</v>
          </cell>
          <cell r="H93">
            <v>4.16</v>
          </cell>
          <cell r="J93">
            <v>5.3390000000000004</v>
          </cell>
          <cell r="L93">
            <v>5.9790000000000001</v>
          </cell>
          <cell r="N93">
            <v>5.9790000000000001</v>
          </cell>
          <cell r="P93">
            <v>5.9790000000000001</v>
          </cell>
          <cell r="R93">
            <v>5.9790000000000001</v>
          </cell>
          <cell r="T93">
            <v>5.9790000000000001</v>
          </cell>
          <cell r="V93">
            <v>5.9790000000000001</v>
          </cell>
          <cell r="X93">
            <v>5.9790000000000001</v>
          </cell>
          <cell r="Z93">
            <v>5.9790000000000001</v>
          </cell>
          <cell r="AB93">
            <v>5.9790000000000001</v>
          </cell>
          <cell r="AD93">
            <v>5.9790000000000001</v>
          </cell>
          <cell r="AH93" t="str">
            <v>mstag:otherIndefiniteLifeIntangibleAssets</v>
          </cell>
          <cell r="AI93">
            <v>6</v>
          </cell>
          <cell r="AJ93" t="str">
            <v>ISO4217:USD</v>
          </cell>
          <cell r="AK93" t="b">
            <v>1</v>
          </cell>
          <cell r="AL93" t="b">
            <v>0</v>
          </cell>
        </row>
        <row r="94">
          <cell r="A94" t="str">
            <v>Relative age as a % of depreciable life</v>
          </cell>
          <cell r="B94">
            <v>9.3333333333333338E-2</v>
          </cell>
          <cell r="D94">
            <v>0.29333333333333333</v>
          </cell>
          <cell r="F94">
            <v>0.49333333333333335</v>
          </cell>
          <cell r="H94">
            <v>0.69333333333333336</v>
          </cell>
          <cell r="J94">
            <v>0.88983333333333337</v>
          </cell>
          <cell r="L94">
            <v>0.99650000000000005</v>
          </cell>
          <cell r="N94">
            <v>0.99650000000000005</v>
          </cell>
          <cell r="P94">
            <v>0.99650000000000005</v>
          </cell>
          <cell r="R94">
            <v>0.99650000000000005</v>
          </cell>
          <cell r="T94">
            <v>0.99650000000000005</v>
          </cell>
          <cell r="V94">
            <v>0.99650000000000005</v>
          </cell>
          <cell r="X94">
            <v>0.99650000000000005</v>
          </cell>
          <cell r="Z94">
            <v>0.99650000000000005</v>
          </cell>
          <cell r="AB94">
            <v>0.99650000000000005</v>
          </cell>
          <cell r="AD94">
            <v>0.99650000000000005</v>
          </cell>
        </row>
        <row r="96">
          <cell r="A96" t="str">
            <v>Total depreciation and amortization</v>
          </cell>
          <cell r="B96">
            <v>5.7799999999999994</v>
          </cell>
          <cell r="D96">
            <v>10.311</v>
          </cell>
          <cell r="F96">
            <v>11.414999999999999</v>
          </cell>
          <cell r="H96">
            <v>11.151</v>
          </cell>
          <cell r="J96">
            <v>7.2129999999999992</v>
          </cell>
          <cell r="L96">
            <v>7.3948499999999999</v>
          </cell>
          <cell r="N96">
            <v>6.7985622529644276</v>
          </cell>
          <cell r="P96">
            <v>6.9540220326380462</v>
          </cell>
          <cell r="R96">
            <v>7.1162594382554918</v>
          </cell>
          <cell r="T96">
            <v>7.289864790351972</v>
          </cell>
          <cell r="V96">
            <v>7.4732118716356153</v>
          </cell>
          <cell r="X96">
            <v>7.6643705342926882</v>
          </cell>
          <cell r="Z96">
            <v>8.2578067578617933</v>
          </cell>
          <cell r="AB96">
            <v>8.8254670318707653</v>
          </cell>
          <cell r="AD96">
            <v>9.4946442459864908</v>
          </cell>
        </row>
        <row r="97">
          <cell r="A97" t="str">
            <v>Depreciation as % of op exp</v>
          </cell>
          <cell r="B97">
            <v>7.0335237684596319E-2</v>
          </cell>
          <cell r="D97">
            <v>9.2881245348801669E-2</v>
          </cell>
          <cell r="F97">
            <v>9.6888012064762732E-2</v>
          </cell>
          <cell r="H97">
            <v>9.1131380845101376E-2</v>
          </cell>
          <cell r="J97">
            <v>5.397186021341871E-2</v>
          </cell>
          <cell r="L97">
            <v>5.582566798072712E-2</v>
          </cell>
          <cell r="N97">
            <v>5.8034950002257245E-2</v>
          </cell>
          <cell r="P97">
            <v>5.031853858638239E-2</v>
          </cell>
          <cell r="R97">
            <v>4.7148778511220228E-2</v>
          </cell>
          <cell r="T97">
            <v>4.4359512160159494E-2</v>
          </cell>
          <cell r="V97">
            <v>4.1485742616815306E-2</v>
          </cell>
          <cell r="X97">
            <v>3.9026594286666549E-2</v>
          </cell>
          <cell r="Z97">
            <v>3.0137060717774649E-2</v>
          </cell>
          <cell r="AB97">
            <v>2.5917218715640167E-2</v>
          </cell>
          <cell r="AD97">
            <v>2.3546897715483073E-2</v>
          </cell>
        </row>
        <row r="98">
          <cell r="A98" t="str">
            <v>Amortization as % of op exp</v>
          </cell>
          <cell r="B98">
            <v>7.5455427401099505E-3</v>
          </cell>
          <cell r="D98">
            <v>1.2233288817754581E-2</v>
          </cell>
          <cell r="F98">
            <v>1.1381851637563905E-2</v>
          </cell>
          <cell r="H98">
            <v>1.0989614814000768E-2</v>
          </cell>
          <cell r="J98">
            <v>1.0545711500102863E-2</v>
          </cell>
          <cell r="L98">
            <v>5.2892999115695177E-3</v>
          </cell>
          <cell r="N98">
            <v>0</v>
          </cell>
          <cell r="P98">
            <v>0</v>
          </cell>
          <cell r="R98">
            <v>0</v>
          </cell>
          <cell r="T98">
            <v>0</v>
          </cell>
          <cell r="V98">
            <v>0</v>
          </cell>
          <cell r="X98">
            <v>0</v>
          </cell>
          <cell r="Z98">
            <v>0</v>
          </cell>
          <cell r="AB98">
            <v>0</v>
          </cell>
          <cell r="AD98">
            <v>0</v>
          </cell>
        </row>
        <row r="101">
          <cell r="A101" t="str">
            <v>Working Capital</v>
          </cell>
        </row>
        <row r="102">
          <cell r="A102" t="str">
            <v>Restricted Cash</v>
          </cell>
          <cell r="B102">
            <v>6.6929999999999996</v>
          </cell>
          <cell r="D102">
            <v>29.486999999999998</v>
          </cell>
          <cell r="F102">
            <v>14.372</v>
          </cell>
          <cell r="H102">
            <v>0</v>
          </cell>
          <cell r="J102">
            <v>0</v>
          </cell>
          <cell r="L102">
            <v>0</v>
          </cell>
          <cell r="N102">
            <v>0</v>
          </cell>
          <cell r="P102">
            <v>0</v>
          </cell>
          <cell r="R102">
            <v>0</v>
          </cell>
          <cell r="T102">
            <v>0</v>
          </cell>
          <cell r="V102">
            <v>0</v>
          </cell>
          <cell r="X102">
            <v>0</v>
          </cell>
          <cell r="Z102">
            <v>0</v>
          </cell>
          <cell r="AB102">
            <v>0</v>
          </cell>
          <cell r="AD102">
            <v>0</v>
          </cell>
        </row>
        <row r="103">
          <cell r="A103" t="str">
            <v>% of prior yr cash + short-term investments</v>
          </cell>
          <cell r="B103">
            <v>4.4694789280729751E-2</v>
          </cell>
          <cell r="D103">
            <v>0.31500176265102708</v>
          </cell>
          <cell r="F103">
            <v>9.8016081402723887E-2</v>
          </cell>
          <cell r="H103">
            <v>0</v>
          </cell>
          <cell r="J103">
            <v>0</v>
          </cell>
          <cell r="L103">
            <v>0</v>
          </cell>
          <cell r="N103">
            <v>0</v>
          </cell>
          <cell r="P103">
            <v>0</v>
          </cell>
          <cell r="R103">
            <v>0</v>
          </cell>
          <cell r="T103">
            <v>0</v>
          </cell>
          <cell r="V103">
            <v>0</v>
          </cell>
          <cell r="X103">
            <v>0</v>
          </cell>
          <cell r="Z103">
            <v>0</v>
          </cell>
          <cell r="AB103">
            <v>0</v>
          </cell>
          <cell r="AD103">
            <v>0</v>
          </cell>
        </row>
        <row r="104">
          <cell r="A104" t="str">
            <v xml:space="preserve">Accounts Receivable  </v>
          </cell>
          <cell r="B104">
            <v>4.5439999999999996</v>
          </cell>
          <cell r="D104">
            <v>5.1429999999999998</v>
          </cell>
          <cell r="F104">
            <v>6.5709999999999997</v>
          </cell>
          <cell r="H104">
            <v>5.3449999999999998</v>
          </cell>
          <cell r="J104">
            <v>2.5859999999999999</v>
          </cell>
          <cell r="L104">
            <v>1.1859999999999999</v>
          </cell>
          <cell r="N104">
            <v>2.5058999999999996</v>
          </cell>
          <cell r="P104">
            <v>1.5</v>
          </cell>
          <cell r="R104">
            <v>1.9450000000000001</v>
          </cell>
          <cell r="T104">
            <v>2.191146666666667</v>
          </cell>
          <cell r="V104">
            <v>2.2940373333333337</v>
          </cell>
          <cell r="X104">
            <v>3.5706982400000009</v>
          </cell>
          <cell r="Z104">
            <v>14.6555261696</v>
          </cell>
          <cell r="AB104">
            <v>21.863831477589333</v>
          </cell>
          <cell r="AD104">
            <v>33.961051403359576</v>
          </cell>
        </row>
        <row r="105">
          <cell r="A105" t="str">
            <v>% revenue</v>
          </cell>
          <cell r="B105">
            <v>0.14860843117375805</v>
          </cell>
          <cell r="D105">
            <v>0.14610795454545453</v>
          </cell>
          <cell r="F105">
            <v>0.15339184835893366</v>
          </cell>
          <cell r="H105">
            <v>8.6572724327826353E-2</v>
          </cell>
          <cell r="J105">
            <v>3.4170190274841437E-2</v>
          </cell>
          <cell r="L105">
            <v>1.6291656364185829E-2</v>
          </cell>
          <cell r="N105">
            <v>4.9999999999999996E-2</v>
          </cell>
          <cell r="P105">
            <v>0.05</v>
          </cell>
          <cell r="R105">
            <v>6.25E-2</v>
          </cell>
          <cell r="T105">
            <v>6.6666666666666666E-2</v>
          </cell>
          <cell r="V105">
            <v>6.6666666666666666E-2</v>
          </cell>
          <cell r="X105">
            <v>0.1</v>
          </cell>
          <cell r="Z105">
            <v>9.9999999999999992E-2</v>
          </cell>
          <cell r="AB105">
            <v>6.6666666666666666E-2</v>
          </cell>
          <cell r="AD105">
            <v>6.6666666666666666E-2</v>
          </cell>
        </row>
        <row r="106">
          <cell r="A106" t="str">
            <v>Days receivables outstanding (CHECK)</v>
          </cell>
          <cell r="B106">
            <v>54.242077378421691</v>
          </cell>
          <cell r="D106">
            <v>53.329403409090901</v>
          </cell>
          <cell r="F106">
            <v>55.988024651010782</v>
          </cell>
          <cell r="H106">
            <v>31.599044379656618</v>
          </cell>
          <cell r="J106">
            <v>12.472119450317125</v>
          </cell>
          <cell r="L106">
            <v>5.9464545729278271</v>
          </cell>
          <cell r="N106">
            <v>18.25</v>
          </cell>
          <cell r="P106">
            <v>18.25</v>
          </cell>
          <cell r="R106">
            <v>22.8125</v>
          </cell>
          <cell r="T106">
            <v>24.333333333333332</v>
          </cell>
          <cell r="V106">
            <v>24.333333333333332</v>
          </cell>
          <cell r="X106">
            <v>36.5</v>
          </cell>
          <cell r="Z106">
            <v>36.5</v>
          </cell>
          <cell r="AB106">
            <v>24.333333333333332</v>
          </cell>
          <cell r="AD106">
            <v>24.333333333333332</v>
          </cell>
        </row>
        <row r="107">
          <cell r="A107" t="str">
            <v>Accounts receivable turnover</v>
          </cell>
          <cell r="B107">
            <v>6.729093309859155</v>
          </cell>
          <cell r="D107">
            <v>6.8442543262687154</v>
          </cell>
          <cell r="F107">
            <v>6.5192512555166644</v>
          </cell>
          <cell r="H107">
            <v>11.550982226379796</v>
          </cell>
          <cell r="J107">
            <v>29.265274555297754</v>
          </cell>
          <cell r="L107">
            <v>61.381112984822941</v>
          </cell>
          <cell r="N107">
            <v>20</v>
          </cell>
          <cell r="P107">
            <v>20</v>
          </cell>
          <cell r="R107">
            <v>16</v>
          </cell>
          <cell r="T107">
            <v>15</v>
          </cell>
          <cell r="V107">
            <v>15</v>
          </cell>
          <cell r="X107">
            <v>10</v>
          </cell>
          <cell r="Z107">
            <v>10</v>
          </cell>
          <cell r="AB107">
            <v>15</v>
          </cell>
          <cell r="AD107">
            <v>15</v>
          </cell>
        </row>
        <row r="108">
          <cell r="A108" t="str">
            <v>Other Receivables</v>
          </cell>
          <cell r="B108">
            <v>0</v>
          </cell>
          <cell r="D108">
            <v>0</v>
          </cell>
          <cell r="F108">
            <v>0</v>
          </cell>
          <cell r="H108">
            <v>1.052</v>
          </cell>
          <cell r="J108">
            <v>2.1999999999999999E-2</v>
          </cell>
          <cell r="L108">
            <v>0.72798000000000007</v>
          </cell>
          <cell r="N108">
            <v>0.50117999999999996</v>
          </cell>
          <cell r="P108">
            <v>0.3</v>
          </cell>
          <cell r="R108">
            <v>0.31120000000000003</v>
          </cell>
          <cell r="T108">
            <v>0.32867200000000002</v>
          </cell>
          <cell r="V108">
            <v>0.34410560000000007</v>
          </cell>
          <cell r="X108">
            <v>0.35706982400000009</v>
          </cell>
          <cell r="Z108">
            <v>1.4655526169599999</v>
          </cell>
          <cell r="AB108">
            <v>3.2795747216384004</v>
          </cell>
          <cell r="AD108">
            <v>5.0941577105039366</v>
          </cell>
        </row>
        <row r="109">
          <cell r="A109" t="str">
            <v>% revenue</v>
          </cell>
          <cell r="B109">
            <v>0</v>
          </cell>
          <cell r="D109">
            <v>0</v>
          </cell>
          <cell r="F109">
            <v>0</v>
          </cell>
          <cell r="H109">
            <v>1.7039196631033364E-2</v>
          </cell>
          <cell r="J109">
            <v>2.9069767441860465E-4</v>
          </cell>
          <cell r="L109">
            <v>0.01</v>
          </cell>
          <cell r="N109">
            <v>0.01</v>
          </cell>
          <cell r="P109">
            <v>0.01</v>
          </cell>
          <cell r="R109">
            <v>0.01</v>
          </cell>
          <cell r="T109">
            <v>0.01</v>
          </cell>
          <cell r="V109">
            <v>0.01</v>
          </cell>
          <cell r="X109">
            <v>0.01</v>
          </cell>
          <cell r="Z109">
            <v>0.01</v>
          </cell>
          <cell r="AB109">
            <v>0.01</v>
          </cell>
          <cell r="AD109">
            <v>0.01</v>
          </cell>
        </row>
        <row r="110">
          <cell r="A110" t="str">
            <v>Prepaid Expenses</v>
          </cell>
          <cell r="B110">
            <v>5.4560000000000004</v>
          </cell>
          <cell r="D110">
            <v>4.8929999999999998</v>
          </cell>
          <cell r="F110">
            <v>3.9329999999999998</v>
          </cell>
          <cell r="H110">
            <v>4.7930000000000001</v>
          </cell>
          <cell r="J110">
            <v>3.7440000000000002</v>
          </cell>
          <cell r="L110">
            <v>4.367</v>
          </cell>
          <cell r="N110">
            <v>2.5059</v>
          </cell>
          <cell r="P110">
            <v>1.5</v>
          </cell>
          <cell r="R110">
            <v>1.556</v>
          </cell>
          <cell r="T110">
            <v>1.6433600000000004</v>
          </cell>
          <cell r="V110">
            <v>1.7205280000000003</v>
          </cell>
          <cell r="X110">
            <v>1.7853491200000005</v>
          </cell>
          <cell r="Z110">
            <v>7.3277630848000008</v>
          </cell>
          <cell r="AB110">
            <v>16.397873608192</v>
          </cell>
          <cell r="AD110">
            <v>25.470788552519682</v>
          </cell>
        </row>
        <row r="111">
          <cell r="A111" t="str">
            <v>% of revenue</v>
          </cell>
          <cell r="B111">
            <v>0.17843477123327994</v>
          </cell>
          <cell r="D111">
            <v>0.13900568181818179</v>
          </cell>
          <cell r="F111">
            <v>9.1811008917316389E-2</v>
          </cell>
          <cell r="H111">
            <v>7.7632005183025585E-2</v>
          </cell>
          <cell r="J111">
            <v>4.9471458773784366E-2</v>
          </cell>
          <cell r="L111">
            <v>5.9987911755817469E-2</v>
          </cell>
          <cell r="N111">
            <v>0.05</v>
          </cell>
          <cell r="P111">
            <v>0.05</v>
          </cell>
          <cell r="R111">
            <v>0.05</v>
          </cell>
          <cell r="T111">
            <v>0.05</v>
          </cell>
          <cell r="V111">
            <v>0.05</v>
          </cell>
          <cell r="X111">
            <v>0.05</v>
          </cell>
          <cell r="Z111">
            <v>0.05</v>
          </cell>
          <cell r="AB111">
            <v>0.05</v>
          </cell>
          <cell r="AD111">
            <v>0.05</v>
          </cell>
        </row>
        <row r="112">
          <cell r="A112" t="str">
            <v>Inventories</v>
          </cell>
          <cell r="B112">
            <v>0</v>
          </cell>
          <cell r="D112">
            <v>0</v>
          </cell>
          <cell r="F112">
            <v>0</v>
          </cell>
          <cell r="H112">
            <v>0</v>
          </cell>
          <cell r="J112">
            <v>0</v>
          </cell>
          <cell r="L112">
            <v>0</v>
          </cell>
          <cell r="N112">
            <v>0</v>
          </cell>
          <cell r="P112">
            <v>0</v>
          </cell>
          <cell r="R112">
            <v>0</v>
          </cell>
          <cell r="T112">
            <v>0</v>
          </cell>
          <cell r="V112">
            <v>0</v>
          </cell>
          <cell r="X112">
            <v>0</v>
          </cell>
          <cell r="Z112">
            <v>5.4749999999999996</v>
          </cell>
          <cell r="AB112">
            <v>14.118750000000002</v>
          </cell>
          <cell r="AD112">
            <v>23.675000000000004</v>
          </cell>
        </row>
        <row r="113">
          <cell r="A113" t="str">
            <v>% revenue</v>
          </cell>
          <cell r="B113">
            <v>0</v>
          </cell>
          <cell r="D113">
            <v>0</v>
          </cell>
          <cell r="F113">
            <v>0</v>
          </cell>
          <cell r="H113">
            <v>0</v>
          </cell>
          <cell r="J113">
            <v>0</v>
          </cell>
          <cell r="L113">
            <v>0</v>
          </cell>
          <cell r="N113">
            <v>0</v>
          </cell>
          <cell r="P113">
            <v>0</v>
          </cell>
          <cell r="R113">
            <v>0</v>
          </cell>
          <cell r="T113">
            <v>0</v>
          </cell>
          <cell r="V113">
            <v>0</v>
          </cell>
          <cell r="X113">
            <v>0</v>
          </cell>
          <cell r="Z113">
            <v>3.7357921760303683E-2</v>
          </cell>
          <cell r="AB113">
            <v>4.3050551362179668E-2</v>
          </cell>
          <cell r="AD113">
            <v>4.6474807702131332E-2</v>
          </cell>
        </row>
        <row r="114">
          <cell r="A114" t="str">
            <v>Days inventory outstanding (CHECK)</v>
          </cell>
          <cell r="B114" t="e">
            <v>#DIV/0!</v>
          </cell>
          <cell r="D114" t="e">
            <v>#DIV/0!</v>
          </cell>
          <cell r="F114" t="e">
            <v>#DIV/0!</v>
          </cell>
          <cell r="H114" t="e">
            <v>#DIV/0!</v>
          </cell>
          <cell r="J114" t="e">
            <v>#DIV/0!</v>
          </cell>
          <cell r="L114" t="e">
            <v>#DIV/0!</v>
          </cell>
          <cell r="N114" t="e">
            <v>#DIV/0!</v>
          </cell>
          <cell r="P114" t="e">
            <v>#DIV/0!</v>
          </cell>
          <cell r="R114" t="e">
            <v>#DIV/0!</v>
          </cell>
          <cell r="T114" t="e">
            <v>#DIV/0!</v>
          </cell>
          <cell r="V114" t="e">
            <v>#DIV/0!</v>
          </cell>
          <cell r="X114" t="e">
            <v>#DIV/0!</v>
          </cell>
          <cell r="Z114">
            <v>152.08333333333334</v>
          </cell>
          <cell r="AB114">
            <v>152.08333333333334</v>
          </cell>
          <cell r="AD114">
            <v>152.08333333333334</v>
          </cell>
        </row>
        <row r="115">
          <cell r="A115" t="str">
            <v>Inventory Turnover</v>
          </cell>
          <cell r="B115" t="e">
            <v>#DIV/0!</v>
          </cell>
          <cell r="D115" t="e">
            <v>#DIV/0!</v>
          </cell>
          <cell r="F115" t="e">
            <v>#DIV/0!</v>
          </cell>
          <cell r="H115" t="e">
            <v>#DIV/0!</v>
          </cell>
          <cell r="J115" t="e">
            <v>#DIV/0!</v>
          </cell>
          <cell r="L115">
            <v>1.7</v>
          </cell>
          <cell r="N115">
            <v>1.85</v>
          </cell>
          <cell r="P115">
            <v>2.5</v>
          </cell>
          <cell r="R115">
            <v>2.4</v>
          </cell>
          <cell r="T115">
            <v>2.4</v>
          </cell>
          <cell r="V115">
            <v>2.4</v>
          </cell>
          <cell r="X115">
            <v>2.4</v>
          </cell>
          <cell r="Z115">
            <v>2.4</v>
          </cell>
          <cell r="AB115">
            <v>2.4</v>
          </cell>
          <cell r="AD115">
            <v>2.4</v>
          </cell>
        </row>
        <row r="116">
          <cell r="A116" t="str">
            <v>Other non-current assets</v>
          </cell>
          <cell r="B116">
            <v>5.2050000000000001</v>
          </cell>
          <cell r="D116">
            <v>1.24</v>
          </cell>
          <cell r="F116">
            <v>0.18</v>
          </cell>
          <cell r="H116">
            <v>1.0209999999999999</v>
          </cell>
          <cell r="J116">
            <v>0.96399999999999997</v>
          </cell>
          <cell r="L116">
            <v>0.72399999999999998</v>
          </cell>
          <cell r="N116">
            <v>0.9372066</v>
          </cell>
          <cell r="P116">
            <v>0.51</v>
          </cell>
          <cell r="R116">
            <v>0.49792000000000003</v>
          </cell>
          <cell r="T116">
            <v>0.49300800000000006</v>
          </cell>
          <cell r="V116">
            <v>0.24087392000000002</v>
          </cell>
          <cell r="X116">
            <v>0.14282792960000004</v>
          </cell>
          <cell r="Z116">
            <v>0.43966578508800003</v>
          </cell>
          <cell r="AB116">
            <v>0.88548517484236811</v>
          </cell>
          <cell r="AD116">
            <v>1.2735394276259842</v>
          </cell>
        </row>
        <row r="117">
          <cell r="A117" t="str">
            <v>% revenue</v>
          </cell>
          <cell r="B117">
            <v>0.17022598685286328</v>
          </cell>
          <cell r="D117">
            <v>3.5227272727272725E-2</v>
          </cell>
          <cell r="F117">
            <v>4.2018768383211167E-3</v>
          </cell>
          <cell r="H117">
            <v>1.6537091026886941E-2</v>
          </cell>
          <cell r="J117">
            <v>1.2737843551797041E-2</v>
          </cell>
          <cell r="L117">
            <v>9.9453281683562732E-3</v>
          </cell>
          <cell r="N117">
            <v>1.8700000000000001E-2</v>
          </cell>
          <cell r="P117">
            <v>1.7000000000000001E-2</v>
          </cell>
          <cell r="R117">
            <v>1.6E-2</v>
          </cell>
          <cell r="T117">
            <v>1.4999999999999999E-2</v>
          </cell>
          <cell r="V117">
            <v>7.0000000000000001E-3</v>
          </cell>
          <cell r="X117">
            <v>4.0000000000000001E-3</v>
          </cell>
          <cell r="Z117">
            <v>3.0000000000000001E-3</v>
          </cell>
          <cell r="AB117">
            <v>2.7000000000000001E-3</v>
          </cell>
          <cell r="AD117">
            <v>2.5000000000000001E-3</v>
          </cell>
        </row>
        <row r="118">
          <cell r="A118" t="str">
            <v>% total non-current assets</v>
          </cell>
          <cell r="B118">
            <v>7.0770109316364821E-2</v>
          </cell>
          <cell r="D118">
            <v>1.8065268065268068E-2</v>
          </cell>
          <cell r="F118">
            <v>1.5972456386320485E-3</v>
          </cell>
          <cell r="H118">
            <v>9.0168856860251504E-3</v>
          </cell>
          <cell r="J118">
            <v>8.5561877035866749E-3</v>
          </cell>
          <cell r="L118">
            <v>6.9140707068777807E-3</v>
          </cell>
          <cell r="N118">
            <v>9.4664570460519602E-3</v>
          </cell>
          <cell r="P118">
            <v>5.3836734888507596E-3</v>
          </cell>
          <cell r="R118">
            <v>5.4808474396439441E-3</v>
          </cell>
          <cell r="T118">
            <v>5.6651570552103698E-3</v>
          </cell>
          <cell r="V118">
            <v>2.9032780364256455E-3</v>
          </cell>
          <cell r="X118">
            <v>1.807331976817149E-3</v>
          </cell>
          <cell r="Z118">
            <v>5.3013487452499486E-3</v>
          </cell>
          <cell r="AB118">
            <v>1.0307334399273111E-2</v>
          </cell>
          <cell r="AD118">
            <v>1.4121377013931676E-2</v>
          </cell>
        </row>
        <row r="119">
          <cell r="A119" t="str">
            <v xml:space="preserve">Accounts payable </v>
          </cell>
          <cell r="B119">
            <v>3.1680000000000001</v>
          </cell>
          <cell r="D119">
            <v>4.3780000000000001</v>
          </cell>
          <cell r="F119">
            <v>5.8840000000000003</v>
          </cell>
          <cell r="H119">
            <v>7.5739999999999998</v>
          </cell>
          <cell r="J119">
            <v>6.883</v>
          </cell>
          <cell r="L119">
            <v>6.5129999999999999</v>
          </cell>
          <cell r="N119">
            <v>6.8909411764705881</v>
          </cell>
          <cell r="P119">
            <v>9.8714285714285701</v>
          </cell>
          <cell r="R119">
            <v>10.780857142857144</v>
          </cell>
          <cell r="T119">
            <v>12.173037037037041</v>
          </cell>
          <cell r="V119">
            <v>13.856867815384618</v>
          </cell>
          <cell r="X119">
            <v>16.365700266666671</v>
          </cell>
          <cell r="Z119">
            <v>22.097448856361286</v>
          </cell>
          <cell r="AB119">
            <v>27.911904628950037</v>
          </cell>
          <cell r="AD119">
            <v>33.60189369285564</v>
          </cell>
        </row>
        <row r="120">
          <cell r="A120" t="str">
            <v>% operating expenses</v>
          </cell>
          <cell r="B120">
            <v>4.2686213215479149E-2</v>
          </cell>
          <cell r="D120">
            <v>4.4631115370107964E-2</v>
          </cell>
          <cell r="F120">
            <v>5.5809012529521682E-2</v>
          </cell>
          <cell r="H120">
            <v>6.9362785501034849E-2</v>
          </cell>
          <cell r="J120">
            <v>6.1565845848352847E-2</v>
          </cell>
          <cell r="L120">
            <v>5.3826891131331663E-2</v>
          </cell>
          <cell r="N120">
            <v>5.8823529411764705E-2</v>
          </cell>
          <cell r="P120">
            <v>7.1428571428571425E-2</v>
          </cell>
          <cell r="R120">
            <v>7.1428571428571425E-2</v>
          </cell>
          <cell r="T120">
            <v>7.4074074074074084E-2</v>
          </cell>
          <cell r="V120">
            <v>7.6923076923076927E-2</v>
          </cell>
          <cell r="X120">
            <v>8.3333333333333329E-2</v>
          </cell>
          <cell r="Z120">
            <v>8.0645161290322578E-2</v>
          </cell>
          <cell r="AB120">
            <v>8.1967213114754106E-2</v>
          </cell>
          <cell r="AD120">
            <v>8.3333333333333329E-2</v>
          </cell>
        </row>
        <row r="121">
          <cell r="A121" t="str">
            <v>Days payable outstanding (CHECK)</v>
          </cell>
          <cell r="B121" t="e">
            <v>#DIV/0!</v>
          </cell>
          <cell r="D121" t="e">
            <v>#DIV/0!</v>
          </cell>
          <cell r="F121" t="e">
            <v>#DIV/0!</v>
          </cell>
          <cell r="H121" t="e">
            <v>#DIV/0!</v>
          </cell>
          <cell r="J121" t="e">
            <v>#DIV/0!</v>
          </cell>
          <cell r="L121" t="e">
            <v>#DIV/0!</v>
          </cell>
          <cell r="N121" t="e">
            <v>#DIV/0!</v>
          </cell>
          <cell r="P121" t="e">
            <v>#DIV/0!</v>
          </cell>
          <cell r="R121" t="e">
            <v>#DIV/0!</v>
          </cell>
          <cell r="T121" t="e">
            <v>#DIV/0!</v>
          </cell>
          <cell r="V121" t="e">
            <v>#DIV/0!</v>
          </cell>
          <cell r="X121" t="e">
            <v>#DIV/0!</v>
          </cell>
          <cell r="Z121">
            <v>613.81802378781356</v>
          </cell>
          <cell r="AB121">
            <v>300.65944192317431</v>
          </cell>
          <cell r="AD121">
            <v>215.85165782985405</v>
          </cell>
        </row>
        <row r="122">
          <cell r="A122" t="str">
            <v>Accounts payable turnover</v>
          </cell>
          <cell r="B122">
            <v>23.426767676767675</v>
          </cell>
          <cell r="D122">
            <v>22.405893101872998</v>
          </cell>
          <cell r="F122">
            <v>17.918252889191024</v>
          </cell>
          <cell r="H122">
            <v>14.416952733034064</v>
          </cell>
          <cell r="J122">
            <v>16.242772047072499</v>
          </cell>
          <cell r="L122">
            <v>18.578074619990787</v>
          </cell>
          <cell r="N122">
            <v>17</v>
          </cell>
          <cell r="P122">
            <v>14</v>
          </cell>
          <cell r="R122">
            <v>14</v>
          </cell>
          <cell r="T122">
            <v>13.5</v>
          </cell>
          <cell r="V122">
            <v>13</v>
          </cell>
          <cell r="X122">
            <v>12</v>
          </cell>
          <cell r="Z122">
            <v>12.4</v>
          </cell>
          <cell r="AB122">
            <v>12.2</v>
          </cell>
          <cell r="AD122">
            <v>12</v>
          </cell>
        </row>
        <row r="123">
          <cell r="A123" t="str">
            <v>Accrued Liabilities</v>
          </cell>
          <cell r="B123">
            <v>5.016</v>
          </cell>
          <cell r="D123">
            <v>4.1609999999999996</v>
          </cell>
          <cell r="F123">
            <v>4.7569999999999997</v>
          </cell>
          <cell r="H123">
            <v>6.9450000000000003</v>
          </cell>
          <cell r="J123">
            <v>6.7869999999999999</v>
          </cell>
          <cell r="L123">
            <v>7.3250000000000002</v>
          </cell>
          <cell r="N123">
            <v>5.2715699999999996</v>
          </cell>
          <cell r="P123">
            <v>6.2189999999999994</v>
          </cell>
          <cell r="R123">
            <v>6.7919400000000003</v>
          </cell>
          <cell r="T123">
            <v>8.2168000000000028</v>
          </cell>
          <cell r="V123">
            <v>10.808356896000001</v>
          </cell>
          <cell r="X123">
            <v>13.747188224000006</v>
          </cell>
          <cell r="Z123">
            <v>19.1805856073216</v>
          </cell>
          <cell r="AB123">
            <v>25.539392735489283</v>
          </cell>
          <cell r="AD123">
            <v>32.257817945141412</v>
          </cell>
        </row>
        <row r="124">
          <cell r="A124" t="str">
            <v>% operating expenses</v>
          </cell>
          <cell r="B124">
            <v>6.7586504257841976E-2</v>
          </cell>
          <cell r="D124">
            <v>4.2418928975564006E-2</v>
          </cell>
          <cell r="F124">
            <v>4.5119556866576239E-2</v>
          </cell>
          <cell r="H124">
            <v>6.3602395736029452E-2</v>
          </cell>
          <cell r="J124">
            <v>6.0707161960303756E-2</v>
          </cell>
          <cell r="L124">
            <v>6.0537690394135493E-2</v>
          </cell>
          <cell r="N124">
            <v>4.4999999999999998E-2</v>
          </cell>
          <cell r="P124">
            <v>4.4999999999999998E-2</v>
          </cell>
          <cell r="R124">
            <v>4.4999999999999998E-2</v>
          </cell>
          <cell r="T124">
            <v>0.05</v>
          </cell>
          <cell r="V124">
            <v>0.06</v>
          </cell>
          <cell r="X124">
            <v>7.0000000000000007E-2</v>
          </cell>
          <cell r="Z124">
            <v>7.0000000000000007E-2</v>
          </cell>
          <cell r="AB124">
            <v>7.4999999999999997E-2</v>
          </cell>
          <cell r="AD124">
            <v>0.08</v>
          </cell>
        </row>
        <row r="125">
          <cell r="A125" t="str">
            <v>% total current liabilities</v>
          </cell>
          <cell r="B125">
            <v>0.26710687470046324</v>
          </cell>
          <cell r="D125">
            <v>0.19536128456735055</v>
          </cell>
          <cell r="F125">
            <v>0.14975130642825663</v>
          </cell>
          <cell r="H125">
            <v>0.17941100490829243</v>
          </cell>
          <cell r="J125">
            <v>0.11811078433078677</v>
          </cell>
          <cell r="L125">
            <v>0.15935691598137755</v>
          </cell>
          <cell r="N125">
            <v>0.16207981512162864</v>
          </cell>
          <cell r="P125">
            <v>0.25414348513949786</v>
          </cell>
          <cell r="R125">
            <v>0.25808383760116704</v>
          </cell>
          <cell r="T125">
            <v>0.2801981175296302</v>
          </cell>
          <cell r="V125">
            <v>0.33160229618125148</v>
          </cell>
          <cell r="X125">
            <v>0.38784862033168649</v>
          </cell>
          <cell r="Z125">
            <v>0.33661630201858772</v>
          </cell>
          <cell r="AB125">
            <v>0.29256741233753941</v>
          </cell>
          <cell r="AD125">
            <v>0.27372326139990305</v>
          </cell>
        </row>
        <row r="126">
          <cell r="A126" t="str">
            <v>Deferred Revenue, Current</v>
          </cell>
          <cell r="B126">
            <v>10.595000000000001</v>
          </cell>
          <cell r="D126">
            <v>12.76</v>
          </cell>
          <cell r="F126">
            <v>21.125</v>
          </cell>
          <cell r="H126">
            <v>19.5</v>
          </cell>
          <cell r="J126">
            <v>39.042000000000002</v>
          </cell>
          <cell r="L126">
            <v>31.312000000000001</v>
          </cell>
          <cell r="N126">
            <v>19.546019999999999</v>
          </cell>
          <cell r="P126">
            <v>7.5</v>
          </cell>
          <cell r="R126">
            <v>7.78</v>
          </cell>
          <cell r="T126">
            <v>7.8881280000000009</v>
          </cell>
          <cell r="V126">
            <v>6.8821120000000011</v>
          </cell>
          <cell r="X126">
            <v>4.2848378880000011</v>
          </cell>
          <cell r="Z126">
            <v>14.655526169600002</v>
          </cell>
          <cell r="AB126">
            <v>32.795747216384001</v>
          </cell>
          <cell r="AD126">
            <v>50.941577105039364</v>
          </cell>
        </row>
        <row r="127">
          <cell r="A127" t="str">
            <v>% of revenue</v>
          </cell>
          <cell r="B127">
            <v>0.34650227295025676</v>
          </cell>
          <cell r="D127">
            <v>0.36249999999999999</v>
          </cell>
          <cell r="F127">
            <v>0.49313693449740881</v>
          </cell>
          <cell r="H127">
            <v>0.31584062196307089</v>
          </cell>
          <cell r="J127">
            <v>0.51588266384778014</v>
          </cell>
          <cell r="L127">
            <v>0.43012170664029231</v>
          </cell>
          <cell r="N127">
            <v>0.39</v>
          </cell>
          <cell r="P127">
            <v>0.25</v>
          </cell>
          <cell r="R127">
            <v>0.25</v>
          </cell>
          <cell r="T127">
            <v>0.24</v>
          </cell>
          <cell r="V127">
            <v>0.2</v>
          </cell>
          <cell r="X127">
            <v>0.12</v>
          </cell>
          <cell r="Z127">
            <v>0.1</v>
          </cell>
          <cell r="AB127">
            <v>0.1</v>
          </cell>
          <cell r="AD127">
            <v>0.1</v>
          </cell>
        </row>
        <row r="128">
          <cell r="A128" t="str">
            <v>Deferred Revenue, Non-current</v>
          </cell>
          <cell r="B128">
            <v>2.5</v>
          </cell>
          <cell r="D128">
            <v>5.8869999999999996</v>
          </cell>
          <cell r="F128">
            <v>26.567</v>
          </cell>
          <cell r="H128">
            <v>18.091999999999999</v>
          </cell>
          <cell r="J128">
            <v>42.54</v>
          </cell>
          <cell r="L128">
            <v>26.687999999999999</v>
          </cell>
          <cell r="N128">
            <v>25.560179999999999</v>
          </cell>
          <cell r="P128">
            <v>13.65</v>
          </cell>
          <cell r="R128">
            <v>13.070399999999999</v>
          </cell>
          <cell r="T128">
            <v>12.982544000000003</v>
          </cell>
          <cell r="V128">
            <v>12.731907200000002</v>
          </cell>
          <cell r="X128">
            <v>12.675978752000002</v>
          </cell>
          <cell r="Z128">
            <v>36.638815424000001</v>
          </cell>
          <cell r="AB128">
            <v>42.6344713812992</v>
          </cell>
          <cell r="AD128">
            <v>50.941577105039364</v>
          </cell>
        </row>
        <row r="129">
          <cell r="A129" t="str">
            <v>% of revenue</v>
          </cell>
          <cell r="B129">
            <v>8.1760800601759498E-2</v>
          </cell>
          <cell r="D129">
            <v>0.16724431818181815</v>
          </cell>
          <cell r="F129">
            <v>0.62017367757598396</v>
          </cell>
          <cell r="H129">
            <v>0.29303530936183991</v>
          </cell>
          <cell r="J129">
            <v>0.56210359408033828</v>
          </cell>
          <cell r="L129">
            <v>0.36660347811753069</v>
          </cell>
          <cell r="N129">
            <v>0.51</v>
          </cell>
          <cell r="P129">
            <v>0.45500000000000002</v>
          </cell>
          <cell r="R129">
            <v>0.42</v>
          </cell>
          <cell r="T129">
            <v>0.39500000000000002</v>
          </cell>
          <cell r="V129">
            <v>0.37</v>
          </cell>
          <cell r="X129">
            <v>0.35499999999999998</v>
          </cell>
          <cell r="Z129">
            <v>0.25</v>
          </cell>
          <cell r="AB129">
            <v>0.13</v>
          </cell>
          <cell r="AD129">
            <v>0.1</v>
          </cell>
        </row>
        <row r="130">
          <cell r="A130" t="str">
            <v>Other Long-term Liabilities</v>
          </cell>
          <cell r="B130">
            <v>0.33900000000000002</v>
          </cell>
          <cell r="D130">
            <v>0.68400000000000005</v>
          </cell>
          <cell r="F130">
            <v>3.306</v>
          </cell>
          <cell r="H130">
            <v>0.64400000000000002</v>
          </cell>
          <cell r="J130">
            <v>0.72</v>
          </cell>
          <cell r="L130">
            <v>0.73899999999999999</v>
          </cell>
          <cell r="N130">
            <v>2.3429199999999999</v>
          </cell>
          <cell r="P130">
            <v>2.7639999999999998</v>
          </cell>
          <cell r="R130">
            <v>3.0186400000000004</v>
          </cell>
          <cell r="T130">
            <v>3.6153920000000008</v>
          </cell>
          <cell r="V130">
            <v>3.2732338609315867</v>
          </cell>
          <cell r="X130">
            <v>2.9458260480000007</v>
          </cell>
          <cell r="Z130">
            <v>3.4799062458997754</v>
          </cell>
          <cell r="AB130">
            <v>4.0863028376782848</v>
          </cell>
          <cell r="AD130">
            <v>4.8386726917712126</v>
          </cell>
        </row>
        <row r="131">
          <cell r="A131" t="str">
            <v>% of operating expenses</v>
          </cell>
          <cell r="B131">
            <v>4.5677481944594164E-3</v>
          </cell>
          <cell r="D131">
            <v>6.9729746261201122E-3</v>
          </cell>
          <cell r="F131">
            <v>3.1357001261488555E-2</v>
          </cell>
          <cell r="H131">
            <v>5.8977599501804125E-3</v>
          </cell>
          <cell r="J131">
            <v>6.4401291603681599E-3</v>
          </cell>
          <cell r="L131">
            <v>6.1074884916404266E-3</v>
          </cell>
          <cell r="N131">
            <v>0.02</v>
          </cell>
          <cell r="P131">
            <v>0.02</v>
          </cell>
          <cell r="R131">
            <v>0.02</v>
          </cell>
          <cell r="T131">
            <v>2.1999999999999999E-2</v>
          </cell>
          <cell r="V131">
            <v>1.8170572414071325E-2</v>
          </cell>
          <cell r="X131">
            <v>1.4999999999999999E-2</v>
          </cell>
          <cell r="Z131">
            <v>1.2699999999999999E-2</v>
          </cell>
          <cell r="AB131">
            <v>1.2E-2</v>
          </cell>
          <cell r="AD131">
            <v>1.2E-2</v>
          </cell>
        </row>
        <row r="132">
          <cell r="A132" t="str">
            <v>Investments, Short-term</v>
          </cell>
          <cell r="B132">
            <v>133.39400000000001</v>
          </cell>
          <cell r="D132">
            <v>68.843000000000004</v>
          </cell>
          <cell r="F132">
            <v>110.773</v>
          </cell>
          <cell r="H132">
            <v>72.945999999999998</v>
          </cell>
          <cell r="J132">
            <v>77.724999999999994</v>
          </cell>
          <cell r="L132">
            <v>49.773000000000003</v>
          </cell>
          <cell r="N132">
            <v>59.999249999999996</v>
          </cell>
          <cell r="P132">
            <v>80.678941619551253</v>
          </cell>
          <cell r="R132">
            <v>25.982245991907917</v>
          </cell>
          <cell r="T132">
            <v>15.47044658122552</v>
          </cell>
          <cell r="V132">
            <v>12.291053291318601</v>
          </cell>
          <cell r="X132">
            <v>11.605084521892733</v>
          </cell>
          <cell r="Z132">
            <v>16.722291209270519</v>
          </cell>
          <cell r="AB132">
            <v>38.364608837369573</v>
          </cell>
          <cell r="AD132">
            <v>30.12901583602261</v>
          </cell>
        </row>
        <row r="133">
          <cell r="A133" t="str">
            <v>% of prior year's cash</v>
          </cell>
          <cell r="B133">
            <v>8.1561601956588206</v>
          </cell>
          <cell r="D133">
            <v>2.7797383509650331</v>
          </cell>
          <cell r="F133">
            <v>3.0893853190539935</v>
          </cell>
          <cell r="H133">
            <v>4.9921981932658088</v>
          </cell>
          <cell r="J133">
            <v>3.5377787892580792</v>
          </cell>
          <cell r="L133">
            <v>1.6466948984318139</v>
          </cell>
          <cell r="N133">
            <v>0.75</v>
          </cell>
          <cell r="P133">
            <v>0.35</v>
          </cell>
          <cell r="R133">
            <v>0.2</v>
          </cell>
          <cell r="T133">
            <v>0.4</v>
          </cell>
          <cell r="V133">
            <v>0.25</v>
          </cell>
          <cell r="X133">
            <v>0.5</v>
          </cell>
          <cell r="Z133">
            <v>0.6</v>
          </cell>
          <cell r="AB133">
            <v>0.75</v>
          </cell>
          <cell r="AD133">
            <v>0.5</v>
          </cell>
        </row>
        <row r="134">
          <cell r="A134" t="str">
            <v>Investments, Long-term</v>
          </cell>
          <cell r="B134">
            <v>10.398</v>
          </cell>
          <cell r="D134">
            <v>0</v>
          </cell>
          <cell r="F134">
            <v>0</v>
          </cell>
          <cell r="H134">
            <v>0</v>
          </cell>
          <cell r="J134">
            <v>0</v>
          </cell>
          <cell r="L134">
            <v>0</v>
          </cell>
          <cell r="N134">
            <v>0</v>
          </cell>
          <cell r="P134">
            <v>0</v>
          </cell>
          <cell r="R134">
            <v>0</v>
          </cell>
          <cell r="T134">
            <v>0</v>
          </cell>
          <cell r="V134">
            <v>0</v>
          </cell>
          <cell r="X134">
            <v>0</v>
          </cell>
          <cell r="Z134">
            <v>0</v>
          </cell>
          <cell r="AB134">
            <v>0</v>
          </cell>
          <cell r="AD134">
            <v>0</v>
          </cell>
        </row>
        <row r="135">
          <cell r="A135" t="str">
            <v>% of prior year's cash</v>
          </cell>
          <cell r="B135">
            <v>0.63576887801895443</v>
          </cell>
          <cell r="D135">
            <v>0</v>
          </cell>
          <cell r="F135">
            <v>0</v>
          </cell>
          <cell r="H135">
            <v>0</v>
          </cell>
          <cell r="J135">
            <v>0</v>
          </cell>
          <cell r="L135">
            <v>0</v>
          </cell>
          <cell r="N135">
            <v>0</v>
          </cell>
          <cell r="P135">
            <v>0</v>
          </cell>
          <cell r="R135">
            <v>0</v>
          </cell>
          <cell r="T135">
            <v>0</v>
          </cell>
          <cell r="V135">
            <v>0</v>
          </cell>
          <cell r="X135">
            <v>0</v>
          </cell>
          <cell r="Z135">
            <v>0</v>
          </cell>
          <cell r="AB135">
            <v>0</v>
          </cell>
          <cell r="AD135">
            <v>0</v>
          </cell>
        </row>
        <row r="139">
          <cell r="A139" t="str">
            <v>Employee Stock Option Analysis</v>
          </cell>
        </row>
        <row r="140">
          <cell r="B140" t="str">
            <v>2001</v>
          </cell>
          <cell r="D140" t="str">
            <v>2002</v>
          </cell>
          <cell r="F140" t="str">
            <v>2003</v>
          </cell>
          <cell r="H140" t="str">
            <v>2004A</v>
          </cell>
          <cell r="J140" t="str">
            <v>2005A</v>
          </cell>
          <cell r="L140" t="str">
            <v>2006E</v>
          </cell>
          <cell r="N140" t="str">
            <v>2007E</v>
          </cell>
          <cell r="P140" t="str">
            <v>2008E</v>
          </cell>
          <cell r="R140" t="str">
            <v>2009E</v>
          </cell>
          <cell r="T140" t="str">
            <v>2010E</v>
          </cell>
          <cell r="V140" t="str">
            <v>2011E</v>
          </cell>
          <cell r="X140" t="str">
            <v>2012E</v>
          </cell>
          <cell r="Z140" t="str">
            <v>2013E</v>
          </cell>
          <cell r="AB140" t="str">
            <v>2014E</v>
          </cell>
          <cell r="AD140" t="str">
            <v>2015E</v>
          </cell>
        </row>
        <row r="141">
          <cell r="A141" t="str">
            <v xml:space="preserve">Stock Price (average) </v>
          </cell>
          <cell r="B141">
            <v>9.8465000000000007</v>
          </cell>
          <cell r="D141">
            <v>6.4504000000000001</v>
          </cell>
          <cell r="F141">
            <v>5.1912000000000003</v>
          </cell>
          <cell r="H141">
            <v>7</v>
          </cell>
          <cell r="J141">
            <v>5.5</v>
          </cell>
          <cell r="L141">
            <v>5</v>
          </cell>
          <cell r="N141">
            <v>6</v>
          </cell>
          <cell r="P141">
            <v>5</v>
          </cell>
          <cell r="R141">
            <v>6</v>
          </cell>
          <cell r="T141">
            <v>7.1999999999999993</v>
          </cell>
          <cell r="V141">
            <v>8.6399999999999988</v>
          </cell>
          <cell r="X141">
            <v>10.367999999999999</v>
          </cell>
          <cell r="Z141">
            <v>12.441599999999998</v>
          </cell>
          <cell r="AB141">
            <v>14.929919999999996</v>
          </cell>
          <cell r="AD141">
            <v>17.915903999999994</v>
          </cell>
          <cell r="AF141">
            <v>0.2</v>
          </cell>
          <cell r="AG141" t="str">
            <v>Cost of Equity</v>
          </cell>
        </row>
        <row r="142">
          <cell r="A142" t="str">
            <v>Option Balance (Beginning Year)</v>
          </cell>
          <cell r="B142">
            <v>8.2530000000000001</v>
          </cell>
          <cell r="D142">
            <v>10.103</v>
          </cell>
          <cell r="F142">
            <v>11.372</v>
          </cell>
          <cell r="H142">
            <v>12.888999999999999</v>
          </cell>
          <cell r="J142">
            <v>13.298999999999999</v>
          </cell>
          <cell r="L142">
            <v>13.802</v>
          </cell>
          <cell r="N142">
            <v>15.814999999999998</v>
          </cell>
          <cell r="P142">
            <v>16.763899999999996</v>
          </cell>
          <cell r="R142">
            <v>18.775567999999996</v>
          </cell>
          <cell r="T142">
            <v>20.089857759999994</v>
          </cell>
          <cell r="V142">
            <v>21.496147803199992</v>
          </cell>
          <cell r="X142">
            <v>24.075685539583993</v>
          </cell>
          <cell r="Z142">
            <v>26.724010948938233</v>
          </cell>
          <cell r="AB142">
            <v>29.66365215332144</v>
          </cell>
          <cell r="AD142">
            <v>32.867326585880157</v>
          </cell>
          <cell r="AF142">
            <v>36.318395877397577</v>
          </cell>
        </row>
        <row r="143">
          <cell r="A143" t="str">
            <v xml:space="preserve"> Average Options Exercisable</v>
          </cell>
          <cell r="B143">
            <v>5.3810000000000002</v>
          </cell>
          <cell r="D143">
            <v>7.282</v>
          </cell>
          <cell r="F143">
            <v>9.3450000000000006</v>
          </cell>
          <cell r="H143">
            <v>9.9079999999999995</v>
          </cell>
          <cell r="J143">
            <v>10.311999999999999</v>
          </cell>
          <cell r="L143">
            <v>11.675000000000001</v>
          </cell>
          <cell r="N143">
            <v>12.217087499999996</v>
          </cell>
          <cell r="P143">
            <v>12.438813799999997</v>
          </cell>
          <cell r="R143">
            <v>12.631263371999998</v>
          </cell>
          <cell r="T143">
            <v>10.396501390799997</v>
          </cell>
          <cell r="V143">
            <v>11.392958335695997</v>
          </cell>
          <cell r="X143">
            <v>12.699924122130557</v>
          </cell>
          <cell r="Z143">
            <v>11.277532620451936</v>
          </cell>
          <cell r="AB143">
            <v>12.506195747840321</v>
          </cell>
          <cell r="AD143">
            <v>12.107501431073601</v>
          </cell>
        </row>
        <row r="144">
          <cell r="A144" t="str">
            <v xml:space="preserve">   % Exercisable</v>
          </cell>
          <cell r="B144">
            <v>0.58629331008934404</v>
          </cell>
          <cell r="D144">
            <v>0.67818393480791617</v>
          </cell>
          <cell r="F144">
            <v>0.77037220229998771</v>
          </cell>
          <cell r="H144">
            <v>0.75668244997708878</v>
          </cell>
          <cell r="J144">
            <v>0.76100512896203087</v>
          </cell>
          <cell r="L144">
            <v>0.78839855488401944</v>
          </cell>
          <cell r="N144">
            <v>0.75</v>
          </cell>
          <cell r="P144">
            <v>0.7</v>
          </cell>
          <cell r="R144">
            <v>0.65</v>
          </cell>
          <cell r="T144">
            <v>0.5</v>
          </cell>
          <cell r="V144">
            <v>0.5</v>
          </cell>
          <cell r="X144">
            <v>0.5</v>
          </cell>
          <cell r="Z144">
            <v>0.4</v>
          </cell>
          <cell r="AB144">
            <v>0.4</v>
          </cell>
          <cell r="AD144">
            <v>0.35</v>
          </cell>
        </row>
        <row r="145">
          <cell r="A145" t="str">
            <v>Weighted Average Exercise Price of exercisable</v>
          </cell>
          <cell r="B145">
            <v>3.25</v>
          </cell>
          <cell r="D145">
            <v>4.7699999999999996</v>
          </cell>
          <cell r="F145">
            <v>5.73</v>
          </cell>
          <cell r="H145">
            <v>5.96</v>
          </cell>
          <cell r="J145">
            <v>6.5</v>
          </cell>
          <cell r="L145">
            <v>6.4</v>
          </cell>
          <cell r="N145">
            <v>7</v>
          </cell>
          <cell r="P145">
            <v>8</v>
          </cell>
          <cell r="R145">
            <v>9</v>
          </cell>
          <cell r="T145">
            <v>10</v>
          </cell>
          <cell r="V145">
            <v>11</v>
          </cell>
          <cell r="X145">
            <v>12</v>
          </cell>
          <cell r="Z145">
            <v>14</v>
          </cell>
          <cell r="AB145">
            <v>16</v>
          </cell>
          <cell r="AD145">
            <v>18</v>
          </cell>
        </row>
        <row r="146">
          <cell r="A146" t="str">
            <v>Options Cancelled</v>
          </cell>
          <cell r="B146">
            <v>0.224</v>
          </cell>
          <cell r="D146">
            <v>0.60099999999999998</v>
          </cell>
          <cell r="F146">
            <v>0.27800000000000002</v>
          </cell>
          <cell r="H146">
            <v>0.86099999999999999</v>
          </cell>
          <cell r="J146">
            <v>0.53800000000000003</v>
          </cell>
          <cell r="L146">
            <v>0.48199999999999998</v>
          </cell>
          <cell r="N146">
            <v>0.63259999999999994</v>
          </cell>
          <cell r="P146">
            <v>0.50291699999999984</v>
          </cell>
          <cell r="R146">
            <v>0.56326703999999983</v>
          </cell>
          <cell r="T146">
            <v>0.60269573279999977</v>
          </cell>
          <cell r="V146">
            <v>0.64488443409599971</v>
          </cell>
          <cell r="X146">
            <v>0.96302742158335974</v>
          </cell>
          <cell r="Z146">
            <v>1.0689604379575293</v>
          </cell>
          <cell r="AB146">
            <v>1.2458733904395005</v>
          </cell>
          <cell r="AD146">
            <v>1.479029696364607</v>
          </cell>
        </row>
        <row r="147">
          <cell r="A147" t="str">
            <v xml:space="preserve">   % Cancelled </v>
          </cell>
          <cell r="B147">
            <v>2.7141645462256149E-2</v>
          </cell>
          <cell r="D147">
            <v>5.9487281005641886E-2</v>
          </cell>
          <cell r="F147">
            <v>2.4446007738304611E-2</v>
          </cell>
          <cell r="H147">
            <v>6.6801148265963228E-2</v>
          </cell>
          <cell r="J147">
            <v>4.0454169486427556E-2</v>
          </cell>
          <cell r="L147">
            <v>3.4922475003622666E-2</v>
          </cell>
          <cell r="N147">
            <v>0.04</v>
          </cell>
          <cell r="P147">
            <v>0.03</v>
          </cell>
          <cell r="R147">
            <v>0.03</v>
          </cell>
          <cell r="S147">
            <v>0.04</v>
          </cell>
          <cell r="T147">
            <v>0.03</v>
          </cell>
          <cell r="V147">
            <v>0.03</v>
          </cell>
          <cell r="X147">
            <v>0.04</v>
          </cell>
          <cell r="Z147">
            <v>0.04</v>
          </cell>
          <cell r="AB147">
            <v>4.2000000000000003E-2</v>
          </cell>
          <cell r="AD147">
            <v>4.4999999999999998E-2</v>
          </cell>
        </row>
        <row r="148">
          <cell r="A148" t="str">
            <v>Options Exercised</v>
          </cell>
          <cell r="B148">
            <v>0.41899999999999998</v>
          </cell>
          <cell r="D148">
            <v>0.33</v>
          </cell>
          <cell r="F148">
            <v>0.10199999999999999</v>
          </cell>
          <cell r="H148">
            <v>0.66400000000000003</v>
          </cell>
          <cell r="J148">
            <v>1.0629999999999999</v>
          </cell>
          <cell r="L148">
            <v>0.156</v>
          </cell>
          <cell r="N148">
            <v>1.5814999999999999</v>
          </cell>
          <cell r="P148">
            <v>0.8381949999999998</v>
          </cell>
          <cell r="R148">
            <v>1.8775567999999998</v>
          </cell>
          <cell r="T148">
            <v>2.0089857759999994</v>
          </cell>
          <cell r="V148">
            <v>1.0748073901599997</v>
          </cell>
          <cell r="X148">
            <v>1.2037842769791998</v>
          </cell>
          <cell r="Z148">
            <v>1.3362005474469116</v>
          </cell>
          <cell r="AB148">
            <v>1.4831826076660721</v>
          </cell>
          <cell r="AD148">
            <v>1.6433663292940079</v>
          </cell>
        </row>
        <row r="149">
          <cell r="A149" t="str">
            <v xml:space="preserve">   % Exercised</v>
          </cell>
          <cell r="B149">
            <v>5.0769417181630923E-2</v>
          </cell>
          <cell r="D149">
            <v>3.2663565277640305E-2</v>
          </cell>
          <cell r="F149">
            <v>8.9693985226873014E-3</v>
          </cell>
          <cell r="H149">
            <v>5.1516797268989063E-2</v>
          </cell>
          <cell r="J149">
            <v>7.9930821866305735E-2</v>
          </cell>
          <cell r="L149">
            <v>1.1302709752209825E-2</v>
          </cell>
          <cell r="N149">
            <v>0.1</v>
          </cell>
          <cell r="P149">
            <v>0.05</v>
          </cell>
          <cell r="R149">
            <v>0.1</v>
          </cell>
          <cell r="T149">
            <v>0.1</v>
          </cell>
          <cell r="V149">
            <v>0.05</v>
          </cell>
          <cell r="X149">
            <v>0.05</v>
          </cell>
          <cell r="Z149">
            <v>0.05</v>
          </cell>
          <cell r="AB149">
            <v>0.05</v>
          </cell>
          <cell r="AD149">
            <v>0.05</v>
          </cell>
        </row>
        <row r="150">
          <cell r="A150" t="str">
            <v>Weighted Average Exercise Price</v>
          </cell>
          <cell r="B150">
            <v>1.71</v>
          </cell>
          <cell r="D150">
            <v>1.74</v>
          </cell>
          <cell r="F150">
            <v>2.34</v>
          </cell>
          <cell r="H150">
            <v>2.65</v>
          </cell>
          <cell r="J150">
            <v>0.56000000000000005</v>
          </cell>
          <cell r="L150">
            <v>2.2999999999999998</v>
          </cell>
          <cell r="N150">
            <v>3</v>
          </cell>
          <cell r="P150">
            <v>3.25</v>
          </cell>
          <cell r="R150">
            <v>3.75</v>
          </cell>
          <cell r="T150">
            <v>4.5</v>
          </cell>
          <cell r="V150">
            <v>5</v>
          </cell>
          <cell r="X150">
            <v>6</v>
          </cell>
          <cell r="Z150">
            <v>7</v>
          </cell>
          <cell r="AB150">
            <v>8</v>
          </cell>
          <cell r="AD150">
            <v>9</v>
          </cell>
        </row>
        <row r="151">
          <cell r="A151" t="str">
            <v xml:space="preserve">   Statuatory  Tax rate</v>
          </cell>
          <cell r="B151">
            <v>0</v>
          </cell>
          <cell r="D151">
            <v>0</v>
          </cell>
          <cell r="F151">
            <v>0</v>
          </cell>
          <cell r="H151">
            <v>0</v>
          </cell>
          <cell r="J151">
            <v>0</v>
          </cell>
          <cell r="L151">
            <v>0</v>
          </cell>
          <cell r="N151">
            <v>0</v>
          </cell>
          <cell r="P151">
            <v>0</v>
          </cell>
          <cell r="R151">
            <v>0</v>
          </cell>
          <cell r="T151">
            <v>0</v>
          </cell>
          <cell r="V151">
            <v>0</v>
          </cell>
          <cell r="X151">
            <v>0</v>
          </cell>
          <cell r="Z151">
            <v>0</v>
          </cell>
          <cell r="AB151">
            <v>0.36</v>
          </cell>
          <cell r="AD151">
            <v>0.36</v>
          </cell>
        </row>
        <row r="152">
          <cell r="A152" t="str">
            <v>Proceeds from option</v>
          </cell>
          <cell r="B152">
            <v>0.71648999999999996</v>
          </cell>
          <cell r="D152">
            <v>0.57420000000000004</v>
          </cell>
          <cell r="F152">
            <v>0.23867999999999998</v>
          </cell>
          <cell r="H152">
            <v>1.7596000000000001</v>
          </cell>
          <cell r="J152">
            <v>0.59528000000000003</v>
          </cell>
          <cell r="L152">
            <v>0.35879999999999995</v>
          </cell>
          <cell r="N152">
            <v>4.7444999999999995</v>
          </cell>
          <cell r="P152">
            <v>2.7241337499999991</v>
          </cell>
          <cell r="R152">
            <v>7.040837999999999</v>
          </cell>
          <cell r="T152">
            <v>9.0404359919999973</v>
          </cell>
          <cell r="V152">
            <v>5.374036950799999</v>
          </cell>
          <cell r="X152">
            <v>7.2227056618751986</v>
          </cell>
          <cell r="Z152">
            <v>9.3534038321283823</v>
          </cell>
          <cell r="AB152">
            <v>11.865460861328577</v>
          </cell>
          <cell r="AD152">
            <v>14.790296963646071</v>
          </cell>
        </row>
        <row r="153">
          <cell r="A153" t="str">
            <v>Tax Benefit from Options</v>
          </cell>
          <cell r="B153">
            <v>0</v>
          </cell>
          <cell r="D153">
            <v>0</v>
          </cell>
          <cell r="F153">
            <v>0</v>
          </cell>
          <cell r="H153">
            <v>0</v>
          </cell>
          <cell r="J153">
            <v>0</v>
          </cell>
          <cell r="L153">
            <v>0</v>
          </cell>
          <cell r="N153">
            <v>0</v>
          </cell>
          <cell r="P153">
            <v>0</v>
          </cell>
          <cell r="R153">
            <v>0</v>
          </cell>
          <cell r="T153">
            <v>0</v>
          </cell>
          <cell r="V153">
            <v>0</v>
          </cell>
          <cell r="X153">
            <v>0</v>
          </cell>
          <cell r="Z153">
            <v>0</v>
          </cell>
          <cell r="AB153">
            <v>3.7002012539462137</v>
          </cell>
          <cell r="AD153">
            <v>5.2747547143743905</v>
          </cell>
        </row>
        <row r="154">
          <cell r="A154" t="str">
            <v>Options Granted</v>
          </cell>
          <cell r="B154">
            <v>2.4929999999999999</v>
          </cell>
          <cell r="D154">
            <v>2.2000000000000002</v>
          </cell>
          <cell r="F154">
            <v>1.897</v>
          </cell>
          <cell r="H154">
            <v>1.9350000000000001</v>
          </cell>
          <cell r="J154">
            <v>2.1040000000000001</v>
          </cell>
          <cell r="L154">
            <v>2.6509999999999998</v>
          </cell>
          <cell r="N154">
            <v>3.1629999999999998</v>
          </cell>
          <cell r="P154">
            <v>3.3527799999999992</v>
          </cell>
          <cell r="R154">
            <v>3.7551135999999996</v>
          </cell>
          <cell r="T154">
            <v>4.0179715519999988</v>
          </cell>
          <cell r="V154">
            <v>4.2992295606399988</v>
          </cell>
          <cell r="X154">
            <v>4.8151371079167991</v>
          </cell>
          <cell r="Z154">
            <v>5.3448021897876465</v>
          </cell>
          <cell r="AB154">
            <v>5.9327304306642885</v>
          </cell>
          <cell r="AD154">
            <v>6.5734653171760318</v>
          </cell>
        </row>
        <row r="155">
          <cell r="A155" t="str">
            <v xml:space="preserve">     % of Outstanding Options</v>
          </cell>
          <cell r="B155">
            <v>0.30207197382769901</v>
          </cell>
          <cell r="D155">
            <v>0.21775710185093539</v>
          </cell>
          <cell r="F155">
            <v>0.16681322546605698</v>
          </cell>
          <cell r="H155">
            <v>0.15012801613779192</v>
          </cell>
          <cell r="J155">
            <v>0.15820738401383563</v>
          </cell>
          <cell r="L155">
            <v>0.19207361251992464</v>
          </cell>
          <cell r="N155">
            <v>0.2</v>
          </cell>
          <cell r="P155">
            <v>0.2</v>
          </cell>
          <cell r="R155">
            <v>0.2</v>
          </cell>
          <cell r="T155">
            <v>0.2</v>
          </cell>
          <cell r="V155">
            <v>0.2</v>
          </cell>
          <cell r="X155">
            <v>0.2</v>
          </cell>
          <cell r="Z155">
            <v>0.2</v>
          </cell>
          <cell r="AB155">
            <v>0.2</v>
          </cell>
          <cell r="AD155">
            <v>0.2</v>
          </cell>
        </row>
        <row r="156">
          <cell r="A156" t="str">
            <v>Option Balance (End of Year)</v>
          </cell>
          <cell r="B156">
            <v>10.103</v>
          </cell>
          <cell r="D156">
            <v>11.372</v>
          </cell>
          <cell r="F156">
            <v>12.888999999999999</v>
          </cell>
          <cell r="H156">
            <v>13.298999999999999</v>
          </cell>
          <cell r="J156">
            <v>13.802</v>
          </cell>
          <cell r="L156">
            <v>15.815</v>
          </cell>
          <cell r="N156">
            <v>16.763899999999996</v>
          </cell>
          <cell r="P156">
            <v>18.775567999999996</v>
          </cell>
          <cell r="R156">
            <v>20.089857759999994</v>
          </cell>
          <cell r="T156">
            <v>21.496147803199992</v>
          </cell>
          <cell r="V156">
            <v>24.075685539583993</v>
          </cell>
          <cell r="X156">
            <v>26.724010948938236</v>
          </cell>
          <cell r="Z156">
            <v>29.66365215332144</v>
          </cell>
          <cell r="AB156">
            <v>32.867326585880157</v>
          </cell>
          <cell r="AD156">
            <v>36.318395877397577</v>
          </cell>
        </row>
        <row r="158">
          <cell r="A158" t="str">
            <v>Shares Issued</v>
          </cell>
          <cell r="B158">
            <v>0</v>
          </cell>
          <cell r="D158">
            <v>0</v>
          </cell>
          <cell r="F158">
            <v>10.24</v>
          </cell>
          <cell r="H158">
            <v>0</v>
          </cell>
          <cell r="J158">
            <v>0</v>
          </cell>
          <cell r="L158">
            <v>13.094000000000001</v>
          </cell>
          <cell r="N158">
            <v>58.32</v>
          </cell>
          <cell r="P158">
            <v>0</v>
          </cell>
          <cell r="R158">
            <v>0</v>
          </cell>
          <cell r="T158">
            <v>15</v>
          </cell>
          <cell r="V158">
            <v>22</v>
          </cell>
          <cell r="X158">
            <v>15</v>
          </cell>
          <cell r="Z158">
            <v>10</v>
          </cell>
          <cell r="AB158">
            <v>0</v>
          </cell>
          <cell r="AD158">
            <v>0</v>
          </cell>
        </row>
        <row r="159">
          <cell r="A159" t="str">
            <v>Proceeds from share issuance</v>
          </cell>
          <cell r="B159">
            <v>0</v>
          </cell>
          <cell r="D159">
            <v>0</v>
          </cell>
          <cell r="F159">
            <v>50.156999999999996</v>
          </cell>
          <cell r="H159">
            <v>0</v>
          </cell>
          <cell r="J159">
            <v>0</v>
          </cell>
          <cell r="L159">
            <v>46.573</v>
          </cell>
          <cell r="N159">
            <v>204.666</v>
          </cell>
          <cell r="P159">
            <v>0</v>
          </cell>
          <cell r="R159">
            <v>0</v>
          </cell>
          <cell r="T159">
            <v>107.99999999999999</v>
          </cell>
          <cell r="V159">
            <v>190.07999999999998</v>
          </cell>
          <cell r="X159">
            <v>155.51999999999998</v>
          </cell>
          <cell r="Z159">
            <v>124.41599999999997</v>
          </cell>
          <cell r="AB159">
            <v>0</v>
          </cell>
          <cell r="AD159">
            <v>0</v>
          </cell>
        </row>
        <row r="160">
          <cell r="A160" t="str">
            <v>Shares Repurchased (mm)</v>
          </cell>
          <cell r="H160">
            <v>0</v>
          </cell>
          <cell r="J160">
            <v>0</v>
          </cell>
          <cell r="L160">
            <v>0</v>
          </cell>
          <cell r="N160">
            <v>0</v>
          </cell>
          <cell r="P160">
            <v>0</v>
          </cell>
          <cell r="R160">
            <v>0</v>
          </cell>
          <cell r="T160">
            <v>0</v>
          </cell>
          <cell r="V160">
            <v>0</v>
          </cell>
          <cell r="X160">
            <v>0</v>
          </cell>
          <cell r="Z160">
            <v>0</v>
          </cell>
          <cell r="AB160">
            <v>0</v>
          </cell>
          <cell r="AD160">
            <v>0</v>
          </cell>
        </row>
        <row r="161">
          <cell r="A161" t="str">
            <v>Share Repurchase Cost</v>
          </cell>
          <cell r="B161">
            <v>0.95799999999999996</v>
          </cell>
          <cell r="D161">
            <v>0.88600000000000001</v>
          </cell>
          <cell r="F161">
            <v>9.1999999999999998E-2</v>
          </cell>
          <cell r="H161">
            <v>8.8600000000000248E-2</v>
          </cell>
          <cell r="J161">
            <v>0</v>
          </cell>
          <cell r="L161">
            <v>0</v>
          </cell>
          <cell r="N161">
            <v>0</v>
          </cell>
          <cell r="P161">
            <v>0</v>
          </cell>
          <cell r="R161">
            <v>0</v>
          </cell>
          <cell r="T161">
            <v>0</v>
          </cell>
          <cell r="V161">
            <v>0</v>
          </cell>
          <cell r="X161">
            <v>0</v>
          </cell>
          <cell r="Z161">
            <v>0</v>
          </cell>
          <cell r="AB161">
            <v>0</v>
          </cell>
          <cell r="AD161">
            <v>0</v>
          </cell>
        </row>
        <row r="162">
          <cell r="A162" t="str">
            <v>Conversion of Convertible Subordinated Debt/Share Issuance from Acquisitions</v>
          </cell>
          <cell r="N162">
            <v>0</v>
          </cell>
        </row>
        <row r="163">
          <cell r="A163" t="str">
            <v>Stock Compensation Expense</v>
          </cell>
          <cell r="L163">
            <v>7.03</v>
          </cell>
          <cell r="N163">
            <v>7.9260000000000002</v>
          </cell>
          <cell r="P163">
            <v>6</v>
          </cell>
          <cell r="R163">
            <v>8</v>
          </cell>
          <cell r="T163">
            <v>10</v>
          </cell>
          <cell r="V163">
            <v>12</v>
          </cell>
          <cell r="X163">
            <v>14</v>
          </cell>
          <cell r="Z163">
            <v>16</v>
          </cell>
          <cell r="AB163">
            <v>18</v>
          </cell>
          <cell r="AD163">
            <v>18.559999999999999</v>
          </cell>
        </row>
        <row r="164">
          <cell r="A164" t="str">
            <v>Total Change in APIC</v>
          </cell>
          <cell r="B164">
            <v>-0.24151</v>
          </cell>
          <cell r="D164">
            <v>-0.31179999999999997</v>
          </cell>
          <cell r="F164">
            <v>50.30368</v>
          </cell>
          <cell r="H164">
            <v>1.6709999999999998</v>
          </cell>
          <cell r="J164">
            <v>0.59528000000000003</v>
          </cell>
          <cell r="L164">
            <v>53.961800000000004</v>
          </cell>
          <cell r="N164">
            <v>217.33649999999997</v>
          </cell>
          <cell r="P164">
            <v>8.72413375</v>
          </cell>
          <cell r="R164">
            <v>15.040837999999999</v>
          </cell>
          <cell r="T164">
            <v>127.04043599199998</v>
          </cell>
          <cell r="V164">
            <v>207.45403695079997</v>
          </cell>
          <cell r="X164">
            <v>176.74270566187519</v>
          </cell>
          <cell r="Z164">
            <v>149.76940383212835</v>
          </cell>
          <cell r="AB164">
            <v>33.56566211527479</v>
          </cell>
          <cell r="AD164">
            <v>38.625051678020455</v>
          </cell>
          <cell r="AH164" t="str">
            <v>mstag:netIssuanceRepurchaseOfCommonStock</v>
          </cell>
          <cell r="AI164">
            <v>6</v>
          </cell>
          <cell r="AJ164" t="str">
            <v>ISO4217:USD</v>
          </cell>
          <cell r="AK164" t="b">
            <v>0</v>
          </cell>
          <cell r="AL164" t="b">
            <v>0</v>
          </cell>
        </row>
        <row r="165">
          <cell r="A165" t="str">
            <v>Beginning Period Shares</v>
          </cell>
          <cell r="B165">
            <v>48.271999999999998</v>
          </cell>
          <cell r="D165">
            <v>52.021999999999998</v>
          </cell>
          <cell r="F165">
            <v>52.366999999999997</v>
          </cell>
          <cell r="H165">
            <v>62.826999999999998</v>
          </cell>
          <cell r="J165">
            <v>63.491</v>
          </cell>
          <cell r="L165">
            <v>64.554000000000002</v>
          </cell>
          <cell r="N165">
            <v>77.804000000000002</v>
          </cell>
          <cell r="P165">
            <v>137.7055</v>
          </cell>
          <cell r="R165">
            <v>138.54369500000001</v>
          </cell>
          <cell r="T165">
            <v>140.42125180000002</v>
          </cell>
          <cell r="V165">
            <v>157.43023757600002</v>
          </cell>
          <cell r="X165">
            <v>180.50504496616003</v>
          </cell>
          <cell r="Z165">
            <v>196.70882924313923</v>
          </cell>
          <cell r="AB165">
            <v>208.04502979058614</v>
          </cell>
          <cell r="AD165">
            <v>209.52821239825221</v>
          </cell>
        </row>
        <row r="166">
          <cell r="A166" t="str">
            <v>End of Period Shares</v>
          </cell>
          <cell r="B166">
            <v>52.021999999999998</v>
          </cell>
          <cell r="D166">
            <v>52.366999999999997</v>
          </cell>
          <cell r="F166">
            <v>62.826999999999998</v>
          </cell>
          <cell r="H166">
            <v>63.491</v>
          </cell>
          <cell r="J166">
            <v>64.554000000000002</v>
          </cell>
          <cell r="L166">
            <v>77.804000000000002</v>
          </cell>
          <cell r="N166">
            <v>137.7055</v>
          </cell>
          <cell r="P166">
            <v>138.54369500000001</v>
          </cell>
          <cell r="R166">
            <v>140.42125180000002</v>
          </cell>
          <cell r="T166">
            <v>157.43023757600002</v>
          </cell>
          <cell r="V166">
            <v>180.50504496616003</v>
          </cell>
          <cell r="X166">
            <v>196.70882924313923</v>
          </cell>
          <cell r="Z166">
            <v>208.04502979058614</v>
          </cell>
          <cell r="AB166">
            <v>209.52821239825221</v>
          </cell>
          <cell r="AD166">
            <v>211.1715787275462</v>
          </cell>
          <cell r="AH166" t="str">
            <v>mstag:periodEndBasicSharesOutstanding</v>
          </cell>
          <cell r="AI166">
            <v>6</v>
          </cell>
          <cell r="AJ166" t="str">
            <v>ms_eqr_gcim_Decimal:ms_eqr_gcim_decimal</v>
          </cell>
          <cell r="AK166" t="b">
            <v>0</v>
          </cell>
          <cell r="AL166" t="b">
            <v>0</v>
          </cell>
        </row>
        <row r="167">
          <cell r="A167" t="str">
            <v xml:space="preserve">Average Shares Outstanding-basic </v>
          </cell>
          <cell r="B167">
            <v>50.213000000000001</v>
          </cell>
          <cell r="D167">
            <v>52.262999999999998</v>
          </cell>
          <cell r="F167">
            <v>56.82</v>
          </cell>
          <cell r="H167">
            <v>63.326250000000002</v>
          </cell>
          <cell r="J167">
            <v>63.962000000000003</v>
          </cell>
          <cell r="L167">
            <v>71.179000000000002</v>
          </cell>
          <cell r="N167">
            <v>107.75475</v>
          </cell>
          <cell r="P167">
            <v>138.12459749999999</v>
          </cell>
          <cell r="R167">
            <v>139.4824734</v>
          </cell>
          <cell r="T167">
            <v>148.92574468800001</v>
          </cell>
          <cell r="V167">
            <v>168.96764127108003</v>
          </cell>
          <cell r="X167">
            <v>188.60693710464963</v>
          </cell>
          <cell r="Z167">
            <v>202.37692951686267</v>
          </cell>
          <cell r="AB167">
            <v>208.78662109441916</v>
          </cell>
          <cell r="AD167">
            <v>210.34989556289921</v>
          </cell>
        </row>
        <row r="168">
          <cell r="A168" t="str">
            <v>Average Shares Outstanding-diluted</v>
          </cell>
          <cell r="B168">
            <v>50.213000000000001</v>
          </cell>
          <cell r="D168">
            <v>52.262999999999998</v>
          </cell>
          <cell r="F168">
            <v>56.82</v>
          </cell>
          <cell r="H168">
            <v>63.326250000000002</v>
          </cell>
          <cell r="J168">
            <v>63.962000000000003</v>
          </cell>
          <cell r="L168">
            <v>71.179000000000002</v>
          </cell>
          <cell r="N168">
            <v>107.75475</v>
          </cell>
          <cell r="P168">
            <v>138.12459749999999</v>
          </cell>
          <cell r="R168">
            <v>139.4824734</v>
          </cell>
          <cell r="T168">
            <v>148.92574468800001</v>
          </cell>
          <cell r="V168">
            <v>168.96764127108003</v>
          </cell>
          <cell r="X168">
            <v>188.60693710464963</v>
          </cell>
          <cell r="Z168">
            <v>202.37692951686267</v>
          </cell>
          <cell r="AB168">
            <v>208.78662109441916</v>
          </cell>
          <cell r="AD168">
            <v>216.86652911538462</v>
          </cell>
        </row>
        <row r="170">
          <cell r="A170" t="str">
            <v>Retained Earnings</v>
          </cell>
        </row>
        <row r="171">
          <cell r="A171" t="str">
            <v>Retained Earnings:  Beg. of Period</v>
          </cell>
          <cell r="B171">
            <v>-54.902999999999999</v>
          </cell>
          <cell r="D171">
            <v>-90.075000000000003</v>
          </cell>
          <cell r="F171">
            <v>-149.745</v>
          </cell>
          <cell r="H171">
            <v>-213.94300000000001</v>
          </cell>
          <cell r="J171">
            <v>-261.11500000000001</v>
          </cell>
          <cell r="L171">
            <v>-297.43</v>
          </cell>
          <cell r="N171">
            <v>-351.71634823708143</v>
          </cell>
          <cell r="P171">
            <v>-410.51034823708142</v>
          </cell>
          <cell r="R171">
            <v>-505.89632423181189</v>
          </cell>
          <cell r="T171">
            <v>-616.10107563562281</v>
          </cell>
          <cell r="V171">
            <v>-738.59516989134772</v>
          </cell>
          <cell r="X171">
            <v>-977.49573975821181</v>
          </cell>
          <cell r="Z171">
            <v>-1153.5829795423233</v>
          </cell>
          <cell r="AB171">
            <v>-1297.9373278082242</v>
          </cell>
          <cell r="AD171">
            <v>-1328.5565607571084</v>
          </cell>
        </row>
        <row r="172">
          <cell r="A172" t="str">
            <v>Net income</v>
          </cell>
          <cell r="B172">
            <v>-35.171999999999997</v>
          </cell>
          <cell r="D172">
            <v>-59.669999999999987</v>
          </cell>
          <cell r="F172">
            <v>-64.197999999999993</v>
          </cell>
          <cell r="H172">
            <v>-47.171999999999997</v>
          </cell>
          <cell r="J172">
            <v>-36.314999999999998</v>
          </cell>
          <cell r="L172">
            <v>-54.28634823708142</v>
          </cell>
          <cell r="N172">
            <v>-58.794000000000011</v>
          </cell>
          <cell r="P172">
            <v>-95.385975994730487</v>
          </cell>
          <cell r="R172">
            <v>-110.20475140381096</v>
          </cell>
          <cell r="T172">
            <v>-122.49409425572497</v>
          </cell>
          <cell r="V172">
            <v>-238.90056986686415</v>
          </cell>
          <cell r="X172">
            <v>-176.08723978411149</v>
          </cell>
          <cell r="Z172">
            <v>-144.3543482659008</v>
          </cell>
          <cell r="AB172">
            <v>-30.619232948884342</v>
          </cell>
          <cell r="AD172">
            <v>82.156428826520255</v>
          </cell>
        </row>
        <row r="173">
          <cell r="A173" t="str">
            <v>Dividend Payout Ratio</v>
          </cell>
          <cell r="B173">
            <v>0</v>
          </cell>
          <cell r="D173">
            <v>0</v>
          </cell>
          <cell r="F173">
            <v>0</v>
          </cell>
          <cell r="H173">
            <v>0</v>
          </cell>
          <cell r="J173">
            <v>0</v>
          </cell>
          <cell r="L173">
            <v>0</v>
          </cell>
          <cell r="N173">
            <v>0</v>
          </cell>
          <cell r="P173">
            <v>0</v>
          </cell>
          <cell r="R173">
            <v>0</v>
          </cell>
          <cell r="T173">
            <v>0</v>
          </cell>
          <cell r="V173">
            <v>0</v>
          </cell>
          <cell r="X173">
            <v>0</v>
          </cell>
          <cell r="Z173">
            <v>0</v>
          </cell>
          <cell r="AB173">
            <v>0</v>
          </cell>
          <cell r="AD173">
            <v>0</v>
          </cell>
        </row>
        <row r="174">
          <cell r="A174" t="str">
            <v>Dividends</v>
          </cell>
          <cell r="B174">
            <v>0</v>
          </cell>
          <cell r="D174">
            <v>0</v>
          </cell>
          <cell r="F174">
            <v>0</v>
          </cell>
          <cell r="H174">
            <v>0</v>
          </cell>
          <cell r="J174">
            <v>0</v>
          </cell>
          <cell r="L174">
            <v>0</v>
          </cell>
          <cell r="N174">
            <v>0</v>
          </cell>
          <cell r="P174">
            <v>0</v>
          </cell>
          <cell r="R174">
            <v>0</v>
          </cell>
          <cell r="T174">
            <v>0</v>
          </cell>
          <cell r="V174">
            <v>0</v>
          </cell>
          <cell r="X174">
            <v>0</v>
          </cell>
          <cell r="Z174">
            <v>0</v>
          </cell>
          <cell r="AB174">
            <v>0</v>
          </cell>
          <cell r="AD174">
            <v>0</v>
          </cell>
          <cell r="AH174" t="str">
            <v>mstag:commonDividends</v>
          </cell>
          <cell r="AI174">
            <v>6</v>
          </cell>
          <cell r="AJ174" t="str">
            <v>ISO4217:USD</v>
          </cell>
          <cell r="AK174" t="b">
            <v>0</v>
          </cell>
          <cell r="AL174" t="b">
            <v>0</v>
          </cell>
        </row>
        <row r="175">
          <cell r="A175" t="str">
            <v>Retained Earnings:  End. of Period</v>
          </cell>
          <cell r="B175">
            <v>-90.075000000000003</v>
          </cell>
          <cell r="D175">
            <v>-149.745</v>
          </cell>
          <cell r="F175">
            <v>-213.94300000000001</v>
          </cell>
          <cell r="H175">
            <v>-261.11500000000001</v>
          </cell>
          <cell r="J175">
            <v>-297.43</v>
          </cell>
          <cell r="L175">
            <v>-351.71634823708143</v>
          </cell>
          <cell r="N175">
            <v>-410.51034823708142</v>
          </cell>
          <cell r="P175">
            <v>-505.89632423181189</v>
          </cell>
          <cell r="R175">
            <v>-616.10107563562281</v>
          </cell>
          <cell r="T175">
            <v>-738.59516989134772</v>
          </cell>
          <cell r="V175">
            <v>-977.49573975821181</v>
          </cell>
          <cell r="X175">
            <v>-1153.5829795423233</v>
          </cell>
          <cell r="Z175">
            <v>-1297.9373278082242</v>
          </cell>
          <cell r="AB175">
            <v>-1328.5565607571084</v>
          </cell>
          <cell r="AD175">
            <v>-1246.400131930588</v>
          </cell>
        </row>
      </sheetData>
      <sheetData sheetId="3"/>
      <sheetData sheetId="4">
        <row r="1">
          <cell r="A1" t="str">
            <v>Lexicon Genetics Cash Flow Statements</v>
          </cell>
          <cell r="AG1" t="str">
            <v>ElementName</v>
          </cell>
          <cell r="AH1" t="str">
            <v>ScaleOverride</v>
          </cell>
          <cell r="AI1" t="str">
            <v>UnitOverride</v>
          </cell>
          <cell r="AJ1" t="str">
            <v>ReverseSign</v>
          </cell>
          <cell r="AK1" t="str">
            <v>IsDrivingAssumption</v>
          </cell>
          <cell r="AL1" t="str">
            <v>SegmentID</v>
          </cell>
        </row>
        <row r="2">
          <cell r="A2" t="str">
            <v>(Dollars in millions)</v>
          </cell>
        </row>
        <row r="4">
          <cell r="B4" t="str">
            <v>2001A</v>
          </cell>
          <cell r="D4" t="str">
            <v>2002A</v>
          </cell>
          <cell r="F4" t="str">
            <v>2003A</v>
          </cell>
          <cell r="H4" t="str">
            <v>2004A</v>
          </cell>
          <cell r="J4" t="str">
            <v>2005A</v>
          </cell>
          <cell r="L4" t="str">
            <v>2006A</v>
          </cell>
          <cell r="N4" t="str">
            <v>2007E</v>
          </cell>
          <cell r="P4" t="str">
            <v>2008E</v>
          </cell>
          <cell r="R4" t="str">
            <v>2009E</v>
          </cell>
          <cell r="T4" t="str">
            <v>2010E</v>
          </cell>
          <cell r="V4" t="str">
            <v>2011E</v>
          </cell>
          <cell r="X4" t="str">
            <v>2012E</v>
          </cell>
          <cell r="Z4" t="str">
            <v>2013E</v>
          </cell>
          <cell r="AB4" t="str">
            <v>2014E</v>
          </cell>
          <cell r="AD4" t="str">
            <v>2015E</v>
          </cell>
        </row>
        <row r="5">
          <cell r="A5" t="str">
            <v>CASH FLOWS FROM OPERATING ACTIVITIES</v>
          </cell>
        </row>
        <row r="6">
          <cell r="A6" t="str">
            <v>Net Income (Loss)</v>
          </cell>
          <cell r="B6">
            <v>-35.171999999999997</v>
          </cell>
          <cell r="D6">
            <v>-59.669999999999987</v>
          </cell>
          <cell r="F6">
            <v>-64.197999999999993</v>
          </cell>
          <cell r="H6">
            <v>-47.171999999999997</v>
          </cell>
          <cell r="J6">
            <v>-36.314999999999998</v>
          </cell>
          <cell r="L6">
            <v>-54.28634823708142</v>
          </cell>
          <cell r="N6">
            <v>-58.794000000000011</v>
          </cell>
          <cell r="P6">
            <v>-95.385975994730487</v>
          </cell>
          <cell r="R6">
            <v>-110.20475140381096</v>
          </cell>
          <cell r="T6">
            <v>-122.49409425572497</v>
          </cell>
          <cell r="V6">
            <v>-238.90056986686415</v>
          </cell>
          <cell r="X6">
            <v>-176.08723978411149</v>
          </cell>
          <cell r="Z6">
            <v>-144.3543482659008</v>
          </cell>
          <cell r="AB6">
            <v>-30.619232948884342</v>
          </cell>
          <cell r="AD6">
            <v>82.156428826520255</v>
          </cell>
          <cell r="AG6" t="str">
            <v>mstag:netIncomeReported</v>
          </cell>
          <cell r="AH6">
            <v>6</v>
          </cell>
          <cell r="AI6" t="str">
            <v>ISO4217:USD</v>
          </cell>
          <cell r="AJ6" t="b">
            <v>0</v>
          </cell>
          <cell r="AK6" t="b">
            <v>0</v>
          </cell>
        </row>
        <row r="7">
          <cell r="A7" t="str">
            <v>Depreciation &amp; Amortization</v>
          </cell>
          <cell r="B7">
            <v>5.7799999999999994</v>
          </cell>
          <cell r="D7">
            <v>10.311</v>
          </cell>
          <cell r="F7">
            <v>11.414999999999999</v>
          </cell>
          <cell r="H7">
            <v>12.033999999999999</v>
          </cell>
          <cell r="J7">
            <v>11.635</v>
          </cell>
          <cell r="L7">
            <v>11.201000000000001</v>
          </cell>
          <cell r="N7">
            <v>6.7985622529644276</v>
          </cell>
          <cell r="P7">
            <v>6.9540220326380462</v>
          </cell>
          <cell r="R7">
            <v>7.1162594382554918</v>
          </cell>
          <cell r="T7">
            <v>7.289864790351972</v>
          </cell>
          <cell r="V7">
            <v>7.4732118716356153</v>
          </cell>
          <cell r="X7">
            <v>7.6643705342926882</v>
          </cell>
          <cell r="Z7">
            <v>8.2578067578617933</v>
          </cell>
          <cell r="AB7">
            <v>8.8254670318707653</v>
          </cell>
          <cell r="AD7">
            <v>9.4946442459864908</v>
          </cell>
        </row>
        <row r="8">
          <cell r="A8" t="str">
            <v xml:space="preserve">     Depreciation</v>
          </cell>
          <cell r="B8">
            <v>5.22</v>
          </cell>
          <cell r="D8">
            <v>9.1110000000000007</v>
          </cell>
          <cell r="F8">
            <v>10.215</v>
          </cell>
          <cell r="H8">
            <v>10.834</v>
          </cell>
          <cell r="J8">
            <v>10.456</v>
          </cell>
          <cell r="L8">
            <v>10.561</v>
          </cell>
          <cell r="N8">
            <v>6.7985622529644276</v>
          </cell>
          <cell r="P8">
            <v>6.9540220326380462</v>
          </cell>
          <cell r="R8">
            <v>7.1162594382554918</v>
          </cell>
          <cell r="T8">
            <v>7.289864790351972</v>
          </cell>
          <cell r="V8">
            <v>7.4732118716356153</v>
          </cell>
          <cell r="X8">
            <v>7.6643705342926882</v>
          </cell>
          <cell r="Z8">
            <v>8.2578067578617933</v>
          </cell>
          <cell r="AB8">
            <v>8.8254670318707653</v>
          </cell>
          <cell r="AD8">
            <v>9.4946442459864908</v>
          </cell>
          <cell r="AG8" t="str">
            <v>mstag:depreciation</v>
          </cell>
          <cell r="AH8">
            <v>6</v>
          </cell>
          <cell r="AI8" t="str">
            <v>ISO4217:USD</v>
          </cell>
          <cell r="AJ8" t="b">
            <v>0</v>
          </cell>
          <cell r="AK8" t="b">
            <v>0</v>
          </cell>
        </row>
        <row r="9">
          <cell r="A9" t="str">
            <v xml:space="preserve">     Amortization</v>
          </cell>
          <cell r="B9">
            <v>0.56000000000000005</v>
          </cell>
          <cell r="D9">
            <v>1.2</v>
          </cell>
          <cell r="F9">
            <v>1.2</v>
          </cell>
          <cell r="H9">
            <v>1.2</v>
          </cell>
          <cell r="J9">
            <v>1.179</v>
          </cell>
          <cell r="L9">
            <v>0.64</v>
          </cell>
          <cell r="N9">
            <v>0</v>
          </cell>
          <cell r="P9">
            <v>0</v>
          </cell>
          <cell r="R9">
            <v>0</v>
          </cell>
          <cell r="T9">
            <v>0</v>
          </cell>
          <cell r="V9">
            <v>0</v>
          </cell>
          <cell r="X9">
            <v>0</v>
          </cell>
          <cell r="Z9">
            <v>0</v>
          </cell>
          <cell r="AB9">
            <v>0</v>
          </cell>
          <cell r="AD9">
            <v>0</v>
          </cell>
          <cell r="AG9" t="str">
            <v>mstag:amortizationOfOtherIntangibles</v>
          </cell>
          <cell r="AH9">
            <v>6</v>
          </cell>
          <cell r="AI9" t="str">
            <v>ISO4217:USD</v>
          </cell>
          <cell r="AJ9" t="b">
            <v>0</v>
          </cell>
          <cell r="AK9" t="b">
            <v>0</v>
          </cell>
        </row>
        <row r="10">
          <cell r="A10" t="str">
            <v>Tax Benefit from Exercise of Options</v>
          </cell>
          <cell r="B10">
            <v>0</v>
          </cell>
          <cell r="D10">
            <v>0</v>
          </cell>
          <cell r="F10">
            <v>0</v>
          </cell>
          <cell r="H10">
            <v>0</v>
          </cell>
          <cell r="J10">
            <v>0</v>
          </cell>
          <cell r="L10">
            <v>0</v>
          </cell>
          <cell r="N10">
            <v>0</v>
          </cell>
          <cell r="P10">
            <v>0</v>
          </cell>
          <cell r="R10">
            <v>0</v>
          </cell>
          <cell r="T10">
            <v>0</v>
          </cell>
          <cell r="V10">
            <v>0</v>
          </cell>
          <cell r="X10">
            <v>0</v>
          </cell>
          <cell r="Z10">
            <v>0</v>
          </cell>
          <cell r="AB10">
            <v>0</v>
          </cell>
          <cell r="AD10">
            <v>0</v>
          </cell>
          <cell r="AG10" t="str">
            <v>mstag:taxBenefitFromExerciseOfEsosCashFlowStatement</v>
          </cell>
          <cell r="AH10">
            <v>6</v>
          </cell>
          <cell r="AI10" t="str">
            <v>ISO4217:USD</v>
          </cell>
          <cell r="AJ10" t="b">
            <v>0</v>
          </cell>
          <cell r="AK10" t="b">
            <v>0</v>
          </cell>
        </row>
        <row r="11">
          <cell r="A11" t="str">
            <v>Stock Compensation Expense</v>
          </cell>
          <cell r="H11">
            <v>0</v>
          </cell>
          <cell r="J11">
            <v>0</v>
          </cell>
          <cell r="L11">
            <v>7.03</v>
          </cell>
          <cell r="N11">
            <v>7.9260000000000002</v>
          </cell>
          <cell r="P11">
            <v>6</v>
          </cell>
          <cell r="R11">
            <v>8</v>
          </cell>
          <cell r="T11">
            <v>10</v>
          </cell>
          <cell r="V11">
            <v>12</v>
          </cell>
          <cell r="X11">
            <v>14</v>
          </cell>
          <cell r="Z11">
            <v>16</v>
          </cell>
          <cell r="AB11">
            <v>18</v>
          </cell>
          <cell r="AD11">
            <v>18.559999999999999</v>
          </cell>
          <cell r="AG11" t="str">
            <v>mstag:otherCashFlow</v>
          </cell>
          <cell r="AH11">
            <v>6</v>
          </cell>
          <cell r="AI11" t="str">
            <v>ISO4217:USD</v>
          </cell>
          <cell r="AJ11" t="b">
            <v>0</v>
          </cell>
          <cell r="AK11" t="b">
            <v>0</v>
          </cell>
        </row>
        <row r="12">
          <cell r="A12" t="str">
            <v>Amortization of Deferred Compensation</v>
          </cell>
          <cell r="B12">
            <v>10.77</v>
          </cell>
          <cell r="D12">
            <v>10.268000000000001</v>
          </cell>
          <cell r="F12">
            <v>10.115</v>
          </cell>
          <cell r="H12">
            <v>0.83799999999999997</v>
          </cell>
          <cell r="I12">
            <v>0</v>
          </cell>
          <cell r="J12">
            <v>0</v>
          </cell>
          <cell r="K12">
            <v>0</v>
          </cell>
          <cell r="L12">
            <v>2E-3</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G12" t="str">
            <v>mstag:stockBasedCompensationChargePreTax</v>
          </cell>
          <cell r="AH12">
            <v>6</v>
          </cell>
          <cell r="AI12" t="str">
            <v>ISO4217:USD</v>
          </cell>
          <cell r="AJ12" t="b">
            <v>0</v>
          </cell>
          <cell r="AK12" t="b">
            <v>0</v>
          </cell>
        </row>
        <row r="13">
          <cell r="A13" t="str">
            <v>Loss on Sale of Long-term Investments</v>
          </cell>
          <cell r="B13">
            <v>0</v>
          </cell>
          <cell r="D13">
            <v>0.19700000000000001</v>
          </cell>
          <cell r="F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G13" t="str">
            <v>mstag:incomeLossFromInvestmentsAccountedForUnderTheEquityMethodOperating</v>
          </cell>
          <cell r="AH13">
            <v>6</v>
          </cell>
          <cell r="AI13" t="str">
            <v>ISO4217:USD</v>
          </cell>
          <cell r="AJ13" t="b">
            <v>1</v>
          </cell>
          <cell r="AK13" t="b">
            <v>0</v>
          </cell>
        </row>
        <row r="14">
          <cell r="A14" t="str">
            <v>(Gain) loss on Disposal of Property and Equipment, net</v>
          </cell>
          <cell r="B14">
            <v>0</v>
          </cell>
          <cell r="D14">
            <v>0</v>
          </cell>
          <cell r="F14">
            <v>-1.7999999999999999E-2</v>
          </cell>
          <cell r="H14">
            <v>-1.0999999999999999E-2</v>
          </cell>
          <cell r="I14">
            <v>0</v>
          </cell>
          <cell r="J14">
            <v>0.01</v>
          </cell>
          <cell r="K14">
            <v>0</v>
          </cell>
          <cell r="L14">
            <v>3.5000000000000003E-2</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G14" t="str">
            <v>mstag:gainsLossesFromSaleOfOperatingAssetsOneTime</v>
          </cell>
          <cell r="AH14">
            <v>6</v>
          </cell>
          <cell r="AI14" t="str">
            <v>ISO4217:USD</v>
          </cell>
          <cell r="AJ14" t="b">
            <v>1</v>
          </cell>
          <cell r="AK14" t="b">
            <v>0</v>
          </cell>
        </row>
        <row r="15">
          <cell r="A15" t="str">
            <v>Cumulative effect of change in accounting</v>
          </cell>
          <cell r="B15">
            <v>0</v>
          </cell>
          <cell r="D15">
            <v>0</v>
          </cell>
          <cell r="F15">
            <v>3.0760000000000001</v>
          </cell>
          <cell r="H15">
            <v>0</v>
          </cell>
          <cell r="J15">
            <v>0</v>
          </cell>
          <cell r="L15">
            <v>0</v>
          </cell>
          <cell r="N15">
            <v>0</v>
          </cell>
          <cell r="P15">
            <v>0</v>
          </cell>
          <cell r="R15">
            <v>0</v>
          </cell>
          <cell r="T15">
            <v>0</v>
          </cell>
          <cell r="V15">
            <v>0</v>
          </cell>
          <cell r="X15">
            <v>0</v>
          </cell>
          <cell r="Z15">
            <v>0</v>
          </cell>
          <cell r="AB15">
            <v>0</v>
          </cell>
          <cell r="AD15">
            <v>0</v>
          </cell>
          <cell r="AG15" t="str">
            <v>mstag:restructuringCostsOneTimeCashFlowStatement</v>
          </cell>
          <cell r="AH15">
            <v>6</v>
          </cell>
          <cell r="AI15" t="str">
            <v>ISO4217:USD</v>
          </cell>
          <cell r="AJ15" t="b">
            <v>0</v>
          </cell>
          <cell r="AK15" t="b">
            <v>0</v>
          </cell>
        </row>
        <row r="16">
          <cell r="A16" t="str">
            <v>Changes in operating assets and liabilities</v>
          </cell>
        </row>
        <row r="17">
          <cell r="A17" t="str">
            <v xml:space="preserve">     net of the acquisition:</v>
          </cell>
        </row>
        <row r="18">
          <cell r="A18" t="str">
            <v>Increase in Receivables</v>
          </cell>
          <cell r="B18">
            <v>-1.409</v>
          </cell>
          <cell r="D18">
            <v>-0.59899999999999998</v>
          </cell>
          <cell r="F18">
            <v>-1.4279999999999999</v>
          </cell>
          <cell r="H18">
            <v>0.17399999999999999</v>
          </cell>
          <cell r="J18">
            <v>3.7890000000000001</v>
          </cell>
          <cell r="L18">
            <v>1.423</v>
          </cell>
          <cell r="N18">
            <v>-1.8210799999999994</v>
          </cell>
          <cell r="P18">
            <v>1.2070799999999993</v>
          </cell>
          <cell r="R18">
            <v>-0.45620000000000016</v>
          </cell>
          <cell r="T18">
            <v>-0.26361866666666689</v>
          </cell>
          <cell r="V18">
            <v>-0.11832426666666684</v>
          </cell>
          <cell r="X18">
            <v>-1.2896251306666673</v>
          </cell>
          <cell r="Z18">
            <v>-12.193310722559996</v>
          </cell>
          <cell r="AB18">
            <v>-9.0223274126677353</v>
          </cell>
          <cell r="AD18">
            <v>-13.911802914635778</v>
          </cell>
          <cell r="AG18" t="str">
            <v>mstag:netDecreaseInTradeReceivables</v>
          </cell>
          <cell r="AH18">
            <v>6</v>
          </cell>
          <cell r="AI18" t="str">
            <v>ISO4217:USD</v>
          </cell>
          <cell r="AJ18" t="b">
            <v>0</v>
          </cell>
          <cell r="AK18" t="b">
            <v>0</v>
          </cell>
        </row>
        <row r="19">
          <cell r="A19" t="str">
            <v>Inventories</v>
          </cell>
          <cell r="B19">
            <v>0</v>
          </cell>
          <cell r="D19">
            <v>0</v>
          </cell>
          <cell r="F19">
            <v>0</v>
          </cell>
          <cell r="H19">
            <v>0</v>
          </cell>
          <cell r="J19">
            <v>0</v>
          </cell>
          <cell r="L19">
            <v>0</v>
          </cell>
          <cell r="N19">
            <v>0</v>
          </cell>
          <cell r="P19">
            <v>0</v>
          </cell>
          <cell r="R19">
            <v>0</v>
          </cell>
          <cell r="T19">
            <v>0</v>
          </cell>
          <cell r="V19">
            <v>0</v>
          </cell>
          <cell r="X19">
            <v>0</v>
          </cell>
          <cell r="Z19">
            <v>-5.4749999999999996</v>
          </cell>
          <cell r="AB19">
            <v>-8.6437500000000025</v>
          </cell>
          <cell r="AD19">
            <v>-9.5562500000000021</v>
          </cell>
          <cell r="AG19" t="str">
            <v>mstag:netDecreaseInInventories</v>
          </cell>
          <cell r="AH19">
            <v>6</v>
          </cell>
          <cell r="AI19" t="str">
            <v>ISO4217:USD</v>
          </cell>
          <cell r="AJ19" t="b">
            <v>0</v>
          </cell>
          <cell r="AK19" t="b">
            <v>0</v>
          </cell>
        </row>
        <row r="20">
          <cell r="A20" t="str">
            <v>(Increase) Decrease in Prepaid Expenses and Other Current Assets</v>
          </cell>
          <cell r="B20">
            <v>-2.5310000000000001</v>
          </cell>
          <cell r="D20">
            <v>0.48399999999999999</v>
          </cell>
          <cell r="F20">
            <v>0.96</v>
          </cell>
          <cell r="H20">
            <v>-0.86</v>
          </cell>
          <cell r="J20">
            <v>1.0489999999999999</v>
          </cell>
          <cell r="L20">
            <v>-0.623</v>
          </cell>
          <cell r="N20">
            <v>1.8611</v>
          </cell>
          <cell r="P20">
            <v>1.0059</v>
          </cell>
          <cell r="R20">
            <v>-5.600000000000005E-2</v>
          </cell>
          <cell r="T20">
            <v>-8.7360000000000326E-2</v>
          </cell>
          <cell r="V20">
            <v>-7.7167999999999903E-2</v>
          </cell>
          <cell r="X20">
            <v>-6.4821120000000176E-2</v>
          </cell>
          <cell r="Z20">
            <v>-5.5424139648000006</v>
          </cell>
          <cell r="AB20">
            <v>-9.0701105233919996</v>
          </cell>
          <cell r="AD20">
            <v>-9.0729149443276818</v>
          </cell>
          <cell r="AG20" t="str">
            <v>mstag:netDecreaseInPrepaidExpenses</v>
          </cell>
          <cell r="AH20">
            <v>6</v>
          </cell>
          <cell r="AI20" t="str">
            <v>ISO4217:USD</v>
          </cell>
          <cell r="AJ20" t="b">
            <v>0</v>
          </cell>
          <cell r="AK20" t="b">
            <v>0</v>
          </cell>
        </row>
        <row r="21">
          <cell r="A21" t="str">
            <v>(Increase) Decrease in Other Assets</v>
          </cell>
          <cell r="B21">
            <v>-4.9189999999999996</v>
          </cell>
          <cell r="D21">
            <v>3.9649999999999999</v>
          </cell>
          <cell r="F21">
            <v>1.06</v>
          </cell>
          <cell r="H21">
            <v>-0.84099999999999997</v>
          </cell>
          <cell r="J21">
            <v>5.7000000000000002E-2</v>
          </cell>
          <cell r="L21">
            <v>0.24</v>
          </cell>
          <cell r="N21">
            <v>-0.21320660000000002</v>
          </cell>
          <cell r="P21">
            <v>0.42720659999999999</v>
          </cell>
          <cell r="R21">
            <v>1.207999999999998E-2</v>
          </cell>
          <cell r="T21">
            <v>4.9119999999999719E-3</v>
          </cell>
          <cell r="V21">
            <v>0.25213408000000004</v>
          </cell>
          <cell r="X21">
            <v>9.8045990399999977E-2</v>
          </cell>
          <cell r="Z21">
            <v>-0.29683785548800001</v>
          </cell>
          <cell r="AB21">
            <v>-0.44581938975436808</v>
          </cell>
          <cell r="AD21">
            <v>-0.38805425278361605</v>
          </cell>
          <cell r="AG21" t="str">
            <v>mstag:netDecreaseInOtherAssets</v>
          </cell>
          <cell r="AH21">
            <v>6</v>
          </cell>
          <cell r="AI21" t="str">
            <v>ISO4217:USD</v>
          </cell>
          <cell r="AJ21" t="b">
            <v>0</v>
          </cell>
          <cell r="AK21" t="b">
            <v>0</v>
          </cell>
        </row>
        <row r="22">
          <cell r="A22" t="str">
            <v>Increase in Accounts Payable and Other Liabilities</v>
          </cell>
          <cell r="B22">
            <v>1.089</v>
          </cell>
          <cell r="D22">
            <v>0.7</v>
          </cell>
          <cell r="F22">
            <v>2.2570000000000001</v>
          </cell>
          <cell r="H22">
            <v>3.6819999999999999</v>
          </cell>
          <cell r="J22">
            <v>-0.77300000000000002</v>
          </cell>
          <cell r="L22">
            <v>1.6779999999999999</v>
          </cell>
          <cell r="N22">
            <v>-7.1568823529414516E-2</v>
          </cell>
          <cell r="P22">
            <v>4.3489973949579799</v>
          </cell>
          <cell r="R22">
            <v>1.7370085714285786</v>
          </cell>
          <cell r="T22">
            <v>3.4137918941798979</v>
          </cell>
          <cell r="V22">
            <v>3.9332295352791604</v>
          </cell>
          <cell r="X22">
            <v>5.1202559663504736</v>
          </cell>
          <cell r="Z22">
            <v>11.699226170915985</v>
          </cell>
          <cell r="AB22">
            <v>12.77965949253494</v>
          </cell>
          <cell r="AD22">
            <v>13.160784127650658</v>
          </cell>
          <cell r="AG22" t="str">
            <v>mstag:netIncreaseInTradeAndOtherPayables</v>
          </cell>
          <cell r="AH22">
            <v>6</v>
          </cell>
          <cell r="AI22" t="str">
            <v>ISO4217:USD</v>
          </cell>
          <cell r="AJ22" t="b">
            <v>0</v>
          </cell>
          <cell r="AK22" t="b">
            <v>0</v>
          </cell>
        </row>
        <row r="23">
          <cell r="A23" t="str">
            <v>Increase in Deferred Revenue</v>
          </cell>
          <cell r="B23">
            <v>8.4019999999999992</v>
          </cell>
          <cell r="D23">
            <v>5.5519999999999996</v>
          </cell>
          <cell r="F23">
            <v>29.045000000000002</v>
          </cell>
          <cell r="H23">
            <v>-10.1</v>
          </cell>
          <cell r="J23">
            <v>43.99</v>
          </cell>
          <cell r="L23">
            <v>-23.582000000000001</v>
          </cell>
          <cell r="N23">
            <v>-12.893799999999999</v>
          </cell>
          <cell r="P23">
            <v>-23.956200000000003</v>
          </cell>
          <cell r="R23">
            <v>-0.29959999999999809</v>
          </cell>
          <cell r="T23">
            <v>2.0272000000002066E-2</v>
          </cell>
          <cell r="V23">
            <v>-1.2566528000000012</v>
          </cell>
          <cell r="X23">
            <v>-2.6532025599999969</v>
          </cell>
          <cell r="Z23">
            <v>34.333524953599998</v>
          </cell>
          <cell r="AB23">
            <v>24.135877004083191</v>
          </cell>
          <cell r="AD23">
            <v>26.452935612395535</v>
          </cell>
          <cell r="AG23" t="str">
            <v>mstag:netIncreaseInDeferredRevenue</v>
          </cell>
          <cell r="AH23">
            <v>6</v>
          </cell>
          <cell r="AI23" t="str">
            <v>ISO4217:USD</v>
          </cell>
          <cell r="AJ23" t="b">
            <v>0</v>
          </cell>
          <cell r="AK23" t="b">
            <v>0</v>
          </cell>
        </row>
        <row r="24">
          <cell r="A24" t="str">
            <v>Net cash provided by (used in) operating activities</v>
          </cell>
          <cell r="B24">
            <v>-17.989999999999998</v>
          </cell>
          <cell r="D24">
            <v>-28.791999999999987</v>
          </cell>
          <cell r="F24">
            <v>-7.7159999999999869</v>
          </cell>
          <cell r="H24">
            <v>-42.256</v>
          </cell>
          <cell r="J24">
            <v>23.442</v>
          </cell>
          <cell r="L24">
            <v>-56.882348237081416</v>
          </cell>
          <cell r="N24">
            <v>-57.207993170564997</v>
          </cell>
          <cell r="P24">
            <v>-99.398969967134462</v>
          </cell>
          <cell r="R24">
            <v>-94.151203394126881</v>
          </cell>
          <cell r="T24">
            <v>-102.11623223785978</v>
          </cell>
          <cell r="V24">
            <v>-216.69413944661605</v>
          </cell>
          <cell r="X24">
            <v>-153.21221610373499</v>
          </cell>
          <cell r="Z24">
            <v>-97.571352926371006</v>
          </cell>
          <cell r="AB24">
            <v>5.9397632537904492</v>
          </cell>
          <cell r="AD24">
            <v>116.89577070080585</v>
          </cell>
        </row>
        <row r="26">
          <cell r="A26" t="str">
            <v>CASH FLOWS FROM INVESTING ACTIVITIES</v>
          </cell>
        </row>
        <row r="27">
          <cell r="A27" t="str">
            <v>Purchases of Property and Equipment</v>
          </cell>
          <cell r="B27">
            <v>-13.471</v>
          </cell>
          <cell r="D27">
            <v>-19.765999999999998</v>
          </cell>
          <cell r="F27">
            <v>-4.8239999999999998</v>
          </cell>
          <cell r="H27">
            <v>-11.811</v>
          </cell>
          <cell r="J27">
            <v>-11.281000000000001</v>
          </cell>
          <cell r="L27">
            <v>-3.5790000000000002</v>
          </cell>
          <cell r="N27">
            <v>-0.87424505928853735</v>
          </cell>
          <cell r="P27">
            <v>-3.1091955934723909</v>
          </cell>
          <cell r="R27">
            <v>-3.2447481123489021</v>
          </cell>
          <cell r="T27">
            <v>-3.4721070419296058</v>
          </cell>
          <cell r="V27">
            <v>-3.6669416256728775</v>
          </cell>
          <cell r="X27">
            <v>-3.8231732531414631</v>
          </cell>
          <cell r="Z27">
            <v>-11.868724471382112</v>
          </cell>
          <cell r="AB27">
            <v>-11.353205480179449</v>
          </cell>
          <cell r="AD27">
            <v>-13.38354428231451</v>
          </cell>
          <cell r="AG27" t="str">
            <v>mstag:capitalExpenditures</v>
          </cell>
          <cell r="AH27">
            <v>6</v>
          </cell>
          <cell r="AI27" t="str">
            <v>ISO4217:USD</v>
          </cell>
          <cell r="AJ27" t="b">
            <v>1</v>
          </cell>
          <cell r="AK27" t="b">
            <v>0</v>
          </cell>
        </row>
        <row r="28">
          <cell r="A28" t="str">
            <v>Proceeds From Sale of Property and Equipment</v>
          </cell>
          <cell r="B28">
            <v>0</v>
          </cell>
          <cell r="D28">
            <v>0</v>
          </cell>
          <cell r="F28">
            <v>4.8000000000000001E-2</v>
          </cell>
          <cell r="H28">
            <v>9.0999999999999998E-2</v>
          </cell>
          <cell r="J28">
            <v>0.123</v>
          </cell>
          <cell r="L28">
            <v>5.6000000000000001E-2</v>
          </cell>
          <cell r="N28">
            <v>0</v>
          </cell>
          <cell r="P28">
            <v>0</v>
          </cell>
          <cell r="R28">
            <v>0</v>
          </cell>
          <cell r="T28">
            <v>0</v>
          </cell>
          <cell r="V28">
            <v>0</v>
          </cell>
          <cell r="X28">
            <v>0</v>
          </cell>
          <cell r="Z28">
            <v>0</v>
          </cell>
          <cell r="AB28">
            <v>0</v>
          </cell>
          <cell r="AD28">
            <v>0</v>
          </cell>
          <cell r="AG28" t="str">
            <v>mstag:proceedsFromSaleOfPpeAndIntangibleAssets</v>
          </cell>
          <cell r="AH28">
            <v>6</v>
          </cell>
          <cell r="AI28" t="str">
            <v>ISO4217:USD</v>
          </cell>
          <cell r="AJ28" t="b">
            <v>0</v>
          </cell>
          <cell r="AK28" t="b">
            <v>0</v>
          </cell>
        </row>
        <row r="29">
          <cell r="A29" t="str">
            <v>(Increase) Decrease in Restricted Cash</v>
          </cell>
          <cell r="B29">
            <v>7.1859999999999999</v>
          </cell>
          <cell r="D29">
            <v>-22.794</v>
          </cell>
          <cell r="F29">
            <v>15.115</v>
          </cell>
          <cell r="H29">
            <v>14.372</v>
          </cell>
          <cell r="J29">
            <v>0</v>
          </cell>
          <cell r="L29">
            <v>0</v>
          </cell>
          <cell r="N29">
            <v>0</v>
          </cell>
          <cell r="P29">
            <v>0</v>
          </cell>
          <cell r="R29">
            <v>0</v>
          </cell>
          <cell r="T29">
            <v>0</v>
          </cell>
          <cell r="V29">
            <v>0</v>
          </cell>
          <cell r="X29">
            <v>0</v>
          </cell>
          <cell r="Z29">
            <v>0</v>
          </cell>
          <cell r="AB29">
            <v>0</v>
          </cell>
          <cell r="AD29">
            <v>0</v>
          </cell>
          <cell r="AG29" t="str">
            <v>mstag:netDecreaseInOtherAssets</v>
          </cell>
          <cell r="AH29">
            <v>6</v>
          </cell>
          <cell r="AI29" t="str">
            <v>ISO4217:USD</v>
          </cell>
          <cell r="AJ29" t="b">
            <v>0</v>
          </cell>
          <cell r="AK29" t="b">
            <v>0</v>
          </cell>
        </row>
        <row r="30">
          <cell r="A30" t="str">
            <v>Purchase of Short-Term Investments</v>
          </cell>
          <cell r="B30">
            <v>-355.86900000000003</v>
          </cell>
          <cell r="D30">
            <v>-107.60299999999999</v>
          </cell>
          <cell r="F30">
            <v>-212.869</v>
          </cell>
          <cell r="H30">
            <v>-178.35499999999999</v>
          </cell>
          <cell r="J30">
            <v>-175.23500000000001</v>
          </cell>
          <cell r="L30">
            <v>-67.688000000000002</v>
          </cell>
          <cell r="N30">
            <v>-10.226249999999993</v>
          </cell>
          <cell r="P30">
            <v>-20.679691619551257</v>
          </cell>
          <cell r="R30">
            <v>54.696695627643336</v>
          </cell>
          <cell r="T30">
            <v>10.511799410682396</v>
          </cell>
          <cell r="V30">
            <v>3.1793932899069191</v>
          </cell>
          <cell r="X30">
            <v>0.68596876942586782</v>
          </cell>
          <cell r="Z30">
            <v>-5.1172066873777862</v>
          </cell>
          <cell r="AB30">
            <v>-21.642317628099054</v>
          </cell>
          <cell r="AD30">
            <v>8.2355930013469631</v>
          </cell>
          <cell r="AG30" t="str">
            <v>mstag:otherCashFlow</v>
          </cell>
          <cell r="AH30">
            <v>6</v>
          </cell>
          <cell r="AI30" t="str">
            <v>ISO4217:USD</v>
          </cell>
          <cell r="AJ30" t="b">
            <v>0</v>
          </cell>
          <cell r="AK30" t="b">
            <v>0</v>
          </cell>
        </row>
        <row r="31">
          <cell r="A31" t="str">
            <v>Maturities of Short-Term Investments</v>
          </cell>
          <cell r="B31">
            <v>387.34500000000003</v>
          </cell>
          <cell r="D31">
            <v>172.154</v>
          </cell>
          <cell r="F31">
            <v>170.93899999999999</v>
          </cell>
          <cell r="H31">
            <v>216.18199999999999</v>
          </cell>
          <cell r="J31">
            <v>170.404</v>
          </cell>
          <cell r="L31">
            <v>95.676000000000002</v>
          </cell>
          <cell r="N31">
            <v>0</v>
          </cell>
          <cell r="P31">
            <v>0</v>
          </cell>
          <cell r="R31">
            <v>0</v>
          </cell>
          <cell r="T31">
            <v>0</v>
          </cell>
          <cell r="V31">
            <v>0</v>
          </cell>
          <cell r="X31">
            <v>0</v>
          </cell>
          <cell r="Z31">
            <v>0</v>
          </cell>
          <cell r="AB31">
            <v>0</v>
          </cell>
          <cell r="AD31">
            <v>0</v>
          </cell>
          <cell r="AG31" t="str">
            <v>mstag:otherCashFlow</v>
          </cell>
          <cell r="AH31">
            <v>6</v>
          </cell>
          <cell r="AI31" t="str">
            <v>ISO4217:USD</v>
          </cell>
          <cell r="AJ31" t="b">
            <v>0</v>
          </cell>
          <cell r="AK31" t="b">
            <v>0</v>
          </cell>
        </row>
        <row r="32">
          <cell r="A32" t="str">
            <v>Purchase of Long-Term Investments</v>
          </cell>
          <cell r="B32">
            <v>-10.835000000000001</v>
          </cell>
          <cell r="D32">
            <v>0</v>
          </cell>
          <cell r="F32">
            <v>0</v>
          </cell>
          <cell r="H32">
            <v>0</v>
          </cell>
          <cell r="J32">
            <v>0</v>
          </cell>
          <cell r="L32">
            <v>0</v>
          </cell>
          <cell r="N32">
            <v>0</v>
          </cell>
          <cell r="P32">
            <v>0</v>
          </cell>
          <cell r="R32">
            <v>0</v>
          </cell>
          <cell r="T32">
            <v>0</v>
          </cell>
          <cell r="V32">
            <v>0</v>
          </cell>
          <cell r="X32">
            <v>0</v>
          </cell>
          <cell r="Z32">
            <v>0</v>
          </cell>
          <cell r="AB32">
            <v>0</v>
          </cell>
          <cell r="AD32">
            <v>0</v>
          </cell>
          <cell r="AG32" t="str">
            <v>mstag:otherCashFlow</v>
          </cell>
          <cell r="AH32">
            <v>6</v>
          </cell>
          <cell r="AI32" t="str">
            <v>ISO4217:USD</v>
          </cell>
          <cell r="AJ32" t="b">
            <v>0</v>
          </cell>
          <cell r="AK32" t="b">
            <v>0</v>
          </cell>
        </row>
        <row r="33">
          <cell r="A33" t="str">
            <v>Sale of Long-Term Investments</v>
          </cell>
          <cell r="B33">
            <v>0</v>
          </cell>
          <cell r="D33">
            <v>10.638</v>
          </cell>
          <cell r="F33">
            <v>0</v>
          </cell>
          <cell r="H33">
            <v>0</v>
          </cell>
          <cell r="J33">
            <v>0</v>
          </cell>
          <cell r="L33">
            <v>0</v>
          </cell>
          <cell r="N33">
            <v>0</v>
          </cell>
          <cell r="P33">
            <v>0</v>
          </cell>
          <cell r="R33">
            <v>0</v>
          </cell>
          <cell r="T33">
            <v>0</v>
          </cell>
          <cell r="V33">
            <v>0</v>
          </cell>
          <cell r="X33">
            <v>0</v>
          </cell>
          <cell r="Z33">
            <v>0</v>
          </cell>
          <cell r="AB33">
            <v>0</v>
          </cell>
          <cell r="AD33">
            <v>0</v>
          </cell>
          <cell r="AG33" t="str">
            <v>mstag:otherCashFlow</v>
          </cell>
          <cell r="AH33">
            <v>6</v>
          </cell>
          <cell r="AI33" t="str">
            <v>ISO4217:USD</v>
          </cell>
          <cell r="AJ33" t="b">
            <v>0</v>
          </cell>
          <cell r="AK33" t="b">
            <v>0</v>
          </cell>
        </row>
        <row r="34">
          <cell r="A34" t="str">
            <v>Payment of Transaction Costs, Net Cash Acquired</v>
          </cell>
          <cell r="B34">
            <v>-0.752</v>
          </cell>
          <cell r="D34">
            <v>0</v>
          </cell>
          <cell r="F34">
            <v>0</v>
          </cell>
          <cell r="H34">
            <v>0</v>
          </cell>
          <cell r="J34">
            <v>0</v>
          </cell>
          <cell r="L34">
            <v>0</v>
          </cell>
          <cell r="N34">
            <v>0</v>
          </cell>
          <cell r="P34">
            <v>0</v>
          </cell>
          <cell r="R34">
            <v>0</v>
          </cell>
          <cell r="T34">
            <v>0</v>
          </cell>
          <cell r="V34">
            <v>0</v>
          </cell>
          <cell r="X34">
            <v>0</v>
          </cell>
          <cell r="Z34">
            <v>0</v>
          </cell>
          <cell r="AB34">
            <v>0</v>
          </cell>
          <cell r="AD34">
            <v>0</v>
          </cell>
          <cell r="AG34" t="str">
            <v>mstag:otherCashFlow</v>
          </cell>
          <cell r="AH34">
            <v>6</v>
          </cell>
          <cell r="AI34" t="str">
            <v>ISO4217:USD</v>
          </cell>
          <cell r="AJ34" t="b">
            <v>0</v>
          </cell>
          <cell r="AK34" t="b">
            <v>0</v>
          </cell>
        </row>
        <row r="35">
          <cell r="A35" t="str">
            <v>Net cash used in investing activities</v>
          </cell>
          <cell r="B35">
            <v>13.603999999999973</v>
          </cell>
          <cell r="D35">
            <v>32.628999999999984</v>
          </cell>
          <cell r="F35">
            <v>-31.591000000000008</v>
          </cell>
          <cell r="H35">
            <v>40.478999999999985</v>
          </cell>
          <cell r="J35">
            <v>-15.989000000000033</v>
          </cell>
          <cell r="L35">
            <v>24.465000000000003</v>
          </cell>
          <cell r="N35">
            <v>-11.10049505928853</v>
          </cell>
          <cell r="P35">
            <v>-23.788887213023649</v>
          </cell>
          <cell r="R35">
            <v>51.451947515294435</v>
          </cell>
          <cell r="T35">
            <v>7.0396923687527906</v>
          </cell>
          <cell r="V35">
            <v>-0.48754833576595846</v>
          </cell>
          <cell r="X35">
            <v>-3.1372044837155952</v>
          </cell>
          <cell r="Z35">
            <v>-16.985931158759897</v>
          </cell>
          <cell r="AB35">
            <v>-32.995523108278505</v>
          </cell>
          <cell r="AD35">
            <v>-5.1479512809675469</v>
          </cell>
        </row>
        <row r="37">
          <cell r="A37" t="str">
            <v>CASH FLOWS FROM FINANCING ACTIVITIES</v>
          </cell>
        </row>
        <row r="38">
          <cell r="A38" t="str">
            <v>Proceeds from Exercise of Stock Options</v>
          </cell>
          <cell r="B38">
            <v>0</v>
          </cell>
          <cell r="D38">
            <v>0</v>
          </cell>
          <cell r="F38">
            <v>0</v>
          </cell>
          <cell r="H38">
            <v>0</v>
          </cell>
          <cell r="J38">
            <v>0</v>
          </cell>
          <cell r="L38">
            <v>0</v>
          </cell>
          <cell r="N38">
            <v>4.7444999999999995</v>
          </cell>
          <cell r="P38">
            <v>2.7241337499999991</v>
          </cell>
          <cell r="R38">
            <v>7.040837999999999</v>
          </cell>
          <cell r="T38">
            <v>9.0404359919999973</v>
          </cell>
          <cell r="V38">
            <v>5.374036950799999</v>
          </cell>
          <cell r="X38">
            <v>7.2227056618751986</v>
          </cell>
          <cell r="Z38">
            <v>9.3534038321283823</v>
          </cell>
          <cell r="AB38">
            <v>11.865460861328577</v>
          </cell>
          <cell r="AD38">
            <v>14.790296963646071</v>
          </cell>
          <cell r="AG38" t="str">
            <v>mstag:proceedsFromIssuanceFundsUsedToRepurchaseCommonStock</v>
          </cell>
          <cell r="AH38">
            <v>6</v>
          </cell>
          <cell r="AI38" t="str">
            <v>ISO4217:USD</v>
          </cell>
          <cell r="AJ38" t="b">
            <v>0</v>
          </cell>
          <cell r="AK38" t="b">
            <v>0</v>
          </cell>
        </row>
        <row r="39">
          <cell r="A39" t="str">
            <v>Issuance of Common Stock, net</v>
          </cell>
          <cell r="B39">
            <v>0.71799999999999997</v>
          </cell>
          <cell r="D39">
            <v>0.57399999999999995</v>
          </cell>
          <cell r="F39">
            <v>50.396999999999998</v>
          </cell>
          <cell r="H39">
            <v>1.712</v>
          </cell>
          <cell r="J39">
            <v>0.59599999999999997</v>
          </cell>
          <cell r="L39">
            <v>41.451000000000001</v>
          </cell>
          <cell r="N39">
            <v>204.666</v>
          </cell>
          <cell r="P39">
            <v>0</v>
          </cell>
          <cell r="R39">
            <v>0</v>
          </cell>
          <cell r="T39">
            <v>107.99999999999999</v>
          </cell>
          <cell r="V39">
            <v>190.07999999999998</v>
          </cell>
          <cell r="X39">
            <v>155.51999999999998</v>
          </cell>
          <cell r="Z39">
            <v>124.41599999999997</v>
          </cell>
          <cell r="AB39">
            <v>0</v>
          </cell>
          <cell r="AD39">
            <v>0</v>
          </cell>
          <cell r="AG39" t="str">
            <v>mstag:proceedsFromIssuanceFundsUsedToRepurchaseCommonStock</v>
          </cell>
          <cell r="AH39">
            <v>6</v>
          </cell>
          <cell r="AI39" t="str">
            <v>ISO4217:USD</v>
          </cell>
          <cell r="AJ39" t="b">
            <v>0</v>
          </cell>
          <cell r="AK39" t="b">
            <v>0</v>
          </cell>
        </row>
        <row r="40">
          <cell r="A40" t="str">
            <v>Proceeds from Debt Borrowings</v>
          </cell>
          <cell r="B40">
            <v>0</v>
          </cell>
          <cell r="D40">
            <v>4</v>
          </cell>
          <cell r="F40">
            <v>0</v>
          </cell>
          <cell r="H40">
            <v>34</v>
          </cell>
          <cell r="J40">
            <v>0</v>
          </cell>
          <cell r="L40">
            <v>0</v>
          </cell>
          <cell r="N40">
            <v>-0.8160000000000025</v>
          </cell>
          <cell r="P40">
            <v>-0.81599999999999895</v>
          </cell>
          <cell r="R40">
            <v>-0.87999999999999901</v>
          </cell>
          <cell r="T40">
            <v>-0.96399999999999864</v>
          </cell>
          <cell r="V40">
            <v>-1.0470000000000006</v>
          </cell>
          <cell r="X40">
            <v>-1.0470000000000006</v>
          </cell>
          <cell r="Z40">
            <v>-1.0470000000000006</v>
          </cell>
          <cell r="AB40">
            <v>-1.0470000000000006</v>
          </cell>
          <cell r="AD40">
            <v>-1.0470000000000006</v>
          </cell>
          <cell r="AG40" t="str">
            <v>mstag:proceedsFromIssuanceAndCashUsedToRepayLongTermDebt</v>
          </cell>
          <cell r="AH40">
            <v>6</v>
          </cell>
          <cell r="AI40" t="str">
            <v>ISO4217:USD</v>
          </cell>
          <cell r="AJ40" t="b">
            <v>0</v>
          </cell>
          <cell r="AK40" t="b">
            <v>0</v>
          </cell>
        </row>
        <row r="41">
          <cell r="A41" t="str">
            <v>Repayment of Debt Borrowings</v>
          </cell>
          <cell r="B41">
            <v>-3.9089999999999998</v>
          </cell>
          <cell r="D41">
            <v>0</v>
          </cell>
          <cell r="F41">
            <v>0</v>
          </cell>
          <cell r="H41">
            <v>-52.713000000000001</v>
          </cell>
          <cell r="J41">
            <v>-0.69099999999999995</v>
          </cell>
          <cell r="L41">
            <v>-0.751</v>
          </cell>
          <cell r="N41">
            <v>0</v>
          </cell>
          <cell r="P41">
            <v>0</v>
          </cell>
          <cell r="R41">
            <v>0</v>
          </cell>
          <cell r="T41">
            <v>0</v>
          </cell>
          <cell r="V41">
            <v>0</v>
          </cell>
          <cell r="X41">
            <v>0</v>
          </cell>
          <cell r="Z41">
            <v>0</v>
          </cell>
          <cell r="AB41">
            <v>0</v>
          </cell>
          <cell r="AD41">
            <v>0</v>
          </cell>
          <cell r="AG41" t="str">
            <v>mstag:proceedsFromIssuanceAndCashUsedToRepayLongTermDebt</v>
          </cell>
          <cell r="AH41">
            <v>6</v>
          </cell>
          <cell r="AI41" t="str">
            <v>ISO4217:USD</v>
          </cell>
          <cell r="AJ41" t="b">
            <v>0</v>
          </cell>
          <cell r="AK41" t="b">
            <v>0</v>
          </cell>
        </row>
        <row r="42">
          <cell r="A42" t="str">
            <v>Repayment of Other Long-term Liabilities</v>
          </cell>
          <cell r="H42">
            <v>-2.4660000000000002</v>
          </cell>
          <cell r="J42">
            <v>0</v>
          </cell>
          <cell r="L42">
            <v>0</v>
          </cell>
          <cell r="N42">
            <v>0</v>
          </cell>
          <cell r="P42">
            <v>0</v>
          </cell>
          <cell r="R42">
            <v>0</v>
          </cell>
          <cell r="T42">
            <v>0</v>
          </cell>
          <cell r="V42">
            <v>0</v>
          </cell>
          <cell r="X42">
            <v>0</v>
          </cell>
          <cell r="Z42">
            <v>0</v>
          </cell>
          <cell r="AB42">
            <v>0</v>
          </cell>
          <cell r="AD42">
            <v>0</v>
          </cell>
          <cell r="AG42" t="str">
            <v>mstag:netIncreaseInOtherLiabilitiesNonOperating</v>
          </cell>
          <cell r="AH42">
            <v>6</v>
          </cell>
          <cell r="AI42" t="str">
            <v>ISO4217:USD</v>
          </cell>
          <cell r="AJ42" t="b">
            <v>0</v>
          </cell>
          <cell r="AK42" t="b">
            <v>0</v>
          </cell>
        </row>
        <row r="43">
          <cell r="A43" t="str">
            <v>Tax Benefit from Exercise of Options</v>
          </cell>
          <cell r="H43">
            <v>0</v>
          </cell>
          <cell r="J43">
            <v>0</v>
          </cell>
          <cell r="L43">
            <v>0</v>
          </cell>
          <cell r="N43">
            <v>0</v>
          </cell>
          <cell r="P43">
            <v>0</v>
          </cell>
          <cell r="R43">
            <v>0</v>
          </cell>
          <cell r="T43">
            <v>0</v>
          </cell>
          <cell r="V43">
            <v>0</v>
          </cell>
          <cell r="X43">
            <v>0</v>
          </cell>
          <cell r="Z43">
            <v>0</v>
          </cell>
          <cell r="AB43">
            <v>3.7002012539462137</v>
          </cell>
          <cell r="AD43">
            <v>5.2747547143743905</v>
          </cell>
          <cell r="AG43" t="str">
            <v>mstag:taxBenefitFromExerciseOfEsosCashFlowStatement</v>
          </cell>
          <cell r="AH43">
            <v>6</v>
          </cell>
          <cell r="AI43" t="str">
            <v>ISO4217:USD</v>
          </cell>
          <cell r="AJ43" t="b">
            <v>0</v>
          </cell>
          <cell r="AK43" t="b">
            <v>0</v>
          </cell>
        </row>
        <row r="44">
          <cell r="A44" t="str">
            <v>Cash Dividends Paid</v>
          </cell>
          <cell r="B44">
            <v>0</v>
          </cell>
          <cell r="D44">
            <v>0</v>
          </cell>
          <cell r="F44">
            <v>0</v>
          </cell>
          <cell r="H44">
            <v>0</v>
          </cell>
          <cell r="J44">
            <v>0</v>
          </cell>
          <cell r="L44">
            <v>0</v>
          </cell>
          <cell r="N44">
            <v>0</v>
          </cell>
          <cell r="P44">
            <v>0</v>
          </cell>
          <cell r="R44">
            <v>0</v>
          </cell>
          <cell r="T44">
            <v>0</v>
          </cell>
          <cell r="V44">
            <v>0</v>
          </cell>
          <cell r="X44">
            <v>0</v>
          </cell>
          <cell r="Z44">
            <v>0</v>
          </cell>
          <cell r="AB44">
            <v>0</v>
          </cell>
          <cell r="AD44">
            <v>0</v>
          </cell>
          <cell r="AG44" t="str">
            <v>mstag:cashDividendsPaid</v>
          </cell>
          <cell r="AH44">
            <v>6</v>
          </cell>
          <cell r="AI44" t="str">
            <v>ISO4217:USD</v>
          </cell>
          <cell r="AJ44" t="b">
            <v>1</v>
          </cell>
          <cell r="AK44" t="b">
            <v>0</v>
          </cell>
        </row>
        <row r="45">
          <cell r="A45" t="str">
            <v>Net cash provided by financing activities</v>
          </cell>
          <cell r="B45">
            <v>-3.1909999999999998</v>
          </cell>
          <cell r="D45">
            <v>4.5739999999999998</v>
          </cell>
          <cell r="F45">
            <v>50.396999999999998</v>
          </cell>
          <cell r="H45">
            <v>-19.466999999999999</v>
          </cell>
          <cell r="J45">
            <v>-9.4999999999999973E-2</v>
          </cell>
          <cell r="L45">
            <v>40.700000000000003</v>
          </cell>
          <cell r="N45">
            <v>208.59449999999998</v>
          </cell>
          <cell r="P45">
            <v>1.9081337500000002</v>
          </cell>
          <cell r="R45">
            <v>6.160838</v>
          </cell>
          <cell r="T45">
            <v>116.07643599199999</v>
          </cell>
          <cell r="V45">
            <v>194.40703695079998</v>
          </cell>
          <cell r="X45">
            <v>161.69570566187519</v>
          </cell>
          <cell r="Z45">
            <v>132.72240383212835</v>
          </cell>
          <cell r="AB45">
            <v>14.51866211527479</v>
          </cell>
          <cell r="AD45">
            <v>19.018051678020463</v>
          </cell>
        </row>
        <row r="47">
          <cell r="A47" t="str">
            <v xml:space="preserve">Change in cash </v>
          </cell>
          <cell r="B47">
            <v>-7.5770000000000266</v>
          </cell>
          <cell r="D47">
            <v>8.4109999999999943</v>
          </cell>
          <cell r="F47">
            <v>11.090000000000003</v>
          </cell>
          <cell r="H47">
            <v>-21.244000000000014</v>
          </cell>
          <cell r="J47">
            <v>7.3579999999999686</v>
          </cell>
          <cell r="L47">
            <v>8.2826517629185901</v>
          </cell>
          <cell r="N47">
            <v>140.28601177014644</v>
          </cell>
          <cell r="P47">
            <v>-121.27972343015811</v>
          </cell>
          <cell r="R47">
            <v>-36.538417878832448</v>
          </cell>
          <cell r="T47">
            <v>20.999896122893006</v>
          </cell>
          <cell r="V47">
            <v>-22.774650831582022</v>
          </cell>
          <cell r="X47">
            <v>5.3462850744245998</v>
          </cell>
          <cell r="Z47">
            <v>18.165119746997448</v>
          </cell>
          <cell r="AB47">
            <v>-12.537097739213266</v>
          </cell>
          <cell r="AD47">
            <v>130.76587109785876</v>
          </cell>
        </row>
        <row r="48">
          <cell r="A48" t="str">
            <v>Cash at beginning of year</v>
          </cell>
          <cell r="B48">
            <v>23.931999999999999</v>
          </cell>
          <cell r="D48">
            <v>16.354999999999972</v>
          </cell>
          <cell r="F48">
            <v>24.765999999999966</v>
          </cell>
          <cell r="H48">
            <v>35.855999999999966</v>
          </cell>
          <cell r="J48">
            <v>14.611999999999952</v>
          </cell>
          <cell r="L48">
            <v>21.969999999999921</v>
          </cell>
          <cell r="N48">
            <v>30.252651762918511</v>
          </cell>
          <cell r="P48">
            <v>170.53866353306495</v>
          </cell>
          <cell r="R48">
            <v>49.258940102906834</v>
          </cell>
          <cell r="T48">
            <v>12.720522224074386</v>
          </cell>
          <cell r="V48">
            <v>33.720418346967392</v>
          </cell>
          <cell r="X48">
            <v>10.94576751538537</v>
          </cell>
          <cell r="Z48">
            <v>16.29205258980997</v>
          </cell>
          <cell r="AB48">
            <v>34.457172336807417</v>
          </cell>
          <cell r="AD48">
            <v>21.920074597594152</v>
          </cell>
        </row>
        <row r="49">
          <cell r="A49" t="str">
            <v>Cash at end of year</v>
          </cell>
          <cell r="B49">
            <v>16.354999999999972</v>
          </cell>
          <cell r="D49">
            <v>24.765999999999966</v>
          </cell>
          <cell r="F49">
            <v>35.855999999999966</v>
          </cell>
          <cell r="H49">
            <v>14.611999999999952</v>
          </cell>
          <cell r="J49">
            <v>21.969999999999921</v>
          </cell>
          <cell r="L49">
            <v>30.252651762918511</v>
          </cell>
          <cell r="N49">
            <v>170.53866353306495</v>
          </cell>
          <cell r="P49">
            <v>49.258940102906834</v>
          </cell>
          <cell r="R49">
            <v>12.720522224074386</v>
          </cell>
          <cell r="T49">
            <v>33.720418346967392</v>
          </cell>
          <cell r="V49">
            <v>10.94576751538537</v>
          </cell>
          <cell r="X49">
            <v>16.29205258980997</v>
          </cell>
          <cell r="Z49">
            <v>34.457172336807417</v>
          </cell>
          <cell r="AB49">
            <v>21.920074597594152</v>
          </cell>
          <cell r="AD49">
            <v>152.68594569545292</v>
          </cell>
        </row>
        <row r="50">
          <cell r="A50" t="str">
            <v>Cash and marketable securities at end of year</v>
          </cell>
          <cell r="B50">
            <v>149.749</v>
          </cell>
          <cell r="D50">
            <v>93.609000000000009</v>
          </cell>
          <cell r="F50">
            <v>146.62899999999999</v>
          </cell>
          <cell r="H50">
            <v>87.557999999999993</v>
          </cell>
          <cell r="J50">
            <v>99.694999999999993</v>
          </cell>
          <cell r="L50">
            <v>79.998999999999995</v>
          </cell>
          <cell r="N50">
            <v>230.51126177014643</v>
          </cell>
          <cell r="P50">
            <v>129.91122995953958</v>
          </cell>
          <cell r="R50">
            <v>38.676116453063798</v>
          </cell>
          <cell r="T50">
            <v>49.164213165274404</v>
          </cell>
          <cell r="V50">
            <v>23.210169043785466</v>
          </cell>
          <cell r="X50">
            <v>27.8704853487842</v>
          </cell>
          <cell r="Z50">
            <v>51.152811783159436</v>
          </cell>
          <cell r="AB50">
            <v>60.25803167204522</v>
          </cell>
          <cell r="AD50">
            <v>182.78830976855701</v>
          </cell>
        </row>
        <row r="52">
          <cell r="A52" t="str">
            <v>Source: Company data and Morgan Stanley Research</v>
          </cell>
        </row>
        <row r="54">
          <cell r="D54" t="str">
            <v>2002-FY</v>
          </cell>
          <cell r="F54" t="str">
            <v>2003-FY</v>
          </cell>
          <cell r="H54" t="str">
            <v>2004-FY</v>
          </cell>
          <cell r="J54" t="str">
            <v>2005-FY</v>
          </cell>
          <cell r="L54" t="str">
            <v>2006-FY</v>
          </cell>
          <cell r="N54" t="str">
            <v>2007-FY</v>
          </cell>
          <cell r="P54" t="str">
            <v>2008-FY</v>
          </cell>
          <cell r="R54" t="str">
            <v>2009-FY</v>
          </cell>
          <cell r="T54" t="str">
            <v>2010-FY</v>
          </cell>
          <cell r="V54" t="str">
            <v>2011-FY</v>
          </cell>
          <cell r="X54" t="str">
            <v>2012-FY</v>
          </cell>
          <cell r="Z54" t="str">
            <v>2013-FY</v>
          </cell>
          <cell r="AB54" t="str">
            <v>2014-FY</v>
          </cell>
          <cell r="AD54" t="str">
            <v>2015-FY</v>
          </cell>
        </row>
        <row r="57">
          <cell r="A57" t="str">
            <v>EBIT</v>
          </cell>
          <cell r="B57">
            <v>-43.638999999999996</v>
          </cell>
          <cell r="D57">
            <v>-62.892999999999986</v>
          </cell>
          <cell r="F57">
            <v>-62.592999999999996</v>
          </cell>
          <cell r="H57">
            <v>-47.453999999999994</v>
          </cell>
          <cell r="J57">
            <v>-36.119000000000014</v>
          </cell>
          <cell r="L57">
            <v>-48.200999999999993</v>
          </cell>
          <cell r="N57">
            <v>-67.028000000000006</v>
          </cell>
          <cell r="P57">
            <v>-108.19999999999999</v>
          </cell>
          <cell r="R57">
            <v>-119.81200000000001</v>
          </cell>
          <cell r="T57">
            <v>-131.46880000000004</v>
          </cell>
          <cell r="V57">
            <v>-145.72872160000003</v>
          </cell>
          <cell r="X57">
            <v>-160.68142080000004</v>
          </cell>
          <cell r="Z57">
            <v>-127.45310412287995</v>
          </cell>
          <cell r="AB57">
            <v>-12.567764309350423</v>
          </cell>
          <cell r="AD57">
            <v>106.19304673612595</v>
          </cell>
        </row>
        <row r="58">
          <cell r="A58" t="str">
            <v>EBIT * (1-tax)</v>
          </cell>
          <cell r="B58">
            <v>-43.638999999999996</v>
          </cell>
          <cell r="D58">
            <v>-62.892999999999986</v>
          </cell>
          <cell r="F58">
            <v>-62.592999999999996</v>
          </cell>
          <cell r="H58">
            <v>-47.453999999999994</v>
          </cell>
          <cell r="J58">
            <v>-36.119000000000014</v>
          </cell>
          <cell r="L58">
            <v>-48.200999999999993</v>
          </cell>
          <cell r="N58">
            <v>-67.028000000000006</v>
          </cell>
          <cell r="P58">
            <v>-108.19999999999999</v>
          </cell>
          <cell r="R58">
            <v>-119.81200000000001</v>
          </cell>
          <cell r="T58">
            <v>-131.46880000000004</v>
          </cell>
          <cell r="V58">
            <v>-145.72872160000003</v>
          </cell>
          <cell r="X58">
            <v>-160.68142080000004</v>
          </cell>
          <cell r="Z58">
            <v>-127.45310412287995</v>
          </cell>
          <cell r="AB58">
            <v>-12.567764309350423</v>
          </cell>
          <cell r="AD58">
            <v>98.547147371124879</v>
          </cell>
        </row>
        <row r="59">
          <cell r="A59" t="str">
            <v>Depreciation &amp; Amortization</v>
          </cell>
          <cell r="B59">
            <v>5.7799999999999994</v>
          </cell>
          <cell r="D59">
            <v>10.311</v>
          </cell>
          <cell r="F59">
            <v>11.414999999999999</v>
          </cell>
          <cell r="H59">
            <v>12.033999999999999</v>
          </cell>
          <cell r="J59">
            <v>11.635</v>
          </cell>
          <cell r="L59">
            <v>11.201000000000001</v>
          </cell>
          <cell r="N59">
            <v>6.7985622529644276</v>
          </cell>
          <cell r="P59">
            <v>6.9540220326380462</v>
          </cell>
          <cell r="R59">
            <v>7.1162594382554918</v>
          </cell>
          <cell r="T59">
            <v>7.289864790351972</v>
          </cell>
          <cell r="V59">
            <v>7.4732118716356153</v>
          </cell>
          <cell r="X59">
            <v>7.6643705342926882</v>
          </cell>
          <cell r="Z59">
            <v>8.2578067578617933</v>
          </cell>
          <cell r="AB59">
            <v>8.8254670318707653</v>
          </cell>
          <cell r="AD59">
            <v>9.4946442459864908</v>
          </cell>
        </row>
        <row r="60">
          <cell r="A60" t="str">
            <v>Cap Ex</v>
          </cell>
          <cell r="B60">
            <v>-13.471</v>
          </cell>
          <cell r="D60">
            <v>-19.765999999999998</v>
          </cell>
          <cell r="F60">
            <v>-4.8239999999999998</v>
          </cell>
          <cell r="H60">
            <v>-11.811</v>
          </cell>
          <cell r="J60">
            <v>-11.281000000000001</v>
          </cell>
          <cell r="L60">
            <v>-3.5790000000000002</v>
          </cell>
          <cell r="N60">
            <v>-0.87424505928853735</v>
          </cell>
          <cell r="P60">
            <v>-3.1091955934723909</v>
          </cell>
          <cell r="R60">
            <v>-3.2447481123489021</v>
          </cell>
          <cell r="T60">
            <v>-3.4721070419296058</v>
          </cell>
          <cell r="V60">
            <v>-3.6669416256728775</v>
          </cell>
          <cell r="X60">
            <v>-3.8231732531414631</v>
          </cell>
          <cell r="Z60">
            <v>-11.868724471382112</v>
          </cell>
          <cell r="AB60">
            <v>-11.353205480179449</v>
          </cell>
          <cell r="AD60">
            <v>-13.38354428231451</v>
          </cell>
        </row>
        <row r="61">
          <cell r="A61" t="str">
            <v>Change to WC</v>
          </cell>
          <cell r="B61">
            <v>0.63199999999999967</v>
          </cell>
          <cell r="D61">
            <v>10.102</v>
          </cell>
          <cell r="F61">
            <v>31.894000000000002</v>
          </cell>
          <cell r="H61">
            <v>-7.9449999999999994</v>
          </cell>
          <cell r="J61">
            <v>48.112000000000002</v>
          </cell>
          <cell r="L61">
            <v>-20.864000000000001</v>
          </cell>
          <cell r="N61">
            <v>-13.138555423529413</v>
          </cell>
          <cell r="P61">
            <v>-16.967016005042023</v>
          </cell>
          <cell r="R61">
            <v>0.93728857142858013</v>
          </cell>
          <cell r="T61">
            <v>3.0879972275132328</v>
          </cell>
          <cell r="V61">
            <v>2.7332185486124922</v>
          </cell>
          <cell r="X61">
            <v>1.2106531460838093</v>
          </cell>
          <cell r="Z61">
            <v>22.525188581667987</v>
          </cell>
          <cell r="AB61">
            <v>9.7335291708040224</v>
          </cell>
          <cell r="AD61">
            <v>6.6846976282991122</v>
          </cell>
        </row>
        <row r="62">
          <cell r="A62" t="str">
            <v>Non-Cash Charges</v>
          </cell>
          <cell r="B62">
            <v>10.77</v>
          </cell>
          <cell r="D62">
            <v>10.465</v>
          </cell>
          <cell r="F62">
            <v>10.097</v>
          </cell>
          <cell r="H62">
            <v>0.82699999999999996</v>
          </cell>
          <cell r="J62">
            <v>0.01</v>
          </cell>
          <cell r="L62">
            <v>3.7000000000000005E-2</v>
          </cell>
          <cell r="N62">
            <v>0</v>
          </cell>
          <cell r="P62">
            <v>0</v>
          </cell>
          <cell r="R62">
            <v>0</v>
          </cell>
          <cell r="T62">
            <v>0</v>
          </cell>
          <cell r="V62">
            <v>0</v>
          </cell>
          <cell r="X62">
            <v>0</v>
          </cell>
          <cell r="Z62">
            <v>0</v>
          </cell>
          <cell r="AB62">
            <v>0</v>
          </cell>
          <cell r="AD62">
            <v>0</v>
          </cell>
        </row>
        <row r="63">
          <cell r="A63" t="str">
            <v>Tax Benefit from Stock Options</v>
          </cell>
          <cell r="B63">
            <v>0</v>
          </cell>
          <cell r="D63">
            <v>0</v>
          </cell>
          <cell r="F63">
            <v>0</v>
          </cell>
          <cell r="H63">
            <v>0</v>
          </cell>
          <cell r="J63">
            <v>0</v>
          </cell>
          <cell r="L63">
            <v>0</v>
          </cell>
          <cell r="N63">
            <v>0</v>
          </cell>
          <cell r="P63">
            <v>0</v>
          </cell>
          <cell r="R63">
            <v>0</v>
          </cell>
          <cell r="T63">
            <v>0</v>
          </cell>
          <cell r="V63">
            <v>0</v>
          </cell>
          <cell r="X63">
            <v>0</v>
          </cell>
          <cell r="Z63">
            <v>0</v>
          </cell>
          <cell r="AB63">
            <v>3.7002012539462137</v>
          </cell>
          <cell r="AD63">
            <v>5.2747547143743905</v>
          </cell>
        </row>
        <row r="64">
          <cell r="A64" t="str">
            <v>Free Cash Flow</v>
          </cell>
          <cell r="B64">
            <v>-39.927999999999997</v>
          </cell>
          <cell r="D64">
            <v>-51.780999999999977</v>
          </cell>
          <cell r="F64">
            <v>-14.010999999999994</v>
          </cell>
          <cell r="H64">
            <v>-54.348999999999997</v>
          </cell>
          <cell r="J64">
            <v>12.356999999999987</v>
          </cell>
          <cell r="L64">
            <v>-61.405999999999999</v>
          </cell>
          <cell r="N64">
            <v>-74.242238229853527</v>
          </cell>
          <cell r="P64">
            <v>-121.32218956587636</v>
          </cell>
          <cell r="R64">
            <v>-115.00320010266483</v>
          </cell>
          <cell r="T64">
            <v>-124.56304502406445</v>
          </cell>
          <cell r="V64">
            <v>-139.18923280542481</v>
          </cell>
          <cell r="X64">
            <v>-155.62957037276502</v>
          </cell>
          <cell r="Z64">
            <v>-108.53883325473227</v>
          </cell>
          <cell r="AB64">
            <v>-1.6617723329088707</v>
          </cell>
          <cell r="AD64">
            <v>106.61769967747038</v>
          </cell>
        </row>
        <row r="66">
          <cell r="A66" t="str">
            <v>CFO</v>
          </cell>
          <cell r="B66">
            <v>-17.989999999999998</v>
          </cell>
          <cell r="D66">
            <v>-28.791999999999987</v>
          </cell>
          <cell r="F66">
            <v>-7.7159999999999869</v>
          </cell>
          <cell r="H66">
            <v>-42.256</v>
          </cell>
          <cell r="J66">
            <v>23.442</v>
          </cell>
          <cell r="L66">
            <v>-56.882348237081416</v>
          </cell>
          <cell r="N66">
            <v>-57.207993170564997</v>
          </cell>
          <cell r="P66">
            <v>-99.398969967134462</v>
          </cell>
          <cell r="R66">
            <v>-94.151203394126881</v>
          </cell>
          <cell r="T66">
            <v>-102.11623223785978</v>
          </cell>
          <cell r="V66">
            <v>-216.69413944661605</v>
          </cell>
          <cell r="X66">
            <v>-153.21221610373499</v>
          </cell>
          <cell r="Z66">
            <v>-97.571352926371006</v>
          </cell>
          <cell r="AB66">
            <v>5.9397632537904492</v>
          </cell>
          <cell r="AD66">
            <v>116.89577070080585</v>
          </cell>
        </row>
        <row r="67">
          <cell r="A67" t="str">
            <v>Cap Ex</v>
          </cell>
          <cell r="B67">
            <v>-13.471</v>
          </cell>
          <cell r="D67">
            <v>-19.765999999999998</v>
          </cell>
          <cell r="F67">
            <v>-4.8239999999999998</v>
          </cell>
          <cell r="H67">
            <v>-11.811</v>
          </cell>
          <cell r="J67">
            <v>-11.281000000000001</v>
          </cell>
          <cell r="L67">
            <v>-3.5790000000000002</v>
          </cell>
          <cell r="N67">
            <v>-0.87424505928853735</v>
          </cell>
          <cell r="P67">
            <v>-3.1091955934723909</v>
          </cell>
          <cell r="R67">
            <v>-3.2447481123489021</v>
          </cell>
          <cell r="T67">
            <v>-3.4721070419296058</v>
          </cell>
          <cell r="V67">
            <v>-3.6669416256728775</v>
          </cell>
          <cell r="X67">
            <v>-3.8231732531414631</v>
          </cell>
          <cell r="Z67">
            <v>-11.868724471382112</v>
          </cell>
          <cell r="AB67">
            <v>-11.353205480179449</v>
          </cell>
          <cell r="AD67">
            <v>-13.38354428231451</v>
          </cell>
        </row>
        <row r="68">
          <cell r="A68" t="str">
            <v>Free Cash Flow</v>
          </cell>
          <cell r="B68">
            <v>-31.460999999999999</v>
          </cell>
          <cell r="D68">
            <v>-48.557999999999986</v>
          </cell>
          <cell r="F68">
            <v>-12.539999999999987</v>
          </cell>
          <cell r="H68">
            <v>-54.067</v>
          </cell>
          <cell r="J68">
            <v>12.161</v>
          </cell>
          <cell r="L68">
            <v>-60.461348237081417</v>
          </cell>
          <cell r="N68">
            <v>-58.082238229853537</v>
          </cell>
          <cell r="P68">
            <v>-102.50816556060686</v>
          </cell>
          <cell r="R68">
            <v>-97.395951506475782</v>
          </cell>
          <cell r="T68">
            <v>-105.58833927978938</v>
          </cell>
          <cell r="V68">
            <v>-220.36108107228893</v>
          </cell>
          <cell r="X68">
            <v>-157.03538935687646</v>
          </cell>
          <cell r="Z68">
            <v>-109.44007739775311</v>
          </cell>
          <cell r="AB68">
            <v>-5.4134422263889999</v>
          </cell>
          <cell r="AD68">
            <v>103.51222641849134</v>
          </cell>
        </row>
      </sheetData>
      <sheetData sheetId="5"/>
      <sheetData sheetId="6">
        <row r="3">
          <cell r="B3" t="str">
            <v>Earnings Snapshot</v>
          </cell>
        </row>
        <row r="4">
          <cell r="C4" t="str">
            <v>4Q06</v>
          </cell>
          <cell r="D4" t="str">
            <v>4Q07</v>
          </cell>
          <cell r="E4" t="str">
            <v>4Q07</v>
          </cell>
          <cell r="F4" t="str">
            <v>Variance</v>
          </cell>
          <cell r="G4" t="str">
            <v>Y/Y</v>
          </cell>
        </row>
        <row r="5">
          <cell r="C5" t="str">
            <v>Actual</v>
          </cell>
          <cell r="D5" t="str">
            <v>MS Est</v>
          </cell>
          <cell r="E5" t="str">
            <v>Actual</v>
          </cell>
          <cell r="F5" t="str">
            <v>% CJg</v>
          </cell>
          <cell r="G5" t="str">
            <v>% CJg</v>
          </cell>
          <cell r="H5" t="str">
            <v>Comments</v>
          </cell>
        </row>
        <row r="6">
          <cell r="B6" t="str">
            <v>Revenues:</v>
          </cell>
        </row>
        <row r="7">
          <cell r="B7" t="str">
            <v>Subscription and License Fees</v>
          </cell>
          <cell r="C7">
            <v>1.1200000000000001</v>
          </cell>
          <cell r="D7">
            <v>0.5</v>
          </cell>
          <cell r="E7">
            <v>0.188</v>
          </cell>
          <cell r="F7">
            <v>-0.624</v>
          </cell>
          <cell r="G7">
            <v>-0.5535714285714286</v>
          </cell>
        </row>
        <row r="8">
          <cell r="B8" t="str">
            <v>Collaborative ResearCJ</v>
          </cell>
          <cell r="C8">
            <v>14.946</v>
          </cell>
          <cell r="D8">
            <v>9</v>
          </cell>
          <cell r="E8">
            <v>13.62</v>
          </cell>
          <cell r="F8">
            <v>0.5133333333333332</v>
          </cell>
          <cell r="G8">
            <v>-0.39783219590525887</v>
          </cell>
        </row>
        <row r="9">
          <cell r="B9" t="str">
            <v>Total Revenues</v>
          </cell>
          <cell r="C9">
            <v>16.065999999999999</v>
          </cell>
          <cell r="D9">
            <v>9.5</v>
          </cell>
          <cell r="E9">
            <v>13.808</v>
          </cell>
          <cell r="F9">
            <v>0.45347368421052625</v>
          </cell>
          <cell r="G9">
            <v>-0.40868915722644095</v>
          </cell>
        </row>
        <row r="10">
          <cell r="B10" t="str">
            <v>Operating Expenses:</v>
          </cell>
        </row>
        <row r="11">
          <cell r="B11" t="str">
            <v xml:space="preserve">   R&amp;D</v>
          </cell>
          <cell r="C11">
            <v>24.540999999999997</v>
          </cell>
          <cell r="D11">
            <v>26</v>
          </cell>
          <cell r="E11">
            <v>24.78</v>
          </cell>
          <cell r="F11">
            <v>-4.6923076923076845E-2</v>
          </cell>
          <cell r="G11">
            <v>5.9451530092498484E-2</v>
          </cell>
        </row>
        <row r="12">
          <cell r="B12" t="str">
            <v xml:space="preserve">   SG&amp;A</v>
          </cell>
          <cell r="C12">
            <v>4.4329999999999998</v>
          </cell>
          <cell r="D12">
            <v>5</v>
          </cell>
          <cell r="E12">
            <v>4.399</v>
          </cell>
          <cell r="F12">
            <v>-0.12019999999999997</v>
          </cell>
          <cell r="G12">
            <v>0.12790435371080533</v>
          </cell>
        </row>
        <row r="13">
          <cell r="B13" t="str">
            <v>Total Operating Expenses</v>
          </cell>
          <cell r="C13">
            <v>28.973999999999997</v>
          </cell>
          <cell r="D13">
            <v>31</v>
          </cell>
          <cell r="E13">
            <v>29.179000000000002</v>
          </cell>
          <cell r="F13">
            <v>-5.8741935483870855E-2</v>
          </cell>
          <cell r="G13">
            <v>6.9924760129771668E-2</v>
          </cell>
        </row>
        <row r="14">
          <cell r="B14" t="str">
            <v>Operating Income (Loss)</v>
          </cell>
          <cell r="C14">
            <v>-12.907999999999998</v>
          </cell>
          <cell r="D14">
            <v>-21.5</v>
          </cell>
          <cell r="E14">
            <v>-15.371000000000002</v>
          </cell>
          <cell r="F14">
            <v>-0.28506976744186041</v>
          </cell>
          <cell r="G14" t="str">
            <v>NM</v>
          </cell>
        </row>
        <row r="15">
          <cell r="B15" t="str">
            <v>Net Income (Loss)</v>
          </cell>
          <cell r="C15">
            <v>-12.158999999999997</v>
          </cell>
          <cell r="D15">
            <v>-14.895328305013276</v>
          </cell>
          <cell r="E15">
            <v>-9.0810000000000013</v>
          </cell>
          <cell r="F15">
            <v>-0.39034576384975439</v>
          </cell>
          <cell r="G15" t="str">
            <v>NM</v>
          </cell>
        </row>
        <row r="16">
          <cell r="B16" t="str">
            <v>EPS - Diluted (Non-GAAP, With ESO)</v>
          </cell>
          <cell r="C16">
            <v>-0.18853113150460837</v>
          </cell>
          <cell r="D16">
            <v>-0.15775626739622492</v>
          </cell>
          <cell r="E16">
            <v>-8.9017062151848764E-2</v>
          </cell>
          <cell r="G16" t="str">
            <v>NM</v>
          </cell>
          <cell r="H16" t="str">
            <v>Includes options expense</v>
          </cell>
        </row>
        <row r="17">
          <cell r="B17" t="str">
            <v>Consensus EPS</v>
          </cell>
          <cell r="E17">
            <v>-0.13</v>
          </cell>
        </row>
        <row r="18">
          <cell r="B18" t="str">
            <v xml:space="preserve">Basic Shares Outstanding </v>
          </cell>
          <cell r="C18">
            <v>73.405000000000001</v>
          </cell>
          <cell r="D18">
            <v>73.405000000000001</v>
          </cell>
          <cell r="E18">
            <v>73.405000000000001</v>
          </cell>
          <cell r="F18">
            <v>0</v>
          </cell>
          <cell r="G18">
            <v>0</v>
          </cell>
        </row>
        <row r="19">
          <cell r="B19" t="str">
            <v>Diluted Shares Outstanding</v>
          </cell>
          <cell r="C19">
            <v>73.405000000000001</v>
          </cell>
          <cell r="D19">
            <v>63.421999999999997</v>
          </cell>
          <cell r="E19">
            <v>63.421999999999997</v>
          </cell>
        </row>
        <row r="21">
          <cell r="B21" t="str">
            <v>Source: Company data and Morgan Stanley ResearCJ</v>
          </cell>
        </row>
      </sheetData>
      <sheetData sheetId="7"/>
      <sheetData sheetId="8"/>
      <sheetData sheetId="9">
        <row r="2">
          <cell r="B2" t="str">
            <v>Changes To Model</v>
          </cell>
        </row>
        <row r="3">
          <cell r="C3">
            <v>2003</v>
          </cell>
          <cell r="E3">
            <v>2004</v>
          </cell>
          <cell r="G3">
            <v>2005</v>
          </cell>
          <cell r="I3" t="str">
            <v>2006E</v>
          </cell>
          <cell r="K3" t="str">
            <v>2007E</v>
          </cell>
          <cell r="M3" t="str">
            <v>2008E</v>
          </cell>
          <cell r="O3" t="str">
            <v>2009E</v>
          </cell>
          <cell r="Q3" t="str">
            <v>2010E</v>
          </cell>
          <cell r="S3" t="str">
            <v>2011E</v>
          </cell>
          <cell r="U3" t="str">
            <v>2012E</v>
          </cell>
          <cell r="W3" t="str">
            <v>2013E</v>
          </cell>
          <cell r="Y3" t="str">
            <v>2014E</v>
          </cell>
          <cell r="AA3" t="str">
            <v>2015E</v>
          </cell>
          <cell r="AC3" t="str">
            <v>Comments</v>
          </cell>
          <cell r="AH3">
            <v>5.47</v>
          </cell>
        </row>
        <row r="4">
          <cell r="B4" t="str">
            <v>Subscription and License Fees</v>
          </cell>
        </row>
        <row r="5">
          <cell r="B5" t="str">
            <v xml:space="preserve">   Current</v>
          </cell>
          <cell r="C5">
            <v>21.55</v>
          </cell>
          <cell r="E5">
            <v>12.004000000000001</v>
          </cell>
          <cell r="G5">
            <v>6.1130000000000004</v>
          </cell>
          <cell r="I5">
            <v>4.4249999999999998</v>
          </cell>
          <cell r="K5">
            <v>2.0380000000000003</v>
          </cell>
          <cell r="M5">
            <v>2</v>
          </cell>
          <cell r="O5">
            <v>2</v>
          </cell>
          <cell r="Q5">
            <v>2</v>
          </cell>
          <cell r="S5">
            <v>2</v>
          </cell>
          <cell r="U5">
            <v>2</v>
          </cell>
          <cell r="W5">
            <v>2</v>
          </cell>
          <cell r="Y5">
            <v>2</v>
          </cell>
          <cell r="AA5">
            <v>2</v>
          </cell>
        </row>
        <row r="6">
          <cell r="B6" t="str">
            <v xml:space="preserve">   Prior</v>
          </cell>
          <cell r="C6">
            <v>21.55</v>
          </cell>
          <cell r="E6">
            <v>12.004000000000001</v>
          </cell>
          <cell r="G6">
            <v>6.1130000000000004</v>
          </cell>
          <cell r="I6">
            <v>4.4249999999999998</v>
          </cell>
          <cell r="K6">
            <v>2.0380000000000003</v>
          </cell>
          <cell r="M6">
            <v>2</v>
          </cell>
          <cell r="O6">
            <v>2</v>
          </cell>
          <cell r="Q6">
            <v>2</v>
          </cell>
          <cell r="S6">
            <v>2</v>
          </cell>
          <cell r="U6">
            <v>2</v>
          </cell>
          <cell r="W6">
            <v>2</v>
          </cell>
          <cell r="Y6">
            <v>2</v>
          </cell>
          <cell r="AA6">
            <v>2</v>
          </cell>
        </row>
        <row r="7">
          <cell r="B7" t="str">
            <v>Collaborative Research</v>
          </cell>
        </row>
        <row r="8">
          <cell r="B8" t="str">
            <v xml:space="preserve">   Current</v>
          </cell>
          <cell r="C8">
            <v>21.242000000000001</v>
          </cell>
          <cell r="E8">
            <v>49.736000000000004</v>
          </cell>
          <cell r="G8">
            <v>69.566999999999993</v>
          </cell>
          <cell r="I8">
            <v>68.373000000000005</v>
          </cell>
          <cell r="K8">
            <v>48.08</v>
          </cell>
          <cell r="M8">
            <v>28</v>
          </cell>
          <cell r="O8">
            <v>29.12</v>
          </cell>
          <cell r="Q8">
            <v>30.867200000000004</v>
          </cell>
          <cell r="S8">
            <v>32.410560000000004</v>
          </cell>
          <cell r="U8">
            <v>33.706982400000008</v>
          </cell>
          <cell r="W8">
            <v>35.055261696000009</v>
          </cell>
          <cell r="Y8">
            <v>36.457472163840009</v>
          </cell>
          <cell r="AA8">
            <v>37.915771050393609</v>
          </cell>
        </row>
        <row r="9">
          <cell r="B9" t="str">
            <v xml:space="preserve">   Prior</v>
          </cell>
          <cell r="C9">
            <v>21.242000000000001</v>
          </cell>
          <cell r="E9">
            <v>49.736000000000004</v>
          </cell>
          <cell r="G9">
            <v>69.566999999999993</v>
          </cell>
          <cell r="I9">
            <v>68.373000000000005</v>
          </cell>
          <cell r="K9">
            <v>48.08</v>
          </cell>
          <cell r="M9">
            <v>28</v>
          </cell>
          <cell r="O9">
            <v>29.12</v>
          </cell>
          <cell r="Q9">
            <v>30.867200000000004</v>
          </cell>
          <cell r="S9">
            <v>32.410560000000004</v>
          </cell>
          <cell r="U9">
            <v>33.706982400000008</v>
          </cell>
          <cell r="W9">
            <v>35.055261696000009</v>
          </cell>
          <cell r="Y9">
            <v>36.457472163840009</v>
          </cell>
          <cell r="AA9">
            <v>37.915771050393609</v>
          </cell>
        </row>
        <row r="10">
          <cell r="B10" t="str">
            <v>Total Revenues</v>
          </cell>
        </row>
        <row r="11">
          <cell r="B11" t="str">
            <v xml:space="preserve">   Current</v>
          </cell>
          <cell r="C11">
            <v>42.838000000000001</v>
          </cell>
          <cell r="E11">
            <v>61.740000000000009</v>
          </cell>
          <cell r="G11">
            <v>75.679999999999993</v>
          </cell>
          <cell r="I11">
            <v>72.798000000000002</v>
          </cell>
          <cell r="K11">
            <v>50.117999999999995</v>
          </cell>
          <cell r="M11">
            <v>30</v>
          </cell>
          <cell r="O11">
            <v>31.12</v>
          </cell>
          <cell r="Q11">
            <v>32.867200000000004</v>
          </cell>
          <cell r="S11">
            <v>34.410560000000004</v>
          </cell>
          <cell r="U11">
            <v>35.706982400000008</v>
          </cell>
          <cell r="W11">
            <v>146.555261696</v>
          </cell>
          <cell r="Y11">
            <v>327.95747216384001</v>
          </cell>
          <cell r="AA11">
            <v>509.41577105039363</v>
          </cell>
        </row>
        <row r="12">
          <cell r="B12" t="str">
            <v xml:space="preserve">   Prior</v>
          </cell>
          <cell r="C12">
            <v>42.838000000000001</v>
          </cell>
          <cell r="E12">
            <v>61.74</v>
          </cell>
          <cell r="G12">
            <v>75.680000000000007</v>
          </cell>
          <cell r="I12">
            <v>72.798000000000002</v>
          </cell>
          <cell r="K12">
            <v>50.117999999999995</v>
          </cell>
          <cell r="M12">
            <v>30</v>
          </cell>
          <cell r="O12">
            <v>31.12</v>
          </cell>
          <cell r="Q12">
            <v>32.867200000000004</v>
          </cell>
          <cell r="S12">
            <v>34.410560000000004</v>
          </cell>
          <cell r="U12">
            <v>35.706982400000008</v>
          </cell>
          <cell r="W12">
            <v>146.555261696</v>
          </cell>
          <cell r="Y12">
            <v>327.95747216384001</v>
          </cell>
          <cell r="AA12">
            <v>509.41577105039363</v>
          </cell>
        </row>
        <row r="13">
          <cell r="B13" t="str">
            <v>Cost of Sales</v>
          </cell>
        </row>
        <row r="14">
          <cell r="B14" t="str">
            <v xml:space="preserve">   Current</v>
          </cell>
          <cell r="C14">
            <v>0</v>
          </cell>
          <cell r="E14">
            <v>0</v>
          </cell>
          <cell r="G14">
            <v>0</v>
          </cell>
          <cell r="I14">
            <v>0</v>
          </cell>
          <cell r="K14">
            <v>0</v>
          </cell>
          <cell r="M14">
            <v>0</v>
          </cell>
          <cell r="O14">
            <v>0</v>
          </cell>
          <cell r="Q14">
            <v>0</v>
          </cell>
          <cell r="S14">
            <v>0</v>
          </cell>
          <cell r="U14">
            <v>0</v>
          </cell>
          <cell r="W14">
            <v>13.139999999999999</v>
          </cell>
          <cell r="Y14">
            <v>33.885000000000005</v>
          </cell>
          <cell r="AA14">
            <v>56.820000000000007</v>
          </cell>
        </row>
        <row r="15">
          <cell r="B15" t="str">
            <v xml:space="preserve">   Prior</v>
          </cell>
          <cell r="C15">
            <v>0</v>
          </cell>
          <cell r="E15">
            <v>0</v>
          </cell>
          <cell r="G15">
            <v>0</v>
          </cell>
          <cell r="I15">
            <v>0</v>
          </cell>
          <cell r="K15">
            <v>0</v>
          </cell>
          <cell r="M15">
            <v>0</v>
          </cell>
          <cell r="O15">
            <v>0</v>
          </cell>
          <cell r="Q15">
            <v>0</v>
          </cell>
          <cell r="S15">
            <v>0</v>
          </cell>
          <cell r="U15">
            <v>0</v>
          </cell>
          <cell r="W15">
            <v>13.14</v>
          </cell>
          <cell r="Y15">
            <v>33.884999999999998</v>
          </cell>
          <cell r="AA15">
            <v>56.82</v>
          </cell>
        </row>
        <row r="16">
          <cell r="B16" t="str">
            <v>R&amp;D</v>
          </cell>
        </row>
        <row r="17">
          <cell r="B17" t="str">
            <v xml:space="preserve">   Current</v>
          </cell>
          <cell r="C17">
            <v>82.197999999999993</v>
          </cell>
          <cell r="E17">
            <v>90.585999999999999</v>
          </cell>
          <cell r="G17">
            <v>93.625</v>
          </cell>
          <cell r="I17">
            <v>102.301</v>
          </cell>
          <cell r="K17">
            <v>99.182000000000002</v>
          </cell>
          <cell r="M17">
            <v>118</v>
          </cell>
          <cell r="O17">
            <v>129.14800000000002</v>
          </cell>
          <cell r="P17">
            <v>9.4474576271186717E-2</v>
          </cell>
          <cell r="Q17">
            <v>140.67161600000003</v>
          </cell>
          <cell r="R17">
            <v>8.9227986496112965E-2</v>
          </cell>
          <cell r="S17">
            <v>154.15930880000002</v>
          </cell>
          <cell r="T17">
            <v>9.5880698491442651E-2</v>
          </cell>
          <cell r="U17">
            <v>167.82281728000004</v>
          </cell>
          <cell r="V17">
            <v>8.8632393245395846E-2</v>
          </cell>
          <cell r="W17">
            <v>186.12518235392</v>
          </cell>
          <cell r="X17">
            <v>0.10905766790569249</v>
          </cell>
          <cell r="Y17">
            <v>206.6132074632192</v>
          </cell>
          <cell r="Z17">
            <v>0.110076588509882</v>
          </cell>
          <cell r="AA17">
            <v>229.23709697267714</v>
          </cell>
        </row>
        <row r="18">
          <cell r="B18" t="str">
            <v xml:space="preserve">   Prior</v>
          </cell>
          <cell r="C18">
            <v>82.197999999999993</v>
          </cell>
          <cell r="E18">
            <v>90.585999999999999</v>
          </cell>
          <cell r="G18">
            <v>93.625</v>
          </cell>
          <cell r="I18">
            <v>102.301</v>
          </cell>
          <cell r="K18">
            <v>99.182000000000002</v>
          </cell>
          <cell r="M18">
            <v>118</v>
          </cell>
          <cell r="O18">
            <v>129.14800000000002</v>
          </cell>
          <cell r="P18">
            <v>9.4474576271186717E-2</v>
          </cell>
          <cell r="Q18">
            <v>140.67161600000003</v>
          </cell>
          <cell r="R18">
            <v>8.9227986496112965E-2</v>
          </cell>
          <cell r="S18">
            <v>154.15930880000002</v>
          </cell>
          <cell r="T18">
            <v>9.5880698491442651E-2</v>
          </cell>
          <cell r="U18">
            <v>167.82281728000004</v>
          </cell>
          <cell r="V18">
            <v>8.8632393245395846E-2</v>
          </cell>
          <cell r="W18">
            <v>186.12518235392</v>
          </cell>
          <cell r="X18">
            <v>0.10905766790569249</v>
          </cell>
          <cell r="Y18">
            <v>206.6132074632192</v>
          </cell>
          <cell r="Z18">
            <v>0.110076588509882</v>
          </cell>
          <cell r="AA18">
            <v>229.23709697267714</v>
          </cell>
        </row>
        <row r="19">
          <cell r="B19" t="str">
            <v>SG&amp;A</v>
          </cell>
        </row>
        <row r="20">
          <cell r="B20" t="str">
            <v xml:space="preserve">   Current</v>
          </cell>
          <cell r="C20">
            <v>23.233000000000001</v>
          </cell>
          <cell r="E20">
            <v>18.608000000000001</v>
          </cell>
          <cell r="G20">
            <v>18.173999999999999</v>
          </cell>
          <cell r="I20">
            <v>18.698</v>
          </cell>
          <cell r="K20">
            <v>17.964000000000002</v>
          </cell>
          <cell r="M20">
            <v>20.2</v>
          </cell>
          <cell r="O20">
            <v>21.783999999999999</v>
          </cell>
          <cell r="P20">
            <v>7.8415841584158485E-2</v>
          </cell>
          <cell r="Q20">
            <v>23.664384000000002</v>
          </cell>
          <cell r="R20">
            <v>8.6319500550863237E-2</v>
          </cell>
          <cell r="S20">
            <v>25.979972800000002</v>
          </cell>
          <cell r="T20">
            <v>9.785121810058528E-2</v>
          </cell>
          <cell r="U20">
            <v>28.565585920000007</v>
          </cell>
          <cell r="V20">
            <v>9.9523318977454922E-2</v>
          </cell>
          <cell r="W20">
            <v>74.743183464959998</v>
          </cell>
          <cell r="X20">
            <v>1.6165464861908907</v>
          </cell>
          <cell r="Y20">
            <v>100.0270290099712</v>
          </cell>
          <cell r="Z20">
            <v>0.33827627313819741</v>
          </cell>
          <cell r="AA20">
            <v>117.16562734159054</v>
          </cell>
        </row>
        <row r="21">
          <cell r="B21" t="str">
            <v xml:space="preserve">   Prior</v>
          </cell>
          <cell r="C21">
            <v>23.233000000000001</v>
          </cell>
          <cell r="E21">
            <v>18.608000000000001</v>
          </cell>
          <cell r="G21">
            <v>18.173999999999999</v>
          </cell>
          <cell r="I21">
            <v>18.698</v>
          </cell>
          <cell r="K21">
            <v>17.964000000000002</v>
          </cell>
          <cell r="M21">
            <v>20.2</v>
          </cell>
          <cell r="O21">
            <v>21.783999999999999</v>
          </cell>
          <cell r="P21">
            <v>7.8415841584158485E-2</v>
          </cell>
          <cell r="Q21">
            <v>23.664384000000002</v>
          </cell>
          <cell r="R21">
            <v>8.6319500550863237E-2</v>
          </cell>
          <cell r="S21">
            <v>25.979972800000002</v>
          </cell>
          <cell r="T21">
            <v>9.785121810058528E-2</v>
          </cell>
          <cell r="U21">
            <v>28.565585920000007</v>
          </cell>
          <cell r="V21">
            <v>9.9523318977454922E-2</v>
          </cell>
          <cell r="W21">
            <v>74.743183464959998</v>
          </cell>
          <cell r="X21">
            <v>1.6165464861908907</v>
          </cell>
          <cell r="Y21">
            <v>100.0270290099712</v>
          </cell>
          <cell r="Z21">
            <v>0.33827627313819741</v>
          </cell>
          <cell r="AA21">
            <v>117.16562734159054</v>
          </cell>
        </row>
        <row r="22">
          <cell r="B22" t="str">
            <v>Total Operating Expenses</v>
          </cell>
        </row>
        <row r="23">
          <cell r="B23" t="str">
            <v xml:space="preserve">   Current</v>
          </cell>
          <cell r="C23">
            <v>105.431</v>
          </cell>
          <cell r="E23">
            <v>109.194</v>
          </cell>
          <cell r="G23">
            <v>111.79900000000001</v>
          </cell>
          <cell r="I23">
            <v>120.999</v>
          </cell>
          <cell r="K23">
            <v>117.146</v>
          </cell>
          <cell r="M23">
            <v>138.19999999999999</v>
          </cell>
          <cell r="O23">
            <v>150.93200000000002</v>
          </cell>
          <cell r="P23">
            <v>9.2127351664254897E-2</v>
          </cell>
          <cell r="Q23">
            <v>164.33600000000004</v>
          </cell>
          <cell r="R23">
            <v>8.8808205019479169E-2</v>
          </cell>
          <cell r="S23">
            <v>180.13928160000003</v>
          </cell>
          <cell r="T23">
            <v>9.6164453315159104E-2</v>
          </cell>
          <cell r="U23">
            <v>196.38840320000006</v>
          </cell>
          <cell r="V23">
            <v>9.0203099821843713E-2</v>
          </cell>
          <cell r="W23">
            <v>274.00836581887995</v>
          </cell>
          <cell r="X23">
            <v>0.39523699645254751</v>
          </cell>
          <cell r="Y23">
            <v>340.52523647319043</v>
          </cell>
          <cell r="Z23">
            <v>0.24275488982069349</v>
          </cell>
          <cell r="AA23">
            <v>403.22272431426768</v>
          </cell>
        </row>
        <row r="24">
          <cell r="B24" t="str">
            <v xml:space="preserve">   Prior</v>
          </cell>
          <cell r="C24">
            <v>105.431</v>
          </cell>
          <cell r="E24">
            <v>109.194</v>
          </cell>
          <cell r="G24">
            <v>111.79900000000001</v>
          </cell>
          <cell r="I24">
            <v>120.999</v>
          </cell>
          <cell r="K24">
            <v>117.146</v>
          </cell>
          <cell r="M24">
            <v>138.19999999999999</v>
          </cell>
          <cell r="O24">
            <v>150.93200000000002</v>
          </cell>
          <cell r="P24">
            <v>9.2127351664254897E-2</v>
          </cell>
          <cell r="Q24">
            <v>164.33600000000004</v>
          </cell>
          <cell r="R24">
            <v>8.8808205019479169E-2</v>
          </cell>
          <cell r="S24">
            <v>180.13928160000003</v>
          </cell>
          <cell r="T24">
            <v>9.6164453315159104E-2</v>
          </cell>
          <cell r="U24">
            <v>196.38840320000006</v>
          </cell>
          <cell r="V24">
            <v>9.0203099821843713E-2</v>
          </cell>
          <cell r="W24">
            <v>274.00836581887995</v>
          </cell>
          <cell r="X24">
            <v>0.39523699645254751</v>
          </cell>
          <cell r="Y24">
            <v>340.52523647319043</v>
          </cell>
          <cell r="Z24">
            <v>0.24275488982069349</v>
          </cell>
          <cell r="AA24">
            <v>403.22272431426768</v>
          </cell>
        </row>
        <row r="25">
          <cell r="B25" t="str">
            <v>Net Income (Loss)</v>
          </cell>
        </row>
        <row r="26">
          <cell r="B26" t="str">
            <v xml:space="preserve">   Current</v>
          </cell>
          <cell r="C26">
            <v>-64.197999999999993</v>
          </cell>
          <cell r="E26">
            <v>-47.171999999999997</v>
          </cell>
          <cell r="G26">
            <v>-36.315000000000012</v>
          </cell>
          <cell r="I26">
            <v>-47.273999999999994</v>
          </cell>
          <cell r="K26">
            <v>-50.868000000000009</v>
          </cell>
          <cell r="M26">
            <v>-89.385975994730487</v>
          </cell>
          <cell r="O26">
            <v>-102.20475140381096</v>
          </cell>
          <cell r="Q26">
            <v>-112.49409425572497</v>
          </cell>
          <cell r="S26">
            <v>-226.90056986686415</v>
          </cell>
          <cell r="U26">
            <v>-162.08723978411149</v>
          </cell>
          <cell r="W26">
            <v>-128.3543482659008</v>
          </cell>
          <cell r="Y26">
            <v>-12.619232948884342</v>
          </cell>
          <cell r="AA26">
            <v>100.71642882652026</v>
          </cell>
        </row>
        <row r="27">
          <cell r="B27" t="str">
            <v xml:space="preserve">   Prior</v>
          </cell>
          <cell r="C27">
            <v>-64.197999999999993</v>
          </cell>
          <cell r="E27">
            <v>-47.171999999999997</v>
          </cell>
          <cell r="G27">
            <v>-36.314999999999998</v>
          </cell>
          <cell r="I27">
            <v>-47.273999999999994</v>
          </cell>
          <cell r="K27">
            <v>-50.868000000000009</v>
          </cell>
          <cell r="M27">
            <v>-89.385975994730487</v>
          </cell>
          <cell r="O27">
            <v>-102.20475140381096</v>
          </cell>
          <cell r="Q27">
            <v>-112.49409425572497</v>
          </cell>
          <cell r="S27">
            <v>-226.90056986686415</v>
          </cell>
          <cell r="U27">
            <v>-162.08723978411149</v>
          </cell>
          <cell r="W27">
            <v>-128.3543482659008</v>
          </cell>
          <cell r="Y27">
            <v>-12.619232948884342</v>
          </cell>
          <cell r="AA27">
            <v>100.71642882652026</v>
          </cell>
        </row>
        <row r="28">
          <cell r="B28" t="str">
            <v>GAAP Net Income (Loss)</v>
          </cell>
          <cell r="AC28" t="str">
            <v>Includes stock compensation expense</v>
          </cell>
        </row>
        <row r="29">
          <cell r="B29" t="str">
            <v>Current</v>
          </cell>
          <cell r="C29">
            <v>-64.197999999999993</v>
          </cell>
          <cell r="E29">
            <v>-47.171999999999997</v>
          </cell>
          <cell r="G29">
            <v>-36.315000000000012</v>
          </cell>
          <cell r="I29">
            <v>-54.28634823708142</v>
          </cell>
          <cell r="K29">
            <v>-58.794000000000011</v>
          </cell>
          <cell r="M29">
            <v>-95.385975994730487</v>
          </cell>
          <cell r="O29">
            <v>-110.20475140381096</v>
          </cell>
          <cell r="Q29">
            <v>-122.49409425572497</v>
          </cell>
          <cell r="S29">
            <v>-238.90056986686415</v>
          </cell>
          <cell r="U29">
            <v>-176.08723978411149</v>
          </cell>
          <cell r="W29">
            <v>-144.3543482659008</v>
          </cell>
          <cell r="Y29">
            <v>-30.619232948884342</v>
          </cell>
          <cell r="AA29">
            <v>82.156428826520255</v>
          </cell>
        </row>
        <row r="30">
          <cell r="B30" t="str">
            <v>Prior</v>
          </cell>
          <cell r="C30">
            <v>-64.197999999999993</v>
          </cell>
          <cell r="E30">
            <v>-47.171999999999997</v>
          </cell>
          <cell r="G30">
            <v>-36.314999999999998</v>
          </cell>
          <cell r="I30">
            <v>-54.28634823708142</v>
          </cell>
          <cell r="K30">
            <v>-58.794000000000011</v>
          </cell>
          <cell r="M30">
            <v>-95.385975994730487</v>
          </cell>
          <cell r="O30">
            <v>-110.20475140381096</v>
          </cell>
          <cell r="Q30">
            <v>-122.49409425572497</v>
          </cell>
          <cell r="S30">
            <v>-238.90056986686415</v>
          </cell>
          <cell r="U30">
            <v>-176.08723978411149</v>
          </cell>
          <cell r="W30">
            <v>-144.3543482659008</v>
          </cell>
          <cell r="Y30">
            <v>-30.619232948884342</v>
          </cell>
          <cell r="AA30">
            <v>82.156428826520255</v>
          </cell>
        </row>
        <row r="31">
          <cell r="B31" t="str">
            <v>EPS - Fully Diluted (Non-GAAP, Non ESO)</v>
          </cell>
          <cell r="AC31" t="str">
            <v>Non-GAAP Diluted EPS (Excludes stock compensation expense)</v>
          </cell>
        </row>
        <row r="32">
          <cell r="B32" t="str">
            <v xml:space="preserve">   Current</v>
          </cell>
          <cell r="C32">
            <v>-1.1298486448433649</v>
          </cell>
          <cell r="E32">
            <v>-0.74490436430390239</v>
          </cell>
          <cell r="G32">
            <v>-0.56775898189550056</v>
          </cell>
          <cell r="I32">
            <v>-0.70708596642111954</v>
          </cell>
          <cell r="K32">
            <v>-0.51059985545651665</v>
          </cell>
          <cell r="M32">
            <v>-0.64855613129800072</v>
          </cell>
          <cell r="O32">
            <v>-0.73274260853343143</v>
          </cell>
          <cell r="Q32">
            <v>-0.7553703658920794</v>
          </cell>
          <cell r="S32">
            <v>-1.3428640428426206</v>
          </cell>
          <cell r="U32">
            <v>-0.85939171841901263</v>
          </cell>
          <cell r="W32">
            <v>-0.63423409265237374</v>
          </cell>
          <cell r="Y32">
            <v>-6.0440812168599499E-2</v>
          </cell>
          <cell r="AA32">
            <v>0.32028735079860626</v>
          </cell>
        </row>
        <row r="33">
          <cell r="B33" t="str">
            <v xml:space="preserve">   Prior</v>
          </cell>
          <cell r="C33">
            <v>-1.1298486448433649</v>
          </cell>
          <cell r="E33">
            <v>-0.74490436430390239</v>
          </cell>
          <cell r="G33">
            <v>-0.56775898189550056</v>
          </cell>
          <cell r="I33">
            <v>-0.70708596642111954</v>
          </cell>
          <cell r="K33">
            <v>-0.51059985545651665</v>
          </cell>
          <cell r="M33">
            <v>-0.64855613129800072</v>
          </cell>
          <cell r="O33">
            <v>-0.73274260853343143</v>
          </cell>
          <cell r="Q33">
            <v>-0.7553703658920794</v>
          </cell>
          <cell r="S33">
            <v>-1.3428640428426206</v>
          </cell>
          <cell r="U33">
            <v>-0.85939171841901263</v>
          </cell>
          <cell r="W33">
            <v>-0.63423409265237374</v>
          </cell>
          <cell r="Y33">
            <v>-6.0440812168599499E-2</v>
          </cell>
          <cell r="AA33">
            <v>0.32028735079860626</v>
          </cell>
        </row>
        <row r="34">
          <cell r="B34" t="str">
            <v>EPS - Diluted (Non-GAAP, With ESO)</v>
          </cell>
          <cell r="AC34" t="str">
            <v>Non-GAAP Diluted EPS (Includes stock compensation expense)</v>
          </cell>
        </row>
        <row r="35">
          <cell r="B35" t="str">
            <v>Current</v>
          </cell>
          <cell r="C35">
            <v>-1.1298486448433649</v>
          </cell>
          <cell r="E35">
            <v>-0.74490436430390239</v>
          </cell>
          <cell r="G35">
            <v>-0.56775898189550056</v>
          </cell>
          <cell r="I35">
            <v>-0.81197095669268859</v>
          </cell>
          <cell r="K35">
            <v>-0.59015899783184789</v>
          </cell>
          <cell r="M35">
            <v>-0.69209021754009092</v>
          </cell>
          <cell r="O35">
            <v>-0.79009748477697239</v>
          </cell>
          <cell r="Q35">
            <v>-0.82251792336073626</v>
          </cell>
          <cell r="S35">
            <v>-1.4138835582346123</v>
          </cell>
          <cell r="U35">
            <v>-0.93362016523500657</v>
          </cell>
          <cell r="W35">
            <v>-0.71329448771912884</v>
          </cell>
          <cell r="Y35">
            <v>-0.14665323279999568</v>
          </cell>
          <cell r="AA35">
            <v>0.37883406518120938</v>
          </cell>
        </row>
        <row r="36">
          <cell r="B36" t="str">
            <v>Prior</v>
          </cell>
          <cell r="C36">
            <v>-1.1298486448433649</v>
          </cell>
          <cell r="E36">
            <v>-0.74490436430390239</v>
          </cell>
          <cell r="G36">
            <v>-0.56775898189550056</v>
          </cell>
          <cell r="I36">
            <v>-0.81197095669268859</v>
          </cell>
          <cell r="K36">
            <v>-0.59015899783184789</v>
          </cell>
          <cell r="M36">
            <v>-0.69209021754009092</v>
          </cell>
          <cell r="O36">
            <v>-0.79009748477697239</v>
          </cell>
          <cell r="Q36">
            <v>-0.82251792336073626</v>
          </cell>
          <cell r="S36">
            <v>-1.4138835582346123</v>
          </cell>
          <cell r="U36">
            <v>-0.93362016523500657</v>
          </cell>
          <cell r="W36">
            <v>-0.71329448771912884</v>
          </cell>
          <cell r="Y36">
            <v>-0.14665323279999568</v>
          </cell>
          <cell r="AA36">
            <v>0.37883406518120938</v>
          </cell>
        </row>
        <row r="37">
          <cell r="B37" t="str">
            <v>Diluted Shares Outstanding</v>
          </cell>
        </row>
        <row r="38">
          <cell r="B38" t="str">
            <v>Current</v>
          </cell>
          <cell r="C38">
            <v>56.82</v>
          </cell>
          <cell r="E38">
            <v>63.326250000000002</v>
          </cell>
          <cell r="G38">
            <v>63.962000000000003</v>
          </cell>
          <cell r="I38">
            <v>66.857499999999987</v>
          </cell>
          <cell r="K38">
            <v>99.623999999999995</v>
          </cell>
          <cell r="M38">
            <v>137.82303748456758</v>
          </cell>
          <cell r="O38">
            <v>139.4824734</v>
          </cell>
          <cell r="Q38">
            <v>148.92574468800001</v>
          </cell>
          <cell r="S38">
            <v>168.96764127108003</v>
          </cell>
          <cell r="U38">
            <v>188.60693710464963</v>
          </cell>
          <cell r="W38">
            <v>202.37692951686267</v>
          </cell>
          <cell r="Y38">
            <v>208.78662109441916</v>
          </cell>
          <cell r="AA38">
            <v>216.86652911538462</v>
          </cell>
        </row>
        <row r="39">
          <cell r="B39" t="str">
            <v>Prior</v>
          </cell>
          <cell r="C39">
            <v>56.82</v>
          </cell>
          <cell r="E39">
            <v>63.326250000000002</v>
          </cell>
          <cell r="G39">
            <v>63.962000000000003</v>
          </cell>
          <cell r="I39">
            <v>66.857500000000002</v>
          </cell>
          <cell r="K39">
            <v>99.623999999999995</v>
          </cell>
          <cell r="M39">
            <v>137.82303748456758</v>
          </cell>
          <cell r="O39">
            <v>139.4824734</v>
          </cell>
          <cell r="Q39">
            <v>148.92574468800001</v>
          </cell>
          <cell r="S39">
            <v>168.96764127108003</v>
          </cell>
          <cell r="U39">
            <v>188.60693710464963</v>
          </cell>
          <cell r="W39">
            <v>202.37692951686267</v>
          </cell>
          <cell r="Y39">
            <v>208.78662109441916</v>
          </cell>
          <cell r="AA39">
            <v>216.86652911538462</v>
          </cell>
        </row>
      </sheetData>
      <sheetData sheetId="10">
        <row r="1">
          <cell r="A1" t="str">
            <v>4Q05 Earnings Snapshot</v>
          </cell>
        </row>
        <row r="2">
          <cell r="B2" t="str">
            <v>4Q05</v>
          </cell>
          <cell r="C2" t="str">
            <v>4Q05</v>
          </cell>
        </row>
        <row r="3">
          <cell r="B3" t="str">
            <v>Actual</v>
          </cell>
          <cell r="C3" t="str">
            <v>MS Est</v>
          </cell>
          <cell r="D3" t="str">
            <v>Difference</v>
          </cell>
          <cell r="E3" t="str">
            <v>Comments</v>
          </cell>
        </row>
        <row r="4">
          <cell r="A4" t="str">
            <v>Revenues:</v>
          </cell>
        </row>
        <row r="5">
          <cell r="A5" t="str">
            <v>Subscription and License Fees</v>
          </cell>
          <cell r="B5">
            <v>0.501</v>
          </cell>
          <cell r="C5">
            <v>0.5</v>
          </cell>
          <cell r="D5">
            <v>1.0000000000000009E-3</v>
          </cell>
        </row>
        <row r="6">
          <cell r="A6" t="str">
            <v>Collaborative Research</v>
          </cell>
          <cell r="B6">
            <v>33.393000000000001</v>
          </cell>
          <cell r="C6">
            <v>31</v>
          </cell>
          <cell r="D6">
            <v>2.3930000000000007</v>
          </cell>
          <cell r="E6" t="str">
            <v>Includes collaborative research revenue from agreements with NIH and the Texas Enterprise Fund and $20M in milestone payments from Genentech</v>
          </cell>
        </row>
        <row r="7">
          <cell r="A7" t="str">
            <v>Total Revenues</v>
          </cell>
          <cell r="B7">
            <v>33.893999999999998</v>
          </cell>
          <cell r="C7">
            <v>31.5</v>
          </cell>
          <cell r="D7">
            <v>2.3939999999999984</v>
          </cell>
        </row>
        <row r="8">
          <cell r="A8" t="str">
            <v>Operating Expenses:</v>
          </cell>
        </row>
        <row r="9">
          <cell r="A9" t="str">
            <v>R&amp;D</v>
          </cell>
          <cell r="B9">
            <v>23.853999999999999</v>
          </cell>
          <cell r="C9">
            <v>26</v>
          </cell>
          <cell r="D9">
            <v>-2.1460000000000008</v>
          </cell>
        </row>
        <row r="10">
          <cell r="A10" t="str">
            <v>SG&amp;A</v>
          </cell>
          <cell r="B10">
            <v>4.3179999999999996</v>
          </cell>
          <cell r="C10">
            <v>5.0999999999999996</v>
          </cell>
          <cell r="D10">
            <v>-0.78200000000000003</v>
          </cell>
        </row>
        <row r="11">
          <cell r="A11" t="str">
            <v>Total Operating Expenses</v>
          </cell>
          <cell r="B11">
            <v>28.171999999999997</v>
          </cell>
          <cell r="C11">
            <v>31.1</v>
          </cell>
          <cell r="D11">
            <v>-2.9280000000000044</v>
          </cell>
        </row>
        <row r="12">
          <cell r="A12" t="str">
            <v>Operating Income (Loss)</v>
          </cell>
          <cell r="B12">
            <v>5.7220000000000013</v>
          </cell>
          <cell r="C12">
            <v>2.4</v>
          </cell>
          <cell r="D12">
            <v>3.3220000000000014</v>
          </cell>
        </row>
        <row r="13">
          <cell r="A13" t="str">
            <v>Net Income (Loss)</v>
          </cell>
          <cell r="B13">
            <v>5.9140000000000015</v>
          </cell>
          <cell r="C13">
            <v>2.2000000000000002</v>
          </cell>
          <cell r="D13">
            <v>3.7140000000000013</v>
          </cell>
        </row>
        <row r="14">
          <cell r="A14" t="str">
            <v>EPS - Basic</v>
          </cell>
          <cell r="B14">
            <v>9.1634515564232494E-2</v>
          </cell>
          <cell r="C14">
            <v>0.03</v>
          </cell>
          <cell r="D14">
            <v>6.1634515564232495E-2</v>
          </cell>
          <cell r="E14" t="str">
            <v>Consensus was $0.04</v>
          </cell>
        </row>
        <row r="15">
          <cell r="A15" t="str">
            <v xml:space="preserve">Basic Shares Outstanding </v>
          </cell>
          <cell r="B15">
            <v>64.539000000000001</v>
          </cell>
          <cell r="C15">
            <v>64.2</v>
          </cell>
          <cell r="D15">
            <v>0.33899999999999864</v>
          </cell>
          <cell r="E15" t="str">
            <v>Little dilution to shareholders as financing has occurred through collaberative research revenues</v>
          </cell>
        </row>
        <row r="16">
          <cell r="A16" t="str">
            <v>Diluted Shares Outstanding</v>
          </cell>
          <cell r="B16">
            <v>59.475000000000001</v>
          </cell>
          <cell r="C16">
            <v>63.421999999999997</v>
          </cell>
        </row>
        <row r="18">
          <cell r="A18" t="str">
            <v>Source: Company data and Morgan Stanley Research</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ly"/>
      <sheetName val="mwareTaxoPres"/>
      <sheetName val="Annual"/>
      <sheetName val="Balance Sheet "/>
      <sheetName val="Cashflow"/>
      <sheetName val="mwareValPrintout"/>
      <sheetName val="News Flow"/>
      <sheetName val="Differences"/>
      <sheetName val="__FDSCACHE__"/>
      <sheetName val="Model_Template"/>
      <sheetName val="Reverset (2)"/>
      <sheetName val="INCY.O"/>
      <sheetName val="Variance"/>
      <sheetName val="Changes to Model"/>
      <sheetName val="NPV Valuation"/>
      <sheetName val="Pipeline Drugs"/>
      <sheetName val="NPV_Summary"/>
      <sheetName val="NPV_Detail"/>
      <sheetName val="JAK MF"/>
      <sheetName val="JAK RA"/>
      <sheetName val="JAK Pso"/>
      <sheetName val="HSD1 DiabII"/>
      <sheetName val=" CCR5 HIV"/>
      <sheetName val="Sheddase Onc"/>
      <sheetName val="CCR2  PFE"/>
      <sheetName val="HM74A DiabII"/>
      <sheetName val="CCR2 MS"/>
      <sheetName val="IND#1"/>
      <sheetName val="IND#2"/>
      <sheetName val="Reverset"/>
      <sheetName val="mwarePreview"/>
      <sheetName val="mwareDates"/>
      <sheetName val="NY UPLOAD shadow"/>
      <sheetName val="mwareSettings"/>
      <sheetName val="mStartup"/>
      <sheetName val="MainCode"/>
    </sheetNames>
    <sheetDataSet>
      <sheetData sheetId="0">
        <row r="1">
          <cell r="B1" t="str">
            <v>Incyte Corporation Quarterly Income Statement</v>
          </cell>
          <cell r="DD1" t="str">
            <v>ElementName</v>
          </cell>
          <cell r="DE1" t="str">
            <v>ScaleOverride</v>
          </cell>
          <cell r="DF1" t="str">
            <v>UnitOverride</v>
          </cell>
          <cell r="DG1" t="str">
            <v>ReverseSign</v>
          </cell>
          <cell r="DH1" t="str">
            <v>IsDrivingAssumption</v>
          </cell>
          <cell r="DI1" t="str">
            <v>SegmentID</v>
          </cell>
        </row>
        <row r="2">
          <cell r="B2" t="str">
            <v>(Dollars in millions except per share data)</v>
          </cell>
        </row>
        <row r="4">
          <cell r="C4" t="str">
            <v>1Q02</v>
          </cell>
          <cell r="E4" t="str">
            <v>2Q02</v>
          </cell>
          <cell r="G4" t="str">
            <v>3Q02</v>
          </cell>
          <cell r="I4" t="str">
            <v>4Q02</v>
          </cell>
          <cell r="K4" t="str">
            <v>2002</v>
          </cell>
          <cell r="N4" t="str">
            <v>1Q03</v>
          </cell>
          <cell r="P4" t="str">
            <v>2Q03</v>
          </cell>
          <cell r="R4" t="str">
            <v>3Q03</v>
          </cell>
          <cell r="T4" t="str">
            <v>4Q03</v>
          </cell>
          <cell r="V4" t="str">
            <v>2003</v>
          </cell>
          <cell r="W4" t="str">
            <v>% chg</v>
          </cell>
          <cell r="Y4" t="str">
            <v>1Q04</v>
          </cell>
          <cell r="Z4" t="str">
            <v>% chg</v>
          </cell>
          <cell r="AA4" t="str">
            <v>2Q04</v>
          </cell>
          <cell r="AB4" t="str">
            <v>% chg</v>
          </cell>
          <cell r="AC4" t="str">
            <v>3Q04</v>
          </cell>
          <cell r="AD4" t="str">
            <v>% chg</v>
          </cell>
          <cell r="AE4" t="str">
            <v>4Q04</v>
          </cell>
          <cell r="AF4" t="str">
            <v>% chg</v>
          </cell>
          <cell r="AG4" t="str">
            <v>2004</v>
          </cell>
          <cell r="AH4" t="str">
            <v>% chg</v>
          </cell>
          <cell r="AJ4" t="str">
            <v>Test</v>
          </cell>
          <cell r="AL4" t="str">
            <v>Guidance</v>
          </cell>
          <cell r="AN4" t="str">
            <v>1Q05A</v>
          </cell>
          <cell r="AO4" t="str">
            <v>% chg</v>
          </cell>
          <cell r="AP4" t="str">
            <v>2Q05A</v>
          </cell>
          <cell r="AQ4" t="str">
            <v>% chg</v>
          </cell>
          <cell r="AR4" t="str">
            <v>3Q05A</v>
          </cell>
          <cell r="AS4" t="str">
            <v>% chg</v>
          </cell>
          <cell r="AT4" t="str">
            <v>4Q05A</v>
          </cell>
          <cell r="AU4" t="str">
            <v>% chg</v>
          </cell>
          <cell r="AV4" t="str">
            <v>2005A</v>
          </cell>
          <cell r="AW4" t="str">
            <v>% chg</v>
          </cell>
          <cell r="AY4" t="str">
            <v>Guidance</v>
          </cell>
          <cell r="AZ4" t="str">
            <v>3Q Guidance</v>
          </cell>
          <cell r="BB4" t="str">
            <v>1Q06A</v>
          </cell>
          <cell r="BC4" t="str">
            <v>% chg</v>
          </cell>
          <cell r="BD4" t="str">
            <v>2Q06A</v>
          </cell>
          <cell r="BE4" t="str">
            <v>% chg</v>
          </cell>
          <cell r="BF4" t="str">
            <v>3Q06A</v>
          </cell>
          <cell r="BG4" t="str">
            <v>% chg</v>
          </cell>
          <cell r="BH4" t="str">
            <v>4Q06A</v>
          </cell>
          <cell r="BI4" t="str">
            <v>% chg</v>
          </cell>
          <cell r="BJ4" t="str">
            <v>2006A</v>
          </cell>
          <cell r="BK4" t="str">
            <v>% chg</v>
          </cell>
          <cell r="BM4" t="str">
            <v>Guidance</v>
          </cell>
          <cell r="BQ4" t="str">
            <v>1Q07A</v>
          </cell>
          <cell r="BR4" t="str">
            <v>% chg</v>
          </cell>
          <cell r="BS4" t="str">
            <v>2Q07A</v>
          </cell>
          <cell r="BT4" t="str">
            <v>% chg</v>
          </cell>
          <cell r="BU4" t="str">
            <v>3Q07A</v>
          </cell>
          <cell r="BV4" t="str">
            <v>% chg</v>
          </cell>
          <cell r="BW4" t="str">
            <v>4Q07A</v>
          </cell>
          <cell r="BX4" t="str">
            <v>% chg</v>
          </cell>
          <cell r="BY4" t="str">
            <v>2007E</v>
          </cell>
          <cell r="BZ4" t="str">
            <v>% chg</v>
          </cell>
          <cell r="CA4" t="str">
            <v>Guidance</v>
          </cell>
          <cell r="CE4" t="str">
            <v>1Q08E</v>
          </cell>
          <cell r="CF4" t="str">
            <v>% chg</v>
          </cell>
          <cell r="CG4" t="str">
            <v>2Q08E</v>
          </cell>
          <cell r="CH4" t="str">
            <v>% chg</v>
          </cell>
          <cell r="CI4" t="str">
            <v>3Q08E</v>
          </cell>
          <cell r="CJ4" t="str">
            <v>% chg</v>
          </cell>
          <cell r="CK4" t="str">
            <v>4Q08E</v>
          </cell>
          <cell r="CL4" t="str">
            <v>% chg</v>
          </cell>
          <cell r="CM4" t="str">
            <v>2008E</v>
          </cell>
          <cell r="CN4" t="str">
            <v>% chg</v>
          </cell>
          <cell r="CO4" t="str">
            <v>2008 Guidance</v>
          </cell>
        </row>
        <row r="5">
          <cell r="B5" t="str">
            <v>Revenues:</v>
          </cell>
        </row>
        <row r="6">
          <cell r="B6" t="str">
            <v>JAK Inhibitor (MF) - US</v>
          </cell>
          <cell r="AB6" t="e">
            <v>#DIV/0!</v>
          </cell>
          <cell r="AD6" t="e">
            <v>#DIV/0!</v>
          </cell>
          <cell r="AF6" t="e">
            <v>#DIV/0!</v>
          </cell>
          <cell r="AG6">
            <v>0</v>
          </cell>
          <cell r="AH6" t="e">
            <v>#DIV/0!</v>
          </cell>
          <cell r="AI6" t="e">
            <v>#REF!</v>
          </cell>
          <cell r="AJ6" t="e">
            <v>#REF!</v>
          </cell>
          <cell r="AO6" t="e">
            <v>#DIV/0!</v>
          </cell>
          <cell r="AQ6" t="e">
            <v>#DIV/0!</v>
          </cell>
          <cell r="AS6" t="e">
            <v>#DIV/0!</v>
          </cell>
          <cell r="AU6" t="e">
            <v>#REF!</v>
          </cell>
          <cell r="AV6">
            <v>0</v>
          </cell>
          <cell r="AW6" t="e">
            <v>#DIV/0!</v>
          </cell>
        </row>
        <row r="7">
          <cell r="B7" t="str">
            <v>JAK Inhibitor (MF) - Ex-US</v>
          </cell>
          <cell r="AB7" t="e">
            <v>#DIV/0!</v>
          </cell>
          <cell r="AD7" t="e">
            <v>#DIV/0!</v>
          </cell>
          <cell r="AF7" t="e">
            <v>#DIV/0!</v>
          </cell>
          <cell r="AG7">
            <v>0</v>
          </cell>
          <cell r="AH7" t="e">
            <v>#DIV/0!</v>
          </cell>
          <cell r="AI7">
            <v>0</v>
          </cell>
          <cell r="AJ7">
            <v>0</v>
          </cell>
          <cell r="AO7" t="e">
            <v>#DIV/0!</v>
          </cell>
          <cell r="AQ7" t="e">
            <v>#DIV/0!</v>
          </cell>
          <cell r="AS7" t="e">
            <v>#DIV/0!</v>
          </cell>
          <cell r="AU7" t="e">
            <v>#DIV/0!</v>
          </cell>
          <cell r="AV7">
            <v>0</v>
          </cell>
          <cell r="AW7" t="e">
            <v>#DIV/0!</v>
          </cell>
        </row>
        <row r="8">
          <cell r="B8" t="str">
            <v>JAK Inhibitor (MF)</v>
          </cell>
          <cell r="AB8" t="e">
            <v>#DIV/0!</v>
          </cell>
          <cell r="AD8" t="e">
            <v>#DIV/0!</v>
          </cell>
          <cell r="AF8" t="e">
            <v>#DIV/0!</v>
          </cell>
          <cell r="AG8">
            <v>0</v>
          </cell>
          <cell r="AH8" t="e">
            <v>#DIV/0!</v>
          </cell>
          <cell r="AI8">
            <v>0</v>
          </cell>
          <cell r="AJ8">
            <v>0</v>
          </cell>
          <cell r="AO8" t="e">
            <v>#DIV/0!</v>
          </cell>
          <cell r="AQ8" t="e">
            <v>#DIV/0!</v>
          </cell>
          <cell r="AS8" t="e">
            <v>#DIV/0!</v>
          </cell>
          <cell r="AU8" t="e">
            <v>#DIV/0!</v>
          </cell>
          <cell r="AV8">
            <v>0</v>
          </cell>
          <cell r="AW8" t="e">
            <v>#DIV/0!</v>
          </cell>
        </row>
        <row r="9">
          <cell r="B9" t="str">
            <v>JAK Inhibitor (RA) - US</v>
          </cell>
          <cell r="AB9" t="e">
            <v>#DIV/0!</v>
          </cell>
          <cell r="AD9" t="e">
            <v>#DIV/0!</v>
          </cell>
          <cell r="AF9" t="e">
            <v>#DIV/0!</v>
          </cell>
          <cell r="AG9">
            <v>0</v>
          </cell>
          <cell r="AH9" t="e">
            <v>#DIV/0!</v>
          </cell>
          <cell r="AI9" t="e">
            <v>#REF!</v>
          </cell>
          <cell r="AJ9" t="e">
            <v>#REF!</v>
          </cell>
          <cell r="AO9" t="e">
            <v>#DIV/0!</v>
          </cell>
          <cell r="AQ9" t="e">
            <v>#DIV/0!</v>
          </cell>
          <cell r="AS9" t="e">
            <v>#DIV/0!</v>
          </cell>
          <cell r="AU9" t="e">
            <v>#REF!</v>
          </cell>
          <cell r="AV9">
            <v>0</v>
          </cell>
          <cell r="AW9" t="e">
            <v>#DIV/0!</v>
          </cell>
        </row>
        <row r="10">
          <cell r="B10" t="str">
            <v>JAK Inhibitor (RA) - Ex-US</v>
          </cell>
        </row>
        <row r="11">
          <cell r="B11" t="str">
            <v>JAK Inhibitor (RA)</v>
          </cell>
        </row>
        <row r="12">
          <cell r="B12" t="str">
            <v>Other</v>
          </cell>
          <cell r="AB12" t="e">
            <v>#DIV/0!</v>
          </cell>
          <cell r="AD12" t="e">
            <v>#DIV/0!</v>
          </cell>
          <cell r="AF12" t="e">
            <v>#DIV/0!</v>
          </cell>
          <cell r="AG12">
            <v>0</v>
          </cell>
          <cell r="AH12" t="e">
            <v>#DIV/0!</v>
          </cell>
          <cell r="AI12">
            <v>0</v>
          </cell>
          <cell r="AJ12">
            <v>0</v>
          </cell>
          <cell r="AO12" t="e">
            <v>#DIV/0!</v>
          </cell>
          <cell r="AQ12" t="e">
            <v>#DIV/0!</v>
          </cell>
          <cell r="AS12" t="e">
            <v>#DIV/0!</v>
          </cell>
          <cell r="AU12" t="e">
            <v>#DIV/0!</v>
          </cell>
          <cell r="AV12">
            <v>0</v>
          </cell>
          <cell r="AW12" t="e">
            <v>#DIV/0!</v>
          </cell>
        </row>
        <row r="13">
          <cell r="B13" t="str">
            <v>Total Product Sales</v>
          </cell>
          <cell r="C13">
            <v>0</v>
          </cell>
          <cell r="E13">
            <v>0</v>
          </cell>
          <cell r="G13">
            <v>0</v>
          </cell>
          <cell r="I13">
            <v>0</v>
          </cell>
          <cell r="K13">
            <v>0</v>
          </cell>
          <cell r="N13">
            <v>0</v>
          </cell>
          <cell r="P13">
            <v>0</v>
          </cell>
          <cell r="R13">
            <v>0</v>
          </cell>
          <cell r="T13">
            <v>0</v>
          </cell>
          <cell r="V13">
            <v>0</v>
          </cell>
          <cell r="W13" t="str">
            <v>NM</v>
          </cell>
          <cell r="Y13">
            <v>0</v>
          </cell>
          <cell r="Z13" t="str">
            <v>NM</v>
          </cell>
          <cell r="AA13">
            <v>0</v>
          </cell>
          <cell r="AB13" t="str">
            <v>NM</v>
          </cell>
          <cell r="AC13">
            <v>0</v>
          </cell>
          <cell r="AD13" t="str">
            <v>NM</v>
          </cell>
          <cell r="AE13">
            <v>0</v>
          </cell>
          <cell r="AF13" t="str">
            <v>NM</v>
          </cell>
          <cell r="AG13">
            <v>0</v>
          </cell>
          <cell r="AH13" t="str">
            <v>NM</v>
          </cell>
          <cell r="AI13">
            <v>0</v>
          </cell>
          <cell r="AJ13">
            <v>0</v>
          </cell>
          <cell r="AN13">
            <v>0</v>
          </cell>
          <cell r="AO13" t="str">
            <v>NM</v>
          </cell>
          <cell r="AP13">
            <v>0</v>
          </cell>
          <cell r="AQ13" t="str">
            <v>NM</v>
          </cell>
          <cell r="AR13">
            <v>0</v>
          </cell>
          <cell r="AS13" t="str">
            <v>NM</v>
          </cell>
          <cell r="AT13">
            <v>0</v>
          </cell>
          <cell r="AU13" t="str">
            <v>NM</v>
          </cell>
          <cell r="AV13">
            <v>0</v>
          </cell>
          <cell r="AW13" t="str">
            <v>NM</v>
          </cell>
          <cell r="BB13">
            <v>0</v>
          </cell>
          <cell r="BC13" t="str">
            <v>NM</v>
          </cell>
          <cell r="BD13">
            <v>0</v>
          </cell>
          <cell r="BE13" t="str">
            <v>NM</v>
          </cell>
          <cell r="BF13">
            <v>0</v>
          </cell>
          <cell r="BG13" t="str">
            <v>NM</v>
          </cell>
          <cell r="BH13">
            <v>0</v>
          </cell>
          <cell r="BI13" t="str">
            <v>NM</v>
          </cell>
          <cell r="BJ13">
            <v>0</v>
          </cell>
          <cell r="BK13" t="str">
            <v>NM</v>
          </cell>
          <cell r="BQ13">
            <v>0</v>
          </cell>
          <cell r="BR13" t="str">
            <v>NM</v>
          </cell>
          <cell r="BS13">
            <v>0</v>
          </cell>
          <cell r="BT13" t="str">
            <v>NM</v>
          </cell>
          <cell r="BU13">
            <v>0</v>
          </cell>
          <cell r="BV13" t="str">
            <v>NM</v>
          </cell>
          <cell r="BW13">
            <v>0</v>
          </cell>
          <cell r="BX13" t="str">
            <v>NM</v>
          </cell>
          <cell r="BY13">
            <v>0</v>
          </cell>
          <cell r="BZ13" t="str">
            <v>NM</v>
          </cell>
          <cell r="CE13">
            <v>0</v>
          </cell>
          <cell r="CF13" t="str">
            <v>NM</v>
          </cell>
          <cell r="CG13">
            <v>0</v>
          </cell>
          <cell r="CH13" t="str">
            <v>NM</v>
          </cell>
          <cell r="CI13">
            <v>0</v>
          </cell>
          <cell r="CJ13" t="str">
            <v>NM</v>
          </cell>
          <cell r="CK13">
            <v>0</v>
          </cell>
          <cell r="CL13" t="str">
            <v>NM</v>
          </cell>
          <cell r="CM13">
            <v>0</v>
          </cell>
          <cell r="CN13" t="str">
            <v>NM</v>
          </cell>
        </row>
        <row r="14">
          <cell r="B14" t="str">
            <v>Royalties</v>
          </cell>
          <cell r="K14">
            <v>0</v>
          </cell>
          <cell r="V14">
            <v>0</v>
          </cell>
          <cell r="W14" t="str">
            <v>NM</v>
          </cell>
          <cell r="Y14">
            <v>0</v>
          </cell>
          <cell r="Z14" t="str">
            <v>NM</v>
          </cell>
          <cell r="AA14">
            <v>0</v>
          </cell>
          <cell r="AB14" t="str">
            <v>NM</v>
          </cell>
          <cell r="AC14">
            <v>0</v>
          </cell>
          <cell r="AD14" t="str">
            <v>NM</v>
          </cell>
          <cell r="AE14">
            <v>0</v>
          </cell>
          <cell r="AF14" t="str">
            <v>NM</v>
          </cell>
          <cell r="AG14">
            <v>0</v>
          </cell>
          <cell r="AH14" t="str">
            <v>NM</v>
          </cell>
          <cell r="AI14">
            <v>0</v>
          </cell>
          <cell r="AJ14">
            <v>0</v>
          </cell>
          <cell r="AN14">
            <v>0</v>
          </cell>
          <cell r="AO14" t="str">
            <v>NM</v>
          </cell>
          <cell r="AP14">
            <v>0</v>
          </cell>
          <cell r="AQ14" t="str">
            <v>NM</v>
          </cell>
          <cell r="AR14">
            <v>0</v>
          </cell>
          <cell r="AS14" t="str">
            <v>NM</v>
          </cell>
          <cell r="AT14">
            <v>0</v>
          </cell>
          <cell r="AU14" t="str">
            <v>NM</v>
          </cell>
          <cell r="AV14">
            <v>0</v>
          </cell>
          <cell r="AW14" t="str">
            <v>NM</v>
          </cell>
          <cell r="BB14">
            <v>0.93600000000000005</v>
          </cell>
          <cell r="BC14" t="str">
            <v>NM</v>
          </cell>
          <cell r="BD14">
            <v>0.56299999999999994</v>
          </cell>
          <cell r="BE14" t="str">
            <v>NM</v>
          </cell>
          <cell r="BF14">
            <v>1.0189999999999999</v>
          </cell>
          <cell r="BG14" t="str">
            <v>NM</v>
          </cell>
          <cell r="BH14">
            <v>0.9</v>
          </cell>
          <cell r="BI14" t="str">
            <v>NM</v>
          </cell>
          <cell r="BJ14">
            <v>3.4179999999999997</v>
          </cell>
          <cell r="BK14" t="str">
            <v>NM</v>
          </cell>
          <cell r="BQ14">
            <v>1.3480000000000001</v>
          </cell>
          <cell r="BR14" t="str">
            <v>NM</v>
          </cell>
          <cell r="BS14">
            <v>1.643</v>
          </cell>
          <cell r="BT14" t="str">
            <v>NM</v>
          </cell>
          <cell r="BU14">
            <v>0.78100000000000003</v>
          </cell>
          <cell r="BV14" t="str">
            <v>NM</v>
          </cell>
          <cell r="BW14">
            <v>0.81499999999999995</v>
          </cell>
          <cell r="BX14" t="str">
            <v>NM</v>
          </cell>
          <cell r="BY14">
            <v>4.5869999999999997</v>
          </cell>
          <cell r="BZ14" t="str">
            <v>NM</v>
          </cell>
          <cell r="CE14">
            <v>0.8125</v>
          </cell>
          <cell r="CF14">
            <v>-0.39725519287833833</v>
          </cell>
          <cell r="CG14">
            <v>0.8125</v>
          </cell>
          <cell r="CH14">
            <v>-0.50547778454047476</v>
          </cell>
          <cell r="CI14">
            <v>0.8125</v>
          </cell>
          <cell r="CJ14">
            <v>4.0332906530089696E-2</v>
          </cell>
          <cell r="CK14">
            <v>0.8125</v>
          </cell>
          <cell r="CL14">
            <v>-3.0674846625766694E-3</v>
          </cell>
          <cell r="CM14">
            <v>3.25</v>
          </cell>
          <cell r="CN14" t="str">
            <v>NM</v>
          </cell>
        </row>
        <row r="15">
          <cell r="B15" t="str">
            <v>Contracts</v>
          </cell>
          <cell r="C15">
            <v>29.013999999999999</v>
          </cell>
          <cell r="E15">
            <v>29.059000000000001</v>
          </cell>
          <cell r="G15">
            <v>22.39</v>
          </cell>
          <cell r="I15">
            <v>21.149000000000001</v>
          </cell>
          <cell r="K15">
            <v>101.61199999999999</v>
          </cell>
          <cell r="N15">
            <v>10.509</v>
          </cell>
          <cell r="P15">
            <v>10.337</v>
          </cell>
          <cell r="R15">
            <v>11.349</v>
          </cell>
          <cell r="T15">
            <v>9.0020000000000024</v>
          </cell>
          <cell r="V15">
            <v>41.197000000000003</v>
          </cell>
          <cell r="W15" t="str">
            <v>NM</v>
          </cell>
          <cell r="Y15">
            <v>5.4823333333333339</v>
          </cell>
          <cell r="Z15" t="str">
            <v>NM</v>
          </cell>
          <cell r="AA15">
            <v>4.0043333333333342</v>
          </cell>
          <cell r="AB15" t="str">
            <v>NM</v>
          </cell>
          <cell r="AC15">
            <v>2.3343333333333338</v>
          </cell>
          <cell r="AD15" t="str">
            <v>NM</v>
          </cell>
          <cell r="AE15">
            <v>2.3250000000000002</v>
          </cell>
          <cell r="AF15" t="str">
            <v>NM</v>
          </cell>
          <cell r="AG15">
            <v>14.146000000000001</v>
          </cell>
          <cell r="AH15" t="str">
            <v>NM</v>
          </cell>
          <cell r="AI15">
            <v>14.146000000000001</v>
          </cell>
          <cell r="AJ15">
            <v>0</v>
          </cell>
          <cell r="AN15">
            <v>2.915</v>
          </cell>
          <cell r="AO15" t="str">
            <v>NM</v>
          </cell>
          <cell r="AP15">
            <v>2.6760000000000002</v>
          </cell>
          <cell r="AQ15" t="str">
            <v>NM</v>
          </cell>
          <cell r="AR15">
            <v>1.228</v>
          </cell>
          <cell r="AS15" t="str">
            <v>NM</v>
          </cell>
          <cell r="AT15">
            <v>1.0269999999999999</v>
          </cell>
          <cell r="AU15" t="str">
            <v>NM</v>
          </cell>
          <cell r="AV15">
            <v>7.8460000000000001</v>
          </cell>
          <cell r="AW15" t="str">
            <v>NM</v>
          </cell>
          <cell r="AY15" t="str">
            <v>$6.0-7.0 million</v>
          </cell>
          <cell r="BB15">
            <v>5.5289999999999999</v>
          </cell>
          <cell r="BC15" t="str">
            <v>NM</v>
          </cell>
          <cell r="BD15">
            <v>6.2919999999999998</v>
          </cell>
          <cell r="BE15" t="str">
            <v>NM</v>
          </cell>
          <cell r="BF15">
            <v>6.2489999999999997</v>
          </cell>
          <cell r="BG15" t="str">
            <v>NM</v>
          </cell>
          <cell r="BH15">
            <v>6.1559999999999997</v>
          </cell>
          <cell r="BI15" t="str">
            <v>NM</v>
          </cell>
          <cell r="BJ15">
            <v>24.225999999999999</v>
          </cell>
          <cell r="BK15" t="str">
            <v>NM</v>
          </cell>
          <cell r="BM15" t="str">
            <v>$20-25M</v>
          </cell>
          <cell r="BQ15">
            <v>6.0739999999999998</v>
          </cell>
          <cell r="BR15" t="str">
            <v>NM</v>
          </cell>
          <cell r="BS15">
            <v>8.9329999999999998</v>
          </cell>
          <cell r="BT15" t="str">
            <v>NM</v>
          </cell>
          <cell r="BU15">
            <v>5.9089999999999998</v>
          </cell>
          <cell r="BV15" t="str">
            <v>NM</v>
          </cell>
          <cell r="BW15">
            <v>8.9369999999999994</v>
          </cell>
          <cell r="BX15" t="str">
            <v>NM</v>
          </cell>
          <cell r="BY15">
            <v>29.853000000000002</v>
          </cell>
          <cell r="BZ15" t="str">
            <v>NM</v>
          </cell>
          <cell r="CE15">
            <v>0</v>
          </cell>
          <cell r="CF15">
            <v>-1</v>
          </cell>
          <cell r="CG15">
            <v>0</v>
          </cell>
          <cell r="CH15">
            <v>-1</v>
          </cell>
          <cell r="CI15">
            <v>0</v>
          </cell>
          <cell r="CJ15">
            <v>-1</v>
          </cell>
          <cell r="CK15">
            <v>0</v>
          </cell>
          <cell r="CL15">
            <v>-1</v>
          </cell>
          <cell r="CM15">
            <v>0</v>
          </cell>
          <cell r="CN15" t="str">
            <v>NM</v>
          </cell>
        </row>
        <row r="16">
          <cell r="B16" t="str">
            <v>Total Revenues</v>
          </cell>
          <cell r="C16">
            <v>29.013999999999999</v>
          </cell>
          <cell r="E16">
            <v>29.059000000000001</v>
          </cell>
          <cell r="G16">
            <v>22.39</v>
          </cell>
          <cell r="I16">
            <v>21.149000000000001</v>
          </cell>
          <cell r="K16">
            <v>101.61199999999999</v>
          </cell>
          <cell r="N16">
            <v>10.509</v>
          </cell>
          <cell r="P16">
            <v>10.337</v>
          </cell>
          <cell r="R16">
            <v>11.349</v>
          </cell>
          <cell r="T16">
            <v>9.0020000000000024</v>
          </cell>
          <cell r="V16">
            <v>41.197000000000003</v>
          </cell>
          <cell r="W16">
            <v>-0.59456560248789514</v>
          </cell>
          <cell r="Y16">
            <v>5.4823333333333339</v>
          </cell>
          <cell r="Z16">
            <v>-0.47832017001300464</v>
          </cell>
          <cell r="AA16">
            <v>4.0043333333333342</v>
          </cell>
          <cell r="AB16">
            <v>-0.61262132791590074</v>
          </cell>
          <cell r="AC16">
            <v>2.3343333333333338</v>
          </cell>
          <cell r="AD16">
            <v>-0.79431374276735101</v>
          </cell>
          <cell r="AE16">
            <v>2.3250000000000002</v>
          </cell>
          <cell r="AF16">
            <v>-0.74172406131970681</v>
          </cell>
          <cell r="AG16">
            <v>14.146000000000001</v>
          </cell>
          <cell r="AH16">
            <v>-0.65662548243804153</v>
          </cell>
          <cell r="AI16">
            <v>14.146000000000001</v>
          </cell>
          <cell r="AJ16">
            <v>0</v>
          </cell>
          <cell r="AL16" t="str">
            <v>$12-14MM</v>
          </cell>
          <cell r="AN16">
            <v>2.915</v>
          </cell>
          <cell r="AO16">
            <v>0.24875053548479209</v>
          </cell>
          <cell r="AP16">
            <v>2.6760000000000002</v>
          </cell>
          <cell r="AQ16">
            <v>0.15096774193548379</v>
          </cell>
          <cell r="AR16">
            <v>1.228</v>
          </cell>
          <cell r="AS16">
            <v>-0.91319100805881526</v>
          </cell>
          <cell r="AT16">
            <v>1.0269999999999999</v>
          </cell>
          <cell r="AU16">
            <v>-0.92739997172345545</v>
          </cell>
          <cell r="AV16">
            <v>7.8460000000000001</v>
          </cell>
          <cell r="AW16">
            <v>-0.44535557754842359</v>
          </cell>
          <cell r="BB16">
            <v>6.4649999999999999</v>
          </cell>
          <cell r="BC16">
            <v>1.2178387650085762</v>
          </cell>
          <cell r="BD16">
            <v>6.8549999999999995</v>
          </cell>
          <cell r="BE16">
            <v>1.5616591928251118</v>
          </cell>
          <cell r="BF16">
            <v>7.2679999999999998</v>
          </cell>
          <cell r="BG16">
            <v>4.9185667752443001</v>
          </cell>
          <cell r="BH16">
            <v>7.056</v>
          </cell>
          <cell r="BI16">
            <v>5.8704965920155798</v>
          </cell>
          <cell r="BJ16">
            <v>27.643999999999998</v>
          </cell>
          <cell r="BK16">
            <v>2.5233239867448378</v>
          </cell>
          <cell r="BQ16">
            <v>7.4219999999999997</v>
          </cell>
          <cell r="BR16">
            <v>0.14802784222737819</v>
          </cell>
          <cell r="BS16">
            <v>10.576000000000001</v>
          </cell>
          <cell r="BT16">
            <v>0.54281546316557283</v>
          </cell>
          <cell r="BU16">
            <v>6.6899999999999995</v>
          </cell>
          <cell r="BV16">
            <v>-7.9526692350027517E-2</v>
          </cell>
          <cell r="BW16">
            <v>9.7519999999999989</v>
          </cell>
          <cell r="BX16">
            <v>0.38208616780045346</v>
          </cell>
          <cell r="BY16">
            <v>34.44</v>
          </cell>
          <cell r="BZ16">
            <v>0.24583996527275365</v>
          </cell>
          <cell r="CA16" t="str">
            <v>$22-25M raised to $29-31MM</v>
          </cell>
          <cell r="CB16" t="str">
            <v>32-34</v>
          </cell>
          <cell r="CE16">
            <v>0.8125</v>
          </cell>
          <cell r="CF16">
            <v>-0.89052815952573428</v>
          </cell>
          <cell r="CG16">
            <v>0.8125</v>
          </cell>
          <cell r="CH16">
            <v>-0.92317511346444781</v>
          </cell>
          <cell r="CI16">
            <v>0.8125</v>
          </cell>
          <cell r="CJ16">
            <v>-0.87855007473841551</v>
          </cell>
          <cell r="CK16">
            <v>0.8125</v>
          </cell>
          <cell r="CL16">
            <v>-0.91668375717801476</v>
          </cell>
          <cell r="CM16">
            <v>3.25</v>
          </cell>
          <cell r="CN16">
            <v>7.5059347181008906</v>
          </cell>
          <cell r="CO16" t="str">
            <v>3-3.5</v>
          </cell>
          <cell r="DD16" t="str">
            <v>mstag:revenueNet</v>
          </cell>
          <cell r="DE16">
            <v>6</v>
          </cell>
          <cell r="DF16" t="str">
            <v>ISO4217:USD</v>
          </cell>
          <cell r="DG16" t="b">
            <v>0</v>
          </cell>
          <cell r="DH16" t="b">
            <v>0</v>
          </cell>
        </row>
        <row r="17">
          <cell r="B17" t="str">
            <v>Operating Expenses:</v>
          </cell>
        </row>
        <row r="18">
          <cell r="B18" t="str">
            <v>COGS</v>
          </cell>
          <cell r="K18">
            <v>0</v>
          </cell>
          <cell r="V18">
            <v>0</v>
          </cell>
          <cell r="W18" t="str">
            <v>NM</v>
          </cell>
          <cell r="Z18" t="e">
            <v>#DIV/0!</v>
          </cell>
          <cell r="AB18" t="e">
            <v>#DIV/0!</v>
          </cell>
          <cell r="AD18" t="e">
            <v>#DIV/0!</v>
          </cell>
          <cell r="AF18" t="e">
            <v>#DIV/0!</v>
          </cell>
          <cell r="AG18">
            <v>0</v>
          </cell>
          <cell r="AH18" t="e">
            <v>#DIV/0!</v>
          </cell>
          <cell r="AI18">
            <v>0</v>
          </cell>
          <cell r="AJ18">
            <v>0</v>
          </cell>
          <cell r="AO18" t="str">
            <v>NM</v>
          </cell>
          <cell r="AQ18" t="str">
            <v>NM</v>
          </cell>
          <cell r="AS18" t="str">
            <v>NM</v>
          </cell>
          <cell r="AU18" t="str">
            <v>NM</v>
          </cell>
          <cell r="AV18">
            <v>0</v>
          </cell>
          <cell r="AW18" t="str">
            <v>NM</v>
          </cell>
          <cell r="BB18">
            <v>0</v>
          </cell>
          <cell r="BC18" t="str">
            <v>NM</v>
          </cell>
          <cell r="BD18">
            <v>0</v>
          </cell>
          <cell r="BE18" t="str">
            <v>NM</v>
          </cell>
          <cell r="BF18">
            <v>0</v>
          </cell>
          <cell r="BG18" t="str">
            <v>NM</v>
          </cell>
          <cell r="BH18">
            <v>0</v>
          </cell>
          <cell r="BI18" t="str">
            <v>NM</v>
          </cell>
          <cell r="BJ18">
            <v>0</v>
          </cell>
          <cell r="BK18" t="str">
            <v>NM</v>
          </cell>
          <cell r="BQ18">
            <v>0</v>
          </cell>
          <cell r="BR18" t="str">
            <v>NM</v>
          </cell>
          <cell r="BS18">
            <v>0</v>
          </cell>
          <cell r="BT18" t="str">
            <v>NM</v>
          </cell>
          <cell r="BU18">
            <v>0</v>
          </cell>
          <cell r="BV18" t="str">
            <v>NM</v>
          </cell>
          <cell r="BW18">
            <v>0</v>
          </cell>
          <cell r="BX18" t="str">
            <v>NM</v>
          </cell>
          <cell r="BY18">
            <v>0</v>
          </cell>
          <cell r="BZ18" t="str">
            <v>NM</v>
          </cell>
          <cell r="CE18">
            <v>0</v>
          </cell>
          <cell r="CG18">
            <v>0</v>
          </cell>
          <cell r="CI18">
            <v>0</v>
          </cell>
          <cell r="CK18">
            <v>0</v>
          </cell>
          <cell r="CM18">
            <v>0</v>
          </cell>
          <cell r="CN18" t="str">
            <v>NM</v>
          </cell>
          <cell r="DD18" t="str">
            <v>mstag:costOfSalesWithDepreciation</v>
          </cell>
          <cell r="DE18">
            <v>6</v>
          </cell>
          <cell r="DF18" t="str">
            <v>ISO4217:USD</v>
          </cell>
          <cell r="DG18" t="b">
            <v>0</v>
          </cell>
          <cell r="DH18" t="b">
            <v>0</v>
          </cell>
        </row>
        <row r="19">
          <cell r="B19" t="str">
            <v>% of Sales</v>
          </cell>
          <cell r="C19" t="e">
            <v>#DIV/0!</v>
          </cell>
          <cell r="E19" t="e">
            <v>#DIV/0!</v>
          </cell>
          <cell r="G19" t="e">
            <v>#DIV/0!</v>
          </cell>
          <cell r="I19" t="e">
            <v>#DIV/0!</v>
          </cell>
          <cell r="K19" t="e">
            <v>#DIV/0!</v>
          </cell>
          <cell r="N19" t="e">
            <v>#DIV/0!</v>
          </cell>
          <cell r="P19" t="e">
            <v>#DIV/0!</v>
          </cell>
          <cell r="R19" t="e">
            <v>#DIV/0!</v>
          </cell>
          <cell r="T19" t="e">
            <v>#DIV/0!</v>
          </cell>
          <cell r="V19" t="e">
            <v>#DIV/0!</v>
          </cell>
          <cell r="Y19" t="e">
            <v>#DIV/0!</v>
          </cell>
          <cell r="AA19" t="e">
            <v>#DIV/0!</v>
          </cell>
          <cell r="AC19" t="e">
            <v>#DIV/0!</v>
          </cell>
          <cell r="AE19" t="e">
            <v>#DIV/0!</v>
          </cell>
          <cell r="AG19" t="e">
            <v>#DIV/0!</v>
          </cell>
          <cell r="AI19">
            <v>0</v>
          </cell>
          <cell r="AJ19" t="e">
            <v>#DIV/0!</v>
          </cell>
          <cell r="AN19" t="str">
            <v>NM</v>
          </cell>
          <cell r="AP19" t="str">
            <v>NM</v>
          </cell>
          <cell r="AR19" t="str">
            <v>NM</v>
          </cell>
          <cell r="AT19" t="str">
            <v>NM</v>
          </cell>
          <cell r="AV19" t="str">
            <v>NM</v>
          </cell>
          <cell r="BB19" t="str">
            <v>NM</v>
          </cell>
          <cell r="BD19" t="str">
            <v>NM</v>
          </cell>
          <cell r="BF19" t="str">
            <v>NM</v>
          </cell>
          <cell r="BH19" t="str">
            <v>NM</v>
          </cell>
          <cell r="BJ19" t="str">
            <v>NM</v>
          </cell>
          <cell r="BQ19" t="str">
            <v>NM</v>
          </cell>
          <cell r="BS19" t="str">
            <v>NM</v>
          </cell>
          <cell r="BU19" t="str">
            <v>NM</v>
          </cell>
          <cell r="BW19" t="str">
            <v>NM</v>
          </cell>
          <cell r="BY19" t="str">
            <v>NM</v>
          </cell>
          <cell r="CE19" t="str">
            <v>NM</v>
          </cell>
          <cell r="CG19" t="str">
            <v>NM</v>
          </cell>
          <cell r="CI19" t="str">
            <v>NM</v>
          </cell>
          <cell r="CK19" t="str">
            <v>NM</v>
          </cell>
          <cell r="CM19" t="str">
            <v>NM</v>
          </cell>
        </row>
        <row r="20">
          <cell r="B20" t="str">
            <v>R&amp;D</v>
          </cell>
          <cell r="C20">
            <v>33.743000000000002</v>
          </cell>
          <cell r="E20">
            <v>37.716999999999999</v>
          </cell>
          <cell r="G20">
            <v>47.405999999999999</v>
          </cell>
          <cell r="I20">
            <v>33.506999999999998</v>
          </cell>
          <cell r="K20">
            <v>152.37299999999999</v>
          </cell>
          <cell r="N20">
            <v>28.885999999999999</v>
          </cell>
          <cell r="P20">
            <v>28.57</v>
          </cell>
          <cell r="R20">
            <v>27.509999999999998</v>
          </cell>
          <cell r="T20">
            <v>26.438000000000017</v>
          </cell>
          <cell r="V20">
            <v>111.40400000000001</v>
          </cell>
          <cell r="W20">
            <v>-0.26887309431460937</v>
          </cell>
          <cell r="Y20">
            <v>25.194666666666667</v>
          </cell>
          <cell r="Z20">
            <v>-0.12778970204712781</v>
          </cell>
          <cell r="AA20">
            <v>24.375666666666667</v>
          </cell>
          <cell r="AB20">
            <v>-0.14680900711702249</v>
          </cell>
          <cell r="AC20">
            <v>17.639666666666667</v>
          </cell>
          <cell r="AD20">
            <v>-0.35879074276020839</v>
          </cell>
          <cell r="AE20">
            <v>21.061</v>
          </cell>
          <cell r="AF20">
            <v>-0.20338149633103919</v>
          </cell>
          <cell r="AG20">
            <v>88.271000000000015</v>
          </cell>
          <cell r="AH20">
            <v>-0.20764963556066207</v>
          </cell>
          <cell r="AI20">
            <v>88.271000000000015</v>
          </cell>
          <cell r="AJ20">
            <v>0</v>
          </cell>
          <cell r="AL20" t="str">
            <v>$91-95MM</v>
          </cell>
          <cell r="AN20">
            <v>17.763999999999999</v>
          </cell>
          <cell r="AO20">
            <v>7.0485080972806369E-3</v>
          </cell>
          <cell r="AP20">
            <v>26.556000000000001</v>
          </cell>
          <cell r="AQ20">
            <v>0.26090878875646939</v>
          </cell>
          <cell r="AR20">
            <v>27.356000000000002</v>
          </cell>
          <cell r="AS20">
            <v>-0.69009074327921971</v>
          </cell>
          <cell r="AT20">
            <v>23.942</v>
          </cell>
          <cell r="AU20">
            <v>-0.72876709225000291</v>
          </cell>
          <cell r="AV20">
            <v>95.617999999999995</v>
          </cell>
          <cell r="AW20">
            <v>8.3232318655050763E-2</v>
          </cell>
          <cell r="AY20" t="str">
            <v>$98-102 million</v>
          </cell>
          <cell r="AZ20" t="str">
            <v>$90-95M</v>
          </cell>
          <cell r="BB20">
            <v>23.257000000000001</v>
          </cell>
          <cell r="BC20">
            <v>0.3092208961945509</v>
          </cell>
          <cell r="BD20">
            <v>18.324000000000002</v>
          </cell>
          <cell r="BE20">
            <v>-0.30998644374152728</v>
          </cell>
          <cell r="BF20">
            <v>18.158000000000001</v>
          </cell>
          <cell r="BG20">
            <v>-0.33623336745138177</v>
          </cell>
          <cell r="BH20">
            <v>22.058</v>
          </cell>
          <cell r="BI20">
            <v>-7.8690167905772296E-2</v>
          </cell>
          <cell r="BJ20">
            <v>81.796999999999997</v>
          </cell>
          <cell r="BK20">
            <v>-0.14454391432575456</v>
          </cell>
          <cell r="BM20" t="str">
            <v>82-88MM</v>
          </cell>
          <cell r="BQ20">
            <v>22.405999999999999</v>
          </cell>
          <cell r="BR20">
            <v>-3.6591133852173607E-2</v>
          </cell>
          <cell r="BS20">
            <v>21.500999999999998</v>
          </cell>
          <cell r="BT20">
            <v>0.17337917485265208</v>
          </cell>
          <cell r="BU20">
            <v>23.244</v>
          </cell>
          <cell r="BV20">
            <v>0.2800969269743363</v>
          </cell>
          <cell r="BW20">
            <v>30.837999999999997</v>
          </cell>
          <cell r="BX20">
            <v>0.39804152688367012</v>
          </cell>
          <cell r="BY20">
            <v>97.989000000000004</v>
          </cell>
          <cell r="BZ20">
            <v>0.19795347017616782</v>
          </cell>
          <cell r="CA20" t="str">
            <v>$88-95 ($81-89 ex ESO)</v>
          </cell>
          <cell r="CB20" t="str">
            <v>98-100</v>
          </cell>
          <cell r="CE20">
            <v>31</v>
          </cell>
          <cell r="CF20">
            <v>0.38355797554226556</v>
          </cell>
          <cell r="CG20">
            <v>32</v>
          </cell>
          <cell r="CH20">
            <v>0.48830286963397063</v>
          </cell>
          <cell r="CI20">
            <v>33</v>
          </cell>
          <cell r="CJ20">
            <v>0.4197212183789365</v>
          </cell>
          <cell r="CK20">
            <v>34</v>
          </cell>
          <cell r="CL20">
            <v>0.10253583241455355</v>
          </cell>
          <cell r="CM20">
            <v>130</v>
          </cell>
          <cell r="CN20">
            <v>325.59908883826898</v>
          </cell>
          <cell r="CO20" t="str">
            <v>138-145(INCL. 12-13 ESO)</v>
          </cell>
          <cell r="DD20" t="str">
            <v>mstag:researchAndDevelopment</v>
          </cell>
          <cell r="DE20">
            <v>6</v>
          </cell>
          <cell r="DF20" t="str">
            <v>ISO4217:USD</v>
          </cell>
          <cell r="DG20" t="b">
            <v>0</v>
          </cell>
          <cell r="DH20" t="b">
            <v>0</v>
          </cell>
        </row>
        <row r="21">
          <cell r="B21" t="str">
            <v xml:space="preserve">   % of Total Revenues</v>
          </cell>
          <cell r="C21">
            <v>1.1629902805542154</v>
          </cell>
          <cell r="E21">
            <v>1.2979455590350666</v>
          </cell>
          <cell r="G21">
            <v>2.1172845020098259</v>
          </cell>
          <cell r="I21">
            <v>1.5843302283795921</v>
          </cell>
          <cell r="K21">
            <v>1.4995571389205999</v>
          </cell>
          <cell r="N21">
            <v>2.7486915976781803</v>
          </cell>
          <cell r="P21">
            <v>2.7638579858759798</v>
          </cell>
          <cell r="R21">
            <v>2.424002114723764</v>
          </cell>
          <cell r="T21">
            <v>2.9369029104643425</v>
          </cell>
          <cell r="V21">
            <v>2.7041774886520864</v>
          </cell>
          <cell r="Y21">
            <v>4.5956101416671729</v>
          </cell>
          <cell r="AA21">
            <v>6.087322067759926</v>
          </cell>
          <cell r="AC21">
            <v>7.5566185920319846</v>
          </cell>
          <cell r="AE21">
            <v>9.0584946236559141</v>
          </cell>
          <cell r="AG21">
            <v>6.2399971723455403</v>
          </cell>
          <cell r="AI21">
            <v>6.2399971723455403</v>
          </cell>
          <cell r="AJ21">
            <v>0</v>
          </cell>
          <cell r="AN21">
            <v>6.093996569468267</v>
          </cell>
          <cell r="AP21">
            <v>9.9237668161434982</v>
          </cell>
          <cell r="AR21">
            <v>22.276872964169382</v>
          </cell>
          <cell r="AT21">
            <v>23.312560856864657</v>
          </cell>
          <cell r="AV21">
            <v>12.186846800917664</v>
          </cell>
          <cell r="BB21">
            <v>3.5973704563031714</v>
          </cell>
          <cell r="BD21">
            <v>2.6730853391684906</v>
          </cell>
          <cell r="BF21">
            <v>2.4983489268024219</v>
          </cell>
          <cell r="BH21">
            <v>3.1261337868480723</v>
          </cell>
          <cell r="BJ21">
            <v>2.9589422659528291</v>
          </cell>
          <cell r="BQ21">
            <v>3.0188628402047963</v>
          </cell>
          <cell r="BS21">
            <v>2.0329992435703477</v>
          </cell>
          <cell r="BU21">
            <v>3.4744394618834082</v>
          </cell>
          <cell r="BW21">
            <v>3.1622231337161608</v>
          </cell>
          <cell r="BY21">
            <v>2.8452090592334498</v>
          </cell>
          <cell r="CE21">
            <v>38.153846153846153</v>
          </cell>
          <cell r="CG21">
            <v>39.384615384615387</v>
          </cell>
          <cell r="CI21">
            <v>40.615384615384613</v>
          </cell>
          <cell r="CK21">
            <v>41.846153846153847</v>
          </cell>
          <cell r="CM21">
            <v>40</v>
          </cell>
          <cell r="CO21" t="str">
            <v>126-132</v>
          </cell>
        </row>
        <row r="22">
          <cell r="B22" t="str">
            <v>SG&amp;A</v>
          </cell>
          <cell r="C22">
            <v>14.167999999999999</v>
          </cell>
          <cell r="E22">
            <v>12.747999999999999</v>
          </cell>
          <cell r="G22">
            <v>12.147</v>
          </cell>
          <cell r="I22">
            <v>8.0840000000000014</v>
          </cell>
          <cell r="K22">
            <v>47.146999999999998</v>
          </cell>
          <cell r="N22">
            <v>7.117</v>
          </cell>
          <cell r="P22">
            <v>7.4340000000000002</v>
          </cell>
          <cell r="R22">
            <v>8.3290000000000006</v>
          </cell>
          <cell r="T22">
            <v>6.4899999999999984</v>
          </cell>
          <cell r="V22">
            <v>29.37</v>
          </cell>
          <cell r="W22">
            <v>-0.37705474367404068</v>
          </cell>
          <cell r="Y22">
            <v>5.740666666666665</v>
          </cell>
          <cell r="Z22">
            <v>-0.1933867266170205</v>
          </cell>
          <cell r="AA22">
            <v>5.4526666666666648</v>
          </cell>
          <cell r="AB22">
            <v>-0.26652318177741929</v>
          </cell>
          <cell r="AC22">
            <v>4.7846666666666655</v>
          </cell>
          <cell r="AD22">
            <v>-0.42554128146636272</v>
          </cell>
          <cell r="AE22">
            <v>4.5730000000000004</v>
          </cell>
          <cell r="AF22">
            <v>-0.29537750385207984</v>
          </cell>
          <cell r="AG22">
            <v>20.550999999999998</v>
          </cell>
          <cell r="AH22">
            <v>-0.30027238678924084</v>
          </cell>
          <cell r="AI22">
            <v>20.550999999999998</v>
          </cell>
          <cell r="AJ22">
            <v>0</v>
          </cell>
          <cell r="AL22" t="str">
            <v>$21-23MM</v>
          </cell>
          <cell r="AN22">
            <v>2.8010000000000002</v>
          </cell>
          <cell r="AO22">
            <v>-0.41458826807858418</v>
          </cell>
          <cell r="AP22">
            <v>2.734</v>
          </cell>
          <cell r="AQ22">
            <v>-0.40214301333916469</v>
          </cell>
          <cell r="AR22">
            <v>2.71</v>
          </cell>
          <cell r="AS22">
            <v>-0.86813293756994792</v>
          </cell>
          <cell r="AT22">
            <v>3.4119999999999999</v>
          </cell>
          <cell r="AU22">
            <v>-0.83397401586297504</v>
          </cell>
          <cell r="AV22">
            <v>11.657</v>
          </cell>
          <cell r="AW22">
            <v>-0.43277699382025203</v>
          </cell>
          <cell r="AY22" t="str">
            <v>$12-14 million</v>
          </cell>
          <cell r="AZ22" t="str">
            <v>$11-12M</v>
          </cell>
          <cell r="BB22">
            <v>3.0759999999999996</v>
          </cell>
          <cell r="BC22">
            <v>9.817922170653319E-2</v>
          </cell>
          <cell r="BD22">
            <v>2.5209999999999999</v>
          </cell>
          <cell r="BE22">
            <v>-7.7907827359180712E-2</v>
          </cell>
          <cell r="BF22">
            <v>2.7540000000000004</v>
          </cell>
          <cell r="BG22">
            <v>1.6236162361623795E-2</v>
          </cell>
          <cell r="BH22">
            <v>2.476</v>
          </cell>
          <cell r="BI22">
            <v>-0.27432590855803046</v>
          </cell>
          <cell r="BJ22">
            <v>10.826999999999998</v>
          </cell>
          <cell r="BK22">
            <v>-7.1201852963884524E-2</v>
          </cell>
          <cell r="BM22" t="str">
            <v>15-16MM</v>
          </cell>
          <cell r="BQ22">
            <v>2.992</v>
          </cell>
          <cell r="BR22">
            <v>-2.730819245773719E-2</v>
          </cell>
          <cell r="BS22">
            <v>2.7350000000000003</v>
          </cell>
          <cell r="BT22">
            <v>8.4886949623165675E-2</v>
          </cell>
          <cell r="BU22">
            <v>2.7869999999999999</v>
          </cell>
          <cell r="BV22">
            <v>1.1982570806100101E-2</v>
          </cell>
          <cell r="BW22">
            <v>3.5240000000000005</v>
          </cell>
          <cell r="BX22">
            <v>0.42326332794830401</v>
          </cell>
          <cell r="BY22">
            <v>12.038</v>
          </cell>
          <cell r="BZ22">
            <v>0.11185000461808459</v>
          </cell>
          <cell r="CA22" t="str">
            <v>$14-16 ($10-13 Ex ESO)</v>
          </cell>
          <cell r="CE22">
            <v>3</v>
          </cell>
          <cell r="CF22">
            <v>2.673796791443861E-3</v>
          </cell>
          <cell r="CG22">
            <v>3</v>
          </cell>
          <cell r="CH22">
            <v>9.6892138939670858E-2</v>
          </cell>
          <cell r="CI22">
            <v>3</v>
          </cell>
          <cell r="CJ22">
            <v>7.6426264800861121E-2</v>
          </cell>
          <cell r="CK22">
            <v>3</v>
          </cell>
          <cell r="CL22">
            <v>-0.14869466515323504</v>
          </cell>
          <cell r="CM22">
            <v>12</v>
          </cell>
          <cell r="CN22">
            <v>27.351145038167918</v>
          </cell>
          <cell r="CO22" t="str">
            <v>16-17 (INCL 4-5 ESO)</v>
          </cell>
          <cell r="DD22" t="str">
            <v>mstag:sellingGeneralAndAdministrativeExpenses</v>
          </cell>
          <cell r="DE22">
            <v>6</v>
          </cell>
          <cell r="DF22" t="str">
            <v>ISO4217:USD</v>
          </cell>
          <cell r="DG22" t="b">
            <v>0</v>
          </cell>
          <cell r="DH22" t="b">
            <v>0</v>
          </cell>
        </row>
        <row r="23">
          <cell r="B23" t="str">
            <v xml:space="preserve">   % of Total Revenues</v>
          </cell>
          <cell r="C23">
            <v>0.48831598538636517</v>
          </cell>
          <cell r="E23">
            <v>0.43869369214356996</v>
          </cell>
          <cell r="G23">
            <v>0.54251898168825363</v>
          </cell>
          <cell r="I23">
            <v>0.38224029504941137</v>
          </cell>
          <cell r="K23">
            <v>0.46399047356611423</v>
          </cell>
          <cell r="N23">
            <v>0.67722904177371779</v>
          </cell>
          <cell r="P23">
            <v>0.71916416755344881</v>
          </cell>
          <cell r="R23">
            <v>0.7338972596704556</v>
          </cell>
          <cell r="T23">
            <v>0.72095089980004412</v>
          </cell>
          <cell r="V23">
            <v>0.71291598902832731</v>
          </cell>
          <cell r="Y23">
            <v>1.047121055511643</v>
          </cell>
          <cell r="AA23">
            <v>1.3616915008740524</v>
          </cell>
          <cell r="AC23">
            <v>2.0496929887191193</v>
          </cell>
          <cell r="AE23">
            <v>1.9668817204301074</v>
          </cell>
          <cell r="AG23">
            <v>1.4527781705075637</v>
          </cell>
          <cell r="AI23">
            <v>1.4527781705075637</v>
          </cell>
          <cell r="AJ23">
            <v>0</v>
          </cell>
          <cell r="AN23">
            <v>0.96089193825042885</v>
          </cell>
          <cell r="AP23">
            <v>1.0216741405082213</v>
          </cell>
          <cell r="AR23">
            <v>2.2068403908794787</v>
          </cell>
          <cell r="AT23">
            <v>3.3222979552093479</v>
          </cell>
          <cell r="AV23">
            <v>1.4857252102982412</v>
          </cell>
          <cell r="BB23">
            <v>0.47579273008507345</v>
          </cell>
          <cell r="BD23">
            <v>0.36776075857038659</v>
          </cell>
          <cell r="BF23">
            <v>0.37892129884424885</v>
          </cell>
          <cell r="BH23">
            <v>0.35090702947845803</v>
          </cell>
          <cell r="BJ23">
            <v>0.39165822601649541</v>
          </cell>
          <cell r="BQ23">
            <v>0.4031258420910806</v>
          </cell>
          <cell r="BS23">
            <v>0.25860438729198187</v>
          </cell>
          <cell r="BU23">
            <v>0.41659192825112107</v>
          </cell>
          <cell r="BW23">
            <v>0.36136177194421665</v>
          </cell>
          <cell r="BY23">
            <v>0.34953542392566783</v>
          </cell>
          <cell r="CE23">
            <v>3.6923076923076925</v>
          </cell>
          <cell r="CG23">
            <v>3.6923076923076925</v>
          </cell>
          <cell r="CI23">
            <v>3.6923076923076925</v>
          </cell>
          <cell r="CK23">
            <v>3.6923076923076925</v>
          </cell>
          <cell r="CM23">
            <v>3.6923076923076925</v>
          </cell>
          <cell r="CO23">
            <v>12</v>
          </cell>
        </row>
        <row r="24">
          <cell r="B24" t="str">
            <v>Other</v>
          </cell>
          <cell r="C24">
            <v>0</v>
          </cell>
          <cell r="E24">
            <v>1.371</v>
          </cell>
          <cell r="G24">
            <v>0.30099999999999999</v>
          </cell>
          <cell r="I24">
            <v>-1.371</v>
          </cell>
          <cell r="K24">
            <v>0.30099999999999993</v>
          </cell>
          <cell r="N24">
            <v>0</v>
          </cell>
          <cell r="P24">
            <v>0</v>
          </cell>
          <cell r="R24">
            <v>0</v>
          </cell>
          <cell r="V24">
            <v>0</v>
          </cell>
          <cell r="AC24">
            <v>0</v>
          </cell>
          <cell r="AG24">
            <v>0</v>
          </cell>
          <cell r="AI24" t="e">
            <v>#REF!</v>
          </cell>
          <cell r="AJ24" t="e">
            <v>#REF!</v>
          </cell>
          <cell r="AN24">
            <v>0.34300000000000003</v>
          </cell>
          <cell r="AP24">
            <v>0.44600000000000001</v>
          </cell>
          <cell r="AR24">
            <v>0.29899999999999999</v>
          </cell>
          <cell r="AT24">
            <v>0.26800000000000002</v>
          </cell>
          <cell r="AV24">
            <v>1.3559999999999999</v>
          </cell>
          <cell r="BB24">
            <v>0.20100000000000001</v>
          </cell>
          <cell r="BD24">
            <v>2.89</v>
          </cell>
          <cell r="BF24">
            <v>1.2999999999999999E-2</v>
          </cell>
          <cell r="BH24">
            <v>-0.22</v>
          </cell>
          <cell r="BJ24">
            <v>2.8839999999999999</v>
          </cell>
          <cell r="BQ24">
            <v>0.107</v>
          </cell>
          <cell r="BS24">
            <v>-7.2999999999999995E-2</v>
          </cell>
          <cell r="BU24">
            <v>-0.56599999999999995</v>
          </cell>
          <cell r="BW24">
            <v>-0.125</v>
          </cell>
          <cell r="BY24">
            <v>-0.65699999999999992</v>
          </cell>
          <cell r="CM24">
            <v>0</v>
          </cell>
          <cell r="DD24" t="str">
            <v>mstag:otherOperatingExpense</v>
          </cell>
          <cell r="DE24">
            <v>6</v>
          </cell>
          <cell r="DF24" t="str">
            <v>ISO4217:USD</v>
          </cell>
          <cell r="DG24" t="b">
            <v>0</v>
          </cell>
          <cell r="DH24" t="b">
            <v>0</v>
          </cell>
        </row>
        <row r="25">
          <cell r="B25" t="str">
            <v>Total Operating Expenses</v>
          </cell>
          <cell r="C25">
            <v>47.911000000000001</v>
          </cell>
          <cell r="E25">
            <v>51.835999999999999</v>
          </cell>
          <cell r="G25">
            <v>59.853999999999999</v>
          </cell>
          <cell r="I25">
            <v>40.22</v>
          </cell>
          <cell r="K25">
            <v>199.821</v>
          </cell>
          <cell r="N25">
            <v>36.003</v>
          </cell>
          <cell r="P25">
            <v>36.003999999999998</v>
          </cell>
          <cell r="R25">
            <v>35.838999999999999</v>
          </cell>
          <cell r="T25">
            <v>32.928000000000011</v>
          </cell>
          <cell r="V25">
            <v>140.774</v>
          </cell>
          <cell r="W25">
            <v>-0.29549947202746452</v>
          </cell>
          <cell r="Y25">
            <v>30.935333333333332</v>
          </cell>
          <cell r="Z25">
            <v>-0.14075678878611975</v>
          </cell>
          <cell r="AA25">
            <v>29.828333333333333</v>
          </cell>
          <cell r="AB25">
            <v>-0.17152723771432798</v>
          </cell>
          <cell r="AC25">
            <v>22.424333333333333</v>
          </cell>
          <cell r="AD25">
            <v>-0.37430359850070216</v>
          </cell>
          <cell r="AE25">
            <v>25.634</v>
          </cell>
          <cell r="AF25">
            <v>-0.22151360544217713</v>
          </cell>
          <cell r="AG25">
            <v>108.822</v>
          </cell>
          <cell r="AH25">
            <v>-0.22697373094463469</v>
          </cell>
          <cell r="AI25">
            <v>108.82200000000002</v>
          </cell>
          <cell r="AJ25">
            <v>-1.4210854715202004E-11</v>
          </cell>
          <cell r="AN25">
            <v>20.907999999999998</v>
          </cell>
          <cell r="AO25">
            <v>-6.7619996135150906E-2</v>
          </cell>
          <cell r="AP25">
            <v>29.736000000000001</v>
          </cell>
          <cell r="AQ25">
            <v>0.16002184598580005</v>
          </cell>
          <cell r="AR25">
            <v>30.365000000000002</v>
          </cell>
          <cell r="AS25">
            <v>-0.7209663487162522</v>
          </cell>
          <cell r="AT25">
            <v>27.622</v>
          </cell>
          <cell r="AU25">
            <v>-0.74617264891290369</v>
          </cell>
          <cell r="AV25">
            <v>108.631</v>
          </cell>
          <cell r="AW25">
            <v>-1.7551598022459425E-3</v>
          </cell>
          <cell r="BB25">
            <v>26.534000000000002</v>
          </cell>
          <cell r="BC25">
            <v>0.26908360436196699</v>
          </cell>
          <cell r="BD25">
            <v>23.735000000000003</v>
          </cell>
          <cell r="BE25">
            <v>-0.20180925477535638</v>
          </cell>
          <cell r="BF25">
            <v>20.925000000000004</v>
          </cell>
          <cell r="BG25">
            <v>-0.31088424172567092</v>
          </cell>
          <cell r="BH25">
            <v>24.314</v>
          </cell>
          <cell r="BI25">
            <v>-0.11975961190355514</v>
          </cell>
          <cell r="BJ25">
            <v>95.507999999999996</v>
          </cell>
          <cell r="BK25">
            <v>-0.12080345389437641</v>
          </cell>
          <cell r="BM25" t="str">
            <v>88-95MM</v>
          </cell>
          <cell r="BQ25">
            <v>25.504999999999999</v>
          </cell>
          <cell r="BR25">
            <v>-3.8780432652446017E-2</v>
          </cell>
          <cell r="BS25">
            <v>24.162999999999997</v>
          </cell>
          <cell r="BT25">
            <v>1.8032441542026323E-2</v>
          </cell>
          <cell r="BU25">
            <v>25.465</v>
          </cell>
          <cell r="BV25">
            <v>0.21696535244922321</v>
          </cell>
          <cell r="BW25">
            <v>34.236999999999995</v>
          </cell>
          <cell r="BX25">
            <v>0.40811877930410434</v>
          </cell>
          <cell r="BY25">
            <v>109.37</v>
          </cell>
          <cell r="BZ25">
            <v>0.145139674163421</v>
          </cell>
          <cell r="CE25">
            <v>34</v>
          </cell>
          <cell r="CF25">
            <v>0.33307194667712214</v>
          </cell>
          <cell r="CG25">
            <v>35</v>
          </cell>
          <cell r="CH25">
            <v>0.44849563382030389</v>
          </cell>
          <cell r="CI25">
            <v>36</v>
          </cell>
          <cell r="CJ25">
            <v>0.41370508541134887</v>
          </cell>
          <cell r="CK25">
            <v>37</v>
          </cell>
          <cell r="CL25">
            <v>8.0702164325145542E-2</v>
          </cell>
          <cell r="CM25">
            <v>142</v>
          </cell>
          <cell r="CN25">
            <v>346.9379219993956</v>
          </cell>
        </row>
        <row r="26">
          <cell r="B26" t="str">
            <v>Operating Income (Loss)</v>
          </cell>
          <cell r="C26">
            <v>-18.897000000000002</v>
          </cell>
          <cell r="E26">
            <v>-22.776999999999997</v>
          </cell>
          <cell r="G26">
            <v>-37.463999999999999</v>
          </cell>
          <cell r="I26">
            <v>-19.070999999999998</v>
          </cell>
          <cell r="K26">
            <v>-98.209000000000003</v>
          </cell>
          <cell r="N26">
            <v>-25.494</v>
          </cell>
          <cell r="P26">
            <v>-25.666999999999998</v>
          </cell>
          <cell r="R26">
            <v>-24.49</v>
          </cell>
          <cell r="T26">
            <v>-23.926000000000009</v>
          </cell>
          <cell r="V26">
            <v>-99.576999999999998</v>
          </cell>
          <cell r="W26">
            <v>1.3929476931849427E-2</v>
          </cell>
          <cell r="Y26">
            <v>-25.452999999999999</v>
          </cell>
          <cell r="AA26">
            <v>-25.823999999999998</v>
          </cell>
          <cell r="AC26">
            <v>-20.09</v>
          </cell>
          <cell r="AE26">
            <v>-23.309000000000001</v>
          </cell>
          <cell r="AG26">
            <v>-94.676000000000002</v>
          </cell>
          <cell r="AH26">
            <v>-4.9218192956204665E-2</v>
          </cell>
          <cell r="AI26">
            <v>-94.676000000000016</v>
          </cell>
          <cell r="AJ26">
            <v>1.4210854715202004E-11</v>
          </cell>
          <cell r="AN26">
            <v>-17.992999999999999</v>
          </cell>
          <cell r="AP26">
            <v>-27.060000000000002</v>
          </cell>
          <cell r="AR26">
            <v>-29.137</v>
          </cell>
          <cell r="AT26">
            <v>-26.594999999999999</v>
          </cell>
          <cell r="AV26">
            <v>-100.785</v>
          </cell>
          <cell r="BB26">
            <v>-20.069000000000003</v>
          </cell>
          <cell r="BD26">
            <v>-16.880000000000003</v>
          </cell>
          <cell r="BF26">
            <v>-13.657000000000004</v>
          </cell>
          <cell r="BH26">
            <v>-17.257999999999999</v>
          </cell>
          <cell r="BJ26">
            <v>-67.864000000000004</v>
          </cell>
          <cell r="BQ26">
            <v>-18.082999999999998</v>
          </cell>
          <cell r="BS26">
            <v>-13.586999999999996</v>
          </cell>
          <cell r="BU26">
            <v>-18.774999999999999</v>
          </cell>
          <cell r="BW26">
            <v>-24.484999999999996</v>
          </cell>
          <cell r="BY26">
            <v>-74.930000000000007</v>
          </cell>
          <cell r="CE26">
            <v>-33.1875</v>
          </cell>
          <cell r="CG26">
            <v>-34.1875</v>
          </cell>
          <cell r="CI26">
            <v>-35.1875</v>
          </cell>
          <cell r="CK26">
            <v>-36.1875</v>
          </cell>
          <cell r="CM26">
            <v>-138.75</v>
          </cell>
        </row>
        <row r="27">
          <cell r="B27" t="str">
            <v>Interest Income (or Net)</v>
          </cell>
          <cell r="C27">
            <v>8.157</v>
          </cell>
          <cell r="E27">
            <v>6.601</v>
          </cell>
          <cell r="G27">
            <v>1.6479999999999999</v>
          </cell>
          <cell r="I27">
            <v>-6.9720000000000004</v>
          </cell>
          <cell r="K27">
            <v>9.4339999999999993</v>
          </cell>
          <cell r="N27">
            <v>1.2330000000000001</v>
          </cell>
          <cell r="P27">
            <v>2.4900000000000002</v>
          </cell>
          <cell r="R27">
            <v>1.2409999999999997</v>
          </cell>
          <cell r="T27">
            <v>1.4480000000000004</v>
          </cell>
          <cell r="V27">
            <v>6.4120000000000008</v>
          </cell>
          <cell r="Y27">
            <v>-0.42366666666666669</v>
          </cell>
          <cell r="AA27">
            <v>2.3763333333333332</v>
          </cell>
          <cell r="AC27">
            <v>-0.58166666666666667</v>
          </cell>
          <cell r="AE27">
            <v>2.1920000000000002</v>
          </cell>
          <cell r="AG27">
            <v>3.5630000000000002</v>
          </cell>
          <cell r="AI27">
            <v>3.5630000000000002</v>
          </cell>
          <cell r="AJ27">
            <v>0</v>
          </cell>
          <cell r="AL27" t="str">
            <v>$7-8MM</v>
          </cell>
          <cell r="AN27">
            <v>2.1520000000000001</v>
          </cell>
          <cell r="AP27">
            <v>5.42</v>
          </cell>
          <cell r="AR27">
            <v>2.6560000000000001</v>
          </cell>
          <cell r="AT27">
            <v>2.302</v>
          </cell>
          <cell r="AV27">
            <v>12.530000000000001</v>
          </cell>
          <cell r="AY27" t="str">
            <v>$7.0-8.0 million</v>
          </cell>
          <cell r="AZ27" t="str">
            <v>$9-10M</v>
          </cell>
          <cell r="BB27">
            <v>8.8859999999999992</v>
          </cell>
          <cell r="BD27">
            <v>2.5960000000000001</v>
          </cell>
          <cell r="BF27">
            <v>3.996</v>
          </cell>
          <cell r="BH27">
            <v>5.2</v>
          </cell>
          <cell r="BJ27">
            <v>20.678000000000001</v>
          </cell>
          <cell r="BM27" t="str">
            <v>14-15</v>
          </cell>
          <cell r="BQ27">
            <v>4.0659999999999998</v>
          </cell>
          <cell r="BS27">
            <v>3.7130000000000001</v>
          </cell>
          <cell r="BU27">
            <v>2.883</v>
          </cell>
          <cell r="BW27">
            <v>3.2680000000000007</v>
          </cell>
          <cell r="BY27">
            <v>13.93</v>
          </cell>
          <cell r="CA27" t="str">
            <v>$11-12 raised to $12-14MM</v>
          </cell>
          <cell r="CE27">
            <v>3</v>
          </cell>
          <cell r="CG27">
            <v>2.7</v>
          </cell>
          <cell r="CI27">
            <v>2.2999999999999998</v>
          </cell>
          <cell r="CK27">
            <v>0.73425572786299931</v>
          </cell>
          <cell r="CM27">
            <v>8.7342557278629993</v>
          </cell>
          <cell r="CO27" t="str">
            <v>8-10</v>
          </cell>
          <cell r="DD27" t="str">
            <v>mstag:interestIncome</v>
          </cell>
          <cell r="DE27">
            <v>6</v>
          </cell>
          <cell r="DF27" t="str">
            <v>ISO4217:USD</v>
          </cell>
          <cell r="DG27" t="b">
            <v>0</v>
          </cell>
          <cell r="DH27" t="b">
            <v>0</v>
          </cell>
        </row>
        <row r="28">
          <cell r="B28" t="str">
            <v>Interest Expense</v>
          </cell>
          <cell r="C28">
            <v>-2.5379999999999998</v>
          </cell>
          <cell r="E28">
            <v>-2.3889999999999998</v>
          </cell>
          <cell r="G28">
            <v>-2.4500000000000002</v>
          </cell>
          <cell r="I28">
            <v>-2.4249999999999998</v>
          </cell>
          <cell r="K28">
            <v>-9.8019999999999996</v>
          </cell>
          <cell r="N28">
            <v>-2.4390000000000001</v>
          </cell>
          <cell r="P28">
            <v>-2.4390000000000001</v>
          </cell>
          <cell r="R28">
            <v>-2.2989999999999999</v>
          </cell>
          <cell r="T28">
            <v>-2.3839999999999999</v>
          </cell>
          <cell r="V28">
            <v>-9.5609999999999999</v>
          </cell>
          <cell r="Y28">
            <v>-3.52</v>
          </cell>
          <cell r="AA28">
            <v>-4.8680000000000003</v>
          </cell>
          <cell r="AC28">
            <v>-4.6230000000000002</v>
          </cell>
          <cell r="AE28">
            <v>-4.2300000000000004</v>
          </cell>
          <cell r="AG28">
            <v>-17.241000000000003</v>
          </cell>
          <cell r="AI28">
            <v>-17.241000000000003</v>
          </cell>
          <cell r="AJ28">
            <v>0</v>
          </cell>
          <cell r="AL28" t="str">
            <v>$18MM</v>
          </cell>
          <cell r="AN28">
            <v>-4.3170000000000002</v>
          </cell>
          <cell r="AP28">
            <v>-4.13</v>
          </cell>
          <cell r="AR28">
            <v>-3.81</v>
          </cell>
          <cell r="AT28">
            <v>-3.7959999999999998</v>
          </cell>
          <cell r="AV28">
            <v>-16.053000000000001</v>
          </cell>
          <cell r="AY28" t="str">
            <v>$16-17 million</v>
          </cell>
          <cell r="BB28">
            <v>-3.859</v>
          </cell>
          <cell r="BD28">
            <v>-3.891</v>
          </cell>
          <cell r="BF28">
            <v>-4.077</v>
          </cell>
          <cell r="BH28">
            <v>-6.0830000000000002</v>
          </cell>
          <cell r="BJ28">
            <v>-17.91</v>
          </cell>
          <cell r="BM28" t="str">
            <v>16 to 17.8mm</v>
          </cell>
          <cell r="BQ28">
            <v>-5.93</v>
          </cell>
          <cell r="BS28">
            <v>-5.9649999999999999</v>
          </cell>
          <cell r="BU28">
            <v>-6.0019999999999998</v>
          </cell>
          <cell r="BW28">
            <v>-6.1340000000000003</v>
          </cell>
          <cell r="BY28">
            <v>-24.030999999999999</v>
          </cell>
          <cell r="CA28" t="str">
            <v>$24 (includes $10 noncash amortization of debt)</v>
          </cell>
          <cell r="CE28">
            <v>-6</v>
          </cell>
          <cell r="CG28">
            <v>-5.9749999999999996</v>
          </cell>
          <cell r="CI28">
            <v>-5.9749999999999996</v>
          </cell>
          <cell r="CK28">
            <v>-5.9793550000000018</v>
          </cell>
          <cell r="CM28">
            <v>-23.929355000000001</v>
          </cell>
          <cell r="CO28">
            <v>25</v>
          </cell>
          <cell r="DD28" t="str">
            <v>mstag:interestExpense</v>
          </cell>
          <cell r="DE28">
            <v>6</v>
          </cell>
          <cell r="DF28" t="str">
            <v>ISO4217:USD</v>
          </cell>
          <cell r="DG28" t="b">
            <v>1</v>
          </cell>
          <cell r="DH28" t="b">
            <v>0</v>
          </cell>
        </row>
        <row r="29">
          <cell r="B29" t="str">
            <v>Other Income (Expense)</v>
          </cell>
          <cell r="C29">
            <v>0.14000000000000001</v>
          </cell>
          <cell r="E29">
            <v>1.3240000000000001</v>
          </cell>
          <cell r="G29">
            <v>0.155</v>
          </cell>
          <cell r="I29">
            <v>-1.4640000000000002</v>
          </cell>
          <cell r="K29">
            <v>0.15500000000000003</v>
          </cell>
          <cell r="N29">
            <v>-4.4999999999999998E-2</v>
          </cell>
          <cell r="P29">
            <v>0.108</v>
          </cell>
          <cell r="R29">
            <v>-11.593999999999999</v>
          </cell>
          <cell r="T29">
            <v>-2.0120000000000022</v>
          </cell>
          <cell r="V29">
            <v>-13.543000000000001</v>
          </cell>
          <cell r="Y29">
            <v>-0.16899999999999998</v>
          </cell>
          <cell r="AA29">
            <v>-6.9000000000000006E-2</v>
          </cell>
          <cell r="AC29">
            <v>-0.42699999999999999</v>
          </cell>
          <cell r="AE29">
            <v>-1.4999999999999999E-2</v>
          </cell>
          <cell r="AG29">
            <v>-0.67999999999999994</v>
          </cell>
          <cell r="AL29" t="str">
            <v>($0.2-0.5MM)</v>
          </cell>
          <cell r="AN29">
            <v>-0.126</v>
          </cell>
          <cell r="AP29">
            <v>0.45999999999999996</v>
          </cell>
          <cell r="AR29">
            <v>8.4000000000000005E-2</v>
          </cell>
          <cell r="AT29">
            <v>-1.7000000000000001E-2</v>
          </cell>
          <cell r="AV29">
            <v>0.40099999999999991</v>
          </cell>
          <cell r="BB29">
            <v>0</v>
          </cell>
          <cell r="BD29">
            <v>0</v>
          </cell>
          <cell r="BF29">
            <v>0</v>
          </cell>
          <cell r="BH29">
            <v>-7.0000000000000007E-2</v>
          </cell>
          <cell r="BJ29">
            <v>-7.0000000000000007E-2</v>
          </cell>
          <cell r="BQ29">
            <v>0</v>
          </cell>
          <cell r="BS29">
            <v>0</v>
          </cell>
          <cell r="BU29">
            <v>0</v>
          </cell>
          <cell r="BW29">
            <v>0</v>
          </cell>
          <cell r="BY29">
            <v>0</v>
          </cell>
          <cell r="CE29">
            <v>0</v>
          </cell>
          <cell r="CG29">
            <v>0</v>
          </cell>
          <cell r="CI29">
            <v>0</v>
          </cell>
          <cell r="CK29">
            <v>0</v>
          </cell>
          <cell r="CM29">
            <v>0</v>
          </cell>
          <cell r="DD29" t="str">
            <v>mstag:otherNonOperatingIncomeExpense</v>
          </cell>
          <cell r="DE29">
            <v>6</v>
          </cell>
          <cell r="DF29" t="str">
            <v>ISO4217:USD</v>
          </cell>
          <cell r="DG29" t="b">
            <v>0</v>
          </cell>
          <cell r="DH29" t="b">
            <v>0</v>
          </cell>
        </row>
        <row r="30">
          <cell r="B30" t="str">
            <v>Pretax Income (Loss)</v>
          </cell>
          <cell r="C30">
            <v>-13.138000000000002</v>
          </cell>
          <cell r="E30">
            <v>-17.240999999999996</v>
          </cell>
          <cell r="G30">
            <v>-38.110999999999997</v>
          </cell>
          <cell r="I30">
            <v>-29.931999999999999</v>
          </cell>
          <cell r="K30">
            <v>-98.421999999999997</v>
          </cell>
          <cell r="N30">
            <v>-26.745000000000001</v>
          </cell>
          <cell r="P30">
            <v>-25.507999999999999</v>
          </cell>
          <cell r="R30">
            <v>-37.141999999999996</v>
          </cell>
          <cell r="T30">
            <v>-26.874000000000009</v>
          </cell>
          <cell r="V30">
            <v>-116.26900000000001</v>
          </cell>
          <cell r="W30">
            <v>0.18133140964418537</v>
          </cell>
          <cell r="Y30">
            <v>-29.565666666666665</v>
          </cell>
          <cell r="AA30">
            <v>-28.384666666666664</v>
          </cell>
          <cell r="AC30">
            <v>-25.721666666666668</v>
          </cell>
          <cell r="AE30">
            <v>-25.362000000000002</v>
          </cell>
          <cell r="AG30">
            <v>-109.03399999999999</v>
          </cell>
          <cell r="AH30">
            <v>-6.2226388805270649E-2</v>
          </cell>
          <cell r="AI30">
            <v>-109.03400000000002</v>
          </cell>
          <cell r="AJ30">
            <v>2.8421709430404007E-11</v>
          </cell>
          <cell r="AN30">
            <v>-20.283999999999999</v>
          </cell>
          <cell r="AP30">
            <v>-25.31</v>
          </cell>
          <cell r="AR30">
            <v>-30.207000000000001</v>
          </cell>
          <cell r="AT30">
            <v>-28.105999999999998</v>
          </cell>
          <cell r="AV30">
            <v>-103.90699999999998</v>
          </cell>
          <cell r="BB30">
            <v>-15.042000000000003</v>
          </cell>
          <cell r="BD30">
            <v>-18.175000000000004</v>
          </cell>
          <cell r="BF30">
            <v>-13.738000000000003</v>
          </cell>
          <cell r="BH30">
            <v>-18.210999999999999</v>
          </cell>
          <cell r="BJ30">
            <v>-65.165999999999997</v>
          </cell>
          <cell r="BQ30">
            <v>-19.946999999999999</v>
          </cell>
          <cell r="BS30">
            <v>-15.838999999999995</v>
          </cell>
          <cell r="BU30">
            <v>-21.893999999999998</v>
          </cell>
          <cell r="BW30">
            <v>-27.350999999999996</v>
          </cell>
          <cell r="BY30">
            <v>-85.031000000000006</v>
          </cell>
          <cell r="CE30">
            <v>-36.1875</v>
          </cell>
          <cell r="CG30">
            <v>-37.462499999999999</v>
          </cell>
          <cell r="CI30">
            <v>-38.862500000000004</v>
          </cell>
          <cell r="CK30">
            <v>-41.432599272136997</v>
          </cell>
          <cell r="CM30">
            <v>-153.94509927213699</v>
          </cell>
        </row>
        <row r="31">
          <cell r="B31" t="str">
            <v xml:space="preserve">   Provision For Income Taxes</v>
          </cell>
          <cell r="C31">
            <v>0.30299999999999999</v>
          </cell>
          <cell r="E31">
            <v>0.3</v>
          </cell>
          <cell r="G31">
            <v>0.3</v>
          </cell>
          <cell r="I31">
            <v>0.21700000000000014</v>
          </cell>
          <cell r="K31">
            <v>1.1200000000000001</v>
          </cell>
          <cell r="N31">
            <v>0.23</v>
          </cell>
          <cell r="P31">
            <v>0.21099999999999999</v>
          </cell>
          <cell r="R31">
            <v>0.17</v>
          </cell>
          <cell r="T31">
            <v>-0.26900000000000002</v>
          </cell>
          <cell r="V31">
            <v>0.34199999999999997</v>
          </cell>
          <cell r="Y31">
            <v>0.10550000000000001</v>
          </cell>
          <cell r="AA31">
            <v>7.6500000000000012E-2</v>
          </cell>
          <cell r="AE31">
            <v>0.27100000000000002</v>
          </cell>
          <cell r="AG31">
            <v>0.45300000000000007</v>
          </cell>
          <cell r="AI31">
            <v>0.45300000000000007</v>
          </cell>
          <cell r="AJ31">
            <v>0</v>
          </cell>
          <cell r="AN31">
            <v>0</v>
          </cell>
          <cell r="AP31">
            <v>-0.156</v>
          </cell>
          <cell r="AR31">
            <v>0</v>
          </cell>
          <cell r="AT31">
            <v>-0.39500000000000002</v>
          </cell>
          <cell r="AV31">
            <v>-0.55100000000000005</v>
          </cell>
          <cell r="BB31">
            <v>0</v>
          </cell>
          <cell r="BD31">
            <v>0</v>
          </cell>
          <cell r="BF31">
            <v>0</v>
          </cell>
          <cell r="BH31">
            <v>0</v>
          </cell>
          <cell r="BJ31">
            <v>0</v>
          </cell>
          <cell r="BQ31">
            <v>0</v>
          </cell>
          <cell r="BS31">
            <v>0</v>
          </cell>
          <cell r="BU31">
            <v>0</v>
          </cell>
          <cell r="BW31">
            <v>0</v>
          </cell>
          <cell r="BY31">
            <v>0</v>
          </cell>
          <cell r="CE31">
            <v>0</v>
          </cell>
          <cell r="CG31">
            <v>0</v>
          </cell>
          <cell r="CI31">
            <v>0</v>
          </cell>
          <cell r="CK31">
            <v>0</v>
          </cell>
          <cell r="CM31">
            <v>0</v>
          </cell>
        </row>
        <row r="32">
          <cell r="B32" t="str">
            <v xml:space="preserve">   Tax Rate</v>
          </cell>
          <cell r="C32">
            <v>-2.3062871061044297E-2</v>
          </cell>
          <cell r="E32">
            <v>-1.740038280842179E-2</v>
          </cell>
          <cell r="G32">
            <v>-7.8717430663063168E-3</v>
          </cell>
          <cell r="I32">
            <v>-7.2497661365762446E-3</v>
          </cell>
          <cell r="K32">
            <v>-1.1379569608420882E-2</v>
          </cell>
          <cell r="N32">
            <v>-8.5997382688352969E-3</v>
          </cell>
          <cell r="P32">
            <v>-8.2719146934295117E-3</v>
          </cell>
          <cell r="R32">
            <v>-4.5770287006623236E-3</v>
          </cell>
          <cell r="T32">
            <v>1.0009674778596409E-2</v>
          </cell>
          <cell r="V32">
            <v>-2.9414547299796158E-3</v>
          </cell>
          <cell r="Y32">
            <v>-3.5683281283470699E-3</v>
          </cell>
          <cell r="AA32">
            <v>-2.6951170819926257E-3</v>
          </cell>
          <cell r="AC32">
            <v>0</v>
          </cell>
          <cell r="AE32">
            <v>0</v>
          </cell>
          <cell r="AG32">
            <v>-4.15466735146835E-3</v>
          </cell>
          <cell r="AI32">
            <v>0</v>
          </cell>
          <cell r="AJ32">
            <v>-4.1546673514683503</v>
          </cell>
          <cell r="AN32">
            <v>0</v>
          </cell>
          <cell r="AP32">
            <v>6.1635717107862507E-3</v>
          </cell>
          <cell r="AR32">
            <v>0</v>
          </cell>
          <cell r="AT32">
            <v>1.4053938660784176E-2</v>
          </cell>
          <cell r="AV32">
            <v>5.3028188668713385E-3</v>
          </cell>
          <cell r="BB32">
            <v>0</v>
          </cell>
          <cell r="BD32">
            <v>0</v>
          </cell>
          <cell r="BF32">
            <v>0</v>
          </cell>
          <cell r="BH32">
            <v>0</v>
          </cell>
          <cell r="BJ32">
            <v>0</v>
          </cell>
          <cell r="BQ32">
            <v>0</v>
          </cell>
          <cell r="BS32">
            <v>0</v>
          </cell>
          <cell r="BU32">
            <v>0</v>
          </cell>
          <cell r="BW32">
            <v>0</v>
          </cell>
          <cell r="BY32">
            <v>0</v>
          </cell>
          <cell r="CE32">
            <v>0</v>
          </cell>
          <cell r="CG32">
            <v>0</v>
          </cell>
          <cell r="CI32">
            <v>0</v>
          </cell>
          <cell r="CK32">
            <v>0</v>
          </cell>
          <cell r="CM32">
            <v>0</v>
          </cell>
          <cell r="DD32" t="str">
            <v>mstag:taxExpenseIncome</v>
          </cell>
          <cell r="DE32">
            <v>6</v>
          </cell>
          <cell r="DF32" t="str">
            <v>ISO4217:USD</v>
          </cell>
          <cell r="DG32" t="b">
            <v>0</v>
          </cell>
          <cell r="DH32" t="b">
            <v>0</v>
          </cell>
        </row>
        <row r="33">
          <cell r="B33" t="str">
            <v xml:space="preserve">Net Income (Loss) </v>
          </cell>
          <cell r="C33">
            <v>-13.441000000000003</v>
          </cell>
          <cell r="E33">
            <v>-17.540999999999997</v>
          </cell>
          <cell r="G33">
            <v>-38.410999999999994</v>
          </cell>
          <cell r="I33">
            <v>-30.148999999999997</v>
          </cell>
          <cell r="K33">
            <v>-99.542000000000002</v>
          </cell>
          <cell r="N33">
            <v>-26.975000000000001</v>
          </cell>
          <cell r="P33">
            <v>-25.718999999999998</v>
          </cell>
          <cell r="R33">
            <v>-37.311999999999998</v>
          </cell>
          <cell r="T33">
            <v>-26.605000000000011</v>
          </cell>
          <cell r="V33">
            <v>-116.61100000000002</v>
          </cell>
          <cell r="W33">
            <v>0.17147535713568152</v>
          </cell>
          <cell r="Y33">
            <v>-29.671166666666664</v>
          </cell>
          <cell r="AA33">
            <v>-28.461166666666664</v>
          </cell>
          <cell r="AC33">
            <v>-25.721666666666668</v>
          </cell>
          <cell r="AE33">
            <v>-25.633000000000003</v>
          </cell>
          <cell r="AG33">
            <v>-109.48699999999999</v>
          </cell>
          <cell r="AI33">
            <v>-109.48700000000002</v>
          </cell>
          <cell r="AJ33">
            <v>2.8421709430404007E-11</v>
          </cell>
          <cell r="AN33">
            <v>-20.283999999999999</v>
          </cell>
          <cell r="AP33">
            <v>-25.154</v>
          </cell>
          <cell r="AR33">
            <v>-30.207000000000001</v>
          </cell>
          <cell r="AT33">
            <v>-27.710999999999999</v>
          </cell>
          <cell r="AV33">
            <v>-103.35600000000001</v>
          </cell>
          <cell r="BB33">
            <v>-15.042000000000003</v>
          </cell>
          <cell r="BD33">
            <v>-18.175000000000004</v>
          </cell>
          <cell r="BF33">
            <v>-13.738000000000003</v>
          </cell>
          <cell r="BH33">
            <v>-18.210999999999999</v>
          </cell>
          <cell r="BJ33">
            <v>-65.165999999999997</v>
          </cell>
          <cell r="BQ33">
            <v>-19.946999999999999</v>
          </cell>
          <cell r="BS33">
            <v>-15.838999999999995</v>
          </cell>
          <cell r="BU33">
            <v>-21.893999999999998</v>
          </cell>
          <cell r="BW33">
            <v>-27.350999999999996</v>
          </cell>
          <cell r="BY33">
            <v>-85.031000000000006</v>
          </cell>
          <cell r="CE33">
            <v>-36.1875</v>
          </cell>
          <cell r="CG33">
            <v>-37.462499999999999</v>
          </cell>
          <cell r="CI33">
            <v>-38.862500000000004</v>
          </cell>
          <cell r="CK33">
            <v>-41.432599272136997</v>
          </cell>
          <cell r="CM33">
            <v>-153.94509927213699</v>
          </cell>
        </row>
        <row r="35">
          <cell r="B35" t="str">
            <v>EPS, Basic</v>
          </cell>
          <cell r="C35">
            <v>-0.20101998085666431</v>
          </cell>
          <cell r="E35">
            <v>-0.26009786476868324</v>
          </cell>
          <cell r="G35">
            <v>-0.56703572483023323</v>
          </cell>
          <cell r="I35">
            <v>-0.44620234430499622</v>
          </cell>
          <cell r="K35">
            <v>-1.4768185392341586</v>
          </cell>
          <cell r="N35">
            <v>-0.39102136665410375</v>
          </cell>
          <cell r="P35">
            <v>-0.35773002295013562</v>
          </cell>
          <cell r="R35">
            <v>-0.51689409157027078</v>
          </cell>
          <cell r="T35">
            <v>-0.3674216268471206</v>
          </cell>
          <cell r="V35">
            <v>-1.6339166865165551</v>
          </cell>
          <cell r="Y35">
            <v>-0.40845183523074025</v>
          </cell>
          <cell r="AA35">
            <v>-0.39025856198037356</v>
          </cell>
          <cell r="AC35">
            <v>-0.35079943082888959</v>
          </cell>
          <cell r="AE35">
            <v>-0.32328570167362436</v>
          </cell>
          <cell r="AG35">
            <v>-1.4687173020685216</v>
          </cell>
          <cell r="AN35">
            <v>-0.24424135149128826</v>
          </cell>
          <cell r="AP35">
            <v>-0.3019579126802156</v>
          </cell>
          <cell r="AR35">
            <v>-0.36213345481573839</v>
          </cell>
          <cell r="AT35">
            <v>-0.33178879310344828</v>
          </cell>
          <cell r="AV35">
            <v>-1.2404555874269394</v>
          </cell>
          <cell r="BB35">
            <v>-0.17987013763497439</v>
          </cell>
          <cell r="BD35">
            <v>-0.21692168142649135</v>
          </cell>
          <cell r="BF35">
            <v>-0.1638362829747651</v>
          </cell>
          <cell r="BH35">
            <v>-0.21697584920946966</v>
          </cell>
          <cell r="BJ35">
            <v>-0.77764651129488405</v>
          </cell>
          <cell r="BQ35">
            <v>-0.2375066976245758</v>
          </cell>
          <cell r="BS35">
            <v>-0.1882547304364362</v>
          </cell>
          <cell r="BU35">
            <v>-0.25998361298136868</v>
          </cell>
          <cell r="BW35">
            <v>-0.32404478407677262</v>
          </cell>
          <cell r="BY35">
            <v>-1.0100522956948854</v>
          </cell>
          <cell r="CE35">
            <v>-0.42766728105983487</v>
          </cell>
          <cell r="CG35">
            <v>-0.44163127288387843</v>
          </cell>
          <cell r="CI35">
            <v>-0.45699286232066755</v>
          </cell>
          <cell r="CK35">
            <v>-0.4860002360713615</v>
          </cell>
          <cell r="CM35">
            <v>-1.8125293524433519</v>
          </cell>
        </row>
        <row r="36">
          <cell r="B36" t="str">
            <v>EPS, Diluted</v>
          </cell>
          <cell r="C36">
            <v>-0.20101998085666431</v>
          </cell>
          <cell r="E36">
            <v>-0.26009786476868324</v>
          </cell>
          <cell r="G36">
            <v>-0.56703572483023323</v>
          </cell>
          <cell r="I36">
            <v>-0.44620234430499622</v>
          </cell>
          <cell r="K36">
            <v>-1.4768185392341586</v>
          </cell>
          <cell r="N36">
            <v>-0.39102136665410375</v>
          </cell>
          <cell r="P36">
            <v>-0.35773002295013562</v>
          </cell>
          <cell r="R36">
            <v>-0.51689409157027078</v>
          </cell>
          <cell r="T36">
            <v>-0.3674216268471206</v>
          </cell>
          <cell r="V36">
            <v>-1.6339166865165551</v>
          </cell>
          <cell r="Y36">
            <v>-0.40845183523074025</v>
          </cell>
          <cell r="AA36">
            <v>-0.39025856198037356</v>
          </cell>
          <cell r="AC36">
            <v>-0.35079943082888959</v>
          </cell>
          <cell r="AE36">
            <v>-0.32328570167362436</v>
          </cell>
          <cell r="AG36">
            <v>-1.4687173020685216</v>
          </cell>
          <cell r="AN36">
            <v>-0.24424135149128826</v>
          </cell>
          <cell r="AP36">
            <v>-0.3019579126802156</v>
          </cell>
          <cell r="AR36">
            <v>-0.36213345481573839</v>
          </cell>
          <cell r="AT36">
            <v>-0.33178879310344828</v>
          </cell>
          <cell r="AV36">
            <v>-1.2404555874269394</v>
          </cell>
          <cell r="BB36">
            <v>-0.17987013763497439</v>
          </cell>
          <cell r="BD36">
            <v>-0.21692168142649135</v>
          </cell>
          <cell r="BF36">
            <v>-0.1638362829747651</v>
          </cell>
          <cell r="BH36">
            <v>-0.21697584920946966</v>
          </cell>
          <cell r="BJ36">
            <v>-0.77764651129488405</v>
          </cell>
          <cell r="BQ36">
            <v>-0.2375066976245758</v>
          </cell>
          <cell r="BS36">
            <v>-0.1882547304364362</v>
          </cell>
          <cell r="BU36">
            <v>-0.25998361298136868</v>
          </cell>
          <cell r="BW36">
            <v>-0.32404478407677262</v>
          </cell>
          <cell r="BY36">
            <v>-1.0100522956948854</v>
          </cell>
          <cell r="CE36">
            <v>-0.42766728105983487</v>
          </cell>
          <cell r="CG36">
            <v>-0.44163127288387843</v>
          </cell>
          <cell r="CI36">
            <v>-0.45699286232066755</v>
          </cell>
          <cell r="CK36">
            <v>-0.4860002360713615</v>
          </cell>
          <cell r="CM36">
            <v>-1.8125293524433519</v>
          </cell>
        </row>
        <row r="37">
          <cell r="B37" t="str">
            <v xml:space="preserve">EPS, Diluted ('As if') </v>
          </cell>
          <cell r="C37">
            <v>-0.17398659732349564</v>
          </cell>
          <cell r="E37">
            <v>-0.22747601337996246</v>
          </cell>
          <cell r="G37">
            <v>-0.49938376919153293</v>
          </cell>
          <cell r="I37">
            <v>-0.36342578119034041</v>
          </cell>
          <cell r="K37">
            <v>-1.2670861459846632</v>
          </cell>
          <cell r="N37">
            <v>-0.33824897178268765</v>
          </cell>
          <cell r="P37">
            <v>-0.31787810144198547</v>
          </cell>
          <cell r="R37">
            <v>-0.46132225477433975</v>
          </cell>
          <cell r="T37">
            <v>-0.34080282693286945</v>
          </cell>
          <cell r="V37">
            <v>-1.4594456436941139</v>
          </cell>
          <cell r="Y37">
            <v>-0.36297130088455898</v>
          </cell>
          <cell r="AA37">
            <v>-0.35083822697260769</v>
          </cell>
          <cell r="AC37">
            <v>-0.32124122497111851</v>
          </cell>
          <cell r="AE37">
            <v>-0.29793469756809599</v>
          </cell>
          <cell r="AG37">
            <v>-1.3312549024419</v>
          </cell>
          <cell r="AN37">
            <v>-0.24272555670836765</v>
          </cell>
          <cell r="AP37">
            <v>-0.2991972369467028</v>
          </cell>
          <cell r="AR37">
            <v>-0.35861398703533326</v>
          </cell>
          <cell r="AT37">
            <v>-0.32488943606012693</v>
          </cell>
          <cell r="AV37">
            <v>-1.2261751741121056</v>
          </cell>
          <cell r="BB37">
            <v>-0.17987013763497439</v>
          </cell>
          <cell r="BD37">
            <v>-0.21692168142649135</v>
          </cell>
          <cell r="BF37">
            <v>-0.1638362829747651</v>
          </cell>
          <cell r="BH37">
            <v>-0.21697584920946966</v>
          </cell>
          <cell r="BJ37">
            <v>-0.77764651129488405</v>
          </cell>
          <cell r="BQ37">
            <v>-0.2375066976245758</v>
          </cell>
          <cell r="BS37">
            <v>-0.1882547304364362</v>
          </cell>
          <cell r="BU37">
            <v>-0.25998361298136868</v>
          </cell>
          <cell r="BW37">
            <v>-0.32404478407677262</v>
          </cell>
          <cell r="BY37">
            <v>-1.0100522956948854</v>
          </cell>
          <cell r="CE37">
            <v>-0.42766728105983487</v>
          </cell>
          <cell r="CG37">
            <v>-0.44163127288387843</v>
          </cell>
          <cell r="CI37">
            <v>-0.45699286232066755</v>
          </cell>
          <cell r="CK37">
            <v>-0.4860002360713615</v>
          </cell>
          <cell r="CM37">
            <v>-1.8125293524433519</v>
          </cell>
        </row>
        <row r="39">
          <cell r="B39" t="str">
            <v>Stock Compensation Expense</v>
          </cell>
          <cell r="BB39">
            <v>2.2999999999999998</v>
          </cell>
          <cell r="BD39">
            <v>2.2999999999999998</v>
          </cell>
          <cell r="BF39">
            <v>2.0999999999999996</v>
          </cell>
          <cell r="BH39">
            <v>2.2999999999999998</v>
          </cell>
          <cell r="BJ39">
            <v>9</v>
          </cell>
          <cell r="BQ39">
            <v>2.2000000000000002</v>
          </cell>
          <cell r="BS39">
            <v>2.6</v>
          </cell>
          <cell r="BU39">
            <v>2.6</v>
          </cell>
          <cell r="BW39">
            <v>2.7490000000000001</v>
          </cell>
          <cell r="BY39">
            <v>10.149000000000001</v>
          </cell>
          <cell r="CE39">
            <v>4.25</v>
          </cell>
          <cell r="CG39">
            <v>4.25</v>
          </cell>
          <cell r="CI39">
            <v>4.25</v>
          </cell>
          <cell r="CK39">
            <v>4.25</v>
          </cell>
          <cell r="CM39">
            <v>17</v>
          </cell>
        </row>
        <row r="40">
          <cell r="B40" t="str">
            <v>Tax Benefit of ESOs</v>
          </cell>
          <cell r="BB40">
            <v>0</v>
          </cell>
          <cell r="BD40">
            <v>0</v>
          </cell>
          <cell r="BF40">
            <v>0</v>
          </cell>
          <cell r="BH40">
            <v>0</v>
          </cell>
          <cell r="BJ40">
            <v>0</v>
          </cell>
          <cell r="BQ40">
            <v>0</v>
          </cell>
          <cell r="BS40">
            <v>0</v>
          </cell>
          <cell r="BU40">
            <v>0</v>
          </cell>
          <cell r="BW40">
            <v>0</v>
          </cell>
          <cell r="BY40">
            <v>0</v>
          </cell>
          <cell r="CE40">
            <v>0</v>
          </cell>
          <cell r="CG40">
            <v>0</v>
          </cell>
          <cell r="CI40">
            <v>0</v>
          </cell>
          <cell r="CK40">
            <v>0</v>
          </cell>
          <cell r="CM40">
            <v>0</v>
          </cell>
        </row>
        <row r="41">
          <cell r="B41" t="str">
            <v>% of Operating Expenses of EPS Impact</v>
          </cell>
          <cell r="BB41">
            <v>2.7503079149078645E-2</v>
          </cell>
          <cell r="BD41">
            <v>2.745088678299477E-2</v>
          </cell>
          <cell r="BF41">
            <v>2.5044125363736101E-2</v>
          </cell>
          <cell r="BH41">
            <v>2.7403462367897438E-2</v>
          </cell>
          <cell r="BJ41">
            <v>0.1073998496402105</v>
          </cell>
          <cell r="BQ41">
            <v>2.6195153896529145E-2</v>
          </cell>
          <cell r="BS41">
            <v>3.0902348578491969E-2</v>
          </cell>
          <cell r="BU41">
            <v>3.0874093073515969E-2</v>
          </cell>
          <cell r="BW41">
            <v>3.2569160594751498E-2</v>
          </cell>
          <cell r="BY41">
            <v>0.12055627652276692</v>
          </cell>
          <cell r="CE41">
            <v>5.0226900020844165E-2</v>
          </cell>
          <cell r="CG41">
            <v>5.0101645906078969E-2</v>
          </cell>
          <cell r="CI41">
            <v>4.9976704145714687E-2</v>
          </cell>
          <cell r="CK41">
            <v>4.9852073960812662E-2</v>
          </cell>
          <cell r="CM41">
            <v>0.20015576421219616</v>
          </cell>
        </row>
        <row r="43">
          <cell r="B43" t="str">
            <v>Non-GAAP Net Income (Loss) (includes Stock Comp)</v>
          </cell>
          <cell r="BB43">
            <v>-17.342000000000002</v>
          </cell>
          <cell r="BD43">
            <v>-20.475000000000005</v>
          </cell>
          <cell r="BF43">
            <v>-15.838000000000003</v>
          </cell>
          <cell r="BH43">
            <v>-20.510999999999999</v>
          </cell>
          <cell r="BJ43">
            <v>-74.166000000000011</v>
          </cell>
          <cell r="BQ43">
            <v>-22.146999999999998</v>
          </cell>
          <cell r="BS43">
            <v>-18.438999999999997</v>
          </cell>
          <cell r="BU43">
            <v>-24.494</v>
          </cell>
          <cell r="BW43">
            <v>-30.099999999999994</v>
          </cell>
          <cell r="BY43">
            <v>-95.18</v>
          </cell>
          <cell r="CE43">
            <v>-40.4375</v>
          </cell>
          <cell r="CG43">
            <v>-41.712499999999999</v>
          </cell>
          <cell r="CI43">
            <v>-43.112500000000004</v>
          </cell>
          <cell r="CK43">
            <v>-45.682599272136997</v>
          </cell>
          <cell r="CM43">
            <v>-170.94509927213699</v>
          </cell>
        </row>
        <row r="44">
          <cell r="B44" t="str">
            <v>GAAP Net Income (Loss)</v>
          </cell>
          <cell r="C44">
            <v>-13.441000000000003</v>
          </cell>
          <cell r="E44">
            <v>-17.540999999999997</v>
          </cell>
          <cell r="G44">
            <v>-38.410999999999994</v>
          </cell>
          <cell r="I44">
            <v>-67.48</v>
          </cell>
          <cell r="K44">
            <v>-136.87299999999999</v>
          </cell>
          <cell r="N44">
            <v>-55.091000000000001</v>
          </cell>
          <cell r="P44">
            <v>-27.033999999999999</v>
          </cell>
          <cell r="R44">
            <v>-43.561999999999998</v>
          </cell>
          <cell r="T44">
            <v>-40.775999999999996</v>
          </cell>
          <cell r="V44">
            <v>-166.46299999999999</v>
          </cell>
          <cell r="Y44">
            <v>-37.697833333333335</v>
          </cell>
          <cell r="AA44">
            <v>-63.382833333333323</v>
          </cell>
          <cell r="AC44">
            <v>-26.210333333333335</v>
          </cell>
          <cell r="AE44">
            <v>-37.526000000000003</v>
          </cell>
          <cell r="AG44">
            <v>-164.81700000000001</v>
          </cell>
          <cell r="AI44">
            <v>-164.81700000000001</v>
          </cell>
          <cell r="AJ44">
            <v>0</v>
          </cell>
          <cell r="AN44">
            <v>-20.131</v>
          </cell>
          <cell r="AP44">
            <v>-25.145</v>
          </cell>
          <cell r="AR44">
            <v>-30.21</v>
          </cell>
          <cell r="AT44">
            <v>-27.555999999999997</v>
          </cell>
          <cell r="AV44">
            <v>-103.04199999999999</v>
          </cell>
          <cell r="BB44">
            <v>-17.342000000000002</v>
          </cell>
          <cell r="BD44">
            <v>-20.475000000000005</v>
          </cell>
          <cell r="BF44">
            <v>-15.838000000000003</v>
          </cell>
          <cell r="BH44">
            <v>-20.510999999999999</v>
          </cell>
          <cell r="BJ44">
            <v>-74.165999999999997</v>
          </cell>
          <cell r="BQ44">
            <v>-22.146999999999998</v>
          </cell>
          <cell r="BS44">
            <v>-18.438999999999997</v>
          </cell>
          <cell r="BU44">
            <v>-24.494</v>
          </cell>
          <cell r="BW44">
            <v>-21.599999999999994</v>
          </cell>
          <cell r="BY44">
            <v>-86.68</v>
          </cell>
          <cell r="CE44">
            <v>-40.4375</v>
          </cell>
          <cell r="CG44">
            <v>-41.712499999999999</v>
          </cell>
          <cell r="CI44">
            <v>-43.112500000000004</v>
          </cell>
          <cell r="CK44">
            <v>-45.682599272136997</v>
          </cell>
          <cell r="CM44">
            <v>-170.94509927213699</v>
          </cell>
          <cell r="CO44" t="str">
            <v>cash burn: 128-138</v>
          </cell>
        </row>
        <row r="47">
          <cell r="B47" t="str">
            <v>EPS, Non-GAAP Diluted (includes Stock Comp)</v>
          </cell>
          <cell r="C47">
            <v>-0.20101998085666431</v>
          </cell>
          <cell r="E47">
            <v>-0.26009786476868324</v>
          </cell>
          <cell r="G47">
            <v>-0.56703572483023323</v>
          </cell>
          <cell r="I47">
            <v>-0.44620234430499622</v>
          </cell>
          <cell r="K47">
            <v>-1.4768185392341586</v>
          </cell>
          <cell r="N47">
            <v>-0.39102136665410375</v>
          </cell>
          <cell r="P47">
            <v>-0.35773002295013562</v>
          </cell>
          <cell r="R47">
            <v>-0.51689409157027078</v>
          </cell>
          <cell r="T47">
            <v>-0.3674216268471206</v>
          </cell>
          <cell r="V47">
            <v>-1.6339166865165551</v>
          </cell>
          <cell r="Y47">
            <v>-0.40845183523074025</v>
          </cell>
          <cell r="AA47">
            <v>-0.39025856198037356</v>
          </cell>
          <cell r="AC47">
            <v>-0.35079943082888959</v>
          </cell>
          <cell r="AE47">
            <v>-0.32328570167362436</v>
          </cell>
          <cell r="AG47">
            <v>-1.4687173020685216</v>
          </cell>
          <cell r="AN47">
            <v>-0.24424135149128826</v>
          </cell>
          <cell r="AP47">
            <v>-0.3019579126802156</v>
          </cell>
          <cell r="AR47">
            <v>-0.36213345481573839</v>
          </cell>
          <cell r="AT47">
            <v>-0.33178879310344828</v>
          </cell>
          <cell r="AV47">
            <v>-1.2404555874269394</v>
          </cell>
          <cell r="BB47">
            <v>-0.20737321678405304</v>
          </cell>
          <cell r="BD47">
            <v>-0.24437256820948614</v>
          </cell>
          <cell r="BF47">
            <v>-0.1888804083385012</v>
          </cell>
          <cell r="BH47">
            <v>-0.24437931157736711</v>
          </cell>
          <cell r="BJ47">
            <v>-0.8850463609350947</v>
          </cell>
          <cell r="BQ47">
            <v>-0.26370185152110492</v>
          </cell>
          <cell r="BS47">
            <v>-0.21915707901492817</v>
          </cell>
          <cell r="BU47">
            <v>-0.29085770605488465</v>
          </cell>
          <cell r="BW47">
            <v>-0.35661394467152413</v>
          </cell>
          <cell r="BY47">
            <v>-1.1306085722176524</v>
          </cell>
          <cell r="CE47">
            <v>-0.47789418108067905</v>
          </cell>
          <cell r="CG47">
            <v>-0.4917329187899574</v>
          </cell>
          <cell r="CI47">
            <v>-0.50696956646638225</v>
          </cell>
          <cell r="CK47">
            <v>-0.53585231003217415</v>
          </cell>
          <cell r="CM47">
            <v>-2.0126851166555482</v>
          </cell>
          <cell r="DD47" t="str">
            <v>mstag:adjEpsForConsensus</v>
          </cell>
          <cell r="DE47">
            <v>0</v>
          </cell>
          <cell r="DF47" t="str">
            <v>ISO4217:USD</v>
          </cell>
          <cell r="DG47" t="b">
            <v>0</v>
          </cell>
          <cell r="DH47" t="b">
            <v>0</v>
          </cell>
        </row>
        <row r="48">
          <cell r="B48" t="str">
            <v>EPS, Diluted ('As If Converted') (includes Stock Comp)</v>
          </cell>
          <cell r="C48">
            <v>-0.17398659732349564</v>
          </cell>
          <cell r="E48">
            <v>-0.22747601337996246</v>
          </cell>
          <cell r="G48">
            <v>-0.49938376919153293</v>
          </cell>
          <cell r="I48">
            <v>-0.36342578119034041</v>
          </cell>
          <cell r="K48">
            <v>-1.2670861459846632</v>
          </cell>
          <cell r="N48">
            <v>-0.33824897178268765</v>
          </cell>
          <cell r="P48">
            <v>-0.31787810144198547</v>
          </cell>
          <cell r="R48">
            <v>-0.46132225477433975</v>
          </cell>
          <cell r="T48">
            <v>-0.34080282693286945</v>
          </cell>
          <cell r="V48">
            <v>-1.4594456436941139</v>
          </cell>
          <cell r="Y48">
            <v>-0.36297130088455898</v>
          </cell>
          <cell r="AA48">
            <v>-0.35083822697260769</v>
          </cell>
          <cell r="AC48">
            <v>-0.32124122497111851</v>
          </cell>
          <cell r="AE48">
            <v>-0.29793469756809599</v>
          </cell>
          <cell r="AG48">
            <v>-1.3312549024419</v>
          </cell>
          <cell r="AN48">
            <v>-0.24272555670836765</v>
          </cell>
          <cell r="AP48">
            <v>-0.2991972369467028</v>
          </cell>
          <cell r="AR48">
            <v>-0.35861398703533326</v>
          </cell>
          <cell r="AT48">
            <v>-0.32488943606012693</v>
          </cell>
          <cell r="AV48">
            <v>-1.2261751741121056</v>
          </cell>
          <cell r="BB48">
            <v>-0.20737321678405304</v>
          </cell>
          <cell r="BD48">
            <v>-0.23822435479769424</v>
          </cell>
          <cell r="BF48">
            <v>-0.1888804083385012</v>
          </cell>
          <cell r="BH48">
            <v>-0.24437931157736711</v>
          </cell>
          <cell r="BJ48">
            <v>-0.88504636093509459</v>
          </cell>
          <cell r="BQ48">
            <v>-0.26370185152110492</v>
          </cell>
          <cell r="BS48">
            <v>-0.21915707901492817</v>
          </cell>
          <cell r="BU48">
            <v>-0.29085770605488465</v>
          </cell>
          <cell r="BW48">
            <v>-0.25590901012973161</v>
          </cell>
          <cell r="BY48">
            <v>-1.0296401664196901</v>
          </cell>
          <cell r="CE48">
            <v>-0.47789418108067905</v>
          </cell>
          <cell r="CG48">
            <v>-0.4917329187899574</v>
          </cell>
          <cell r="CI48">
            <v>-0.50696956646638225</v>
          </cell>
          <cell r="CK48">
            <v>-0.53585231003217415</v>
          </cell>
          <cell r="CM48">
            <v>-2.0126851166555482</v>
          </cell>
        </row>
        <row r="49">
          <cell r="B49" t="str">
            <v>EPS, GAAP, Diluted (includes stock comp)</v>
          </cell>
          <cell r="C49">
            <v>-0.20101998085666431</v>
          </cell>
          <cell r="E49">
            <v>-0.26009786476868324</v>
          </cell>
          <cell r="G49">
            <v>-0.56703572483023323</v>
          </cell>
          <cell r="I49">
            <v>-0.9986976083353063</v>
          </cell>
          <cell r="K49">
            <v>-2.0306662908179156</v>
          </cell>
          <cell r="N49">
            <v>-0.79858232105064797</v>
          </cell>
          <cell r="P49">
            <v>-0.3760205855761875</v>
          </cell>
          <cell r="R49">
            <v>-0.60347717669876011</v>
          </cell>
          <cell r="T49">
            <v>-0.56312663996685519</v>
          </cell>
          <cell r="V49">
            <v>-2.3324272443217642</v>
          </cell>
          <cell r="Y49">
            <v>-0.5189465376338166</v>
          </cell>
          <cell r="AA49">
            <v>-0.86910328310182949</v>
          </cell>
          <cell r="AC49">
            <v>-0.3574640062917957</v>
          </cell>
          <cell r="AE49">
            <v>-0.4732812874421421</v>
          </cell>
          <cell r="AG49">
            <v>-2.2109435784616212</v>
          </cell>
          <cell r="AN49">
            <v>-0.24239906561186766</v>
          </cell>
          <cell r="AP49">
            <v>-0.30184987335390084</v>
          </cell>
          <cell r="AR49">
            <v>-0.36216942000143859</v>
          </cell>
          <cell r="AT49">
            <v>-0.32993295019157087</v>
          </cell>
          <cell r="AV49">
            <v>-1.2366870296803927</v>
          </cell>
          <cell r="BB49">
            <v>-0.20737321678405304</v>
          </cell>
          <cell r="BD49">
            <v>-0.24437256820948614</v>
          </cell>
          <cell r="BF49">
            <v>-0.1888804083385012</v>
          </cell>
          <cell r="BH49">
            <v>-0.24437931157736711</v>
          </cell>
          <cell r="BJ49">
            <v>-0.88504636093509459</v>
          </cell>
          <cell r="BQ49">
            <v>-0.26370185152110492</v>
          </cell>
          <cell r="BS49">
            <v>-0.21915707901492817</v>
          </cell>
          <cell r="BU49">
            <v>-0.29085770605488465</v>
          </cell>
          <cell r="BW49">
            <v>-0.25590901012973161</v>
          </cell>
          <cell r="BY49">
            <v>-1.0296401664196901</v>
          </cell>
          <cell r="CE49">
            <v>-0.47789418108067905</v>
          </cell>
          <cell r="CG49">
            <v>-0.4917329187899574</v>
          </cell>
          <cell r="CI49">
            <v>-0.50696956646638225</v>
          </cell>
          <cell r="CK49">
            <v>-0.53585231003217415</v>
          </cell>
          <cell r="CM49">
            <v>-2.0126851166555482</v>
          </cell>
        </row>
        <row r="52">
          <cell r="B52" t="str">
            <v>Shares Outstanding - Basic</v>
          </cell>
          <cell r="C52">
            <v>66.864000000000004</v>
          </cell>
          <cell r="E52">
            <v>67.44</v>
          </cell>
          <cell r="G52">
            <v>67.739999999999995</v>
          </cell>
          <cell r="I52">
            <v>67.568000000000026</v>
          </cell>
          <cell r="K52">
            <v>67.403000000000006</v>
          </cell>
          <cell r="N52">
            <v>68.986000000000004</v>
          </cell>
          <cell r="P52">
            <v>71.894999999999996</v>
          </cell>
          <cell r="R52">
            <v>72.185000000000002</v>
          </cell>
          <cell r="T52">
            <v>72.410000000000025</v>
          </cell>
          <cell r="V52">
            <v>71.369</v>
          </cell>
          <cell r="Y52">
            <v>72.643000000000001</v>
          </cell>
          <cell r="Z52">
            <v>5.3010755805525722E-2</v>
          </cell>
          <cell r="AA52">
            <v>72.929000000000002</v>
          </cell>
          <cell r="AB52">
            <v>1.4382084985047783E-2</v>
          </cell>
          <cell r="AC52">
            <v>73.322999999999993</v>
          </cell>
          <cell r="AD52">
            <v>1.5765048140195193E-2</v>
          </cell>
          <cell r="AE52">
            <v>79.289000000000001</v>
          </cell>
          <cell r="AF52">
            <v>9.5000690512359709E-2</v>
          </cell>
          <cell r="AG52">
            <v>74.545999999999992</v>
          </cell>
          <cell r="AH52">
            <v>4.4515125614762674E-2</v>
          </cell>
          <cell r="AI52">
            <v>74.545999999999992</v>
          </cell>
          <cell r="AJ52">
            <v>0</v>
          </cell>
          <cell r="AN52">
            <v>83.049000000000007</v>
          </cell>
          <cell r="AO52">
            <v>0.13264596374943771</v>
          </cell>
          <cell r="AP52">
            <v>83.302999999999997</v>
          </cell>
          <cell r="AQ52">
            <v>5.0624929056994006E-2</v>
          </cell>
          <cell r="AR52">
            <v>83.414000000000001</v>
          </cell>
          <cell r="AS52">
            <v>0.11896010516996225</v>
          </cell>
          <cell r="AT52">
            <v>83.52</v>
          </cell>
          <cell r="AU52">
            <v>0.12038204598502955</v>
          </cell>
          <cell r="AV52">
            <v>83.320999999999998</v>
          </cell>
          <cell r="AW52">
            <v>0.11771255332278074</v>
          </cell>
          <cell r="BB52">
            <v>83.626999999999995</v>
          </cell>
          <cell r="BC52">
            <v>6.9597466555887328E-3</v>
          </cell>
          <cell r="BD52">
            <v>83.786000000000001</v>
          </cell>
          <cell r="BE52">
            <v>5.7981105122264995E-3</v>
          </cell>
          <cell r="BF52">
            <v>83.852000000000004</v>
          </cell>
          <cell r="BG52">
            <v>5.250917112235385E-3</v>
          </cell>
          <cell r="BH52">
            <v>83.930999999999997</v>
          </cell>
          <cell r="BI52">
            <v>4.9209770114942691E-3</v>
          </cell>
          <cell r="BJ52">
            <v>83.799000000000007</v>
          </cell>
          <cell r="BK52">
            <v>5.7368490536600092E-3</v>
          </cell>
          <cell r="BQ52">
            <v>83.984999999999999</v>
          </cell>
          <cell r="BR52">
            <v>4.2809140588566663E-3</v>
          </cell>
          <cell r="BS52">
            <v>84.135999999999996</v>
          </cell>
          <cell r="BT52">
            <v>4.1773088582817142E-3</v>
          </cell>
          <cell r="BU52">
            <v>84.212999999999994</v>
          </cell>
          <cell r="BV52">
            <v>4.3052044077660501E-3</v>
          </cell>
          <cell r="BW52">
            <v>84.405000000000001</v>
          </cell>
          <cell r="BX52">
            <v>5.6474961575581073E-3</v>
          </cell>
          <cell r="BY52">
            <v>84.184749999999994</v>
          </cell>
          <cell r="BZ52">
            <v>4.6032768887456221E-3</v>
          </cell>
          <cell r="CE52">
            <v>84.616012499999997</v>
          </cell>
          <cell r="CF52">
            <v>7.513395249151511E-3</v>
          </cell>
          <cell r="CG52">
            <v>84.827552531249992</v>
          </cell>
          <cell r="CH52">
            <v>8.2194605311638469E-3</v>
          </cell>
          <cell r="CI52">
            <v>85.039621412578114</v>
          </cell>
          <cell r="CJ52">
            <v>9.8158409340376451E-3</v>
          </cell>
          <cell r="CK52">
            <v>85.252220466109549</v>
          </cell>
          <cell r="CL52">
            <v>1.0037562539062295E-2</v>
          </cell>
          <cell r="CM52">
            <v>84.933851727484409</v>
          </cell>
          <cell r="CN52">
            <v>8.8983067299530649E-3</v>
          </cell>
          <cell r="DD52" t="str">
            <v>mstag:averageBasicSharesOutstanding</v>
          </cell>
          <cell r="DE52">
            <v>6</v>
          </cell>
          <cell r="DF52" t="str">
            <v>ms_eqr_gcim_Decimal:ms_eqr_gcim_decimal</v>
          </cell>
          <cell r="DG52" t="b">
            <v>0</v>
          </cell>
          <cell r="DH52" t="b">
            <v>0</v>
          </cell>
        </row>
        <row r="53">
          <cell r="B53" t="str">
            <v>Shares Outstanding - Diluted</v>
          </cell>
          <cell r="C53">
            <v>77.253077000000005</v>
          </cell>
          <cell r="E53">
            <v>77.111426999999992</v>
          </cell>
          <cell r="G53">
            <v>76.916797000000003</v>
          </cell>
          <cell r="I53">
            <v>82.957791000000014</v>
          </cell>
          <cell r="K53">
            <v>78.559773000000007</v>
          </cell>
          <cell r="N53">
            <v>79.74894900000001</v>
          </cell>
          <cell r="P53">
            <v>80.908372999999997</v>
          </cell>
          <cell r="R53">
            <v>80.880555000000001</v>
          </cell>
          <cell r="T53">
            <v>78.065666999999976</v>
          </cell>
          <cell r="V53">
            <v>79.900886</v>
          </cell>
          <cell r="Y53">
            <v>81.745214000000004</v>
          </cell>
          <cell r="AA53">
            <v>81.123334</v>
          </cell>
          <cell r="AC53">
            <v>80.069631999999999</v>
          </cell>
          <cell r="AE53">
            <v>86.035632000000007</v>
          </cell>
          <cell r="AG53">
            <v>82.243453000000002</v>
          </cell>
          <cell r="AH53">
            <v>2.9318410812115392E-2</v>
          </cell>
          <cell r="AI53">
            <v>82.243453000000002</v>
          </cell>
          <cell r="AJ53">
            <v>0</v>
          </cell>
          <cell r="AN53">
            <v>83.567632000000003</v>
          </cell>
          <cell r="AP53">
            <v>84.071631999999994</v>
          </cell>
          <cell r="AR53">
            <v>84.232632000000009</v>
          </cell>
          <cell r="AT53">
            <v>85.293632000000002</v>
          </cell>
          <cell r="AV53">
            <v>84.291381999999999</v>
          </cell>
          <cell r="AW53">
            <v>2.4900814901339219E-2</v>
          </cell>
          <cell r="BB53">
            <v>83.626999999999995</v>
          </cell>
          <cell r="BC53">
            <v>7.104185984352421E-4</v>
          </cell>
          <cell r="BD53">
            <v>83.786000000000001</v>
          </cell>
          <cell r="BE53">
            <v>-3.3974837077028856E-3</v>
          </cell>
          <cell r="BF53">
            <v>83.852000000000004</v>
          </cell>
          <cell r="BG53">
            <v>-4.5188187874742602E-3</v>
          </cell>
          <cell r="BH53">
            <v>83.930999999999997</v>
          </cell>
          <cell r="BI53">
            <v>-1.5975776480007382E-2</v>
          </cell>
          <cell r="BJ53">
            <v>83.799000000000007</v>
          </cell>
          <cell r="BK53">
            <v>-5.8414275376336144E-3</v>
          </cell>
          <cell r="BQ53">
            <v>83.984999999999999</v>
          </cell>
          <cell r="BR53">
            <v>4.2809140588566663E-3</v>
          </cell>
          <cell r="BS53">
            <v>84.135999999999996</v>
          </cell>
          <cell r="BT53">
            <v>4.1773088582817142E-3</v>
          </cell>
          <cell r="BU53">
            <v>84.212999999999994</v>
          </cell>
          <cell r="BV53">
            <v>4.3052044077660501E-3</v>
          </cell>
          <cell r="BW53">
            <v>84.405000000000001</v>
          </cell>
          <cell r="BX53">
            <v>5.6474961575581073E-3</v>
          </cell>
          <cell r="BY53">
            <v>84.184749999999994</v>
          </cell>
          <cell r="BZ53">
            <v>4.6032768887456221E-3</v>
          </cell>
          <cell r="CE53">
            <v>84.616012499999997</v>
          </cell>
          <cell r="CF53">
            <v>7.513395249151511E-3</v>
          </cell>
          <cell r="CG53">
            <v>84.827552531249992</v>
          </cell>
          <cell r="CH53">
            <v>8.2194605311638469E-3</v>
          </cell>
          <cell r="CI53">
            <v>85.039621412578114</v>
          </cell>
          <cell r="CJ53">
            <v>9.8158409340376451E-3</v>
          </cell>
          <cell r="CK53">
            <v>85.252220466109549</v>
          </cell>
          <cell r="CL53">
            <v>1.0037562539062295E-2</v>
          </cell>
          <cell r="CM53">
            <v>84.933851727484409</v>
          </cell>
          <cell r="CN53">
            <v>8.8983067299530649E-3</v>
          </cell>
          <cell r="DD53" t="str">
            <v>mstag:averageDilutedSharesOutstanding</v>
          </cell>
          <cell r="DE53">
            <v>6</v>
          </cell>
          <cell r="DF53" t="str">
            <v>ms_eqr_gcim_Decimal:ms_eqr_gcim_decimal</v>
          </cell>
          <cell r="DG53" t="b">
            <v>0</v>
          </cell>
          <cell r="DH53" t="b">
            <v>0</v>
          </cell>
        </row>
        <row r="56">
          <cell r="B56" t="str">
            <v>Reconciliation to GAAP Income (Loss)</v>
          </cell>
        </row>
        <row r="57">
          <cell r="B57" t="str">
            <v>Adjustments to pro-forma earnings:</v>
          </cell>
          <cell r="BJ57">
            <v>9.7167040939713248E-2</v>
          </cell>
        </row>
        <row r="58">
          <cell r="B58" t="str">
            <v xml:space="preserve">   Write-off of acquired in-process R&amp;D</v>
          </cell>
          <cell r="D58">
            <v>0</v>
          </cell>
          <cell r="N58">
            <v>-28.116</v>
          </cell>
          <cell r="P58">
            <v>-1.3149999999999999</v>
          </cell>
          <cell r="R58">
            <v>-6.25</v>
          </cell>
          <cell r="T58">
            <v>-14.170999999999989</v>
          </cell>
          <cell r="V58">
            <v>-49.85199999999999</v>
          </cell>
          <cell r="Y58">
            <v>-0.3</v>
          </cell>
          <cell r="AA58">
            <v>-0.3</v>
          </cell>
          <cell r="AC58">
            <v>-0.29899999999999999</v>
          </cell>
          <cell r="AE58">
            <v>-0.254</v>
          </cell>
          <cell r="AG58">
            <v>-1.153</v>
          </cell>
          <cell r="DD58" t="str">
            <v>mstag:acquiredInProcessRAndDOneTime</v>
          </cell>
          <cell r="DE58">
            <v>6</v>
          </cell>
          <cell r="DF58" t="str">
            <v>ISO4217:USD</v>
          </cell>
          <cell r="DG58" t="b">
            <v>1</v>
          </cell>
          <cell r="DH58" t="b">
            <v>0</v>
          </cell>
        </row>
        <row r="59">
          <cell r="B59" t="str">
            <v xml:space="preserve">   Stock Compensation Expense</v>
          </cell>
          <cell r="BB59">
            <v>2.2999999999999998</v>
          </cell>
          <cell r="BD59">
            <v>2.2999999999999998</v>
          </cell>
          <cell r="BF59">
            <v>2.0999999999999996</v>
          </cell>
          <cell r="BH59">
            <v>2.2999999999999998</v>
          </cell>
          <cell r="BJ59">
            <v>9</v>
          </cell>
          <cell r="BM59" t="str">
            <v>$7-9M</v>
          </cell>
          <cell r="BQ59">
            <v>2.2000000000000002</v>
          </cell>
          <cell r="BS59">
            <v>2.6</v>
          </cell>
          <cell r="BU59">
            <v>2.6</v>
          </cell>
          <cell r="BW59">
            <v>2.7490000000000001</v>
          </cell>
          <cell r="BY59">
            <v>10.149000000000001</v>
          </cell>
          <cell r="CE59">
            <v>4.25</v>
          </cell>
          <cell r="CG59">
            <v>4.25</v>
          </cell>
          <cell r="CI59">
            <v>4.25</v>
          </cell>
          <cell r="CK59">
            <v>4.25</v>
          </cell>
          <cell r="CM59">
            <v>17</v>
          </cell>
          <cell r="DD59" t="str">
            <v>mstag:stockCompensation</v>
          </cell>
          <cell r="DE59">
            <v>6</v>
          </cell>
          <cell r="DF59" t="str">
            <v>ISO4217:USD</v>
          </cell>
          <cell r="DG59" t="b">
            <v>0</v>
          </cell>
          <cell r="DH59" t="b">
            <v>0</v>
          </cell>
        </row>
        <row r="60">
          <cell r="B60" t="str">
            <v xml:space="preserve">   Tax Benefit of ESOs</v>
          </cell>
          <cell r="BB60">
            <v>0</v>
          </cell>
          <cell r="BD60">
            <v>0</v>
          </cell>
          <cell r="BF60">
            <v>0</v>
          </cell>
          <cell r="BH60">
            <v>0</v>
          </cell>
          <cell r="BJ60">
            <v>0</v>
          </cell>
          <cell r="BQ60">
            <v>0</v>
          </cell>
          <cell r="BS60">
            <v>0</v>
          </cell>
          <cell r="BU60">
            <v>0</v>
          </cell>
          <cell r="BW60">
            <v>0</v>
          </cell>
          <cell r="BY60">
            <v>0</v>
          </cell>
          <cell r="CE60">
            <v>0</v>
          </cell>
          <cell r="CG60">
            <v>0</v>
          </cell>
          <cell r="CI60">
            <v>0</v>
          </cell>
          <cell r="CK60">
            <v>0</v>
          </cell>
          <cell r="CM60">
            <v>0</v>
          </cell>
          <cell r="DD60" t="str">
            <v>mstag:taxExpenseIncome</v>
          </cell>
          <cell r="DE60">
            <v>6</v>
          </cell>
          <cell r="DF60" t="str">
            <v>ISO4217:USD</v>
          </cell>
          <cell r="DG60" t="b">
            <v>1</v>
          </cell>
          <cell r="DH60" t="b">
            <v>0</v>
          </cell>
        </row>
        <row r="61">
          <cell r="B61" t="str">
            <v xml:space="preserve">   Amortization of intangible assets</v>
          </cell>
          <cell r="D61">
            <v>0</v>
          </cell>
          <cell r="V61">
            <v>0</v>
          </cell>
          <cell r="AA61">
            <v>0</v>
          </cell>
          <cell r="AC61">
            <v>0</v>
          </cell>
          <cell r="AE61">
            <v>0</v>
          </cell>
          <cell r="AG61">
            <v>0</v>
          </cell>
          <cell r="AP61">
            <v>0</v>
          </cell>
          <cell r="AR61">
            <v>-3.0000000000000001E-3</v>
          </cell>
          <cell r="AT61">
            <v>0</v>
          </cell>
          <cell r="AV61">
            <v>0</v>
          </cell>
          <cell r="BB61">
            <v>0</v>
          </cell>
          <cell r="BD61">
            <v>0</v>
          </cell>
          <cell r="BF61">
            <v>0</v>
          </cell>
          <cell r="BH61">
            <v>0</v>
          </cell>
          <cell r="BJ61">
            <v>0</v>
          </cell>
          <cell r="BQ61">
            <v>0</v>
          </cell>
          <cell r="BS61">
            <v>0</v>
          </cell>
          <cell r="BU61">
            <v>0</v>
          </cell>
          <cell r="BW61">
            <v>0</v>
          </cell>
          <cell r="BY61">
            <v>0</v>
          </cell>
          <cell r="CE61">
            <v>0</v>
          </cell>
          <cell r="CG61">
            <v>0</v>
          </cell>
          <cell r="CI61">
            <v>0</v>
          </cell>
          <cell r="CK61">
            <v>0</v>
          </cell>
          <cell r="CM61">
            <v>0</v>
          </cell>
          <cell r="DD61" t="str">
            <v>mstag:amortizationOfIntangiblesAssumedToHaveIndefiniteLifeIncomeStatement</v>
          </cell>
          <cell r="DE61">
            <v>6</v>
          </cell>
          <cell r="DF61" t="str">
            <v>ISO4217:USD</v>
          </cell>
          <cell r="DG61" t="b">
            <v>1</v>
          </cell>
          <cell r="DH61" t="b">
            <v>0</v>
          </cell>
        </row>
        <row r="62">
          <cell r="B62" t="str">
            <v xml:space="preserve">   Restructuring / One-Time Gains (Losses)</v>
          </cell>
          <cell r="I62">
            <v>-37.331000000000003</v>
          </cell>
          <cell r="K62">
            <v>-37.331000000000003</v>
          </cell>
          <cell r="V62">
            <v>0</v>
          </cell>
          <cell r="Y62">
            <v>-7.7266666666666666</v>
          </cell>
          <cell r="AA62">
            <v>-34.621666666666663</v>
          </cell>
          <cell r="AC62">
            <v>-0.1896666666666659</v>
          </cell>
          <cell r="AE62">
            <v>-11.638999999999999</v>
          </cell>
          <cell r="AG62">
            <v>-54.176999999999992</v>
          </cell>
          <cell r="AN62">
            <v>0.153</v>
          </cell>
          <cell r="AP62">
            <v>8.9999999999999993E-3</v>
          </cell>
          <cell r="AT62">
            <v>0.155</v>
          </cell>
          <cell r="AV62">
            <v>0.317</v>
          </cell>
          <cell r="BJ62">
            <v>0</v>
          </cell>
          <cell r="BW62">
            <v>8.5</v>
          </cell>
          <cell r="BY62">
            <v>8.5</v>
          </cell>
          <cell r="CM62">
            <v>0</v>
          </cell>
          <cell r="DD62" t="str">
            <v>mstag:incomeLossFromDiscontinuedOperationsNetOfTax</v>
          </cell>
          <cell r="DE62">
            <v>6</v>
          </cell>
          <cell r="DF62" t="str">
            <v>ISO4217:USD</v>
          </cell>
          <cell r="DG62" t="b">
            <v>0</v>
          </cell>
          <cell r="DH62" t="b">
            <v>0</v>
          </cell>
        </row>
        <row r="63">
          <cell r="B63" t="str">
            <v xml:space="preserve">   Tax effects of adjustments</v>
          </cell>
          <cell r="V63">
            <v>0</v>
          </cell>
          <cell r="AG63">
            <v>0</v>
          </cell>
          <cell r="AV63">
            <v>0</v>
          </cell>
          <cell r="BJ63">
            <v>0</v>
          </cell>
          <cell r="BY63">
            <v>0</v>
          </cell>
          <cell r="CM63">
            <v>0</v>
          </cell>
          <cell r="DD63" t="str">
            <v>mstag:taxOnIncomeLossFromExtraordinaryItems</v>
          </cell>
          <cell r="DE63">
            <v>6</v>
          </cell>
          <cell r="DF63" t="str">
            <v>ISO4217:USD</v>
          </cell>
          <cell r="DG63" t="b">
            <v>1</v>
          </cell>
          <cell r="DH63" t="b">
            <v>0</v>
          </cell>
        </row>
        <row r="64">
          <cell r="B64" t="str">
            <v>GAAP Net Income</v>
          </cell>
          <cell r="C64">
            <v>-13.441000000000003</v>
          </cell>
          <cell r="E64">
            <v>-17.540999999999997</v>
          </cell>
          <cell r="G64">
            <v>-38.410999999999994</v>
          </cell>
          <cell r="I64">
            <v>-67.48</v>
          </cell>
          <cell r="K64">
            <v>-136.87299999999999</v>
          </cell>
          <cell r="N64">
            <v>-55.091000000000001</v>
          </cell>
          <cell r="P64">
            <v>-27.033999999999999</v>
          </cell>
          <cell r="R64">
            <v>-43.561999999999998</v>
          </cell>
          <cell r="T64">
            <v>-40.775999999999996</v>
          </cell>
          <cell r="V64">
            <v>-166.46299999999999</v>
          </cell>
          <cell r="Y64">
            <v>-37.697833333333335</v>
          </cell>
          <cell r="AA64">
            <v>-63.382833333333323</v>
          </cell>
          <cell r="AC64">
            <v>-26.210333333333335</v>
          </cell>
          <cell r="AE64">
            <v>-37.526000000000003</v>
          </cell>
          <cell r="AG64">
            <v>-164.81700000000001</v>
          </cell>
          <cell r="AN64">
            <v>-20.131</v>
          </cell>
          <cell r="AP64">
            <v>-25.145</v>
          </cell>
          <cell r="AR64">
            <v>-30.21</v>
          </cell>
          <cell r="AT64">
            <v>-27.555999999999997</v>
          </cell>
          <cell r="AV64">
            <v>-103.03900000000002</v>
          </cell>
          <cell r="BB64">
            <v>-17.342000000000002</v>
          </cell>
          <cell r="BD64">
            <v>-20.475000000000005</v>
          </cell>
          <cell r="BF64">
            <v>-15.838000000000003</v>
          </cell>
          <cell r="BH64">
            <v>-20.510999999999999</v>
          </cell>
          <cell r="BJ64">
            <v>-74.165999999999997</v>
          </cell>
          <cell r="BQ64">
            <v>-22.146999999999998</v>
          </cell>
          <cell r="BS64">
            <v>-18.438999999999997</v>
          </cell>
          <cell r="BU64">
            <v>-24.494</v>
          </cell>
          <cell r="BW64">
            <v>-21.599999999999994</v>
          </cell>
          <cell r="BY64">
            <v>-86.68</v>
          </cell>
          <cell r="CE64">
            <v>-40.4375</v>
          </cell>
          <cell r="CG64">
            <v>-41.712499999999999</v>
          </cell>
          <cell r="CI64">
            <v>-43.112500000000004</v>
          </cell>
          <cell r="CK64">
            <v>-45.682599272136997</v>
          </cell>
          <cell r="CM64">
            <v>-170.94509927213699</v>
          </cell>
        </row>
        <row r="65">
          <cell r="B65" t="str">
            <v>GAAP (loss) EPS, Basic</v>
          </cell>
          <cell r="C65">
            <v>-0.20101998085666431</v>
          </cell>
          <cell r="E65">
            <v>-0.26009786476868324</v>
          </cell>
          <cell r="G65">
            <v>-0.56703572483023323</v>
          </cell>
          <cell r="I65">
            <v>-0.9986976083353063</v>
          </cell>
          <cell r="K65">
            <v>-2.0306662908179156</v>
          </cell>
          <cell r="N65">
            <v>-0.79858232105064797</v>
          </cell>
          <cell r="P65">
            <v>-0.3760205855761875</v>
          </cell>
          <cell r="R65">
            <v>-0.60347717669876011</v>
          </cell>
          <cell r="T65">
            <v>-0.56312663996685519</v>
          </cell>
          <cell r="V65">
            <v>-2.3324272443217642</v>
          </cell>
          <cell r="Y65">
            <v>-0.5189465376338166</v>
          </cell>
          <cell r="AA65">
            <v>-0.86910328310182949</v>
          </cell>
          <cell r="AC65">
            <v>-0.3574640062917957</v>
          </cell>
          <cell r="AE65">
            <v>-0.4732812874421421</v>
          </cell>
          <cell r="AG65">
            <v>-2.2109435784616212</v>
          </cell>
          <cell r="AN65">
            <v>-0.24239906561186766</v>
          </cell>
          <cell r="AP65">
            <v>-0.30184987335390084</v>
          </cell>
          <cell r="AR65">
            <v>-0.36216942000143859</v>
          </cell>
          <cell r="AT65">
            <v>-0.32993295019157087</v>
          </cell>
          <cell r="AV65">
            <v>-1.2366510243516042</v>
          </cell>
          <cell r="BB65">
            <v>-0.20737321678405304</v>
          </cell>
          <cell r="BD65">
            <v>-0.24437256820948614</v>
          </cell>
          <cell r="BF65">
            <v>-0.1888804083385012</v>
          </cell>
          <cell r="BH65">
            <v>-0.24437931157736711</v>
          </cell>
          <cell r="BJ65">
            <v>-0.88504636093509459</v>
          </cell>
          <cell r="BQ65">
            <v>-0.26370185152110492</v>
          </cell>
          <cell r="BS65">
            <v>-0.21915707901492817</v>
          </cell>
          <cell r="BU65">
            <v>-0.29085770605488465</v>
          </cell>
          <cell r="BW65">
            <v>-0.25590901012973161</v>
          </cell>
          <cell r="BY65">
            <v>-1.0296401664196901</v>
          </cell>
          <cell r="CE65">
            <v>-0.47789418108067905</v>
          </cell>
          <cell r="CG65">
            <v>-0.4917329187899574</v>
          </cell>
          <cell r="CI65">
            <v>-0.50696956646638225</v>
          </cell>
          <cell r="CK65">
            <v>-0.53585231003217415</v>
          </cell>
          <cell r="CM65">
            <v>-2.0126851166555482</v>
          </cell>
        </row>
        <row r="66">
          <cell r="B66" t="str">
            <v>GAAP (loss) EPS, Diluted</v>
          </cell>
          <cell r="C66">
            <v>-0.17398659732349564</v>
          </cell>
          <cell r="E66">
            <v>-0.22747601337996246</v>
          </cell>
          <cell r="G66">
            <v>-0.49938376919153293</v>
          </cell>
          <cell r="I66">
            <v>-0.81342570946711912</v>
          </cell>
          <cell r="K66">
            <v>-1.7422784559217093</v>
          </cell>
          <cell r="N66">
            <v>-0.69080534214939926</v>
          </cell>
          <cell r="P66">
            <v>-0.33413105464375115</v>
          </cell>
          <cell r="R66">
            <v>-0.53859669978773017</v>
          </cell>
          <cell r="T66">
            <v>-0.52232948960776837</v>
          </cell>
          <cell r="V66">
            <v>-2.0833686374892011</v>
          </cell>
          <cell r="Y66">
            <v>-0.46116257440262293</v>
          </cell>
          <cell r="AA66">
            <v>-0.78131445304421687</v>
          </cell>
          <cell r="AC66">
            <v>-0.32734424623474395</v>
          </cell>
          <cell r="AE66">
            <v>-0.4361681215987348</v>
          </cell>
          <cell r="AG66">
            <v>-2.0040136203911576</v>
          </cell>
          <cell r="AN66">
            <v>-0.240894704303695</v>
          </cell>
          <cell r="AP66">
            <v>-0.29909018537905868</v>
          </cell>
          <cell r="AR66">
            <v>-0.35864960268604684</v>
          </cell>
          <cell r="AT66">
            <v>-0.32307218433376123</v>
          </cell>
          <cell r="AV66">
            <v>-1.2224144100520267</v>
          </cell>
          <cell r="BB66">
            <v>-0.20737321678405304</v>
          </cell>
          <cell r="BD66">
            <v>-0.24437256820948614</v>
          </cell>
          <cell r="BF66">
            <v>-0.1888804083385012</v>
          </cell>
          <cell r="BH66">
            <v>-0.24437931157736711</v>
          </cell>
          <cell r="BJ66">
            <v>-0.88504636093509459</v>
          </cell>
          <cell r="BQ66">
            <v>-0.26370185152110492</v>
          </cell>
          <cell r="BS66">
            <v>-0.21915707901492817</v>
          </cell>
          <cell r="BU66">
            <v>-0.29085770605488465</v>
          </cell>
          <cell r="BW66">
            <v>-0.25590901012973161</v>
          </cell>
          <cell r="BY66">
            <v>-1.0296401664196901</v>
          </cell>
          <cell r="CE66">
            <v>-0.47789418108067905</v>
          </cell>
          <cell r="CG66">
            <v>-0.4917329187899574</v>
          </cell>
          <cell r="CI66">
            <v>-0.50696956646638225</v>
          </cell>
          <cell r="CK66">
            <v>-0.53585231003217415</v>
          </cell>
          <cell r="CM66">
            <v>-2.0126851166555482</v>
          </cell>
        </row>
        <row r="71">
          <cell r="B71" t="str">
            <v>If-Converted Calculation</v>
          </cell>
        </row>
        <row r="73">
          <cell r="B73" t="str">
            <v>Non-GAAP</v>
          </cell>
        </row>
        <row r="74">
          <cell r="B74" t="str">
            <v>Net Earnings</v>
          </cell>
          <cell r="C74">
            <v>-13.441000000000003</v>
          </cell>
          <cell r="E74">
            <v>-17.540999999999997</v>
          </cell>
          <cell r="G74">
            <v>-38.410999999999994</v>
          </cell>
          <cell r="I74">
            <v>-30.148999999999997</v>
          </cell>
          <cell r="K74">
            <v>-99.542000000000002</v>
          </cell>
          <cell r="N74">
            <v>-26.975000000000001</v>
          </cell>
          <cell r="P74">
            <v>-25.718999999999998</v>
          </cell>
          <cell r="R74">
            <v>-37.311999999999998</v>
          </cell>
          <cell r="T74">
            <v>-26.605000000000011</v>
          </cell>
          <cell r="V74">
            <v>-116.61100000000002</v>
          </cell>
          <cell r="Y74">
            <v>-29.671166666666664</v>
          </cell>
          <cell r="AA74">
            <v>-28.461166666666664</v>
          </cell>
          <cell r="AC74">
            <v>-25.721666666666668</v>
          </cell>
          <cell r="AE74">
            <v>-25.633000000000003</v>
          </cell>
          <cell r="AG74">
            <v>-109.48699999999999</v>
          </cell>
          <cell r="AN74">
            <v>-20.283999999999999</v>
          </cell>
          <cell r="AP74">
            <v>-25.154</v>
          </cell>
          <cell r="AR74">
            <v>-30.207000000000001</v>
          </cell>
          <cell r="AT74">
            <v>-27.710999999999999</v>
          </cell>
          <cell r="AV74">
            <v>-103.35600000000001</v>
          </cell>
          <cell r="BB74">
            <v>-15.042000000000003</v>
          </cell>
          <cell r="BD74">
            <v>-18.175000000000004</v>
          </cell>
          <cell r="BF74">
            <v>-13.738000000000003</v>
          </cell>
          <cell r="BH74">
            <v>-18.210999999999999</v>
          </cell>
          <cell r="BJ74">
            <v>-65.165999999999997</v>
          </cell>
          <cell r="BQ74">
            <v>-19.946999999999999</v>
          </cell>
          <cell r="BS74">
            <v>-15.838999999999995</v>
          </cell>
          <cell r="BU74">
            <v>-21.893999999999998</v>
          </cell>
          <cell r="BW74">
            <v>-27.350999999999996</v>
          </cell>
          <cell r="BY74">
            <v>-85.031000000000006</v>
          </cell>
          <cell r="CE74">
            <v>-36.1875</v>
          </cell>
          <cell r="CG74">
            <v>-37.462499999999999</v>
          </cell>
          <cell r="CI74">
            <v>-38.862500000000004</v>
          </cell>
          <cell r="CK74">
            <v>-41.432599272136997</v>
          </cell>
          <cell r="CM74">
            <v>-153.94509927213699</v>
          </cell>
        </row>
        <row r="75">
          <cell r="B75" t="str">
            <v>Diluted Share Count</v>
          </cell>
          <cell r="C75">
            <v>77.253077000000005</v>
          </cell>
          <cell r="E75">
            <v>77.111426999999992</v>
          </cell>
          <cell r="G75">
            <v>76.916797000000003</v>
          </cell>
          <cell r="I75">
            <v>82.957791000000014</v>
          </cell>
          <cell r="K75">
            <v>78.559773000000007</v>
          </cell>
          <cell r="N75">
            <v>79.74894900000001</v>
          </cell>
          <cell r="P75">
            <v>80.908372999999997</v>
          </cell>
          <cell r="R75">
            <v>80.880555000000001</v>
          </cell>
          <cell r="T75">
            <v>78.065666999999976</v>
          </cell>
          <cell r="V75">
            <v>79.900886</v>
          </cell>
          <cell r="Y75">
            <v>81.745214000000004</v>
          </cell>
          <cell r="AA75">
            <v>81.123334</v>
          </cell>
          <cell r="AC75">
            <v>80.069631999999999</v>
          </cell>
          <cell r="AE75">
            <v>86.035632000000007</v>
          </cell>
          <cell r="AG75">
            <v>82.243453000000002</v>
          </cell>
          <cell r="AN75">
            <v>83.567632000000003</v>
          </cell>
          <cell r="AP75">
            <v>84.071631999999994</v>
          </cell>
          <cell r="AR75">
            <v>84.232632000000009</v>
          </cell>
          <cell r="AT75">
            <v>85.293632000000002</v>
          </cell>
          <cell r="AV75">
            <v>84.291381999999999</v>
          </cell>
          <cell r="BB75">
            <v>83.626999999999995</v>
          </cell>
          <cell r="BD75">
            <v>83.786000000000001</v>
          </cell>
          <cell r="BF75">
            <v>83.852000000000004</v>
          </cell>
          <cell r="BH75">
            <v>83.930999999999997</v>
          </cell>
          <cell r="BJ75">
            <v>83.799000000000007</v>
          </cell>
          <cell r="BQ75">
            <v>83.984999999999999</v>
          </cell>
          <cell r="BS75">
            <v>84.135999999999996</v>
          </cell>
          <cell r="BU75">
            <v>84.212999999999994</v>
          </cell>
          <cell r="BW75">
            <v>84.405000000000001</v>
          </cell>
          <cell r="BY75">
            <v>84.184749999999994</v>
          </cell>
          <cell r="CE75">
            <v>84.616012499999997</v>
          </cell>
          <cell r="CG75">
            <v>84.827552531249992</v>
          </cell>
          <cell r="CI75">
            <v>85.039621412578114</v>
          </cell>
          <cell r="CK75">
            <v>85.252220466109549</v>
          </cell>
          <cell r="CM75">
            <v>84.933851727484409</v>
          </cell>
        </row>
        <row r="76">
          <cell r="B76" t="str">
            <v>EPS, diluted</v>
          </cell>
          <cell r="C76">
            <v>-0.17398659732349564</v>
          </cell>
          <cell r="E76">
            <v>-0.22747601337996246</v>
          </cell>
          <cell r="G76">
            <v>-0.49938376919153293</v>
          </cell>
          <cell r="I76">
            <v>-0.36342578119034041</v>
          </cell>
          <cell r="K76">
            <v>-1.2670861459846632</v>
          </cell>
          <cell r="N76">
            <v>-0.33824897178268765</v>
          </cell>
          <cell r="P76">
            <v>-0.31787810144198547</v>
          </cell>
          <cell r="R76">
            <v>-0.46132225477433975</v>
          </cell>
          <cell r="T76">
            <v>-0.34080282693286945</v>
          </cell>
          <cell r="V76">
            <v>-1.4594456436941139</v>
          </cell>
          <cell r="Y76">
            <v>-0.36297130088455898</v>
          </cell>
          <cell r="AA76">
            <v>-0.35083822697260769</v>
          </cell>
          <cell r="AC76">
            <v>-0.32124122497111851</v>
          </cell>
          <cell r="AE76">
            <v>-0.29793469756809599</v>
          </cell>
          <cell r="AG76">
            <v>-1.3312549024419</v>
          </cell>
          <cell r="AN76">
            <v>-0.24272555670836765</v>
          </cell>
          <cell r="AP76">
            <v>-0.2991972369467028</v>
          </cell>
          <cell r="AR76">
            <v>-0.35861398703533326</v>
          </cell>
          <cell r="AT76">
            <v>-0.32488943606012693</v>
          </cell>
          <cell r="AV76">
            <v>-1.2261751741121056</v>
          </cell>
          <cell r="BB76">
            <v>-0.17987013763497439</v>
          </cell>
          <cell r="BD76">
            <v>-0.21692168142649135</v>
          </cell>
          <cell r="BF76">
            <v>-0.1638362829747651</v>
          </cell>
          <cell r="BH76">
            <v>-0.21697584920946966</v>
          </cell>
          <cell r="BJ76">
            <v>-0.77764651129488405</v>
          </cell>
          <cell r="BQ76">
            <v>-0.2375066976245758</v>
          </cell>
          <cell r="BS76">
            <v>-0.1882547304364362</v>
          </cell>
          <cell r="BU76">
            <v>-0.25998361298136868</v>
          </cell>
          <cell r="BW76">
            <v>-0.32404478407677262</v>
          </cell>
          <cell r="BY76">
            <v>-1.0100522956948854</v>
          </cell>
          <cell r="CE76">
            <v>-0.42766728105983487</v>
          </cell>
          <cell r="CG76">
            <v>-0.44163127288387843</v>
          </cell>
          <cell r="CI76">
            <v>-0.45699286232066755</v>
          </cell>
          <cell r="CK76">
            <v>-0.4860002360713615</v>
          </cell>
          <cell r="CM76">
            <v>-1.8125293524433519</v>
          </cell>
        </row>
        <row r="78">
          <cell r="B78" t="str">
            <v>Interest add-back</v>
          </cell>
          <cell r="C78">
            <v>2.4337499999999999</v>
          </cell>
          <cell r="E78">
            <v>2.3416250000000001</v>
          </cell>
          <cell r="G78">
            <v>2.3416250000000001</v>
          </cell>
          <cell r="I78">
            <v>2.3416250000000001</v>
          </cell>
          <cell r="K78">
            <v>9.4586250000000014</v>
          </cell>
          <cell r="N78">
            <v>2.3416250000000001</v>
          </cell>
          <cell r="P78">
            <v>2.3416250000000001</v>
          </cell>
          <cell r="R78">
            <v>2.2893750000000002</v>
          </cell>
          <cell r="T78">
            <v>2.2893750000000002</v>
          </cell>
          <cell r="V78">
            <v>9.2620000000000005</v>
          </cell>
          <cell r="Y78">
            <v>3.0185416666666667</v>
          </cell>
          <cell r="AA78">
            <v>4.4768749999999997</v>
          </cell>
          <cell r="AC78">
            <v>3.9488750000000001</v>
          </cell>
          <cell r="AE78">
            <v>3.9488750000000001</v>
          </cell>
          <cell r="AG78">
            <v>15.393166666666666</v>
          </cell>
          <cell r="AN78">
            <v>3.9488750000000001</v>
          </cell>
          <cell r="AP78">
            <v>3.9488750000000001</v>
          </cell>
          <cell r="AR78">
            <v>3.9488750000000001</v>
          </cell>
          <cell r="AT78">
            <v>3.9488750000000001</v>
          </cell>
          <cell r="AV78">
            <v>15.795500000000001</v>
          </cell>
          <cell r="BB78">
            <v>3.9488750000000001</v>
          </cell>
          <cell r="BD78">
            <v>3.9488750000000001</v>
          </cell>
          <cell r="BF78">
            <v>3.9488750000000001</v>
          </cell>
          <cell r="BH78">
            <v>3.9488750000000001</v>
          </cell>
          <cell r="BJ78">
            <v>15.795500000000001</v>
          </cell>
          <cell r="BQ78">
            <v>3.5157500000000002</v>
          </cell>
          <cell r="BS78">
            <v>3.5157500000000002</v>
          </cell>
          <cell r="BU78">
            <v>3.5157500000000002</v>
          </cell>
          <cell r="BW78">
            <v>3.5157500000000002</v>
          </cell>
          <cell r="BY78">
            <v>14.063000000000001</v>
          </cell>
          <cell r="CE78">
            <v>3.5157500000000002</v>
          </cell>
          <cell r="CG78">
            <v>3.5157500000000002</v>
          </cell>
          <cell r="CI78">
            <v>3.5157500000000002</v>
          </cell>
          <cell r="CK78">
            <v>3.5157500000000002</v>
          </cell>
          <cell r="CM78">
            <v>14.063000000000001</v>
          </cell>
        </row>
        <row r="79">
          <cell r="B79" t="str">
            <v>If-converted shares</v>
          </cell>
          <cell r="C79">
            <v>2.6253337288638385</v>
          </cell>
          <cell r="E79">
            <v>2.525956689409671</v>
          </cell>
          <cell r="G79">
            <v>2.525956689409671</v>
          </cell>
          <cell r="I79">
            <v>2.525956689409671</v>
          </cell>
          <cell r="K79">
            <v>2.525956689409671</v>
          </cell>
          <cell r="N79">
            <v>2.525956689409671</v>
          </cell>
          <cell r="P79">
            <v>2.525956689409671</v>
          </cell>
          <cell r="R79">
            <v>2.4695935924058143</v>
          </cell>
          <cell r="T79">
            <v>2.4695935924058143</v>
          </cell>
          <cell r="V79">
            <v>2.525956689409671</v>
          </cell>
          <cell r="Y79">
            <v>24.751233521104567</v>
          </cell>
          <cell r="AA79">
            <v>24.751233521104567</v>
          </cell>
          <cell r="AC79">
            <v>24.181669593486649</v>
          </cell>
          <cell r="AE79">
            <v>24.181669593486649</v>
          </cell>
          <cell r="AG79">
            <v>24.181669593486649</v>
          </cell>
          <cell r="AN79">
            <v>24.181669593486649</v>
          </cell>
          <cell r="AP79">
            <v>24.181669593486649</v>
          </cell>
          <cell r="AR79">
            <v>24.181669593486649</v>
          </cell>
          <cell r="AT79">
            <v>24.181669593486649</v>
          </cell>
          <cell r="AV79">
            <v>24.181669593486649</v>
          </cell>
          <cell r="BB79">
            <v>24.181669593486649</v>
          </cell>
          <cell r="BD79">
            <v>24.181669593486649</v>
          </cell>
          <cell r="BF79">
            <v>24.181669593486649</v>
          </cell>
          <cell r="BH79">
            <v>24.181669593486649</v>
          </cell>
          <cell r="BJ79">
            <v>24.181669593486649</v>
          </cell>
          <cell r="BQ79">
            <v>35.811051693404636</v>
          </cell>
          <cell r="BS79">
            <v>35.811051693404636</v>
          </cell>
          <cell r="BU79">
            <v>35.811051693404636</v>
          </cell>
          <cell r="BW79">
            <v>35.811051693404636</v>
          </cell>
          <cell r="BY79">
            <v>35.811051693404636</v>
          </cell>
          <cell r="CE79">
            <v>35.811051693404636</v>
          </cell>
          <cell r="CG79">
            <v>35.811051693404636</v>
          </cell>
          <cell r="CI79">
            <v>35.811051693404636</v>
          </cell>
          <cell r="CK79">
            <v>35.811051693404636</v>
          </cell>
          <cell r="CM79">
            <v>35.811051693404636</v>
          </cell>
        </row>
        <row r="80">
          <cell r="B80" t="str">
            <v>"If converted" EPS</v>
          </cell>
          <cell r="C80">
            <v>-0.13780006261469802</v>
          </cell>
          <cell r="E80">
            <v>-0.19085728706606467</v>
          </cell>
          <cell r="G80">
            <v>-0.45402976766159503</v>
          </cell>
          <cell r="I80">
            <v>-0.32529428986938258</v>
          </cell>
          <cell r="K80">
            <v>-1.1109645969155715</v>
          </cell>
          <cell r="N80">
            <v>-0.29940326024792729</v>
          </cell>
          <cell r="P80">
            <v>-0.28018892327683304</v>
          </cell>
          <cell r="R80">
            <v>-0.4201867134186606</v>
          </cell>
          <cell r="T80">
            <v>-0.30192520420419294</v>
          </cell>
          <cell r="V80">
            <v>-1.3023548700573047</v>
          </cell>
          <cell r="Y80">
            <v>-0.25026773775452182</v>
          </cell>
          <cell r="AA80">
            <v>-0.22653496706738133</v>
          </cell>
          <cell r="AC80">
            <v>-0.20884911107936685</v>
          </cell>
          <cell r="AE80">
            <v>-0.19673975579603045</v>
          </cell>
          <cell r="AG80">
            <v>-0.88413178242457557</v>
          </cell>
          <cell r="AN80">
            <v>-0.15160307081737448</v>
          </cell>
          <cell r="AP80">
            <v>-0.19588432581603463</v>
          </cell>
          <cell r="AR80">
            <v>-0.24220167094243905</v>
          </cell>
          <cell r="AT80">
            <v>-0.21705466579334595</v>
          </cell>
          <cell r="AV80">
            <v>-0.80720970520993118</v>
          </cell>
          <cell r="BB80">
            <v>-0.10289640936882691</v>
          </cell>
          <cell r="BD80">
            <v>-0.13176282357082775</v>
          </cell>
          <cell r="BF80">
            <v>-9.0611797570469541E-2</v>
          </cell>
          <cell r="BH80">
            <v>-0.13191909009024447</v>
          </cell>
          <cell r="BJ80">
            <v>-0.45721609419412229</v>
          </cell>
          <cell r="BQ80">
            <v>-0.13716019658187634</v>
          </cell>
          <cell r="BS80">
            <v>-0.1027390821701839</v>
          </cell>
          <cell r="BU80">
            <v>-0.15312139309333023</v>
          </cell>
          <cell r="BW80">
            <v>-0.19827011172175818</v>
          </cell>
          <cell r="BY80">
            <v>-0.59142069137824382</v>
          </cell>
          <cell r="CE80">
            <v>-0.27129906569448131</v>
          </cell>
          <cell r="CG80">
            <v>-0.28139209847607294</v>
          </cell>
          <cell r="CI80">
            <v>-0.29248285583814554</v>
          </cell>
          <cell r="CK80">
            <v>-0.31319861586243414</v>
          </cell>
          <cell r="CM80">
            <v>-1.1584927836211858</v>
          </cell>
        </row>
        <row r="81">
          <cell r="B81" t="str">
            <v>EPS dilution</v>
          </cell>
          <cell r="C81">
            <v>-0.20798461068535934</v>
          </cell>
          <cell r="E81">
            <v>-0.1609784072166415</v>
          </cell>
          <cell r="G81">
            <v>-9.0819935143993225E-2</v>
          </cell>
          <cell r="I81">
            <v>-0.10492236185353858</v>
          </cell>
          <cell r="K81">
            <v>-0.12321305032324251</v>
          </cell>
          <cell r="N81">
            <v>-0.114843546545109</v>
          </cell>
          <cell r="P81">
            <v>-0.11856487752438311</v>
          </cell>
          <cell r="R81">
            <v>-8.9168777204995234E-2</v>
          </cell>
          <cell r="T81">
            <v>-0.11407658521663182</v>
          </cell>
          <cell r="V81">
            <v>-0.10763728975831181</v>
          </cell>
          <cell r="Y81">
            <v>-0.31050268397357922</v>
          </cell>
          <cell r="AA81">
            <v>-0.35430363725709846</v>
          </cell>
          <cell r="AC81">
            <v>-0.3498682770303107</v>
          </cell>
          <cell r="AE81">
            <v>-0.33965477199558608</v>
          </cell>
          <cell r="AG81">
            <v>-0.33586589555251478</v>
          </cell>
          <cell r="AN81">
            <v>-0.37541364463930732</v>
          </cell>
          <cell r="AP81">
            <v>-0.34530035165088013</v>
          </cell>
          <cell r="AR81">
            <v>-0.32461733312544894</v>
          </cell>
          <cell r="AT81">
            <v>-0.33191220857924147</v>
          </cell>
          <cell r="AV81">
            <v>-0.34168484059021542</v>
          </cell>
          <cell r="BB81">
            <v>-0.42794056466647484</v>
          </cell>
          <cell r="BD81">
            <v>-0.39257882059392729</v>
          </cell>
          <cell r="BF81">
            <v>-0.4469369304208029</v>
          </cell>
          <cell r="BH81">
            <v>-0.39201026026224206</v>
          </cell>
          <cell r="BJ81">
            <v>-0.41205150726800388</v>
          </cell>
          <cell r="BQ81">
            <v>-0.42249966862541311</v>
          </cell>
          <cell r="BS81">
            <v>-0.4542549771153106</v>
          </cell>
          <cell r="BU81">
            <v>-0.41103444429667407</v>
          </cell>
          <cell r="BW81">
            <v>-0.38813978355910189</v>
          </cell>
          <cell r="BY81">
            <v>-0.41446527679899553</v>
          </cell>
          <cell r="CE81">
            <v>-0.36563053170176024</v>
          </cell>
          <cell r="CG81">
            <v>-0.36283475434480483</v>
          </cell>
          <cell r="CI81">
            <v>-0.35998375477271</v>
          </cell>
          <cell r="CK81">
            <v>-0.35555871660843014</v>
          </cell>
          <cell r="CM81">
            <v>-0.36084191847183184</v>
          </cell>
        </row>
        <row r="82">
          <cell r="B82" t="str">
            <v>Modelware adjustment</v>
          </cell>
          <cell r="C82">
            <v>0</v>
          </cell>
          <cell r="E82">
            <v>0</v>
          </cell>
          <cell r="G82">
            <v>0</v>
          </cell>
          <cell r="I82">
            <v>0</v>
          </cell>
          <cell r="K82">
            <v>0</v>
          </cell>
          <cell r="N82">
            <v>0</v>
          </cell>
          <cell r="P82">
            <v>0</v>
          </cell>
          <cell r="R82">
            <v>0</v>
          </cell>
          <cell r="T82">
            <v>0</v>
          </cell>
          <cell r="V82">
            <v>0</v>
          </cell>
          <cell r="Y82">
            <v>0</v>
          </cell>
          <cell r="AA82">
            <v>0</v>
          </cell>
          <cell r="AC82">
            <v>0</v>
          </cell>
          <cell r="AE82">
            <v>0</v>
          </cell>
          <cell r="AG82">
            <v>0</v>
          </cell>
          <cell r="AN82">
            <v>0</v>
          </cell>
          <cell r="AP82">
            <v>0</v>
          </cell>
          <cell r="AR82">
            <v>0</v>
          </cell>
          <cell r="AT82">
            <v>0</v>
          </cell>
          <cell r="AV82">
            <v>0</v>
          </cell>
          <cell r="BB82">
            <v>0</v>
          </cell>
          <cell r="BD82">
            <v>0</v>
          </cell>
          <cell r="BF82">
            <v>0</v>
          </cell>
          <cell r="BH82">
            <v>0</v>
          </cell>
          <cell r="BJ82">
            <v>0</v>
          </cell>
          <cell r="BQ82">
            <v>0</v>
          </cell>
          <cell r="BS82">
            <v>0</v>
          </cell>
          <cell r="BU82">
            <v>0</v>
          </cell>
          <cell r="BW82">
            <v>0</v>
          </cell>
          <cell r="BY82">
            <v>0</v>
          </cell>
          <cell r="CE82">
            <v>0</v>
          </cell>
          <cell r="CG82">
            <v>0</v>
          </cell>
          <cell r="CI82">
            <v>0</v>
          </cell>
          <cell r="CK82">
            <v>0</v>
          </cell>
          <cell r="CM82">
            <v>0</v>
          </cell>
        </row>
        <row r="84">
          <cell r="B84" t="str">
            <v>GAAP</v>
          </cell>
        </row>
        <row r="85">
          <cell r="B85" t="str">
            <v>Net Earnings</v>
          </cell>
          <cell r="C85">
            <v>-13.441000000000003</v>
          </cell>
          <cell r="E85">
            <v>-17.540999999999997</v>
          </cell>
          <cell r="G85">
            <v>-38.410999999999994</v>
          </cell>
          <cell r="I85">
            <v>-67.48</v>
          </cell>
          <cell r="K85">
            <v>-136.87299999999999</v>
          </cell>
          <cell r="N85">
            <v>-55.091000000000001</v>
          </cell>
          <cell r="P85">
            <v>-27.033999999999999</v>
          </cell>
          <cell r="R85">
            <v>-43.561999999999998</v>
          </cell>
          <cell r="T85">
            <v>-40.775999999999996</v>
          </cell>
          <cell r="V85">
            <v>-166.46299999999999</v>
          </cell>
          <cell r="Y85">
            <v>-37.697833333333335</v>
          </cell>
          <cell r="AA85">
            <v>-63.382833333333323</v>
          </cell>
          <cell r="AC85">
            <v>-26.210333333333335</v>
          </cell>
          <cell r="AE85">
            <v>-37.526000000000003</v>
          </cell>
          <cell r="AG85">
            <v>-164.81700000000001</v>
          </cell>
          <cell r="AN85">
            <v>-20.131</v>
          </cell>
          <cell r="AP85">
            <v>-25.145</v>
          </cell>
          <cell r="AR85">
            <v>-30.21</v>
          </cell>
          <cell r="AT85">
            <v>-27.555999999999997</v>
          </cell>
          <cell r="AV85">
            <v>-103.04199999999999</v>
          </cell>
          <cell r="BB85">
            <v>-17.342000000000002</v>
          </cell>
          <cell r="BD85">
            <v>-20.475000000000005</v>
          </cell>
          <cell r="BF85">
            <v>-15.838000000000003</v>
          </cell>
          <cell r="BH85">
            <v>-20.510999999999999</v>
          </cell>
          <cell r="BJ85">
            <v>-74.165999999999997</v>
          </cell>
          <cell r="BQ85">
            <v>-22.146999999999998</v>
          </cell>
          <cell r="BS85">
            <v>-18.438999999999997</v>
          </cell>
          <cell r="BU85">
            <v>-24.494</v>
          </cell>
          <cell r="BW85">
            <v>-21.599999999999994</v>
          </cell>
          <cell r="BY85">
            <v>-86.68</v>
          </cell>
          <cell r="CE85">
            <v>-40.4375</v>
          </cell>
          <cell r="CG85">
            <v>-41.712499999999999</v>
          </cell>
          <cell r="CI85">
            <v>-43.112500000000004</v>
          </cell>
          <cell r="CK85">
            <v>-45.682599272136997</v>
          </cell>
          <cell r="CM85">
            <v>-170.94509927213699</v>
          </cell>
        </row>
        <row r="86">
          <cell r="B86" t="str">
            <v>Diluted Share Count</v>
          </cell>
          <cell r="C86">
            <v>77.253077000000005</v>
          </cell>
          <cell r="E86">
            <v>77.111426999999992</v>
          </cell>
          <cell r="G86">
            <v>76.916797000000003</v>
          </cell>
          <cell r="I86">
            <v>82.957791000000014</v>
          </cell>
          <cell r="K86">
            <v>78.559773000000007</v>
          </cell>
          <cell r="N86">
            <v>79.74894900000001</v>
          </cell>
          <cell r="P86">
            <v>80.908372999999997</v>
          </cell>
          <cell r="R86">
            <v>80.880555000000001</v>
          </cell>
          <cell r="T86">
            <v>78.065666999999976</v>
          </cell>
          <cell r="V86">
            <v>79.900886</v>
          </cell>
          <cell r="Y86">
            <v>81.745214000000004</v>
          </cell>
          <cell r="AA86">
            <v>81.123334</v>
          </cell>
          <cell r="AC86">
            <v>80.069631999999999</v>
          </cell>
          <cell r="AE86">
            <v>86.035632000000007</v>
          </cell>
          <cell r="AG86">
            <v>82.243453000000002</v>
          </cell>
          <cell r="AN86">
            <v>83.567632000000003</v>
          </cell>
          <cell r="AP86">
            <v>84.071631999999994</v>
          </cell>
          <cell r="AR86">
            <v>84.232632000000009</v>
          </cell>
          <cell r="AT86">
            <v>85.293632000000002</v>
          </cell>
          <cell r="AV86">
            <v>84.291381999999999</v>
          </cell>
          <cell r="BB86">
            <v>83.626999999999995</v>
          </cell>
          <cell r="BD86">
            <v>83.786000000000001</v>
          </cell>
          <cell r="BF86">
            <v>83.852000000000004</v>
          </cell>
          <cell r="BH86">
            <v>83.930999999999997</v>
          </cell>
          <cell r="BJ86">
            <v>83.799000000000007</v>
          </cell>
          <cell r="BQ86">
            <v>83.984999999999999</v>
          </cell>
          <cell r="BS86">
            <v>84.135999999999996</v>
          </cell>
          <cell r="BU86">
            <v>84.212999999999994</v>
          </cell>
          <cell r="BW86">
            <v>84.405000000000001</v>
          </cell>
          <cell r="BY86">
            <v>84.184749999999994</v>
          </cell>
          <cell r="CE86">
            <v>84.616012499999997</v>
          </cell>
          <cell r="CG86">
            <v>84.827552531249992</v>
          </cell>
          <cell r="CI86">
            <v>85.039621412578114</v>
          </cell>
          <cell r="CK86">
            <v>85.252220466109549</v>
          </cell>
          <cell r="CM86">
            <v>84.933851727484409</v>
          </cell>
        </row>
        <row r="87">
          <cell r="B87" t="str">
            <v>EPS, diluted</v>
          </cell>
          <cell r="C87">
            <v>-0.17398659732349564</v>
          </cell>
          <cell r="E87">
            <v>-0.22747601337996246</v>
          </cell>
          <cell r="G87">
            <v>-0.49938376919153293</v>
          </cell>
          <cell r="I87">
            <v>-0.81342570946711912</v>
          </cell>
          <cell r="K87">
            <v>-1.7422784559217093</v>
          </cell>
          <cell r="N87">
            <v>-0.69080534214939926</v>
          </cell>
          <cell r="P87">
            <v>-0.33413105464375115</v>
          </cell>
          <cell r="R87">
            <v>-0.53859669978773017</v>
          </cell>
          <cell r="T87">
            <v>-0.52232948960776837</v>
          </cell>
          <cell r="V87">
            <v>-2.0833686374892011</v>
          </cell>
          <cell r="Y87">
            <v>-0.46116257440262293</v>
          </cell>
          <cell r="AA87">
            <v>-0.78131445304421687</v>
          </cell>
          <cell r="AC87">
            <v>-0.32734424623474395</v>
          </cell>
          <cell r="AE87">
            <v>-0.4361681215987348</v>
          </cell>
          <cell r="AG87">
            <v>-2.0040136203911576</v>
          </cell>
          <cell r="AN87">
            <v>-0.240894704303695</v>
          </cell>
          <cell r="AP87">
            <v>-0.29909018537905868</v>
          </cell>
          <cell r="AR87">
            <v>-0.35864960268604684</v>
          </cell>
          <cell r="AT87">
            <v>-0.32307218433376123</v>
          </cell>
          <cell r="AV87">
            <v>-1.2224500008790933</v>
          </cell>
          <cell r="BB87">
            <v>-0.20737321678405304</v>
          </cell>
          <cell r="BD87">
            <v>-0.24437256820948614</v>
          </cell>
          <cell r="BF87">
            <v>-0.1888804083385012</v>
          </cell>
          <cell r="BH87">
            <v>-0.24437931157736711</v>
          </cell>
          <cell r="BJ87">
            <v>-0.88504636093509459</v>
          </cell>
          <cell r="BQ87">
            <v>-0.26370185152110492</v>
          </cell>
          <cell r="BS87">
            <v>-0.21915707901492817</v>
          </cell>
          <cell r="BU87">
            <v>-0.29085770605488465</v>
          </cell>
          <cell r="BW87">
            <v>-0.25590901012973161</v>
          </cell>
          <cell r="BY87">
            <v>-1.0296401664196901</v>
          </cell>
          <cell r="CE87">
            <v>-0.47789418108067905</v>
          </cell>
          <cell r="CG87">
            <v>-0.4917329187899574</v>
          </cell>
          <cell r="CI87">
            <v>-0.50696956646638225</v>
          </cell>
          <cell r="CK87">
            <v>-0.53585231003217415</v>
          </cell>
          <cell r="CM87">
            <v>-2.0126851166555482</v>
          </cell>
        </row>
        <row r="89">
          <cell r="B89" t="str">
            <v>Interest add-back</v>
          </cell>
          <cell r="C89">
            <v>2.4337499999999999</v>
          </cell>
          <cell r="E89">
            <v>2.3416250000000001</v>
          </cell>
          <cell r="G89">
            <v>2.3416250000000001</v>
          </cell>
          <cell r="I89">
            <v>2.3416250000000001</v>
          </cell>
          <cell r="K89">
            <v>9.4586250000000014</v>
          </cell>
          <cell r="N89">
            <v>2.3416250000000001</v>
          </cell>
          <cell r="P89">
            <v>2.3416250000000001</v>
          </cell>
          <cell r="R89">
            <v>2.2893750000000002</v>
          </cell>
          <cell r="T89">
            <v>2.2893750000000002</v>
          </cell>
          <cell r="V89">
            <v>9.2620000000000005</v>
          </cell>
          <cell r="Y89">
            <v>3.0185416666666667</v>
          </cell>
          <cell r="AA89">
            <v>4.4768749999999997</v>
          </cell>
          <cell r="AC89">
            <v>3.9488750000000001</v>
          </cell>
          <cell r="AE89">
            <v>3.9488750000000001</v>
          </cell>
          <cell r="AG89">
            <v>15.393166666666666</v>
          </cell>
          <cell r="AN89">
            <v>3.9488750000000001</v>
          </cell>
          <cell r="AP89">
            <v>3.9488750000000001</v>
          </cell>
          <cell r="AR89">
            <v>3.9488750000000001</v>
          </cell>
          <cell r="AT89">
            <v>3.9488750000000001</v>
          </cell>
          <cell r="AV89">
            <v>15.795500000000001</v>
          </cell>
          <cell r="BB89">
            <v>3.9488750000000001</v>
          </cell>
          <cell r="BD89">
            <v>3.9488750000000001</v>
          </cell>
          <cell r="BF89">
            <v>3.9488750000000001</v>
          </cell>
          <cell r="BH89">
            <v>3.9488750000000001</v>
          </cell>
          <cell r="BJ89">
            <v>15.795500000000001</v>
          </cell>
          <cell r="BQ89">
            <v>3.5157500000000002</v>
          </cell>
          <cell r="BS89">
            <v>3.5157500000000002</v>
          </cell>
          <cell r="BU89">
            <v>3.5157500000000002</v>
          </cell>
          <cell r="BW89">
            <v>3.5157500000000002</v>
          </cell>
          <cell r="BY89">
            <v>14.063000000000001</v>
          </cell>
          <cell r="CE89">
            <v>3.5157500000000002</v>
          </cell>
          <cell r="CG89">
            <v>3.5157500000000002</v>
          </cell>
          <cell r="CI89">
            <v>3.5157500000000002</v>
          </cell>
          <cell r="CK89">
            <v>3.5157500000000002</v>
          </cell>
          <cell r="CM89">
            <v>14.063000000000001</v>
          </cell>
        </row>
        <row r="90">
          <cell r="B90" t="str">
            <v>If-converted shares</v>
          </cell>
          <cell r="C90">
            <v>2.6253337288638385</v>
          </cell>
          <cell r="E90">
            <v>2.525956689409671</v>
          </cell>
          <cell r="G90">
            <v>2.525956689409671</v>
          </cell>
          <cell r="I90">
            <v>2.525956689409671</v>
          </cell>
          <cell r="K90">
            <v>2.525956689409671</v>
          </cell>
          <cell r="N90">
            <v>2.525956689409671</v>
          </cell>
          <cell r="P90">
            <v>2.525956689409671</v>
          </cell>
          <cell r="R90">
            <v>2.4695935924058143</v>
          </cell>
          <cell r="T90">
            <v>2.4695935924058143</v>
          </cell>
          <cell r="V90">
            <v>2.525956689409671</v>
          </cell>
          <cell r="Y90">
            <v>24.751233521104567</v>
          </cell>
          <cell r="AA90">
            <v>24.751233521104567</v>
          </cell>
          <cell r="AC90">
            <v>24.181669593486649</v>
          </cell>
          <cell r="AE90">
            <v>24.181669593486649</v>
          </cell>
          <cell r="AG90">
            <v>24.181669593486649</v>
          </cell>
          <cell r="AN90">
            <v>24.181669593486649</v>
          </cell>
          <cell r="AP90">
            <v>24.181669593486649</v>
          </cell>
          <cell r="AR90">
            <v>24.181669593486649</v>
          </cell>
          <cell r="AT90">
            <v>24.181669593486649</v>
          </cell>
          <cell r="AV90">
            <v>24.181669593486649</v>
          </cell>
          <cell r="BB90">
            <v>24.181669593486649</v>
          </cell>
          <cell r="BD90">
            <v>24.181669593486649</v>
          </cell>
          <cell r="BF90">
            <v>24.181669593486649</v>
          </cell>
          <cell r="BH90">
            <v>24.181669593486649</v>
          </cell>
          <cell r="BJ90">
            <v>24.181669593486649</v>
          </cell>
          <cell r="BQ90">
            <v>35.811051693404636</v>
          </cell>
          <cell r="BS90">
            <v>35.811051693404636</v>
          </cell>
          <cell r="BU90">
            <v>35.811051693404636</v>
          </cell>
          <cell r="BW90">
            <v>35.811051693404636</v>
          </cell>
          <cell r="BY90">
            <v>35.811051693404636</v>
          </cell>
          <cell r="CE90">
            <v>35.811051693404636</v>
          </cell>
          <cell r="CG90">
            <v>35.811051693404636</v>
          </cell>
          <cell r="CI90">
            <v>35.811051693404636</v>
          </cell>
          <cell r="CK90">
            <v>35.811051693404636</v>
          </cell>
          <cell r="CM90">
            <v>35.811051693404636</v>
          </cell>
        </row>
        <row r="91">
          <cell r="B91" t="str">
            <v>"If converted" EPS</v>
          </cell>
          <cell r="C91">
            <v>-0.13780006261469802</v>
          </cell>
          <cell r="E91">
            <v>-0.19085728706606467</v>
          </cell>
          <cell r="G91">
            <v>-0.45402976766159503</v>
          </cell>
          <cell r="I91">
            <v>-0.76199718380000092</v>
          </cell>
          <cell r="K91">
            <v>-1.5713538681596293</v>
          </cell>
          <cell r="N91">
            <v>-0.64113564832429626</v>
          </cell>
          <cell r="P91">
            <v>-0.29594982175705314</v>
          </cell>
          <cell r="R91">
            <v>-0.495171582738611</v>
          </cell>
          <cell r="T91">
            <v>-0.47788539723964285</v>
          </cell>
          <cell r="V91">
            <v>-1.9071578489588008</v>
          </cell>
          <cell r="Y91">
            <v>-0.32563801397970782</v>
          </cell>
          <cell r="AA91">
            <v>-0.5563749606022359</v>
          </cell>
          <cell r="AC91">
            <v>-0.21353650259580234</v>
          </cell>
          <cell r="AE91">
            <v>-0.30464477459121769</v>
          </cell>
          <cell r="AG91">
            <v>-1.4040278243708433</v>
          </cell>
          <cell r="AN91">
            <v>-0.15018310801726992</v>
          </cell>
          <cell r="AP91">
            <v>-0.19580118747413172</v>
          </cell>
          <cell r="AR91">
            <v>-0.24222934256837683</v>
          </cell>
          <cell r="AT91">
            <v>-0.21563882132665921</v>
          </cell>
          <cell r="AV91">
            <v>-0.80431497702272414</v>
          </cell>
          <cell r="BB91">
            <v>-0.12423050066846535</v>
          </cell>
          <cell r="BD91">
            <v>-0.15306549694203064</v>
          </cell>
          <cell r="BF91">
            <v>-0.11005018199175194</v>
          </cell>
          <cell r="BH91">
            <v>-0.15319319245630578</v>
          </cell>
          <cell r="BJ91">
            <v>-0.54056434563470124</v>
          </cell>
          <cell r="BQ91">
            <v>-0.15552474173091416</v>
          </cell>
          <cell r="BS91">
            <v>-0.12441531316788973</v>
          </cell>
          <cell r="BU91">
            <v>-0.17478371796336187</v>
          </cell>
          <cell r="BW91">
            <v>-0.15043124229467722</v>
          </cell>
          <cell r="BY91">
            <v>-0.60516283882614597</v>
          </cell>
          <cell r="CE91">
            <v>-0.30659013609020686</v>
          </cell>
          <cell r="CG91">
            <v>-0.31662128591001903</v>
          </cell>
          <cell r="CI91">
            <v>-0.32765022305895419</v>
          </cell>
          <cell r="CK91">
            <v>-0.34830422571576897</v>
          </cell>
          <cell r="CM91">
            <v>-1.2992854756385201</v>
          </cell>
        </row>
        <row r="92">
          <cell r="B92" t="str">
            <v>EPS dilution</v>
          </cell>
          <cell r="C92">
            <v>-0.20798461068535934</v>
          </cell>
          <cell r="E92">
            <v>-0.1609784072166415</v>
          </cell>
          <cell r="G92">
            <v>-9.0819935143993225E-2</v>
          </cell>
          <cell r="I92">
            <v>-6.3224612977636749E-2</v>
          </cell>
          <cell r="K92">
            <v>-9.810405861424519E-2</v>
          </cell>
          <cell r="N92">
            <v>-7.1901143194056286E-2</v>
          </cell>
          <cell r="P92">
            <v>-0.1142702312642165</v>
          </cell>
          <cell r="R92">
            <v>-8.0626407600034908E-2</v>
          </cell>
          <cell r="T92">
            <v>-8.5088231188133412E-2</v>
          </cell>
          <cell r="V92">
            <v>-8.4579745206668278E-2</v>
          </cell>
          <cell r="Y92">
            <v>-0.29387588660781899</v>
          </cell>
          <cell r="AA92">
            <v>-0.28789879870461194</v>
          </cell>
          <cell r="AC92">
            <v>-0.34766990698021372</v>
          </cell>
          <cell r="AE92">
            <v>-0.30154277787526096</v>
          </cell>
          <cell r="AG92">
            <v>-0.29939207494168868</v>
          </cell>
          <cell r="AN92">
            <v>-0.3765611890416044</v>
          </cell>
          <cell r="AP92">
            <v>-0.34534398972009506</v>
          </cell>
          <cell r="AR92">
            <v>-0.32460724686646725</v>
          </cell>
          <cell r="AT92">
            <v>-0.33253671537415352</v>
          </cell>
          <cell r="AV92">
            <v>-0.3420467287461067</v>
          </cell>
          <cell r="BB92">
            <v>-0.40093275980845638</v>
          </cell>
          <cell r="BD92">
            <v>-0.3736387923426141</v>
          </cell>
          <cell r="BF92">
            <v>-0.41735523043487927</v>
          </cell>
          <cell r="BH92">
            <v>-0.37313354609476862</v>
          </cell>
          <cell r="BJ92">
            <v>-0.38922482539381476</v>
          </cell>
          <cell r="BQ92">
            <v>-0.41022506731065939</v>
          </cell>
          <cell r="BS92">
            <v>-0.4323007327570057</v>
          </cell>
          <cell r="BU92">
            <v>-0.39907482482042161</v>
          </cell>
          <cell r="BW92">
            <v>-0.4121690275054522</v>
          </cell>
          <cell r="BY92">
            <v>-0.41225793382707215</v>
          </cell>
          <cell r="CE92">
            <v>-0.35845601761271978</v>
          </cell>
          <cell r="CG92">
            <v>-0.35611126729292025</v>
          </cell>
          <cell r="CI92">
            <v>-0.35370829980445961</v>
          </cell>
          <cell r="CK92">
            <v>-0.34999958161073197</v>
          </cell>
          <cell r="CM92">
            <v>-0.35445168999037197</v>
          </cell>
        </row>
        <row r="93">
          <cell r="B93" t="str">
            <v>Modelware adjustment</v>
          </cell>
          <cell r="C93">
            <v>0</v>
          </cell>
          <cell r="E93">
            <v>0</v>
          </cell>
          <cell r="G93">
            <v>0</v>
          </cell>
          <cell r="I93">
            <v>0</v>
          </cell>
          <cell r="K93">
            <v>0</v>
          </cell>
          <cell r="N93">
            <v>0</v>
          </cell>
          <cell r="P93">
            <v>0</v>
          </cell>
          <cell r="R93">
            <v>0</v>
          </cell>
          <cell r="T93">
            <v>0</v>
          </cell>
          <cell r="V93">
            <v>0</v>
          </cell>
          <cell r="Y93">
            <v>0</v>
          </cell>
          <cell r="AA93">
            <v>0</v>
          </cell>
          <cell r="AC93">
            <v>0</v>
          </cell>
          <cell r="AE93">
            <v>0</v>
          </cell>
          <cell r="AG93">
            <v>0</v>
          </cell>
          <cell r="AN93">
            <v>0</v>
          </cell>
          <cell r="AP93">
            <v>0</v>
          </cell>
          <cell r="AR93">
            <v>0</v>
          </cell>
          <cell r="AT93">
            <v>0</v>
          </cell>
          <cell r="AV93">
            <v>0</v>
          </cell>
          <cell r="BB93">
            <v>0</v>
          </cell>
          <cell r="BD93">
            <v>0</v>
          </cell>
          <cell r="BF93">
            <v>0</v>
          </cell>
          <cell r="BH93">
            <v>0</v>
          </cell>
          <cell r="BJ93">
            <v>0</v>
          </cell>
          <cell r="BQ93">
            <v>0</v>
          </cell>
          <cell r="BS93">
            <v>0</v>
          </cell>
          <cell r="BU93">
            <v>0</v>
          </cell>
          <cell r="BW93">
            <v>0</v>
          </cell>
          <cell r="BY93">
            <v>0</v>
          </cell>
          <cell r="CE93">
            <v>0</v>
          </cell>
          <cell r="CG93">
            <v>0</v>
          </cell>
          <cell r="CI93">
            <v>0</v>
          </cell>
          <cell r="CK93">
            <v>0</v>
          </cell>
          <cell r="CM93">
            <v>0</v>
          </cell>
        </row>
        <row r="97">
          <cell r="B97" t="str">
            <v>Cash, Cash Equivalents, and Marketable Securities</v>
          </cell>
          <cell r="C97">
            <v>541.00699999999995</v>
          </cell>
          <cell r="E97">
            <v>521.84100000000001</v>
          </cell>
          <cell r="G97">
            <v>497.47300000000001</v>
          </cell>
          <cell r="I97">
            <v>464.53299999999996</v>
          </cell>
          <cell r="K97">
            <v>464.53299999999996</v>
          </cell>
          <cell r="N97">
            <v>409.93300000000005</v>
          </cell>
          <cell r="P97">
            <v>391.99700000000001</v>
          </cell>
          <cell r="R97">
            <v>315.09500000000003</v>
          </cell>
          <cell r="T97">
            <v>293.80700000000002</v>
          </cell>
          <cell r="V97">
            <v>293.80700000000002</v>
          </cell>
          <cell r="Y97">
            <v>500.70699999999999</v>
          </cell>
          <cell r="AA97">
            <v>473.55500000000001</v>
          </cell>
          <cell r="AC97">
            <v>412.56200000000001</v>
          </cell>
          <cell r="AE97">
            <v>469.76400000000001</v>
          </cell>
          <cell r="AG97">
            <v>469.76400000000001</v>
          </cell>
          <cell r="AN97">
            <v>449.63300000000004</v>
          </cell>
          <cell r="AP97">
            <v>424.48800000000006</v>
          </cell>
          <cell r="AR97">
            <v>394.27800000000008</v>
          </cell>
          <cell r="AT97">
            <v>366.72200000000009</v>
          </cell>
          <cell r="AV97">
            <v>366.72200000000004</v>
          </cell>
          <cell r="BB97">
            <v>-17.342000000000002</v>
          </cell>
          <cell r="BD97">
            <v>-20.475000000000005</v>
          </cell>
          <cell r="BF97">
            <v>-15.838000000000003</v>
          </cell>
          <cell r="BH97">
            <v>-20.510999999999999</v>
          </cell>
          <cell r="BJ97">
            <v>-74.165999999999997</v>
          </cell>
        </row>
        <row r="98">
          <cell r="B98" t="str">
            <v>% Interest</v>
          </cell>
          <cell r="C98">
            <v>1.5077438924080467E-2</v>
          </cell>
          <cell r="E98">
            <v>1.2649446862166829E-2</v>
          </cell>
          <cell r="G98">
            <v>3.3127426011059892E-3</v>
          </cell>
          <cell r="I98" t="str">
            <v>NM</v>
          </cell>
          <cell r="K98">
            <v>2.03085679596498E-2</v>
          </cell>
          <cell r="N98">
            <v>3.0078085931115571E-3</v>
          </cell>
          <cell r="P98">
            <v>6.3520894292558366E-3</v>
          </cell>
          <cell r="R98">
            <v>3.9384947396816821E-3</v>
          </cell>
          <cell r="T98">
            <v>4.9284053817642203E-3</v>
          </cell>
          <cell r="V98">
            <v>2.1823850350740453E-2</v>
          </cell>
          <cell r="Y98" t="str">
            <v>NM</v>
          </cell>
          <cell r="AA98">
            <v>5.0180725223750843E-3</v>
          </cell>
          <cell r="AC98" t="str">
            <v>NM</v>
          </cell>
          <cell r="AE98">
            <v>4.6661728016621114E-3</v>
          </cell>
          <cell r="AG98">
            <v>7.5846595311688421E-3</v>
          </cell>
          <cell r="AN98">
            <v>4.7861255735232953E-3</v>
          </cell>
          <cell r="AP98">
            <v>1.2768323250598367E-2</v>
          </cell>
          <cell r="AR98">
            <v>6.7363636824778446E-3</v>
          </cell>
          <cell r="AT98">
            <v>6.2772345264260109E-3</v>
          </cell>
          <cell r="AV98">
            <v>3.4167571075637677E-2</v>
          </cell>
          <cell r="BB98">
            <v>-0.51239764733018101</v>
          </cell>
          <cell r="BD98">
            <v>-0.12678876678876677</v>
          </cell>
          <cell r="BF98">
            <v>-0.25230458391211008</v>
          </cell>
          <cell r="BH98">
            <v>-0.25352250012188582</v>
          </cell>
          <cell r="BJ98">
            <v>-0.27880700051236418</v>
          </cell>
        </row>
        <row r="102">
          <cell r="BB102" t="str">
            <v>2006-Q1</v>
          </cell>
          <cell r="BD102" t="str">
            <v>2006-Q2</v>
          </cell>
          <cell r="BF102" t="str">
            <v>2006-Q3</v>
          </cell>
          <cell r="BH102" t="str">
            <v>2006-Q4</v>
          </cell>
          <cell r="BQ102" t="str">
            <v>2007-Q1</v>
          </cell>
          <cell r="BS102" t="str">
            <v>2007-Q2</v>
          </cell>
          <cell r="BU102" t="str">
            <v>2007-Q3</v>
          </cell>
          <cell r="BW102" t="str">
            <v>2007-Q4</v>
          </cell>
          <cell r="CE102" t="str">
            <v>2008-Q1</v>
          </cell>
          <cell r="CG102" t="str">
            <v>2008-Q2</v>
          </cell>
          <cell r="CI102" t="str">
            <v>2008-Q3</v>
          </cell>
          <cell r="CK102" t="str">
            <v>2008-Q4</v>
          </cell>
        </row>
      </sheetData>
      <sheetData sheetId="1"/>
      <sheetData sheetId="2">
        <row r="1">
          <cell r="B1" t="str">
            <v>Incyte Corporation Annual Income Statement</v>
          </cell>
          <cell r="AZ1" t="str">
            <v>ElementName</v>
          </cell>
          <cell r="BA1" t="str">
            <v>ScaleOverride</v>
          </cell>
          <cell r="BB1" t="str">
            <v>UnitOverride</v>
          </cell>
          <cell r="BC1" t="str">
            <v>ReverseSign</v>
          </cell>
          <cell r="BD1" t="str">
            <v>IsDrivingAssumption</v>
          </cell>
          <cell r="BE1" t="str">
            <v>SegmentID</v>
          </cell>
        </row>
        <row r="2">
          <cell r="B2" t="str">
            <v>($ in MMs; except per share)</v>
          </cell>
        </row>
        <row r="4">
          <cell r="C4" t="str">
            <v>1993</v>
          </cell>
          <cell r="E4" t="str">
            <v>1994</v>
          </cell>
          <cell r="G4" t="str">
            <v>1995</v>
          </cell>
          <cell r="I4" t="str">
            <v>1996</v>
          </cell>
          <cell r="K4" t="str">
            <v>1997</v>
          </cell>
          <cell r="M4" t="str">
            <v>1998</v>
          </cell>
          <cell r="O4" t="str">
            <v>1999</v>
          </cell>
          <cell r="Q4" t="str">
            <v>2000</v>
          </cell>
          <cell r="S4" t="str">
            <v>2001</v>
          </cell>
          <cell r="U4" t="str">
            <v>2002</v>
          </cell>
          <cell r="W4" t="str">
            <v>2003</v>
          </cell>
          <cell r="X4" t="str">
            <v>% chg</v>
          </cell>
          <cell r="Y4" t="str">
            <v>2004A</v>
          </cell>
          <cell r="Z4" t="str">
            <v>% chg</v>
          </cell>
          <cell r="AA4" t="str">
            <v>2005A</v>
          </cell>
          <cell r="AB4" t="str">
            <v>% chg</v>
          </cell>
          <cell r="AC4" t="str">
            <v>2006A</v>
          </cell>
          <cell r="AD4" t="str">
            <v>% chg</v>
          </cell>
          <cell r="AE4" t="str">
            <v>2007E</v>
          </cell>
          <cell r="AF4" t="str">
            <v>% chg</v>
          </cell>
          <cell r="AG4" t="str">
            <v>2008E</v>
          </cell>
          <cell r="AH4" t="str">
            <v>% chg</v>
          </cell>
          <cell r="AI4" t="str">
            <v>2009E</v>
          </cell>
          <cell r="AJ4" t="str">
            <v>% chg</v>
          </cell>
          <cell r="AK4" t="str">
            <v>2010E</v>
          </cell>
          <cell r="AL4" t="str">
            <v>% chg</v>
          </cell>
          <cell r="AM4" t="str">
            <v>2011E</v>
          </cell>
          <cell r="AN4" t="str">
            <v>% chg</v>
          </cell>
          <cell r="AO4" t="str">
            <v>2012E</v>
          </cell>
          <cell r="AP4" t="str">
            <v>% chg</v>
          </cell>
          <cell r="AQ4" t="str">
            <v>2013E</v>
          </cell>
          <cell r="AR4" t="str">
            <v>% chg</v>
          </cell>
          <cell r="AS4" t="str">
            <v>2014E</v>
          </cell>
          <cell r="AT4" t="str">
            <v>% chg</v>
          </cell>
          <cell r="AU4" t="str">
            <v>2015E</v>
          </cell>
          <cell r="AV4" t="str">
            <v>% chg</v>
          </cell>
          <cell r="AX4" t="str">
            <v>2008-2011</v>
          </cell>
        </row>
        <row r="5">
          <cell r="B5" t="str">
            <v>JAK Inhibitor (MF) - US</v>
          </cell>
        </row>
        <row r="6">
          <cell r="B6" t="str">
            <v>JAK Inhibitor (MF) - Ex-US</v>
          </cell>
        </row>
        <row r="7">
          <cell r="B7" t="str">
            <v>JAK Inhibitor (MF)</v>
          </cell>
          <cell r="C7">
            <v>0</v>
          </cell>
          <cell r="E7">
            <v>0</v>
          </cell>
          <cell r="G7">
            <v>0</v>
          </cell>
          <cell r="I7">
            <v>0</v>
          </cell>
          <cell r="K7">
            <v>0</v>
          </cell>
          <cell r="M7">
            <v>0</v>
          </cell>
          <cell r="O7">
            <v>0</v>
          </cell>
          <cell r="Q7">
            <v>0</v>
          </cell>
          <cell r="S7">
            <v>0</v>
          </cell>
          <cell r="U7">
            <v>0</v>
          </cell>
          <cell r="W7">
            <v>0</v>
          </cell>
          <cell r="X7" t="str">
            <v>NM</v>
          </cell>
          <cell r="Y7">
            <v>0</v>
          </cell>
          <cell r="Z7" t="str">
            <v>NM</v>
          </cell>
          <cell r="AA7">
            <v>0</v>
          </cell>
          <cell r="AC7">
            <v>0</v>
          </cell>
          <cell r="AE7">
            <v>0</v>
          </cell>
          <cell r="AG7">
            <v>0</v>
          </cell>
          <cell r="AI7">
            <v>0</v>
          </cell>
          <cell r="AK7">
            <v>0</v>
          </cell>
          <cell r="AM7">
            <v>76.875</v>
          </cell>
          <cell r="AO7">
            <v>153.75</v>
          </cell>
          <cell r="AQ7">
            <v>230.625</v>
          </cell>
          <cell r="AR7">
            <v>0.5</v>
          </cell>
          <cell r="AS7">
            <v>307.5</v>
          </cell>
          <cell r="AT7">
            <v>0.33333333333333326</v>
          </cell>
          <cell r="AU7">
            <v>384.375</v>
          </cell>
          <cell r="AV7">
            <v>0.25</v>
          </cell>
        </row>
        <row r="8">
          <cell r="B8" t="str">
            <v>JAK Inhibitor (RA) - US</v>
          </cell>
        </row>
        <row r="9">
          <cell r="B9" t="str">
            <v>JAK Inhibitor (RA) - Ex-US</v>
          </cell>
        </row>
        <row r="10">
          <cell r="B10" t="str">
            <v>JAK Inhibitor (RA)</v>
          </cell>
          <cell r="C10">
            <v>0</v>
          </cell>
          <cell r="E10">
            <v>0</v>
          </cell>
          <cell r="G10">
            <v>0</v>
          </cell>
          <cell r="I10">
            <v>0</v>
          </cell>
          <cell r="K10">
            <v>0</v>
          </cell>
          <cell r="M10">
            <v>0</v>
          </cell>
          <cell r="O10">
            <v>0</v>
          </cell>
          <cell r="Q10">
            <v>0</v>
          </cell>
          <cell r="S10">
            <v>0</v>
          </cell>
          <cell r="U10">
            <v>0</v>
          </cell>
          <cell r="W10">
            <v>0</v>
          </cell>
          <cell r="X10" t="str">
            <v>NM</v>
          </cell>
          <cell r="Y10">
            <v>0</v>
          </cell>
          <cell r="Z10" t="str">
            <v>NM</v>
          </cell>
          <cell r="AA10">
            <v>0</v>
          </cell>
          <cell r="AC10">
            <v>0</v>
          </cell>
          <cell r="AE10">
            <v>0</v>
          </cell>
          <cell r="AG10">
            <v>0</v>
          </cell>
          <cell r="AI10">
            <v>0</v>
          </cell>
          <cell r="AK10">
            <v>0</v>
          </cell>
          <cell r="AM10">
            <v>0</v>
          </cell>
          <cell r="AO10">
            <v>0</v>
          </cell>
          <cell r="AQ10">
            <v>168.75</v>
          </cell>
          <cell r="AS10">
            <v>337.5</v>
          </cell>
          <cell r="AT10">
            <v>1</v>
          </cell>
          <cell r="AU10">
            <v>506.25</v>
          </cell>
          <cell r="AV10">
            <v>0.5</v>
          </cell>
        </row>
        <row r="11">
          <cell r="B11" t="str">
            <v xml:space="preserve">Other </v>
          </cell>
          <cell r="X11" t="str">
            <v>NM</v>
          </cell>
          <cell r="Z11" t="str">
            <v>NM</v>
          </cell>
        </row>
        <row r="12">
          <cell r="B12" t="str">
            <v>Total Product Sales</v>
          </cell>
          <cell r="S12">
            <v>0</v>
          </cell>
          <cell r="U12">
            <v>0</v>
          </cell>
          <cell r="W12">
            <v>0</v>
          </cell>
          <cell r="X12" t="str">
            <v>NM</v>
          </cell>
          <cell r="Y12">
            <v>0</v>
          </cell>
          <cell r="Z12" t="str">
            <v>NM</v>
          </cell>
          <cell r="AA12">
            <v>0</v>
          </cell>
          <cell r="AC12">
            <v>0</v>
          </cell>
          <cell r="AE12">
            <v>0</v>
          </cell>
          <cell r="AG12">
            <v>0</v>
          </cell>
          <cell r="AI12">
            <v>0</v>
          </cell>
          <cell r="AK12">
            <v>0</v>
          </cell>
          <cell r="AM12">
            <v>76.875</v>
          </cell>
          <cell r="AO12">
            <v>153.75</v>
          </cell>
          <cell r="AQ12">
            <v>399.375</v>
          </cell>
          <cell r="AR12">
            <v>1.5975609756097562</v>
          </cell>
          <cell r="AS12">
            <v>645</v>
          </cell>
          <cell r="AT12">
            <v>0.61502347417840375</v>
          </cell>
          <cell r="AU12">
            <v>890.625</v>
          </cell>
          <cell r="AV12">
            <v>0.3808139534883721</v>
          </cell>
        </row>
        <row r="13">
          <cell r="B13" t="str">
            <v>Royalty Revenue</v>
          </cell>
          <cell r="X13" t="str">
            <v>NM</v>
          </cell>
          <cell r="Z13" t="str">
            <v>NM</v>
          </cell>
          <cell r="AC13">
            <v>3.4179999999999997</v>
          </cell>
          <cell r="AE13">
            <v>4.5869999999999997</v>
          </cell>
          <cell r="AF13">
            <v>0.34201287302516103</v>
          </cell>
          <cell r="AG13">
            <v>3.25</v>
          </cell>
          <cell r="AH13">
            <v>-0.2914759101809461</v>
          </cell>
        </row>
        <row r="14">
          <cell r="B14" t="str">
            <v>Contract Revenue</v>
          </cell>
          <cell r="S14">
            <v>219.26300000000001</v>
          </cell>
          <cell r="U14">
            <v>101.61199999999999</v>
          </cell>
          <cell r="W14">
            <v>41.197000000000003</v>
          </cell>
          <cell r="X14">
            <v>-0.59456560248789514</v>
          </cell>
          <cell r="Y14">
            <v>14.146000000000001</v>
          </cell>
          <cell r="Z14">
            <v>-0.65662548243804153</v>
          </cell>
          <cell r="AA14">
            <v>7.8460000000000001</v>
          </cell>
          <cell r="AB14">
            <v>-0.44535557754842359</v>
          </cell>
          <cell r="AC14">
            <v>24.225999999999999</v>
          </cell>
          <cell r="AD14">
            <v>2.0876879938822328</v>
          </cell>
          <cell r="AE14">
            <v>29.853000000000002</v>
          </cell>
          <cell r="AF14">
            <v>0.23227111367951792</v>
          </cell>
          <cell r="AG14">
            <v>0</v>
          </cell>
          <cell r="AH14">
            <v>-1</v>
          </cell>
          <cell r="AI14">
            <v>27</v>
          </cell>
          <cell r="AJ14" t="e">
            <v>#DIV/0!</v>
          </cell>
          <cell r="AK14">
            <v>27</v>
          </cell>
          <cell r="AL14">
            <v>0</v>
          </cell>
          <cell r="AM14">
            <v>25</v>
          </cell>
          <cell r="AN14">
            <v>-7.407407407407407E-2</v>
          </cell>
          <cell r="AO14">
            <v>25</v>
          </cell>
          <cell r="AP14">
            <v>0</v>
          </cell>
          <cell r="AQ14">
            <v>25</v>
          </cell>
          <cell r="AR14">
            <v>0</v>
          </cell>
          <cell r="AS14">
            <v>25</v>
          </cell>
          <cell r="AT14">
            <v>0</v>
          </cell>
          <cell r="AU14">
            <v>25</v>
          </cell>
          <cell r="AV14">
            <v>0</v>
          </cell>
        </row>
        <row r="15">
          <cell r="B15" t="str">
            <v>Total Revenues</v>
          </cell>
          <cell r="R15" t="e">
            <v>#DIV/0!</v>
          </cell>
          <cell r="S15">
            <v>219.26300000000001</v>
          </cell>
          <cell r="T15" t="e">
            <v>#DIV/0!</v>
          </cell>
          <cell r="U15">
            <v>101.61199999999999</v>
          </cell>
          <cell r="V15">
            <v>-0.53657479830158306</v>
          </cell>
          <cell r="W15">
            <v>41.197000000000003</v>
          </cell>
          <cell r="X15">
            <v>-0.59456560248789514</v>
          </cell>
          <cell r="Y15">
            <v>14.146000000000001</v>
          </cell>
          <cell r="Z15">
            <v>-0.65662548243804153</v>
          </cell>
          <cell r="AA15">
            <v>7.8460000000000001</v>
          </cell>
          <cell r="AB15">
            <v>-0.44535557754842359</v>
          </cell>
          <cell r="AC15">
            <v>27.643999999999998</v>
          </cell>
          <cell r="AD15">
            <v>2.5233239867448378</v>
          </cell>
          <cell r="AE15">
            <v>34.44</v>
          </cell>
          <cell r="AF15">
            <v>0.24583996527275365</v>
          </cell>
          <cell r="AG15">
            <v>3.25</v>
          </cell>
          <cell r="AH15">
            <v>-0.90563298490127764</v>
          </cell>
          <cell r="AI15">
            <v>27</v>
          </cell>
          <cell r="AJ15">
            <v>7.3076923076923084</v>
          </cell>
          <cell r="AK15">
            <v>27</v>
          </cell>
          <cell r="AL15">
            <v>0</v>
          </cell>
          <cell r="AM15">
            <v>101.875</v>
          </cell>
          <cell r="AN15">
            <v>2.7731481481481484</v>
          </cell>
          <cell r="AO15">
            <v>178.75</v>
          </cell>
          <cell r="AP15">
            <v>0.75460122699386512</v>
          </cell>
          <cell r="AQ15">
            <v>424.375</v>
          </cell>
          <cell r="AR15">
            <v>1.3741258741258742</v>
          </cell>
          <cell r="AS15">
            <v>670</v>
          </cell>
          <cell r="AT15">
            <v>0.57879234167893956</v>
          </cell>
          <cell r="AU15">
            <v>915.625</v>
          </cell>
          <cell r="AV15">
            <v>0.36660447761194037</v>
          </cell>
          <cell r="AX15">
            <v>2.1530298837822812</v>
          </cell>
          <cell r="AZ15" t="str">
            <v>mstag:revenueNet</v>
          </cell>
          <cell r="BA15">
            <v>6</v>
          </cell>
          <cell r="BB15" t="str">
            <v>ISO4217:USD</v>
          </cell>
          <cell r="BC15" t="b">
            <v>0</v>
          </cell>
          <cell r="BD15" t="b">
            <v>0</v>
          </cell>
        </row>
        <row r="16">
          <cell r="B16" t="str">
            <v>Operating Expenses:</v>
          </cell>
        </row>
        <row r="17">
          <cell r="B17" t="str">
            <v xml:space="preserve">   Cost of Sales</v>
          </cell>
          <cell r="Y17">
            <v>0</v>
          </cell>
          <cell r="AA17">
            <v>0</v>
          </cell>
          <cell r="AC17">
            <v>0</v>
          </cell>
          <cell r="AE17">
            <v>0</v>
          </cell>
          <cell r="AG17">
            <v>0</v>
          </cell>
          <cell r="AH17" t="str">
            <v>NM</v>
          </cell>
          <cell r="AI17">
            <v>0</v>
          </cell>
          <cell r="AJ17" t="str">
            <v>NM</v>
          </cell>
          <cell r="AK17">
            <v>0</v>
          </cell>
          <cell r="AL17" t="str">
            <v>NM</v>
          </cell>
          <cell r="AM17">
            <v>11.53125</v>
          </cell>
          <cell r="AN17" t="str">
            <v>NM</v>
          </cell>
          <cell r="AO17">
            <v>23.0625</v>
          </cell>
          <cell r="AP17" t="str">
            <v>NM</v>
          </cell>
          <cell r="AQ17">
            <v>34.59375</v>
          </cell>
          <cell r="AR17" t="str">
            <v>NM</v>
          </cell>
          <cell r="AS17">
            <v>46.125</v>
          </cell>
          <cell r="AT17" t="str">
            <v>NM</v>
          </cell>
          <cell r="AU17">
            <v>57.65625</v>
          </cell>
          <cell r="AV17" t="str">
            <v>NM</v>
          </cell>
          <cell r="AZ17" t="str">
            <v>mstag:costOfSalesWithDepreciation</v>
          </cell>
          <cell r="BA17">
            <v>6</v>
          </cell>
          <cell r="BB17" t="str">
            <v>ISO4217:USD</v>
          </cell>
          <cell r="BC17" t="b">
            <v>0</v>
          </cell>
          <cell r="BD17" t="b">
            <v>0</v>
          </cell>
        </row>
        <row r="18">
          <cell r="B18" t="str">
            <v xml:space="preserve">   % of Product Revenues</v>
          </cell>
          <cell r="AA18">
            <v>0.15</v>
          </cell>
          <cell r="AC18">
            <v>0.15</v>
          </cell>
          <cell r="AE18">
            <v>0.15</v>
          </cell>
          <cell r="AG18">
            <v>0.15</v>
          </cell>
          <cell r="AI18">
            <v>0.15</v>
          </cell>
          <cell r="AK18">
            <v>0.15</v>
          </cell>
          <cell r="AM18">
            <v>0.15</v>
          </cell>
          <cell r="AO18">
            <v>0.15</v>
          </cell>
          <cell r="AQ18">
            <v>0.15</v>
          </cell>
          <cell r="AS18">
            <v>0.15</v>
          </cell>
          <cell r="AU18">
            <v>0.15</v>
          </cell>
        </row>
        <row r="19">
          <cell r="B19" t="str">
            <v xml:space="preserve">   R&amp;D</v>
          </cell>
          <cell r="S19">
            <v>213.33600000000001</v>
          </cell>
          <cell r="U19">
            <v>152.37299999999999</v>
          </cell>
          <cell r="W19">
            <v>111.40400000000001</v>
          </cell>
          <cell r="X19">
            <v>-0.26887309431460937</v>
          </cell>
          <cell r="Y19">
            <v>88.271000000000015</v>
          </cell>
          <cell r="Z19">
            <v>-0.20764963556066207</v>
          </cell>
          <cell r="AA19">
            <v>95.617999999999995</v>
          </cell>
          <cell r="AB19">
            <v>8.3232318655050763E-2</v>
          </cell>
          <cell r="AC19">
            <v>81.796999999999997</v>
          </cell>
          <cell r="AD19">
            <v>-0.14454391432575453</v>
          </cell>
          <cell r="AE19">
            <v>97.989000000000004</v>
          </cell>
          <cell r="AF19">
            <v>0.19795347017616782</v>
          </cell>
          <cell r="AG19">
            <v>130</v>
          </cell>
          <cell r="AH19">
            <v>0.3266795252528345</v>
          </cell>
          <cell r="AI19">
            <v>135</v>
          </cell>
          <cell r="AJ19">
            <v>3.8461538461538547E-2</v>
          </cell>
          <cell r="AK19">
            <v>140.4</v>
          </cell>
          <cell r="AL19">
            <v>4.0000000000000036E-2</v>
          </cell>
          <cell r="AM19">
            <v>145.68125000000001</v>
          </cell>
          <cell r="AN19">
            <v>3.76157407407407E-2</v>
          </cell>
          <cell r="AO19">
            <v>160.875</v>
          </cell>
          <cell r="AP19">
            <v>0.10429447852760743</v>
          </cell>
          <cell r="AQ19">
            <v>165.50624999999999</v>
          </cell>
          <cell r="AR19">
            <v>2.8787878787878807E-2</v>
          </cell>
          <cell r="AS19">
            <v>174.20000000000002</v>
          </cell>
          <cell r="AT19">
            <v>5.252822778595978E-2</v>
          </cell>
          <cell r="AU19">
            <v>178.546875</v>
          </cell>
          <cell r="AV19">
            <v>2.4953358208955168E-2</v>
          </cell>
          <cell r="AX19">
            <v>3.8691957592522197E-2</v>
          </cell>
          <cell r="AZ19" t="str">
            <v>mstag:researchAndDevelopment</v>
          </cell>
          <cell r="BA19">
            <v>6</v>
          </cell>
          <cell r="BB19" t="str">
            <v>ISO4217:USD</v>
          </cell>
          <cell r="BC19" t="b">
            <v>0</v>
          </cell>
          <cell r="BD19" t="b">
            <v>0</v>
          </cell>
        </row>
        <row r="20">
          <cell r="B20" t="str">
            <v xml:space="preserve">   % of Total Revenues</v>
          </cell>
          <cell r="S20">
            <v>0.97296853550302609</v>
          </cell>
          <cell r="U20">
            <v>1.4995571389205999</v>
          </cell>
          <cell r="W20">
            <v>2.7041774886520864</v>
          </cell>
          <cell r="Y20">
            <v>6.2399971723455403</v>
          </cell>
          <cell r="AA20">
            <v>12.186846800917664</v>
          </cell>
          <cell r="AC20">
            <v>2.9589422659528291</v>
          </cell>
          <cell r="AE20">
            <v>2.8452090592334498</v>
          </cell>
          <cell r="AG20">
            <v>3.145</v>
          </cell>
          <cell r="AI20">
            <v>5</v>
          </cell>
          <cell r="AK20">
            <v>5.2</v>
          </cell>
          <cell r="AM20">
            <v>1.43</v>
          </cell>
          <cell r="AO20">
            <v>0.9</v>
          </cell>
          <cell r="AQ20">
            <v>0.39</v>
          </cell>
          <cell r="AS20">
            <v>0.26</v>
          </cell>
          <cell r="AU20">
            <v>0.19500000000000001</v>
          </cell>
        </row>
        <row r="21">
          <cell r="B21" t="str">
            <v xml:space="preserve">   SG&amp;A</v>
          </cell>
          <cell r="S21">
            <v>70.626000000000005</v>
          </cell>
          <cell r="U21">
            <v>47.146999999999998</v>
          </cell>
          <cell r="W21">
            <v>29.37</v>
          </cell>
          <cell r="X21">
            <v>-0.37705474367404068</v>
          </cell>
          <cell r="Y21">
            <v>20.550999999999998</v>
          </cell>
          <cell r="Z21">
            <v>-0.30027238678924084</v>
          </cell>
          <cell r="AA21">
            <v>11.657</v>
          </cell>
          <cell r="AB21">
            <v>-0.86794077330040442</v>
          </cell>
          <cell r="AC21">
            <v>10.826999999999998</v>
          </cell>
          <cell r="AD21">
            <v>-0.14454391432575453</v>
          </cell>
          <cell r="AE21">
            <v>12.038</v>
          </cell>
          <cell r="AF21">
            <v>0.11185000461808459</v>
          </cell>
          <cell r="AG21">
            <v>12</v>
          </cell>
          <cell r="AH21">
            <v>-3.156670543279616E-3</v>
          </cell>
          <cell r="AI21">
            <v>11.9791656</v>
          </cell>
          <cell r="AJ21">
            <v>-1.7361999999999655E-3</v>
          </cell>
          <cell r="AK21">
            <v>12.218748912000001</v>
          </cell>
          <cell r="AL21">
            <v>2.0000000000000018E-2</v>
          </cell>
          <cell r="AM21">
            <v>15.28125</v>
          </cell>
          <cell r="AN21">
            <v>0.25063949755054926</v>
          </cell>
          <cell r="AO21">
            <v>35.75</v>
          </cell>
          <cell r="AP21">
            <v>1.3394683026584868</v>
          </cell>
          <cell r="AQ21">
            <v>77.236249999999998</v>
          </cell>
          <cell r="AR21">
            <v>1.1604545454545456</v>
          </cell>
          <cell r="AS21">
            <v>100.5</v>
          </cell>
          <cell r="AT21">
            <v>0.30120247940571954</v>
          </cell>
          <cell r="AU21">
            <v>119.03125</v>
          </cell>
          <cell r="AV21">
            <v>0.18439054726368154</v>
          </cell>
          <cell r="AX21">
            <v>8.3908307535858151E-2</v>
          </cell>
          <cell r="AZ21" t="str">
            <v>mstag:sellingGeneralAndAdministrativeExpenses</v>
          </cell>
          <cell r="BA21">
            <v>6</v>
          </cell>
          <cell r="BB21" t="str">
            <v>ISO4217:USD</v>
          </cell>
          <cell r="BC21" t="b">
            <v>0</v>
          </cell>
          <cell r="BD21" t="b">
            <v>0</v>
          </cell>
        </row>
        <row r="22">
          <cell r="B22" t="str">
            <v xml:space="preserve">   % of Total Revenues</v>
          </cell>
          <cell r="S22">
            <v>0.3221063289291855</v>
          </cell>
          <cell r="U22">
            <v>0.46399047356611423</v>
          </cell>
          <cell r="W22">
            <v>0.71291598902832731</v>
          </cell>
          <cell r="Y22">
            <v>1.4527781705075637</v>
          </cell>
          <cell r="AA22">
            <v>1.4857252102982412</v>
          </cell>
          <cell r="AC22">
            <v>0.39165822601649541</v>
          </cell>
          <cell r="AE22">
            <v>0.34953542392566783</v>
          </cell>
          <cell r="AG22">
            <v>0.3775</v>
          </cell>
          <cell r="AI22">
            <v>0.44367279999999998</v>
          </cell>
          <cell r="AK22">
            <v>0.45254625600000004</v>
          </cell>
          <cell r="AM22">
            <v>0.15</v>
          </cell>
          <cell r="AO22">
            <v>0.2</v>
          </cell>
          <cell r="AQ22">
            <v>0.182</v>
          </cell>
          <cell r="AS22">
            <v>0.15</v>
          </cell>
          <cell r="AU22">
            <v>0.13</v>
          </cell>
        </row>
        <row r="23">
          <cell r="B23" t="str">
            <v xml:space="preserve">   Other </v>
          </cell>
          <cell r="S23">
            <v>5.7770000000000001</v>
          </cell>
          <cell r="U23">
            <v>0.30099999999999993</v>
          </cell>
          <cell r="W23">
            <v>0</v>
          </cell>
          <cell r="Y23">
            <v>0</v>
          </cell>
          <cell r="AA23">
            <v>1.3559999999999999</v>
          </cell>
          <cell r="AC23">
            <v>2.8839999999999999</v>
          </cell>
          <cell r="AE23">
            <v>-0.65699999999999992</v>
          </cell>
          <cell r="AG23">
            <v>0</v>
          </cell>
          <cell r="AZ23" t="str">
            <v>mstag:otherOperatingExpense</v>
          </cell>
          <cell r="BA23">
            <v>6</v>
          </cell>
          <cell r="BB23" t="str">
            <v>ISO4217:USD</v>
          </cell>
          <cell r="BC23" t="b">
            <v>0</v>
          </cell>
          <cell r="BD23" t="b">
            <v>0</v>
          </cell>
        </row>
        <row r="24">
          <cell r="B24" t="str">
            <v>Total Operating Expenses</v>
          </cell>
          <cell r="S24">
            <v>289.73900000000003</v>
          </cell>
          <cell r="U24">
            <v>199.821</v>
          </cell>
          <cell r="W24">
            <v>140.774</v>
          </cell>
          <cell r="X24">
            <v>-0.29549947202746452</v>
          </cell>
          <cell r="Y24">
            <v>108.82200000000002</v>
          </cell>
          <cell r="Z24">
            <v>-0.22697373094463458</v>
          </cell>
          <cell r="AA24">
            <v>108.631</v>
          </cell>
          <cell r="AB24">
            <v>-1.7551598022460535E-3</v>
          </cell>
          <cell r="AC24">
            <v>95.507999999999996</v>
          </cell>
          <cell r="AD24">
            <v>-0.12080345389437641</v>
          </cell>
          <cell r="AE24">
            <v>109.37</v>
          </cell>
          <cell r="AF24">
            <v>0.145139674163421</v>
          </cell>
          <cell r="AG24">
            <v>142</v>
          </cell>
          <cell r="AH24">
            <v>0.29834506720307208</v>
          </cell>
          <cell r="AI24">
            <v>146.97916559999999</v>
          </cell>
          <cell r="AJ24">
            <v>3.5064546478873249E-2</v>
          </cell>
          <cell r="AK24">
            <v>152.618748912</v>
          </cell>
          <cell r="AL24">
            <v>3.8369950523110097E-2</v>
          </cell>
          <cell r="AM24">
            <v>172.49375000000001</v>
          </cell>
          <cell r="AN24">
            <v>0.13022647105736618</v>
          </cell>
          <cell r="AO24">
            <v>219.6875</v>
          </cell>
          <cell r="AP24">
            <v>0.27359686945179162</v>
          </cell>
          <cell r="AQ24">
            <v>277.33625000000001</v>
          </cell>
          <cell r="AR24">
            <v>0.26241251778093888</v>
          </cell>
          <cell r="AS24">
            <v>320.82500000000005</v>
          </cell>
          <cell r="AT24">
            <v>0.15680874750415796</v>
          </cell>
          <cell r="AU24">
            <v>355.234375</v>
          </cell>
          <cell r="AV24">
            <v>0.10725278578664366</v>
          </cell>
          <cell r="AX24">
            <v>6.6993252801779604E-2</v>
          </cell>
        </row>
        <row r="25">
          <cell r="B25" t="str">
            <v xml:space="preserve">Operating Income (Loss) </v>
          </cell>
          <cell r="S25">
            <v>-70.476000000000028</v>
          </cell>
          <cell r="U25">
            <v>-98.209000000000003</v>
          </cell>
          <cell r="W25">
            <v>-99.576999999999998</v>
          </cell>
          <cell r="Y25">
            <v>-94.676000000000016</v>
          </cell>
          <cell r="Z25" t="str">
            <v>NM</v>
          </cell>
          <cell r="AA25">
            <v>-100.785</v>
          </cell>
          <cell r="AB25" t="str">
            <v>NM</v>
          </cell>
          <cell r="AC25">
            <v>-67.864000000000004</v>
          </cell>
          <cell r="AD25" t="str">
            <v>NM</v>
          </cell>
          <cell r="AE25">
            <v>-74.930000000000007</v>
          </cell>
          <cell r="AF25" t="str">
            <v>NM</v>
          </cell>
          <cell r="AG25">
            <v>-138.75</v>
          </cell>
          <cell r="AH25" t="str">
            <v>NM</v>
          </cell>
          <cell r="AI25">
            <v>-119.97916559999999</v>
          </cell>
          <cell r="AJ25" t="str">
            <v>NM</v>
          </cell>
          <cell r="AK25">
            <v>-125.618748912</v>
          </cell>
          <cell r="AL25" t="str">
            <v>NM</v>
          </cell>
          <cell r="AM25">
            <v>-70.618750000000006</v>
          </cell>
          <cell r="AN25" t="str">
            <v>NM</v>
          </cell>
          <cell r="AO25">
            <v>-40.9375</v>
          </cell>
          <cell r="AP25" t="str">
            <v>NM</v>
          </cell>
          <cell r="AQ25">
            <v>147.03874999999999</v>
          </cell>
          <cell r="AR25" t="str">
            <v>NM</v>
          </cell>
          <cell r="AS25">
            <v>349.17499999999995</v>
          </cell>
          <cell r="AT25">
            <v>1.3747141484812673</v>
          </cell>
          <cell r="AU25">
            <v>560.390625</v>
          </cell>
          <cell r="AV25">
            <v>0.60489904775542369</v>
          </cell>
        </row>
        <row r="26">
          <cell r="B26" t="str">
            <v>Operatin Margins</v>
          </cell>
          <cell r="S26" t="str">
            <v>NM</v>
          </cell>
          <cell r="U26" t="str">
            <v>NM</v>
          </cell>
          <cell r="W26" t="str">
            <v>NM</v>
          </cell>
          <cell r="Y26" t="str">
            <v>NM</v>
          </cell>
          <cell r="AA26" t="str">
            <v>NM</v>
          </cell>
          <cell r="AC26" t="str">
            <v>NM</v>
          </cell>
          <cell r="AE26" t="str">
            <v>NM</v>
          </cell>
          <cell r="AG26" t="str">
            <v>NM</v>
          </cell>
          <cell r="AI26" t="str">
            <v>NM</v>
          </cell>
          <cell r="AK26" t="str">
            <v>NM</v>
          </cell>
          <cell r="AM26" t="str">
            <v>NM</v>
          </cell>
          <cell r="AO26" t="str">
            <v>NM</v>
          </cell>
          <cell r="AQ26">
            <v>0.34648306332842416</v>
          </cell>
          <cell r="AS26">
            <v>0.52115671641791039</v>
          </cell>
          <cell r="AU26">
            <v>0.61203071672354947</v>
          </cell>
        </row>
        <row r="27">
          <cell r="B27" t="str">
            <v xml:space="preserve">   Interest, Other Income</v>
          </cell>
          <cell r="S27">
            <v>23.452999999999999</v>
          </cell>
          <cell r="U27">
            <v>9.4339999999999993</v>
          </cell>
          <cell r="W27">
            <v>6.4120000000000008</v>
          </cell>
          <cell r="Y27">
            <v>3.5630000000000002</v>
          </cell>
          <cell r="AA27">
            <v>12.530000000000001</v>
          </cell>
          <cell r="AC27">
            <v>20.678000000000001</v>
          </cell>
          <cell r="AE27">
            <v>13.93</v>
          </cell>
          <cell r="AG27">
            <v>8.7342557278629993</v>
          </cell>
          <cell r="AI27">
            <v>5.1703190069593452</v>
          </cell>
          <cell r="AK27">
            <v>6.8862797246274896</v>
          </cell>
          <cell r="AM27">
            <v>6.1371131146522941</v>
          </cell>
          <cell r="AO27">
            <v>8.015832257527606</v>
          </cell>
          <cell r="AQ27">
            <v>16.01586596919142</v>
          </cell>
          <cell r="AS27">
            <v>24.77575413056908</v>
          </cell>
          <cell r="AU27">
            <v>33.997461985401173</v>
          </cell>
          <cell r="AZ27" t="str">
            <v>mstag:interestIncome</v>
          </cell>
          <cell r="BA27">
            <v>6</v>
          </cell>
          <cell r="BB27" t="str">
            <v>ISO4217:USD</v>
          </cell>
          <cell r="BC27" t="b">
            <v>0</v>
          </cell>
          <cell r="BD27" t="b">
            <v>0</v>
          </cell>
        </row>
        <row r="28">
          <cell r="B28" t="str">
            <v xml:space="preserve">   Interest, Other Expense</v>
          </cell>
          <cell r="S28">
            <v>-10.128</v>
          </cell>
          <cell r="U28">
            <v>-9.8019999999999996</v>
          </cell>
          <cell r="W28">
            <v>-9.5609999999999999</v>
          </cell>
          <cell r="Y28">
            <v>-17.241000000000003</v>
          </cell>
          <cell r="AA28">
            <v>-16.053000000000001</v>
          </cell>
          <cell r="AC28">
            <v>-17.91</v>
          </cell>
          <cell r="AE28">
            <v>-24.030999999999999</v>
          </cell>
          <cell r="AG28">
            <v>-23.929355000000001</v>
          </cell>
          <cell r="AI28">
            <v>-24.287230000000005</v>
          </cell>
          <cell r="AK28">
            <v>-24.645105000000004</v>
          </cell>
          <cell r="AM28">
            <v>0</v>
          </cell>
          <cell r="AO28">
            <v>0</v>
          </cell>
          <cell r="AQ28">
            <v>0</v>
          </cell>
          <cell r="AS28">
            <v>0</v>
          </cell>
          <cell r="AU28">
            <v>0</v>
          </cell>
          <cell r="AZ28" t="str">
            <v>mstag:interestExpense</v>
          </cell>
          <cell r="BA28">
            <v>6</v>
          </cell>
          <cell r="BB28" t="str">
            <v>ISO4217:USD</v>
          </cell>
          <cell r="BC28" t="b">
            <v>1</v>
          </cell>
          <cell r="BD28" t="b">
            <v>0</v>
          </cell>
        </row>
        <row r="29">
          <cell r="B29" t="str">
            <v xml:space="preserve">   Other Income (Expense)</v>
          </cell>
          <cell r="S29">
            <v>2.9390000000000001</v>
          </cell>
          <cell r="U29">
            <v>0.15500000000000003</v>
          </cell>
          <cell r="W29">
            <v>-13.543000000000001</v>
          </cell>
          <cell r="Y29">
            <v>-0.67999999999999994</v>
          </cell>
          <cell r="AA29">
            <v>0.71399999999999997</v>
          </cell>
          <cell r="AC29">
            <v>-7.0000000000000007E-2</v>
          </cell>
          <cell r="AG29">
            <v>0</v>
          </cell>
          <cell r="AZ29" t="str">
            <v>mstag:otherNonOperatingIncomeExpense</v>
          </cell>
          <cell r="BA29">
            <v>6</v>
          </cell>
          <cell r="BB29" t="str">
            <v>ISO4217:USD</v>
          </cell>
          <cell r="BC29" t="b">
            <v>0</v>
          </cell>
          <cell r="BD29" t="b">
            <v>0</v>
          </cell>
        </row>
        <row r="30">
          <cell r="B30" t="str">
            <v xml:space="preserve">Pretax Income (Loss) </v>
          </cell>
          <cell r="S30">
            <v>-54.212000000000025</v>
          </cell>
          <cell r="U30">
            <v>-98.421999999999997</v>
          </cell>
          <cell r="W30">
            <v>-116.26900000000001</v>
          </cell>
          <cell r="X30" t="str">
            <v>NM</v>
          </cell>
          <cell r="Y30">
            <v>-109.03400000000002</v>
          </cell>
          <cell r="Z30" t="str">
            <v>NM</v>
          </cell>
          <cell r="AA30">
            <v>-103.59399999999999</v>
          </cell>
          <cell r="AB30" t="str">
            <v>NM</v>
          </cell>
          <cell r="AC30">
            <v>-65.165999999999997</v>
          </cell>
          <cell r="AD30" t="str">
            <v>NM</v>
          </cell>
          <cell r="AE30">
            <v>-85.031000000000006</v>
          </cell>
          <cell r="AF30" t="str">
            <v>NM</v>
          </cell>
          <cell r="AG30">
            <v>-153.94509927213699</v>
          </cell>
          <cell r="AH30" t="str">
            <v>NM</v>
          </cell>
          <cell r="AI30">
            <v>-139.09607659304064</v>
          </cell>
          <cell r="AJ30" t="str">
            <v>NM</v>
          </cell>
          <cell r="AK30">
            <v>-143.37757418737252</v>
          </cell>
          <cell r="AL30" t="str">
            <v>NM</v>
          </cell>
          <cell r="AM30">
            <v>-64.481636885347712</v>
          </cell>
          <cell r="AN30" t="str">
            <v>NM</v>
          </cell>
          <cell r="AO30">
            <v>-32.921667742472394</v>
          </cell>
          <cell r="AP30" t="str">
            <v>NM</v>
          </cell>
          <cell r="AQ30">
            <v>163.05461596919142</v>
          </cell>
          <cell r="AR30" t="str">
            <v>NM</v>
          </cell>
          <cell r="AS30">
            <v>373.95075413056901</v>
          </cell>
          <cell r="AT30">
            <v>1.293407959706125</v>
          </cell>
          <cell r="AU30">
            <v>594.38808698540117</v>
          </cell>
          <cell r="AV30">
            <v>0.58948225246221608</v>
          </cell>
        </row>
        <row r="31">
          <cell r="B31" t="str">
            <v xml:space="preserve">   Provision For Income Taxes</v>
          </cell>
          <cell r="S31">
            <v>0.93</v>
          </cell>
          <cell r="U31">
            <v>1.1200000000000001</v>
          </cell>
          <cell r="W31">
            <v>0.34199999999999997</v>
          </cell>
          <cell r="Y31">
            <v>0.45300000000000007</v>
          </cell>
          <cell r="AA31">
            <v>-0.55100000000000005</v>
          </cell>
          <cell r="AC31">
            <v>0</v>
          </cell>
          <cell r="AE31">
            <v>0</v>
          </cell>
          <cell r="AG31">
            <v>0</v>
          </cell>
          <cell r="AI31">
            <v>0</v>
          </cell>
          <cell r="AK31">
            <v>0</v>
          </cell>
          <cell r="AM31">
            <v>0</v>
          </cell>
          <cell r="AO31">
            <v>0</v>
          </cell>
          <cell r="AQ31">
            <v>5.7069115589216963</v>
          </cell>
          <cell r="AS31">
            <v>13.088276394569917</v>
          </cell>
          <cell r="AU31">
            <v>20.803583044489045</v>
          </cell>
          <cell r="AZ31" t="str">
            <v>mstag:taxExpenseIncome</v>
          </cell>
          <cell r="BA31">
            <v>6</v>
          </cell>
          <cell r="BB31" t="str">
            <v>ISO4217:USD</v>
          </cell>
          <cell r="BC31" t="b">
            <v>0</v>
          </cell>
          <cell r="BD31" t="b">
            <v>0</v>
          </cell>
        </row>
        <row r="32">
          <cell r="B32" t="str">
            <v xml:space="preserve">   Effective Tax Rate</v>
          </cell>
          <cell r="S32">
            <v>0</v>
          </cell>
          <cell r="U32">
            <v>0</v>
          </cell>
          <cell r="W32">
            <v>0</v>
          </cell>
          <cell r="Y32">
            <v>0</v>
          </cell>
          <cell r="AA32">
            <v>5.318840859509239E-3</v>
          </cell>
          <cell r="AC32">
            <v>0</v>
          </cell>
          <cell r="AE32">
            <v>0</v>
          </cell>
          <cell r="AG32">
            <v>0</v>
          </cell>
          <cell r="AI32">
            <v>0</v>
          </cell>
          <cell r="AK32">
            <v>0</v>
          </cell>
          <cell r="AM32">
            <v>0</v>
          </cell>
          <cell r="AO32">
            <v>0</v>
          </cell>
          <cell r="AQ32">
            <v>3.4999999999999983E-2</v>
          </cell>
          <cell r="AS32">
            <v>3.5000000000000003E-2</v>
          </cell>
          <cell r="AU32">
            <v>3.5000000000000003E-2</v>
          </cell>
        </row>
        <row r="33">
          <cell r="B33" t="str">
            <v>Net Income (Loss) (Non-GAAP)</v>
          </cell>
          <cell r="S33">
            <v>-55.142000000000024</v>
          </cell>
          <cell r="U33">
            <v>-99.542000000000002</v>
          </cell>
          <cell r="W33">
            <v>-116.611</v>
          </cell>
          <cell r="X33" t="str">
            <v>NM</v>
          </cell>
          <cell r="Y33">
            <v>-109.48700000000002</v>
          </cell>
          <cell r="Z33" t="str">
            <v>NM</v>
          </cell>
          <cell r="AA33">
            <v>-103.04299999999999</v>
          </cell>
          <cell r="AB33" t="str">
            <v>NM</v>
          </cell>
          <cell r="AC33">
            <v>-65.165999999999997</v>
          </cell>
          <cell r="AD33" t="str">
            <v>NM</v>
          </cell>
          <cell r="AE33">
            <v>-85.031000000000006</v>
          </cell>
          <cell r="AF33" t="str">
            <v>NM</v>
          </cell>
          <cell r="AG33">
            <v>-153.94509927213699</v>
          </cell>
          <cell r="AH33" t="str">
            <v>NM</v>
          </cell>
          <cell r="AI33">
            <v>-139.09607659304064</v>
          </cell>
          <cell r="AJ33" t="str">
            <v>NM</v>
          </cell>
          <cell r="AK33">
            <v>-143.37757418737252</v>
          </cell>
          <cell r="AL33" t="str">
            <v>NM</v>
          </cell>
          <cell r="AM33">
            <v>-64.481636885347712</v>
          </cell>
          <cell r="AN33" t="str">
            <v>NM</v>
          </cell>
          <cell r="AO33">
            <v>-32.921667742472394</v>
          </cell>
          <cell r="AP33" t="str">
            <v>NM</v>
          </cell>
          <cell r="AQ33">
            <v>157.34770441026973</v>
          </cell>
          <cell r="AR33" t="str">
            <v>NM</v>
          </cell>
          <cell r="AS33">
            <v>360.86247773599911</v>
          </cell>
          <cell r="AT33">
            <v>1.293407959706125</v>
          </cell>
          <cell r="AU33">
            <v>573.5845039409121</v>
          </cell>
          <cell r="AV33">
            <v>0.58948225246221586</v>
          </cell>
        </row>
        <row r="35">
          <cell r="B35" t="str">
            <v>EPS, Basic</v>
          </cell>
          <cell r="S35">
            <v>-0.83304881180789547</v>
          </cell>
          <cell r="U35">
            <v>-1.4768185392341586</v>
          </cell>
          <cell r="W35">
            <v>-1.6339166865165549</v>
          </cell>
          <cell r="Y35">
            <v>-1.468717302068522</v>
          </cell>
          <cell r="AA35">
            <v>-1.2366990314566555</v>
          </cell>
          <cell r="AC35">
            <v>-0.77764651129488405</v>
          </cell>
          <cell r="AE35">
            <v>-1.0100522956948854</v>
          </cell>
          <cell r="AG35">
            <v>-1.8125293524433519</v>
          </cell>
          <cell r="AI35">
            <v>-1.5691142233678756</v>
          </cell>
          <cell r="AK35">
            <v>-1.5118461474861082</v>
          </cell>
          <cell r="AM35">
            <v>-0.55129532972968132</v>
          </cell>
          <cell r="AO35">
            <v>-0.23567144938892384</v>
          </cell>
          <cell r="AQ35">
            <v>1.0691443160866978</v>
          </cell>
          <cell r="AS35">
            <v>2.3777171519369582</v>
          </cell>
          <cell r="AU35">
            <v>3.7368760570101123</v>
          </cell>
        </row>
        <row r="36">
          <cell r="B36" t="str">
            <v>EPS, Diluted</v>
          </cell>
          <cell r="S36">
            <v>-0.83304881180789547</v>
          </cell>
          <cell r="U36">
            <v>-1.4768185392341586</v>
          </cell>
          <cell r="W36">
            <v>-1.6339166865165549</v>
          </cell>
          <cell r="Y36">
            <v>-1.468717302068522</v>
          </cell>
          <cell r="AA36">
            <v>-1.2366990314566555</v>
          </cell>
          <cell r="AC36">
            <v>-0.77764651129488405</v>
          </cell>
          <cell r="AE36">
            <v>-1.0100522956948854</v>
          </cell>
          <cell r="AG36">
            <v>-1.8125293524433519</v>
          </cell>
          <cell r="AI36">
            <v>-1.5691142233678756</v>
          </cell>
          <cell r="AK36">
            <v>-1.5118461474861082</v>
          </cell>
          <cell r="AM36">
            <v>-0.55129532972968132</v>
          </cell>
          <cell r="AO36">
            <v>-0.23567144938892384</v>
          </cell>
          <cell r="AQ36">
            <v>1.0306743509812535</v>
          </cell>
          <cell r="AS36">
            <v>2.2886488104112113</v>
          </cell>
          <cell r="AU36">
            <v>3.5884142829542554</v>
          </cell>
        </row>
        <row r="37">
          <cell r="B37" t="str">
            <v xml:space="preserve">EPS, Diluted ('As If Converted') </v>
          </cell>
          <cell r="S37">
            <v>-0.72011600211842797</v>
          </cell>
          <cell r="U37">
            <v>-1.2670861459846632</v>
          </cell>
          <cell r="W37">
            <v>-1.4594456436941139</v>
          </cell>
          <cell r="Y37">
            <v>-1.3312549024419005</v>
          </cell>
          <cell r="AA37">
            <v>-1.2224618644881158</v>
          </cell>
          <cell r="AC37">
            <v>-0.77764651129488405</v>
          </cell>
          <cell r="AE37">
            <v>-1.0100522956948854</v>
          </cell>
          <cell r="AG37">
            <v>-1.8125293524433519</v>
          </cell>
          <cell r="AI37">
            <v>-1.5691142233678756</v>
          </cell>
          <cell r="AK37">
            <v>-1.5118461474861082</v>
          </cell>
          <cell r="AM37">
            <v>-0.55129532972968132</v>
          </cell>
          <cell r="AO37">
            <v>-0.23567144938892384</v>
          </cell>
          <cell r="AQ37">
            <v>1.0306743509812535</v>
          </cell>
          <cell r="AS37">
            <v>2.2886488104112113</v>
          </cell>
          <cell r="AU37">
            <v>3.5884142829542554</v>
          </cell>
        </row>
        <row r="39">
          <cell r="B39" t="str">
            <v>Stock Compensation Expense</v>
          </cell>
          <cell r="S39">
            <v>0</v>
          </cell>
          <cell r="U39">
            <v>0</v>
          </cell>
          <cell r="W39">
            <v>0</v>
          </cell>
          <cell r="Y39">
            <v>0</v>
          </cell>
          <cell r="AA39">
            <v>0</v>
          </cell>
          <cell r="AC39">
            <v>9</v>
          </cell>
          <cell r="AE39">
            <v>10.149000000000001</v>
          </cell>
          <cell r="AG39">
            <v>17</v>
          </cell>
          <cell r="AI39">
            <v>19</v>
          </cell>
          <cell r="AK39">
            <v>21</v>
          </cell>
          <cell r="AM39">
            <v>23</v>
          </cell>
          <cell r="AO39">
            <v>25</v>
          </cell>
          <cell r="AQ39">
            <v>27</v>
          </cell>
          <cell r="AS39">
            <v>30</v>
          </cell>
          <cell r="AU39">
            <v>33</v>
          </cell>
        </row>
        <row r="40">
          <cell r="B40" t="str">
            <v>% of Operating expenses or EPS Impact</v>
          </cell>
          <cell r="S40">
            <v>0</v>
          </cell>
          <cell r="U40">
            <v>0</v>
          </cell>
          <cell r="W40">
            <v>0</v>
          </cell>
          <cell r="Y40">
            <v>0</v>
          </cell>
          <cell r="AA40">
            <v>0</v>
          </cell>
          <cell r="AC40">
            <v>0.1073998496402105</v>
          </cell>
          <cell r="AE40">
            <v>0.12055627652276692</v>
          </cell>
          <cell r="AG40">
            <v>0.20015576421219616</v>
          </cell>
          <cell r="AI40">
            <v>0.2143350910695728</v>
          </cell>
          <cell r="AK40">
            <v>0.22143469281826109</v>
          </cell>
          <cell r="AM40">
            <v>0.19664191537705714</v>
          </cell>
          <cell r="AO40">
            <v>0.17896378399816226</v>
          </cell>
          <cell r="AQ40">
            <v>0.17685804556725113</v>
          </cell>
          <cell r="AS40">
            <v>0.19026490297106047</v>
          </cell>
          <cell r="AU40">
            <v>0.20645200580538914</v>
          </cell>
        </row>
        <row r="41">
          <cell r="B41" t="str">
            <v>Tax Benefit from ESOs</v>
          </cell>
          <cell r="AC41">
            <v>0</v>
          </cell>
          <cell r="AE41">
            <v>0</v>
          </cell>
          <cell r="AG41">
            <v>0</v>
          </cell>
          <cell r="AI41">
            <v>0</v>
          </cell>
          <cell r="AK41">
            <v>0</v>
          </cell>
          <cell r="AM41">
            <v>0</v>
          </cell>
          <cell r="AO41">
            <v>0</v>
          </cell>
          <cell r="AQ41">
            <v>0.94499999999999951</v>
          </cell>
          <cell r="AS41">
            <v>1.05</v>
          </cell>
          <cell r="AU41">
            <v>1.155</v>
          </cell>
        </row>
        <row r="43">
          <cell r="B43" t="str">
            <v>Non-GAAP Net Income (with Options Expense)</v>
          </cell>
          <cell r="AC43">
            <v>-74.165999999999997</v>
          </cell>
          <cell r="AE43">
            <v>-95.18</v>
          </cell>
          <cell r="AG43">
            <v>-170.94509927213699</v>
          </cell>
          <cell r="AI43">
            <v>-158.09607659304064</v>
          </cell>
          <cell r="AK43">
            <v>-164.37757418737252</v>
          </cell>
          <cell r="AM43">
            <v>-87.481636885347712</v>
          </cell>
          <cell r="AO43">
            <v>-57.921667742472394</v>
          </cell>
          <cell r="AQ43">
            <v>131.29270441026972</v>
          </cell>
          <cell r="AS43">
            <v>331.91247773599912</v>
          </cell>
          <cell r="AU43">
            <v>541.73950394091207</v>
          </cell>
        </row>
        <row r="44">
          <cell r="B44" t="str">
            <v>GAAP Net Income</v>
          </cell>
          <cell r="C44">
            <v>0</v>
          </cell>
          <cell r="E44">
            <v>0</v>
          </cell>
          <cell r="G44">
            <v>0</v>
          </cell>
          <cell r="I44">
            <v>0</v>
          </cell>
          <cell r="K44">
            <v>0</v>
          </cell>
          <cell r="M44">
            <v>0</v>
          </cell>
          <cell r="O44">
            <v>0</v>
          </cell>
          <cell r="Q44">
            <v>0</v>
          </cell>
          <cell r="S44">
            <v>-183.52821000000003</v>
          </cell>
          <cell r="U44">
            <v>-136.87299999999999</v>
          </cell>
          <cell r="W44">
            <v>-166.46299999999999</v>
          </cell>
          <cell r="X44" t="str">
            <v>NM</v>
          </cell>
          <cell r="Y44">
            <v>-164.81700000000001</v>
          </cell>
          <cell r="Z44" t="str">
            <v>NM</v>
          </cell>
          <cell r="AA44">
            <v>-103.04299999999999</v>
          </cell>
          <cell r="AB44" t="str">
            <v>NM</v>
          </cell>
          <cell r="AC44">
            <v>-74.165999999999997</v>
          </cell>
          <cell r="AD44" t="str">
            <v>NM</v>
          </cell>
          <cell r="AE44">
            <v>-86.68</v>
          </cell>
          <cell r="AF44" t="str">
            <v>NM</v>
          </cell>
          <cell r="AG44">
            <v>-170.94509927213699</v>
          </cell>
          <cell r="AH44" t="str">
            <v>NM</v>
          </cell>
          <cell r="AI44">
            <v>-158.09607659304064</v>
          </cell>
          <cell r="AJ44" t="str">
            <v>NM</v>
          </cell>
          <cell r="AK44">
            <v>-164.37757418737252</v>
          </cell>
          <cell r="AL44" t="str">
            <v>NM</v>
          </cell>
          <cell r="AM44">
            <v>-87.481636885347712</v>
          </cell>
          <cell r="AN44" t="str">
            <v>NM</v>
          </cell>
          <cell r="AO44">
            <v>-57.921667742472394</v>
          </cell>
          <cell r="AP44" t="str">
            <v>NM</v>
          </cell>
          <cell r="AQ44">
            <v>130.31462941026973</v>
          </cell>
          <cell r="AR44" t="str">
            <v>NM</v>
          </cell>
          <cell r="AS44">
            <v>330.82572773599912</v>
          </cell>
          <cell r="AT44">
            <v>1.5386691366359186</v>
          </cell>
          <cell r="AU44">
            <v>540.54407894091207</v>
          </cell>
          <cell r="AV44">
            <v>0.63392394733056978</v>
          </cell>
        </row>
        <row r="46">
          <cell r="B46" t="str">
            <v>EPS, Diluted - Fully Taxed</v>
          </cell>
        </row>
        <row r="47">
          <cell r="B47" t="str">
            <v>EPS, Non-GAAP Diluted (includes Stock Comp)</v>
          </cell>
          <cell r="S47">
            <v>-0.83304881180789547</v>
          </cell>
          <cell r="U47">
            <v>-1.4768185392341586</v>
          </cell>
          <cell r="W47">
            <v>-1.6339166865165549</v>
          </cell>
          <cell r="Y47">
            <v>-1.468717302068522</v>
          </cell>
          <cell r="AA47">
            <v>-1.2366990314566555</v>
          </cell>
          <cell r="AC47">
            <v>-0.88504636093509459</v>
          </cell>
          <cell r="AE47">
            <v>-1.1306085722176524</v>
          </cell>
          <cell r="AG47">
            <v>-2.0126851166555482</v>
          </cell>
          <cell r="AI47">
            <v>-1.7834493144374484</v>
          </cell>
          <cell r="AK47">
            <v>-1.7332808403043694</v>
          </cell>
          <cell r="AM47">
            <v>-0.74793724510673842</v>
          </cell>
          <cell r="AO47">
            <v>-0.41463523338708613</v>
          </cell>
          <cell r="AQ47">
            <v>0.8600063370088562</v>
          </cell>
          <cell r="AS47">
            <v>2.105043179044138</v>
          </cell>
          <cell r="AU47">
            <v>3.3891880973520547</v>
          </cell>
          <cell r="AZ47" t="str">
            <v>mstag:adjEpsForConsensus</v>
          </cell>
          <cell r="BA47">
            <v>0</v>
          </cell>
          <cell r="BB47" t="str">
            <v>ISO4217:USD</v>
          </cell>
          <cell r="BC47" t="b">
            <v>0</v>
          </cell>
          <cell r="BD47" t="b">
            <v>0</v>
          </cell>
        </row>
        <row r="48">
          <cell r="B48" t="str">
            <v>EPS, Diluted ('As If Converted') (includes Stock Comp)</v>
          </cell>
          <cell r="S48">
            <v>-0.72011600211842797</v>
          </cell>
          <cell r="U48">
            <v>-1.2670861459846632</v>
          </cell>
          <cell r="W48">
            <v>-1.4594456436941139</v>
          </cell>
          <cell r="Y48">
            <v>-1.3312549024419005</v>
          </cell>
          <cell r="AA48">
            <v>-1.2224618644881158</v>
          </cell>
          <cell r="AC48">
            <v>-0.88504636093509459</v>
          </cell>
          <cell r="AE48">
            <v>-1.0296401664196901</v>
          </cell>
          <cell r="AG48">
            <v>-2.0126851166555482</v>
          </cell>
          <cell r="AI48">
            <v>-1.7834493144374484</v>
          </cell>
          <cell r="AK48">
            <v>-1.7332808403043694</v>
          </cell>
          <cell r="AM48">
            <v>-0.74793724510673842</v>
          </cell>
          <cell r="AO48">
            <v>-0.41463523338708613</v>
          </cell>
          <cell r="AQ48">
            <v>0.85359965430818252</v>
          </cell>
          <cell r="AS48">
            <v>2.0981508329340115</v>
          </cell>
          <cell r="AU48">
            <v>3.3817093734417547</v>
          </cell>
        </row>
        <row r="49">
          <cell r="B49" t="str">
            <v>EPS, GAAP, Diluted (includes stock comp)</v>
          </cell>
          <cell r="C49">
            <v>0</v>
          </cell>
          <cell r="E49">
            <v>0</v>
          </cell>
          <cell r="G49">
            <v>0</v>
          </cell>
          <cell r="I49">
            <v>0</v>
          </cell>
          <cell r="K49">
            <v>0</v>
          </cell>
          <cell r="M49">
            <v>0</v>
          </cell>
          <cell r="O49">
            <v>0</v>
          </cell>
          <cell r="Q49">
            <v>0</v>
          </cell>
          <cell r="S49">
            <v>-2.3967502241694398</v>
          </cell>
          <cell r="U49">
            <v>-1.7422784559217093</v>
          </cell>
          <cell r="W49">
            <v>-2.0833686374892011</v>
          </cell>
          <cell r="X49" t="str">
            <v>NM</v>
          </cell>
          <cell r="Y49">
            <v>-2.2109435784616212</v>
          </cell>
          <cell r="Z49" t="str">
            <v>NM</v>
          </cell>
          <cell r="AA49">
            <v>-1.2366990314566555</v>
          </cell>
          <cell r="AB49" t="str">
            <v>NM</v>
          </cell>
          <cell r="AC49">
            <v>-0.88504636093509459</v>
          </cell>
          <cell r="AD49" t="str">
            <v>NM</v>
          </cell>
          <cell r="AE49">
            <v>-1.0296401664196901</v>
          </cell>
          <cell r="AF49" t="str">
            <v>NM</v>
          </cell>
          <cell r="AG49">
            <v>-2.0126851166555482</v>
          </cell>
          <cell r="AH49" t="str">
            <v>NM</v>
          </cell>
          <cell r="AI49">
            <v>-1.7834493144374484</v>
          </cell>
          <cell r="AJ49" t="str">
            <v>NM</v>
          </cell>
          <cell r="AK49">
            <v>-1.7332808403043694</v>
          </cell>
          <cell r="AL49" t="str">
            <v>NM</v>
          </cell>
          <cell r="AM49">
            <v>-0.74793724510673842</v>
          </cell>
          <cell r="AN49" t="str">
            <v>NM</v>
          </cell>
          <cell r="AO49">
            <v>-0.41463523338708613</v>
          </cell>
          <cell r="AP49" t="str">
            <v>NM</v>
          </cell>
          <cell r="AQ49">
            <v>0.85359965430818252</v>
          </cell>
          <cell r="AR49" t="str">
            <v>NM</v>
          </cell>
          <cell r="AS49">
            <v>2.0981508329340115</v>
          </cell>
          <cell r="AT49">
            <v>1.4580033770450638</v>
          </cell>
          <cell r="AU49">
            <v>3.3817093734417547</v>
          </cell>
          <cell r="AV49">
            <v>0.61175703879822652</v>
          </cell>
        </row>
        <row r="51">
          <cell r="B51" t="str">
            <v xml:space="preserve">Basic Shares Outstanding </v>
          </cell>
          <cell r="C51">
            <v>0</v>
          </cell>
          <cell r="E51">
            <v>0</v>
          </cell>
          <cell r="G51">
            <v>0</v>
          </cell>
          <cell r="I51">
            <v>0</v>
          </cell>
          <cell r="K51">
            <v>0</v>
          </cell>
          <cell r="M51">
            <v>0</v>
          </cell>
          <cell r="O51">
            <v>0</v>
          </cell>
          <cell r="Q51">
            <v>0</v>
          </cell>
          <cell r="S51">
            <v>66.192999999999998</v>
          </cell>
          <cell r="U51">
            <v>67.403000000000006</v>
          </cell>
          <cell r="W51">
            <v>71.369</v>
          </cell>
          <cell r="X51">
            <v>5.8840110974288873E-2</v>
          </cell>
          <cell r="Y51">
            <v>74.545999999999992</v>
          </cell>
          <cell r="Z51">
            <v>4.4515125614762674E-2</v>
          </cell>
          <cell r="AA51">
            <v>83.320999999999998</v>
          </cell>
          <cell r="AB51">
            <v>0.11771255332278074</v>
          </cell>
          <cell r="AC51">
            <v>83.799000000000007</v>
          </cell>
          <cell r="AD51">
            <v>5.7368490536600092E-3</v>
          </cell>
          <cell r="AE51">
            <v>84.184749999999994</v>
          </cell>
          <cell r="AF51">
            <v>4.6032768887456221E-3</v>
          </cell>
          <cell r="AG51">
            <v>84.933851727484409</v>
          </cell>
          <cell r="AH51">
            <v>8.8983067299530649E-3</v>
          </cell>
          <cell r="AI51">
            <v>88.646240357499991</v>
          </cell>
          <cell r="AJ51">
            <v>4.3709175487849139E-2</v>
          </cell>
          <cell r="AK51">
            <v>94.836087935124993</v>
          </cell>
          <cell r="AL51">
            <v>6.9826397066159451E-2</v>
          </cell>
          <cell r="AM51">
            <v>116.963872915385</v>
          </cell>
          <cell r="AN51">
            <v>0.23332663189773362</v>
          </cell>
          <cell r="AO51">
            <v>139.69306773406578</v>
          </cell>
          <cell r="AP51">
            <v>0.19432662626624664</v>
          </cell>
          <cell r="AQ51">
            <v>147.17162317824105</v>
          </cell>
          <cell r="AR51">
            <v>5.3535623245186459E-2</v>
          </cell>
          <cell r="AS51">
            <v>151.76846305795033</v>
          </cell>
          <cell r="AT51">
            <v>3.1234553104996232E-2</v>
          </cell>
          <cell r="AU51">
            <v>153.49305012803637</v>
          </cell>
          <cell r="AV51">
            <v>1.1363276897833119E-2</v>
          </cell>
          <cell r="AX51">
            <v>0.14867113962577466</v>
          </cell>
          <cell r="AZ51" t="str">
            <v>mstag:averageBasicSharesOutstanding</v>
          </cell>
          <cell r="BA51">
            <v>6</v>
          </cell>
          <cell r="BB51" t="str">
            <v>ms_eqr_gcim_Decimal:ms_eqr_gcim_decimal</v>
          </cell>
          <cell r="BC51" t="b">
            <v>0</v>
          </cell>
          <cell r="BD51" t="b">
            <v>0</v>
          </cell>
        </row>
        <row r="52">
          <cell r="B52" t="str">
            <v>Diluted Shares Outstanding</v>
          </cell>
          <cell r="C52">
            <v>0</v>
          </cell>
          <cell r="E52">
            <v>0</v>
          </cell>
          <cell r="G52">
            <v>0</v>
          </cell>
          <cell r="I52">
            <v>0</v>
          </cell>
          <cell r="K52">
            <v>0</v>
          </cell>
          <cell r="M52">
            <v>0</v>
          </cell>
          <cell r="O52">
            <v>0</v>
          </cell>
          <cell r="Q52">
            <v>0</v>
          </cell>
          <cell r="S52">
            <v>76.573774</v>
          </cell>
          <cell r="U52">
            <v>78.559773000000007</v>
          </cell>
          <cell r="W52">
            <v>79.900886</v>
          </cell>
          <cell r="X52">
            <v>1.7071243319402019E-2</v>
          </cell>
          <cell r="Y52">
            <v>82.243453000000002</v>
          </cell>
          <cell r="Z52">
            <v>2.9318410812115392E-2</v>
          </cell>
          <cell r="AA52">
            <v>84.291381999999999</v>
          </cell>
          <cell r="AB52">
            <v>2.4900814901339219E-2</v>
          </cell>
          <cell r="AC52">
            <v>83.799000000000007</v>
          </cell>
          <cell r="AD52">
            <v>-5.8414275376336144E-3</v>
          </cell>
          <cell r="AE52">
            <v>84.184749999999994</v>
          </cell>
          <cell r="AF52">
            <v>4.6032768887456221E-3</v>
          </cell>
          <cell r="AG52">
            <v>84.933851727484409</v>
          </cell>
          <cell r="AH52">
            <v>8.8983067299530649E-3</v>
          </cell>
          <cell r="AI52">
            <v>88.646240357499991</v>
          </cell>
          <cell r="AJ52">
            <v>4.3709175487849139E-2</v>
          </cell>
          <cell r="AK52">
            <v>94.836087935124993</v>
          </cell>
          <cell r="AL52">
            <v>6.9826397066159451E-2</v>
          </cell>
          <cell r="AM52">
            <v>116.963872915385</v>
          </cell>
          <cell r="AN52">
            <v>0.23332663189773362</v>
          </cell>
          <cell r="AO52">
            <v>139.69306773406578</v>
          </cell>
          <cell r="AP52">
            <v>0.19432662626624664</v>
          </cell>
          <cell r="AQ52">
            <v>152.6648104325744</v>
          </cell>
          <cell r="AR52">
            <v>9.2858886335025481E-2</v>
          </cell>
          <cell r="AS52">
            <v>157.67490236790039</v>
          </cell>
          <cell r="AT52">
            <v>3.2817595103481478E-2</v>
          </cell>
          <cell r="AU52">
            <v>159.84344579876483</v>
          </cell>
          <cell r="AV52">
            <v>1.3753256848731743E-2</v>
          </cell>
          <cell r="AX52">
            <v>0.14867113962577466</v>
          </cell>
        </row>
        <row r="55">
          <cell r="U55" t="str">
            <v>2002-FY</v>
          </cell>
          <cell r="W55" t="str">
            <v>2003-FY</v>
          </cell>
          <cell r="Y55" t="str">
            <v>2004-FY</v>
          </cell>
          <cell r="AA55" t="str">
            <v>2005-FY</v>
          </cell>
          <cell r="AC55" t="str">
            <v>2006-FY</v>
          </cell>
          <cell r="AE55" t="str">
            <v>2007-FY</v>
          </cell>
          <cell r="AG55" t="str">
            <v>2008-FY</v>
          </cell>
          <cell r="AI55" t="str">
            <v>2009-FY</v>
          </cell>
          <cell r="AK55" t="str">
            <v>2010-FY</v>
          </cell>
          <cell r="AM55" t="str">
            <v>2011-FY</v>
          </cell>
          <cell r="AO55" t="str">
            <v>2012-FY</v>
          </cell>
          <cell r="AQ55" t="str">
            <v>2013-FY</v>
          </cell>
          <cell r="AS55" t="str">
            <v>2014-FY</v>
          </cell>
          <cell r="AU55" t="str">
            <v>2015-FY</v>
          </cell>
        </row>
        <row r="57">
          <cell r="B57" t="str">
            <v>Reconciliation to GAAP Income/Loss</v>
          </cell>
        </row>
        <row r="58">
          <cell r="B58" t="str">
            <v>Adjustments to pro-forma earnings:</v>
          </cell>
        </row>
        <row r="59">
          <cell r="B59" t="str">
            <v>Write-off of Acquired in-Process R&amp;D</v>
          </cell>
          <cell r="C59">
            <v>0</v>
          </cell>
          <cell r="E59">
            <v>0</v>
          </cell>
          <cell r="G59">
            <v>0</v>
          </cell>
          <cell r="I59">
            <v>0</v>
          </cell>
          <cell r="K59">
            <v>0</v>
          </cell>
          <cell r="M59">
            <v>0</v>
          </cell>
          <cell r="O59">
            <v>0</v>
          </cell>
          <cell r="Q59">
            <v>0</v>
          </cell>
          <cell r="U59">
            <v>0</v>
          </cell>
          <cell r="W59">
            <v>-49.85199999999999</v>
          </cell>
          <cell r="Y59">
            <v>-1.153</v>
          </cell>
          <cell r="AA59">
            <v>0</v>
          </cell>
          <cell r="AC59">
            <v>0</v>
          </cell>
          <cell r="AE59">
            <v>0</v>
          </cell>
          <cell r="AG59">
            <v>0</v>
          </cell>
          <cell r="AI59">
            <v>0</v>
          </cell>
          <cell r="AK59">
            <v>0</v>
          </cell>
          <cell r="AM59">
            <v>0</v>
          </cell>
          <cell r="AO59">
            <v>0</v>
          </cell>
          <cell r="AQ59">
            <v>0</v>
          </cell>
          <cell r="AS59">
            <v>0</v>
          </cell>
          <cell r="AU59">
            <v>0</v>
          </cell>
          <cell r="AZ59" t="str">
            <v>mstag:acquiredInProcessRAndDOneTime</v>
          </cell>
          <cell r="BA59">
            <v>6</v>
          </cell>
          <cell r="BB59" t="str">
            <v>ISO4217:USD</v>
          </cell>
          <cell r="BC59" t="b">
            <v>1</v>
          </cell>
          <cell r="BD59" t="b">
            <v>0</v>
          </cell>
        </row>
        <row r="60">
          <cell r="B60" t="str">
            <v>Stock Compensation Expense</v>
          </cell>
          <cell r="AC60">
            <v>9</v>
          </cell>
          <cell r="AE60">
            <v>10.149000000000001</v>
          </cell>
          <cell r="AG60">
            <v>17</v>
          </cell>
          <cell r="AI60">
            <v>19</v>
          </cell>
          <cell r="AK60">
            <v>21</v>
          </cell>
          <cell r="AM60">
            <v>23</v>
          </cell>
          <cell r="AO60">
            <v>25</v>
          </cell>
          <cell r="AQ60">
            <v>27</v>
          </cell>
          <cell r="AS60">
            <v>30</v>
          </cell>
          <cell r="AU60">
            <v>33</v>
          </cell>
          <cell r="AZ60" t="str">
            <v>mstag:stockCompensation</v>
          </cell>
          <cell r="BA60">
            <v>6</v>
          </cell>
          <cell r="BB60" t="str">
            <v>ISO4217:USD</v>
          </cell>
          <cell r="BC60" t="b">
            <v>0</v>
          </cell>
          <cell r="BD60" t="b">
            <v>0</v>
          </cell>
        </row>
        <row r="61">
          <cell r="B61" t="str">
            <v>Tax Benefit from ESOs</v>
          </cell>
          <cell r="AC61">
            <v>0</v>
          </cell>
          <cell r="AE61">
            <v>0</v>
          </cell>
          <cell r="AG61">
            <v>0</v>
          </cell>
          <cell r="AI61">
            <v>0</v>
          </cell>
          <cell r="AK61">
            <v>0</v>
          </cell>
          <cell r="AM61">
            <v>0</v>
          </cell>
          <cell r="AO61">
            <v>0</v>
          </cell>
          <cell r="AQ61">
            <v>0.94499999999999951</v>
          </cell>
          <cell r="AS61">
            <v>1.05</v>
          </cell>
          <cell r="AU61">
            <v>1.155</v>
          </cell>
          <cell r="AZ61" t="str">
            <v>mstag:taxExpenseIncome</v>
          </cell>
          <cell r="BA61">
            <v>6</v>
          </cell>
          <cell r="BB61" t="str">
            <v>ISO4217:USD</v>
          </cell>
          <cell r="BC61" t="b">
            <v>1</v>
          </cell>
          <cell r="BD61" t="b">
            <v>0</v>
          </cell>
        </row>
        <row r="62">
          <cell r="B62" t="str">
            <v>Amortization of Intangible Assets</v>
          </cell>
          <cell r="C62">
            <v>0</v>
          </cell>
          <cell r="E62">
            <v>0</v>
          </cell>
          <cell r="G62">
            <v>0</v>
          </cell>
          <cell r="I62">
            <v>0</v>
          </cell>
          <cell r="K62">
            <v>0</v>
          </cell>
          <cell r="M62">
            <v>0</v>
          </cell>
          <cell r="O62">
            <v>0</v>
          </cell>
          <cell r="Q62">
            <v>0</v>
          </cell>
          <cell r="U62">
            <v>0</v>
          </cell>
          <cell r="W62">
            <v>0</v>
          </cell>
          <cell r="Y62">
            <v>0</v>
          </cell>
          <cell r="AA62">
            <v>0</v>
          </cell>
          <cell r="AC62">
            <v>0</v>
          </cell>
          <cell r="AE62">
            <v>0</v>
          </cell>
          <cell r="AG62">
            <v>0</v>
          </cell>
          <cell r="AI62">
            <v>0</v>
          </cell>
          <cell r="AK62">
            <v>0</v>
          </cell>
          <cell r="AM62">
            <v>0</v>
          </cell>
          <cell r="AO62">
            <v>0</v>
          </cell>
          <cell r="AQ62">
            <v>0</v>
          </cell>
          <cell r="AS62">
            <v>0</v>
          </cell>
          <cell r="AU62">
            <v>0</v>
          </cell>
          <cell r="AZ62" t="str">
            <v>mstag:amortizationOfIntangiblesAssumedToHaveIndefiniteLifeIncomeStatement</v>
          </cell>
          <cell r="BA62">
            <v>6</v>
          </cell>
          <cell r="BB62" t="str">
            <v>ISO4217:USD</v>
          </cell>
          <cell r="BC62" t="b">
            <v>1</v>
          </cell>
          <cell r="BD62" t="b">
            <v>0</v>
          </cell>
        </row>
        <row r="63">
          <cell r="B63" t="str">
            <v>Restructuring / One-Time Gains (Losses)</v>
          </cell>
          <cell r="S63">
            <v>-128.38621000000001</v>
          </cell>
          <cell r="U63">
            <v>-37.331000000000003</v>
          </cell>
          <cell r="W63">
            <v>0</v>
          </cell>
          <cell r="Y63">
            <v>-54.176999999999992</v>
          </cell>
          <cell r="AA63">
            <v>0</v>
          </cell>
          <cell r="AE63">
            <v>8.5</v>
          </cell>
          <cell r="AG63">
            <v>0</v>
          </cell>
          <cell r="AZ63" t="str">
            <v>mstag:incomeLossFromDiscontinuedOperationsNetOfTax</v>
          </cell>
          <cell r="BA63">
            <v>6</v>
          </cell>
          <cell r="BB63" t="str">
            <v>ISO4217:USD</v>
          </cell>
          <cell r="BC63" t="b">
            <v>0</v>
          </cell>
          <cell r="BD63" t="b">
            <v>0</v>
          </cell>
        </row>
        <row r="64">
          <cell r="B64" t="str">
            <v>Tax Effects of Adjustments</v>
          </cell>
          <cell r="C64">
            <v>0</v>
          </cell>
          <cell r="E64">
            <v>0</v>
          </cell>
          <cell r="G64">
            <v>0</v>
          </cell>
          <cell r="I64">
            <v>0</v>
          </cell>
          <cell r="K64">
            <v>0</v>
          </cell>
          <cell r="M64">
            <v>0</v>
          </cell>
          <cell r="O64">
            <v>0</v>
          </cell>
          <cell r="Q64">
            <v>0</v>
          </cell>
          <cell r="U64">
            <v>0</v>
          </cell>
          <cell r="W64">
            <v>0</v>
          </cell>
          <cell r="Y64">
            <v>0</v>
          </cell>
          <cell r="AA64">
            <v>0</v>
          </cell>
          <cell r="AC64">
            <v>0</v>
          </cell>
          <cell r="AE64">
            <v>0</v>
          </cell>
          <cell r="AG64">
            <v>0</v>
          </cell>
          <cell r="AI64">
            <v>0</v>
          </cell>
          <cell r="AK64">
            <v>0</v>
          </cell>
          <cell r="AM64">
            <v>0</v>
          </cell>
          <cell r="AO64">
            <v>0</v>
          </cell>
          <cell r="AQ64">
            <v>-0.97807499999999947</v>
          </cell>
          <cell r="AS64">
            <v>-1.0867500000000001</v>
          </cell>
          <cell r="AU64">
            <v>-1.1954250000000002</v>
          </cell>
          <cell r="AZ64" t="str">
            <v>mstag:taxOnIncomeLossFromExtraordinaryItems</v>
          </cell>
          <cell r="BA64">
            <v>6</v>
          </cell>
          <cell r="BB64" t="str">
            <v>ISO4217:USD</v>
          </cell>
          <cell r="BC64" t="b">
            <v>1</v>
          </cell>
          <cell r="BD64" t="b">
            <v>0</v>
          </cell>
        </row>
        <row r="65">
          <cell r="B65" t="str">
            <v>GAAP Net Income</v>
          </cell>
          <cell r="C65">
            <v>0</v>
          </cell>
          <cell r="E65">
            <v>0</v>
          </cell>
          <cell r="G65">
            <v>0</v>
          </cell>
          <cell r="I65">
            <v>0</v>
          </cell>
          <cell r="K65">
            <v>0</v>
          </cell>
          <cell r="M65">
            <v>0</v>
          </cell>
          <cell r="O65">
            <v>0</v>
          </cell>
          <cell r="Q65">
            <v>0</v>
          </cell>
          <cell r="S65">
            <v>-183.52821000000003</v>
          </cell>
          <cell r="U65">
            <v>-136.87299999999999</v>
          </cell>
          <cell r="W65">
            <v>-166.46299999999999</v>
          </cell>
          <cell r="Y65">
            <v>-164.81700000000001</v>
          </cell>
          <cell r="AA65">
            <v>-103.04299999999999</v>
          </cell>
          <cell r="AC65">
            <v>-74.165999999999997</v>
          </cell>
          <cell r="AE65">
            <v>-86.68</v>
          </cell>
          <cell r="AG65">
            <v>-170.94509927213699</v>
          </cell>
          <cell r="AI65">
            <v>-158.09607659304064</v>
          </cell>
          <cell r="AK65">
            <v>-164.37757418737252</v>
          </cell>
          <cell r="AM65">
            <v>-87.481636885347712</v>
          </cell>
          <cell r="AO65">
            <v>-57.921667742472394</v>
          </cell>
          <cell r="AQ65">
            <v>130.31462941026973</v>
          </cell>
          <cell r="AS65">
            <v>330.82572773599912</v>
          </cell>
          <cell r="AU65">
            <v>540.54407894091207</v>
          </cell>
        </row>
        <row r="66">
          <cell r="B66" t="str">
            <v>GAAP (loss) EPS</v>
          </cell>
          <cell r="S66">
            <v>-2.7726226338132438</v>
          </cell>
          <cell r="U66">
            <v>-2.0306662908179156</v>
          </cell>
          <cell r="W66">
            <v>-2.3324272443217642</v>
          </cell>
          <cell r="Y66">
            <v>-2.2109435784616212</v>
          </cell>
          <cell r="AA66">
            <v>-1.2366990314566555</v>
          </cell>
          <cell r="AC66">
            <v>-0.88504636093509459</v>
          </cell>
          <cell r="AE66">
            <v>-1.0296401664196901</v>
          </cell>
          <cell r="AG66">
            <v>-2.0126851166555482</v>
          </cell>
          <cell r="AI66">
            <v>-1.7834493144374484</v>
          </cell>
          <cell r="AK66">
            <v>-1.7332808403043694</v>
          </cell>
          <cell r="AM66">
            <v>-0.74793724510673842</v>
          </cell>
          <cell r="AO66">
            <v>-0.41463523338708613</v>
          </cell>
          <cell r="AQ66">
            <v>0.8854602986368123</v>
          </cell>
          <cell r="AS66">
            <v>2.1798054817862833</v>
          </cell>
          <cell r="AU66">
            <v>3.5216192426303126</v>
          </cell>
        </row>
        <row r="67">
          <cell r="B67" t="str">
            <v>GAAP (loss) EPS diluted</v>
          </cell>
          <cell r="C67" t="e">
            <v>#DIV/0!</v>
          </cell>
          <cell r="E67" t="e">
            <v>#DIV/0!</v>
          </cell>
          <cell r="G67" t="e">
            <v>#DIV/0!</v>
          </cell>
          <cell r="I67" t="e">
            <v>#DIV/0!</v>
          </cell>
          <cell r="K67" t="e">
            <v>#DIV/0!</v>
          </cell>
          <cell r="M67" t="e">
            <v>#DIV/0!</v>
          </cell>
          <cell r="O67" t="e">
            <v>#DIV/0!</v>
          </cell>
          <cell r="Q67" t="e">
            <v>#DIV/0!</v>
          </cell>
          <cell r="S67">
            <v>-2.3967502241694398</v>
          </cell>
          <cell r="U67">
            <v>-1.7422784559217093</v>
          </cell>
          <cell r="W67">
            <v>-2.0833686374892011</v>
          </cell>
          <cell r="Y67">
            <v>-2.0040136203911576</v>
          </cell>
          <cell r="AA67">
            <v>-1.2224618644881158</v>
          </cell>
          <cell r="AC67">
            <v>-0.88504636093509459</v>
          </cell>
          <cell r="AE67">
            <v>-1.0296401664196901</v>
          </cell>
          <cell r="AG67">
            <v>-2.0126851166555482</v>
          </cell>
          <cell r="AI67">
            <v>-1.7834493144374484</v>
          </cell>
          <cell r="AK67">
            <v>-1.7332808403043694</v>
          </cell>
          <cell r="AM67">
            <v>-0.74793724510673842</v>
          </cell>
          <cell r="AO67">
            <v>-0.41463523338708613</v>
          </cell>
          <cell r="AQ67">
            <v>0.85359965430818252</v>
          </cell>
          <cell r="AS67">
            <v>2.0981508329340115</v>
          </cell>
          <cell r="AU67">
            <v>3.3817093734417547</v>
          </cell>
        </row>
        <row r="70">
          <cell r="A70" t="str">
            <v>XXXXX</v>
          </cell>
          <cell r="B70" t="str">
            <v>Income Tax Calculations</v>
          </cell>
        </row>
        <row r="72">
          <cell r="B72" t="str">
            <v>NOL Carryforwards</v>
          </cell>
          <cell r="W72">
            <v>-206.4</v>
          </cell>
          <cell r="Y72">
            <v>-315.43400000000003</v>
          </cell>
          <cell r="AA72">
            <v>-833</v>
          </cell>
          <cell r="AC72">
            <v>-755</v>
          </cell>
          <cell r="AE72">
            <v>755</v>
          </cell>
          <cell r="AG72">
            <v>525.55490072786301</v>
          </cell>
          <cell r="AI72">
            <v>333.90333406203604</v>
          </cell>
          <cell r="AK72">
            <v>157.13542646845994</v>
          </cell>
          <cell r="AM72">
            <v>76.940246936266249</v>
          </cell>
          <cell r="AO72">
            <v>36.324554500167224</v>
          </cell>
          <cell r="AQ72">
            <v>195.74671501934193</v>
          </cell>
          <cell r="AS72">
            <v>550.12279764797677</v>
          </cell>
          <cell r="AU72">
            <v>1089.4986048685803</v>
          </cell>
        </row>
        <row r="73">
          <cell r="B73" t="str">
            <v>Taxable Income</v>
          </cell>
          <cell r="Y73">
            <v>-109.03400000000002</v>
          </cell>
          <cell r="AA73">
            <v>-103.59399999999999</v>
          </cell>
          <cell r="AC73">
            <v>-65.165999999999997</v>
          </cell>
          <cell r="AE73">
            <v>-85.031000000000006</v>
          </cell>
          <cell r="AG73">
            <v>-153.94509927213699</v>
          </cell>
          <cell r="AI73">
            <v>-139.09607659304064</v>
          </cell>
          <cell r="AK73">
            <v>-143.37757418737252</v>
          </cell>
          <cell r="AM73">
            <v>-64.481636885347712</v>
          </cell>
          <cell r="AO73">
            <v>-32.921667742472394</v>
          </cell>
          <cell r="AQ73">
            <v>163.05461596919142</v>
          </cell>
          <cell r="AS73">
            <v>373.95075413056901</v>
          </cell>
          <cell r="AU73">
            <v>594.38808698540117</v>
          </cell>
        </row>
        <row r="74">
          <cell r="B74" t="str">
            <v>Statuatory Tax Rate</v>
          </cell>
          <cell r="Y74">
            <v>0.35</v>
          </cell>
          <cell r="AA74">
            <v>0.35</v>
          </cell>
          <cell r="AC74">
            <v>0.35</v>
          </cell>
          <cell r="AE74">
            <v>0.35</v>
          </cell>
          <cell r="AG74">
            <v>0.35</v>
          </cell>
          <cell r="AI74">
            <v>0.35</v>
          </cell>
          <cell r="AK74">
            <v>0.35</v>
          </cell>
          <cell r="AM74">
            <v>0.35</v>
          </cell>
          <cell r="AO74">
            <v>0.35</v>
          </cell>
          <cell r="AQ74">
            <v>0.35</v>
          </cell>
          <cell r="AS74">
            <v>0.35</v>
          </cell>
          <cell r="AU74">
            <v>0.35</v>
          </cell>
        </row>
        <row r="75">
          <cell r="B75" t="str">
            <v>% Annual NOL expiration</v>
          </cell>
          <cell r="X75">
            <v>0.1</v>
          </cell>
          <cell r="Y75">
            <v>0.1</v>
          </cell>
          <cell r="AA75">
            <v>0.1</v>
          </cell>
          <cell r="AC75">
            <v>0.1</v>
          </cell>
          <cell r="AE75">
            <v>0.1</v>
          </cell>
          <cell r="AG75">
            <v>0.1</v>
          </cell>
          <cell r="AI75">
            <v>0.1</v>
          </cell>
          <cell r="AK75">
            <v>0.1</v>
          </cell>
          <cell r="AM75">
            <v>0.1</v>
          </cell>
          <cell r="AO75">
            <v>0.1</v>
          </cell>
          <cell r="AQ75">
            <v>0.1</v>
          </cell>
          <cell r="AS75">
            <v>0.1</v>
          </cell>
          <cell r="AU75">
            <v>0.1</v>
          </cell>
        </row>
        <row r="76">
          <cell r="B76" t="str">
            <v>NOL Expiration</v>
          </cell>
          <cell r="Y76">
            <v>0</v>
          </cell>
          <cell r="AA76">
            <v>83.300000000000011</v>
          </cell>
          <cell r="AC76">
            <v>75.5</v>
          </cell>
          <cell r="AE76">
            <v>-75.5</v>
          </cell>
          <cell r="AG76">
            <v>-52.555490072786306</v>
          </cell>
          <cell r="AI76">
            <v>-33.390333406203602</v>
          </cell>
          <cell r="AK76">
            <v>-15.713542646845994</v>
          </cell>
          <cell r="AM76">
            <v>-7.6940246936266252</v>
          </cell>
          <cell r="AO76">
            <v>-3.6324554500167228</v>
          </cell>
          <cell r="AQ76">
            <v>-19.574671501934194</v>
          </cell>
          <cell r="AS76">
            <v>-55.012279764797682</v>
          </cell>
          <cell r="AU76">
            <v>-108.94986048685803</v>
          </cell>
        </row>
        <row r="77">
          <cell r="B77" t="str">
            <v>Net NOL Carryforwards</v>
          </cell>
          <cell r="Y77">
            <v>-315.43400000000003</v>
          </cell>
          <cell r="AA77">
            <v>-749.7</v>
          </cell>
          <cell r="AC77">
            <v>-679.5</v>
          </cell>
          <cell r="AE77">
            <v>679.5</v>
          </cell>
          <cell r="AG77">
            <v>472.9994106550767</v>
          </cell>
          <cell r="AI77">
            <v>300.51300065583246</v>
          </cell>
          <cell r="AK77">
            <v>141.42188382161396</v>
          </cell>
          <cell r="AM77">
            <v>69.246222242639618</v>
          </cell>
          <cell r="AO77">
            <v>32.692099050150503</v>
          </cell>
          <cell r="AQ77">
            <v>176.17204351740773</v>
          </cell>
          <cell r="AS77">
            <v>495.11051788317911</v>
          </cell>
          <cell r="AU77">
            <v>980.54874438172226</v>
          </cell>
        </row>
        <row r="78">
          <cell r="B78" t="str">
            <v>Income Taxes Owed</v>
          </cell>
          <cell r="Y78">
            <v>0</v>
          </cell>
          <cell r="AA78">
            <v>0</v>
          </cell>
          <cell r="AC78">
            <v>0</v>
          </cell>
          <cell r="AE78">
            <v>0</v>
          </cell>
          <cell r="AG78">
            <v>0</v>
          </cell>
          <cell r="AI78">
            <v>0</v>
          </cell>
          <cell r="AK78">
            <v>0</v>
          </cell>
          <cell r="AM78">
            <v>0</v>
          </cell>
          <cell r="AO78">
            <v>0</v>
          </cell>
          <cell r="AQ78">
            <v>57.069115589216992</v>
          </cell>
          <cell r="AS78">
            <v>130.88276394569914</v>
          </cell>
          <cell r="AU78">
            <v>208.03583044489039</v>
          </cell>
        </row>
        <row r="79">
          <cell r="B79" t="str">
            <v>% Tax Offset</v>
          </cell>
          <cell r="X79">
            <v>0.9</v>
          </cell>
          <cell r="Y79">
            <v>0.9</v>
          </cell>
          <cell r="AA79">
            <v>0.9</v>
          </cell>
          <cell r="AC79">
            <v>0.9</v>
          </cell>
          <cell r="AE79">
            <v>0.9</v>
          </cell>
          <cell r="AG79">
            <v>0.9</v>
          </cell>
          <cell r="AI79">
            <v>0.9</v>
          </cell>
          <cell r="AK79">
            <v>0.9</v>
          </cell>
          <cell r="AM79">
            <v>0.9</v>
          </cell>
          <cell r="AO79">
            <v>0.9</v>
          </cell>
          <cell r="AQ79">
            <v>0.9</v>
          </cell>
          <cell r="AS79">
            <v>0.9</v>
          </cell>
          <cell r="AU79">
            <v>0.9</v>
          </cell>
        </row>
        <row r="80">
          <cell r="B80" t="str">
            <v>Tax Offsets</v>
          </cell>
          <cell r="Y80">
            <v>0</v>
          </cell>
          <cell r="AA80">
            <v>0</v>
          </cell>
          <cell r="AC80">
            <v>0</v>
          </cell>
          <cell r="AE80">
            <v>0</v>
          </cell>
          <cell r="AG80">
            <v>0</v>
          </cell>
          <cell r="AI80">
            <v>0</v>
          </cell>
          <cell r="AK80">
            <v>0</v>
          </cell>
          <cell r="AM80">
            <v>0</v>
          </cell>
          <cell r="AO80">
            <v>0</v>
          </cell>
          <cell r="AQ80">
            <v>51.362204030295295</v>
          </cell>
          <cell r="AS80">
            <v>117.79448755112922</v>
          </cell>
          <cell r="AU80">
            <v>187.23224740040135</v>
          </cell>
        </row>
        <row r="81">
          <cell r="B81" t="str">
            <v>Income Taxes Paid</v>
          </cell>
          <cell r="Y81">
            <v>0</v>
          </cell>
          <cell r="AA81">
            <v>0</v>
          </cell>
          <cell r="AC81">
            <v>0</v>
          </cell>
          <cell r="AE81">
            <v>0</v>
          </cell>
          <cell r="AG81">
            <v>0</v>
          </cell>
          <cell r="AI81">
            <v>0</v>
          </cell>
          <cell r="AK81">
            <v>0</v>
          </cell>
          <cell r="AM81">
            <v>0</v>
          </cell>
          <cell r="AO81">
            <v>0</v>
          </cell>
          <cell r="AQ81">
            <v>5.7069115589216963</v>
          </cell>
          <cell r="AS81">
            <v>13.088276394569917</v>
          </cell>
          <cell r="AU81">
            <v>20.803583044489045</v>
          </cell>
        </row>
        <row r="82">
          <cell r="B82" t="str">
            <v>Test</v>
          </cell>
          <cell r="Y82">
            <v>0</v>
          </cell>
          <cell r="AA82">
            <v>5.318840859509239E-3</v>
          </cell>
          <cell r="AC82">
            <v>0</v>
          </cell>
          <cell r="AE82">
            <v>0</v>
          </cell>
          <cell r="AG82">
            <v>0</v>
          </cell>
          <cell r="AI82">
            <v>0</v>
          </cell>
          <cell r="AK82">
            <v>0</v>
          </cell>
          <cell r="AM82">
            <v>0</v>
          </cell>
          <cell r="AO82">
            <v>0</v>
          </cell>
          <cell r="AQ82">
            <v>3.4999999999999983E-2</v>
          </cell>
          <cell r="AS82">
            <v>3.5000000000000003E-2</v>
          </cell>
          <cell r="AU82">
            <v>3.5000000000000003E-2</v>
          </cell>
        </row>
        <row r="85">
          <cell r="B85" t="str">
            <v>If-Converted Calculation</v>
          </cell>
        </row>
        <row r="86">
          <cell r="B86" t="str">
            <v>NON-GAAP</v>
          </cell>
        </row>
        <row r="87">
          <cell r="B87" t="str">
            <v>Net Earnings</v>
          </cell>
          <cell r="S87">
            <v>-55.142000000000024</v>
          </cell>
          <cell r="U87">
            <v>-99.542000000000002</v>
          </cell>
          <cell r="W87">
            <v>-116.611</v>
          </cell>
          <cell r="Y87">
            <v>-109.48700000000002</v>
          </cell>
          <cell r="AA87">
            <v>-103.04299999999999</v>
          </cell>
          <cell r="AC87">
            <v>-65.165999999999997</v>
          </cell>
          <cell r="AE87">
            <v>-85.031000000000006</v>
          </cell>
          <cell r="AG87">
            <v>-153.94509927213699</v>
          </cell>
          <cell r="AI87">
            <v>-139.09607659304064</v>
          </cell>
          <cell r="AK87">
            <v>-143.37757418737252</v>
          </cell>
          <cell r="AM87">
            <v>-64.481636885347712</v>
          </cell>
          <cell r="AO87">
            <v>-32.921667742472394</v>
          </cell>
          <cell r="AQ87">
            <v>157.34770441026973</v>
          </cell>
          <cell r="AS87">
            <v>360.86247773599911</v>
          </cell>
          <cell r="AU87">
            <v>573.5845039409121</v>
          </cell>
        </row>
        <row r="88">
          <cell r="B88" t="str">
            <v>Diluted Share Count</v>
          </cell>
          <cell r="S88">
            <v>76.573774</v>
          </cell>
          <cell r="U88">
            <v>78.559773000000007</v>
          </cell>
          <cell r="W88">
            <v>79.900886</v>
          </cell>
          <cell r="Y88">
            <v>82.243453000000002</v>
          </cell>
          <cell r="AA88">
            <v>84.291381999999999</v>
          </cell>
          <cell r="AC88">
            <v>83.799000000000007</v>
          </cell>
          <cell r="AE88">
            <v>84.184749999999994</v>
          </cell>
          <cell r="AG88">
            <v>84.933851727484409</v>
          </cell>
          <cell r="AI88">
            <v>88.646240357499991</v>
          </cell>
          <cell r="AK88">
            <v>94.836087935124993</v>
          </cell>
          <cell r="AM88">
            <v>116.963872915385</v>
          </cell>
          <cell r="AO88">
            <v>139.69306773406578</v>
          </cell>
          <cell r="AQ88">
            <v>152.6648104325744</v>
          </cell>
          <cell r="AS88">
            <v>157.67490236790039</v>
          </cell>
          <cell r="AU88">
            <v>159.84344579876483</v>
          </cell>
        </row>
        <row r="89">
          <cell r="B89" t="str">
            <v>Diluted Share Count, If-Converted</v>
          </cell>
          <cell r="S89">
            <v>66.192999999999998</v>
          </cell>
          <cell r="U89">
            <v>67.403000000000006</v>
          </cell>
          <cell r="W89">
            <v>71.369</v>
          </cell>
          <cell r="Y89">
            <v>74.545999999999992</v>
          </cell>
          <cell r="AA89">
            <v>83.320999999999998</v>
          </cell>
          <cell r="AC89">
            <v>83.799000000000007</v>
          </cell>
          <cell r="AE89">
            <v>84.184749999999994</v>
          </cell>
          <cell r="AG89">
            <v>84.933851727484409</v>
          </cell>
          <cell r="AI89">
            <v>88.646240357499991</v>
          </cell>
          <cell r="AK89">
            <v>94.836087935124993</v>
          </cell>
          <cell r="AM89">
            <v>116.963872915385</v>
          </cell>
          <cell r="AO89">
            <v>139.69306773406578</v>
          </cell>
          <cell r="AQ89">
            <v>152.6648104325744</v>
          </cell>
          <cell r="AS89">
            <v>157.67490236790039</v>
          </cell>
          <cell r="AU89">
            <v>159.84344579876483</v>
          </cell>
          <cell r="AZ89" t="str">
            <v>mstag:averageDilutedSharesOutstanding</v>
          </cell>
          <cell r="BA89">
            <v>6</v>
          </cell>
          <cell r="BB89" t="str">
            <v>ms_eqr_gcim_Decimal:ms_eqr_gcim_decimal</v>
          </cell>
          <cell r="BC89" t="b">
            <v>0</v>
          </cell>
          <cell r="BD89" t="b">
            <v>0</v>
          </cell>
        </row>
        <row r="90">
          <cell r="B90" t="str">
            <v>EPS, diluted</v>
          </cell>
          <cell r="S90">
            <v>-0.72011600211842797</v>
          </cell>
          <cell r="U90">
            <v>-1.2670861459846632</v>
          </cell>
          <cell r="W90">
            <v>-1.4594456436941139</v>
          </cell>
          <cell r="Y90">
            <v>-1.3312549024419005</v>
          </cell>
          <cell r="AA90">
            <v>-1.2224618644881158</v>
          </cell>
          <cell r="AC90">
            <v>-0.77764651129488405</v>
          </cell>
          <cell r="AE90">
            <v>-1.0100522956948854</v>
          </cell>
          <cell r="AG90">
            <v>-1.8125293524433519</v>
          </cell>
          <cell r="AI90">
            <v>-1.5691142233678756</v>
          </cell>
          <cell r="AK90">
            <v>-1.5118461474861082</v>
          </cell>
          <cell r="AM90">
            <v>-0.55129532972968132</v>
          </cell>
          <cell r="AO90">
            <v>-0.23567144938892384</v>
          </cell>
          <cell r="AQ90">
            <v>1.0306743509812535</v>
          </cell>
          <cell r="AS90">
            <v>2.2886488104112113</v>
          </cell>
          <cell r="AU90">
            <v>3.5884142829542554</v>
          </cell>
        </row>
        <row r="92">
          <cell r="B92" t="str">
            <v>Interest add-back</v>
          </cell>
          <cell r="S92">
            <v>2.4337499999999999</v>
          </cell>
          <cell r="U92">
            <v>9.4586250000000014</v>
          </cell>
          <cell r="W92">
            <v>9.2620000000000005</v>
          </cell>
          <cell r="Y92">
            <v>15.393166666666666</v>
          </cell>
          <cell r="AA92">
            <v>15.795500000000001</v>
          </cell>
          <cell r="AC92">
            <v>15.795500000000001</v>
          </cell>
          <cell r="AE92">
            <v>14.063000000000001</v>
          </cell>
          <cell r="AG92">
            <v>14.063000000000001</v>
          </cell>
          <cell r="AI92">
            <v>14.063000000000001</v>
          </cell>
          <cell r="AK92">
            <v>14.063000000000001</v>
          </cell>
          <cell r="AM92">
            <v>14.063000000000001</v>
          </cell>
          <cell r="AO92">
            <v>0</v>
          </cell>
          <cell r="AQ92">
            <v>0</v>
          </cell>
          <cell r="AS92">
            <v>0</v>
          </cell>
          <cell r="AU92">
            <v>0</v>
          </cell>
        </row>
        <row r="93">
          <cell r="B93" t="str">
            <v>If-converted shares</v>
          </cell>
          <cell r="S93">
            <v>2.6253337288638385</v>
          </cell>
          <cell r="U93">
            <v>2.525956689409671</v>
          </cell>
          <cell r="W93">
            <v>2.525956689409671</v>
          </cell>
          <cell r="Y93">
            <v>24.181669593486649</v>
          </cell>
          <cell r="AA93">
            <v>24.181669593486649</v>
          </cell>
          <cell r="AC93">
            <v>24.181669593486649</v>
          </cell>
          <cell r="AE93">
            <v>35.811051693404636</v>
          </cell>
          <cell r="AG93">
            <v>35.811051693404636</v>
          </cell>
          <cell r="AI93">
            <v>35.811051693404636</v>
          </cell>
          <cell r="AK93">
            <v>35.811051693404636</v>
          </cell>
          <cell r="AM93">
            <v>35.811051693404636</v>
          </cell>
          <cell r="AO93">
            <v>0</v>
          </cell>
          <cell r="AQ93">
            <v>0</v>
          </cell>
          <cell r="AS93">
            <v>0</v>
          </cell>
          <cell r="AU93">
            <v>0</v>
          </cell>
        </row>
        <row r="94">
          <cell r="B94" t="str">
            <v>"If converted" EPS</v>
          </cell>
          <cell r="S94">
            <v>-0.66551570480371314</v>
          </cell>
          <cell r="U94">
            <v>-1.1109645969155715</v>
          </cell>
          <cell r="W94">
            <v>-1.3023548700573044</v>
          </cell>
          <cell r="Y94">
            <v>-0.88413178242457591</v>
          </cell>
          <cell r="AA94">
            <v>-0.80432419590230131</v>
          </cell>
          <cell r="AC94">
            <v>-0.45721609419412229</v>
          </cell>
          <cell r="AE94">
            <v>-0.59142069137824382</v>
          </cell>
          <cell r="AG94">
            <v>-1.1584927836211858</v>
          </cell>
          <cell r="AI94">
            <v>-1.0046263624464888</v>
          </cell>
          <cell r="AK94">
            <v>-0.98980027082915101</v>
          </cell>
          <cell r="AM94">
            <v>-0.33001905917777141</v>
          </cell>
          <cell r="AO94">
            <v>-0.23567144938892384</v>
          </cell>
          <cell r="AQ94">
            <v>1.0306743509812535</v>
          </cell>
          <cell r="AS94">
            <v>2.2886488104112113</v>
          </cell>
          <cell r="AU94">
            <v>3.5884142829542554</v>
          </cell>
        </row>
        <row r="95">
          <cell r="B95" t="str">
            <v>EPS dilution</v>
          </cell>
          <cell r="S95">
            <v>-7.5821530356348671E-2</v>
          </cell>
          <cell r="U95">
            <v>-0.12321305032324251</v>
          </cell>
          <cell r="W95">
            <v>-0.10763728975831197</v>
          </cell>
          <cell r="Y95">
            <v>-0.33586589555251478</v>
          </cell>
          <cell r="AA95">
            <v>-0.34204557273522984</v>
          </cell>
          <cell r="AC95">
            <v>-0.41205150726800388</v>
          </cell>
          <cell r="AE95">
            <v>-0.41446527679899553</v>
          </cell>
          <cell r="AG95">
            <v>-0.36084191847183184</v>
          </cell>
          <cell r="AI95">
            <v>-0.35974937484780151</v>
          </cell>
          <cell r="AK95">
            <v>-0.34530357306860426</v>
          </cell>
          <cell r="AM95">
            <v>-0.4013751951434254</v>
          </cell>
          <cell r="AO95">
            <v>0</v>
          </cell>
          <cell r="AQ95">
            <v>0</v>
          </cell>
          <cell r="AS95">
            <v>0</v>
          </cell>
          <cell r="AU95">
            <v>0</v>
          </cell>
        </row>
        <row r="96">
          <cell r="B96" t="str">
            <v>Modelware adjustment</v>
          </cell>
          <cell r="S96">
            <v>0</v>
          </cell>
          <cell r="U96">
            <v>0</v>
          </cell>
          <cell r="W96">
            <v>0</v>
          </cell>
          <cell r="Y96">
            <v>0</v>
          </cell>
          <cell r="AA96">
            <v>0</v>
          </cell>
          <cell r="AC96">
            <v>0</v>
          </cell>
          <cell r="AE96">
            <v>0</v>
          </cell>
          <cell r="AG96">
            <v>0</v>
          </cell>
          <cell r="AI96">
            <v>0</v>
          </cell>
          <cell r="AK96">
            <v>0</v>
          </cell>
          <cell r="AM96">
            <v>0</v>
          </cell>
          <cell r="AO96">
            <v>0</v>
          </cell>
          <cell r="AQ96">
            <v>0</v>
          </cell>
          <cell r="AS96">
            <v>0</v>
          </cell>
          <cell r="AU96">
            <v>0</v>
          </cell>
          <cell r="AZ96" t="str">
            <v>mstag:adjustmentToNetIncomeForDilutiveItems</v>
          </cell>
          <cell r="BA96">
            <v>6</v>
          </cell>
          <cell r="BB96" t="str">
            <v>ISO4217:USD</v>
          </cell>
          <cell r="BC96" t="b">
            <v>0</v>
          </cell>
          <cell r="BD96" t="b">
            <v>0</v>
          </cell>
        </row>
        <row r="97">
          <cell r="B97" t="str">
            <v>GAAP</v>
          </cell>
        </row>
        <row r="98">
          <cell r="B98" t="str">
            <v>Net Earnings</v>
          </cell>
          <cell r="S98">
            <v>-183.52821000000003</v>
          </cell>
          <cell r="U98">
            <v>-136.87299999999999</v>
          </cell>
          <cell r="W98">
            <v>-166.46299999999999</v>
          </cell>
          <cell r="Y98">
            <v>-164.81700000000001</v>
          </cell>
          <cell r="AA98">
            <v>-103.04299999999999</v>
          </cell>
          <cell r="AC98">
            <v>-74.165999999999997</v>
          </cell>
          <cell r="AE98">
            <v>-86.68</v>
          </cell>
          <cell r="AG98">
            <v>-170.94509927213699</v>
          </cell>
          <cell r="AI98">
            <v>-158.09607659304064</v>
          </cell>
          <cell r="AK98">
            <v>-164.37757418737252</v>
          </cell>
          <cell r="AM98">
            <v>-87.481636885347712</v>
          </cell>
          <cell r="AO98">
            <v>-57.921667742472394</v>
          </cell>
          <cell r="AQ98">
            <v>130.31462941026973</v>
          </cell>
          <cell r="AS98">
            <v>330.82572773599912</v>
          </cell>
          <cell r="AU98">
            <v>540.54407894091207</v>
          </cell>
        </row>
        <row r="99">
          <cell r="B99" t="str">
            <v>Diluted Share Count</v>
          </cell>
          <cell r="S99">
            <v>76.573774</v>
          </cell>
          <cell r="U99">
            <v>78.559773000000007</v>
          </cell>
          <cell r="W99">
            <v>79.900886</v>
          </cell>
          <cell r="Y99">
            <v>82.243453000000002</v>
          </cell>
          <cell r="AA99">
            <v>84.291381999999999</v>
          </cell>
          <cell r="AC99">
            <v>83.799000000000007</v>
          </cell>
          <cell r="AE99">
            <v>84.184749999999994</v>
          </cell>
          <cell r="AG99">
            <v>84.933851727484409</v>
          </cell>
          <cell r="AI99">
            <v>88.646240357499991</v>
          </cell>
          <cell r="AK99">
            <v>94.836087935124993</v>
          </cell>
          <cell r="AM99">
            <v>116.963872915385</v>
          </cell>
          <cell r="AO99">
            <v>139.69306773406578</v>
          </cell>
          <cell r="AQ99">
            <v>152.6648104325744</v>
          </cell>
          <cell r="AS99">
            <v>157.67490236790039</v>
          </cell>
          <cell r="AU99">
            <v>159.84344579876483</v>
          </cell>
        </row>
        <row r="100">
          <cell r="B100" t="str">
            <v>Diluted Share Count, If-Converted</v>
          </cell>
          <cell r="S100">
            <v>66.192999999999998</v>
          </cell>
          <cell r="U100">
            <v>67.403000000000006</v>
          </cell>
          <cell r="W100">
            <v>71.369</v>
          </cell>
          <cell r="Y100">
            <v>74.545999999999992</v>
          </cell>
          <cell r="AA100">
            <v>83.320999999999998</v>
          </cell>
          <cell r="AC100">
            <v>83.799000000000007</v>
          </cell>
          <cell r="AE100">
            <v>84.184749999999994</v>
          </cell>
          <cell r="AG100">
            <v>84.933851727484409</v>
          </cell>
          <cell r="AI100">
            <v>88.646240357499991</v>
          </cell>
          <cell r="AK100">
            <v>94.836087935124993</v>
          </cell>
          <cell r="AM100">
            <v>116.963872915385</v>
          </cell>
          <cell r="AO100">
            <v>139.69306773406578</v>
          </cell>
          <cell r="AQ100">
            <v>152.6648104325744</v>
          </cell>
          <cell r="AS100">
            <v>157.67490236790039</v>
          </cell>
          <cell r="AU100">
            <v>159.84344579876483</v>
          </cell>
        </row>
        <row r="101">
          <cell r="B101" t="str">
            <v>EPS, diluted</v>
          </cell>
          <cell r="S101">
            <v>-2.3967502241694398</v>
          </cell>
          <cell r="U101">
            <v>-1.7422784559217093</v>
          </cell>
          <cell r="W101">
            <v>-2.0833686374892011</v>
          </cell>
          <cell r="Y101">
            <v>-2.0040136203911576</v>
          </cell>
          <cell r="AA101">
            <v>-1.2224618644881158</v>
          </cell>
          <cell r="AC101">
            <v>-0.88504636093509459</v>
          </cell>
          <cell r="AE101">
            <v>-1.0296401664196901</v>
          </cell>
          <cell r="AG101">
            <v>-2.0126851166555482</v>
          </cell>
          <cell r="AI101">
            <v>-1.7834493144374484</v>
          </cell>
          <cell r="AK101">
            <v>-1.7332808403043694</v>
          </cell>
          <cell r="AM101">
            <v>-0.74793724510673842</v>
          </cell>
          <cell r="AO101">
            <v>-0.41463523338708613</v>
          </cell>
          <cell r="AQ101">
            <v>0.85359965430818252</v>
          </cell>
          <cell r="AS101">
            <v>2.0981508329340115</v>
          </cell>
          <cell r="AU101">
            <v>3.3817093734417547</v>
          </cell>
        </row>
        <row r="103">
          <cell r="B103" t="str">
            <v>Interest add-back</v>
          </cell>
          <cell r="S103">
            <v>2.4337499999999999</v>
          </cell>
          <cell r="U103">
            <v>9.4586250000000014</v>
          </cell>
          <cell r="W103">
            <v>9.2620000000000005</v>
          </cell>
          <cell r="Y103">
            <v>15.393166666666666</v>
          </cell>
          <cell r="AA103">
            <v>15.795500000000001</v>
          </cell>
          <cell r="AC103">
            <v>15.795500000000001</v>
          </cell>
          <cell r="AE103">
            <v>14.063000000000001</v>
          </cell>
          <cell r="AG103">
            <v>14.063000000000001</v>
          </cell>
          <cell r="AI103">
            <v>14.063000000000001</v>
          </cell>
          <cell r="AK103">
            <v>14.063000000000001</v>
          </cell>
          <cell r="AM103">
            <v>14.063000000000001</v>
          </cell>
          <cell r="AO103">
            <v>0</v>
          </cell>
          <cell r="AQ103">
            <v>0</v>
          </cell>
          <cell r="AS103">
            <v>0</v>
          </cell>
          <cell r="AU103">
            <v>0</v>
          </cell>
        </row>
        <row r="104">
          <cell r="B104" t="str">
            <v>If-converted shares</v>
          </cell>
          <cell r="S104">
            <v>2.6253337288638385</v>
          </cell>
          <cell r="U104">
            <v>2.525956689409671</v>
          </cell>
          <cell r="W104">
            <v>2.525956689409671</v>
          </cell>
          <cell r="Y104">
            <v>24.181669593486649</v>
          </cell>
          <cell r="AA104">
            <v>24.181669593486649</v>
          </cell>
          <cell r="AC104">
            <v>24.181669593486649</v>
          </cell>
          <cell r="AE104">
            <v>35.811051693404636</v>
          </cell>
          <cell r="AG104">
            <v>35.811051693404636</v>
          </cell>
          <cell r="AI104">
            <v>35.811051693404636</v>
          </cell>
          <cell r="AK104">
            <v>35.811051693404636</v>
          </cell>
          <cell r="AM104">
            <v>35.811051693404636</v>
          </cell>
          <cell r="AO104">
            <v>0</v>
          </cell>
          <cell r="AQ104">
            <v>0</v>
          </cell>
          <cell r="AS104">
            <v>0</v>
          </cell>
          <cell r="AU104">
            <v>0</v>
          </cell>
        </row>
        <row r="105">
          <cell r="B105" t="str">
            <v>"If converted" EPS</v>
          </cell>
          <cell r="S105">
            <v>-2.286571972754698</v>
          </cell>
          <cell r="U105">
            <v>-1.5713538681596293</v>
          </cell>
          <cell r="W105">
            <v>-1.9071578489588008</v>
          </cell>
          <cell r="Y105">
            <v>-1.4040278243708433</v>
          </cell>
          <cell r="AA105">
            <v>-0.80432419590230131</v>
          </cell>
          <cell r="AC105">
            <v>-0.54056434563470124</v>
          </cell>
          <cell r="AE105">
            <v>-0.60516283882614597</v>
          </cell>
          <cell r="AG105">
            <v>-1.2992854756385201</v>
          </cell>
          <cell r="AI105">
            <v>-1.157289173013095</v>
          </cell>
          <cell r="AK105">
            <v>-1.1505385775361292</v>
          </cell>
          <cell r="AM105">
            <v>-0.48056732525544116</v>
          </cell>
          <cell r="AO105">
            <v>-0.41463523338708613</v>
          </cell>
          <cell r="AQ105">
            <v>0.85359965430818252</v>
          </cell>
          <cell r="AS105">
            <v>2.0981508329340115</v>
          </cell>
          <cell r="AU105">
            <v>3.3817093734417547</v>
          </cell>
        </row>
        <row r="106">
          <cell r="B106" t="str">
            <v>EPS dilution</v>
          </cell>
          <cell r="S106">
            <v>-4.5969851302683211E-2</v>
          </cell>
          <cell r="U106">
            <v>-9.810405861424519E-2</v>
          </cell>
          <cell r="W106">
            <v>-8.4579745206668278E-2</v>
          </cell>
          <cell r="Y106">
            <v>-0.29939207494168868</v>
          </cell>
          <cell r="AA106">
            <v>-0.34204557273522984</v>
          </cell>
          <cell r="AC106">
            <v>-0.38922482539381476</v>
          </cell>
          <cell r="AE106">
            <v>-0.41225793382707215</v>
          </cell>
          <cell r="AG106">
            <v>-0.35445168999037197</v>
          </cell>
          <cell r="AI106">
            <v>-0.3510950024513943</v>
          </cell>
          <cell r="AK106">
            <v>-0.33620764114943363</v>
          </cell>
          <cell r="AM106">
            <v>-0.35747640808172454</v>
          </cell>
          <cell r="AO106">
            <v>0</v>
          </cell>
          <cell r="AQ106">
            <v>0</v>
          </cell>
          <cell r="AS106">
            <v>0</v>
          </cell>
          <cell r="AU106">
            <v>0</v>
          </cell>
        </row>
        <row r="107">
          <cell r="B107" t="str">
            <v>Modelware adjustment</v>
          </cell>
          <cell r="S107">
            <v>0</v>
          </cell>
          <cell r="U107">
            <v>0</v>
          </cell>
          <cell r="W107">
            <v>0</v>
          </cell>
          <cell r="Y107">
            <v>0</v>
          </cell>
          <cell r="AA107">
            <v>0</v>
          </cell>
          <cell r="AC107">
            <v>0</v>
          </cell>
          <cell r="AE107">
            <v>0</v>
          </cell>
          <cell r="AG107">
            <v>0</v>
          </cell>
          <cell r="AI107">
            <v>0</v>
          </cell>
          <cell r="AK107">
            <v>0</v>
          </cell>
          <cell r="AM107">
            <v>0</v>
          </cell>
          <cell r="AO107">
            <v>0</v>
          </cell>
          <cell r="AQ107">
            <v>0</v>
          </cell>
          <cell r="AS107">
            <v>0</v>
          </cell>
          <cell r="AU107">
            <v>0</v>
          </cell>
        </row>
        <row r="111">
          <cell r="B111" t="str">
            <v>Interest Calculations</v>
          </cell>
        </row>
        <row r="112">
          <cell r="B112" t="str">
            <v>Interest Income</v>
          </cell>
        </row>
        <row r="113">
          <cell r="B113" t="str">
            <v>Cash and Equivalents</v>
          </cell>
          <cell r="S113">
            <v>253.95150000000001</v>
          </cell>
          <cell r="U113">
            <v>468.46050000000002</v>
          </cell>
          <cell r="W113">
            <v>361.41249999999997</v>
          </cell>
          <cell r="Y113">
            <v>381.78549999999996</v>
          </cell>
          <cell r="AA113">
            <v>407.36750000000001</v>
          </cell>
          <cell r="AC113">
            <v>331.77199999999999</v>
          </cell>
          <cell r="AE113">
            <v>282.10557081590912</v>
          </cell>
          <cell r="AG113">
            <v>183.8790679550105</v>
          </cell>
          <cell r="AI113">
            <v>156.67633354422259</v>
          </cell>
          <cell r="AK113">
            <v>196.75084927507112</v>
          </cell>
          <cell r="AM113">
            <v>175.34608899006554</v>
          </cell>
          <cell r="AO113">
            <v>229.02377878650296</v>
          </cell>
          <cell r="AQ113">
            <v>457.5961705483262</v>
          </cell>
          <cell r="AS113">
            <v>707.8786894448308</v>
          </cell>
          <cell r="AU113">
            <v>971.35605672574752</v>
          </cell>
        </row>
        <row r="114">
          <cell r="B114" t="str">
            <v>Return on assets</v>
          </cell>
          <cell r="S114">
            <v>9.2352279864462303E-2</v>
          </cell>
          <cell r="U114">
            <v>2.0138304083268492E-2</v>
          </cell>
          <cell r="W114">
            <v>1.7741500363158445E-2</v>
          </cell>
          <cell r="Y114">
            <v>9.3324654812715537E-3</v>
          </cell>
          <cell r="AA114">
            <v>3.075846747715515E-2</v>
          </cell>
          <cell r="AC114">
            <v>4.8000000000000001E-2</v>
          </cell>
          <cell r="AE114">
            <v>0.05</v>
          </cell>
          <cell r="AG114">
            <v>4.7500000000000001E-2</v>
          </cell>
          <cell r="AI114">
            <v>3.3000000000000002E-2</v>
          </cell>
          <cell r="AK114">
            <v>3.5000000000000003E-2</v>
          </cell>
          <cell r="AM114">
            <v>3.5000000000000003E-2</v>
          </cell>
          <cell r="AO114">
            <v>3.5000000000000003E-2</v>
          </cell>
          <cell r="AQ114">
            <v>3.5000000000000003E-2</v>
          </cell>
          <cell r="AS114">
            <v>3.5000000000000003E-2</v>
          </cell>
          <cell r="AU114">
            <v>3.5000000000000003E-2</v>
          </cell>
        </row>
        <row r="115">
          <cell r="B115" t="str">
            <v>Interst Income</v>
          </cell>
          <cell r="C115">
            <v>0</v>
          </cell>
          <cell r="E115">
            <v>0</v>
          </cell>
          <cell r="G115">
            <v>0</v>
          </cell>
          <cell r="I115">
            <v>0</v>
          </cell>
          <cell r="K115">
            <v>0</v>
          </cell>
          <cell r="M115">
            <v>0</v>
          </cell>
          <cell r="O115">
            <v>0</v>
          </cell>
          <cell r="Q115">
            <v>0</v>
          </cell>
          <cell r="S115">
            <v>23.452999999999999</v>
          </cell>
          <cell r="U115">
            <v>9.4339999999999993</v>
          </cell>
          <cell r="W115">
            <v>6.4120000000000008</v>
          </cell>
          <cell r="Y115">
            <v>3.5630000000000002</v>
          </cell>
          <cell r="AA115">
            <v>12.530000000000001</v>
          </cell>
          <cell r="AC115">
            <v>15.925056</v>
          </cell>
          <cell r="AE115">
            <v>14.105278540795457</v>
          </cell>
          <cell r="AG115">
            <v>8.7342557278629993</v>
          </cell>
          <cell r="AI115">
            <v>5.1703190069593452</v>
          </cell>
          <cell r="AK115">
            <v>6.8862797246274896</v>
          </cell>
          <cell r="AM115">
            <v>6.1371131146522941</v>
          </cell>
          <cell r="AO115">
            <v>8.0158322575276042</v>
          </cell>
          <cell r="AQ115">
            <v>16.01586596919142</v>
          </cell>
          <cell r="AS115">
            <v>24.77575413056908</v>
          </cell>
          <cell r="AU115">
            <v>33.997461985401166</v>
          </cell>
        </row>
        <row r="116">
          <cell r="B116" t="str">
            <v>Test</v>
          </cell>
          <cell r="S116">
            <v>23.452999999999999</v>
          </cell>
          <cell r="U116">
            <v>9.4339999999999993</v>
          </cell>
          <cell r="W116">
            <v>6.4120000000000008</v>
          </cell>
          <cell r="Y116">
            <v>3.5630000000000002</v>
          </cell>
          <cell r="AA116">
            <v>12.530000000000001</v>
          </cell>
          <cell r="AC116">
            <v>20.678000000000001</v>
          </cell>
          <cell r="AE116">
            <v>13.93</v>
          </cell>
          <cell r="AG116">
            <v>8.7342557278629993</v>
          </cell>
          <cell r="AI116">
            <v>5.1703190069593452</v>
          </cell>
          <cell r="AK116">
            <v>6.8862797246274896</v>
          </cell>
          <cell r="AM116">
            <v>6.1371131146522941</v>
          </cell>
          <cell r="AO116">
            <v>8.015832257527606</v>
          </cell>
          <cell r="AQ116">
            <v>16.01586596919142</v>
          </cell>
          <cell r="AS116">
            <v>24.77575413056908</v>
          </cell>
          <cell r="AU116">
            <v>33.997461985401173</v>
          </cell>
        </row>
        <row r="118">
          <cell r="B118" t="str">
            <v>Interest Expense</v>
          </cell>
        </row>
        <row r="119">
          <cell r="B119" t="str">
            <v>Interst Bearing Obligations</v>
          </cell>
          <cell r="S119">
            <v>179.24799999999999</v>
          </cell>
          <cell r="U119">
            <v>172.036</v>
          </cell>
          <cell r="W119">
            <v>167.786</v>
          </cell>
          <cell r="Y119">
            <v>378.76600000000002</v>
          </cell>
          <cell r="AA119">
            <v>341.86200000000002</v>
          </cell>
          <cell r="AC119">
            <v>371.10300000000001</v>
          </cell>
          <cell r="AE119">
            <v>381.32800000000003</v>
          </cell>
          <cell r="AG119">
            <v>391.55300000000005</v>
          </cell>
          <cell r="AI119">
            <v>401.77800000000008</v>
          </cell>
          <cell r="AK119">
            <v>412.0030000000001</v>
          </cell>
          <cell r="AM119">
            <v>0</v>
          </cell>
          <cell r="AO119">
            <v>0</v>
          </cell>
          <cell r="AQ119">
            <v>0</v>
          </cell>
          <cell r="AS119">
            <v>0</v>
          </cell>
          <cell r="AU119">
            <v>0</v>
          </cell>
        </row>
        <row r="120">
          <cell r="B120" t="str">
            <v>Interest Rate</v>
          </cell>
          <cell r="S120">
            <v>-5.6502722485048652E-2</v>
          </cell>
          <cell r="U120">
            <v>-5.6976446790206699E-2</v>
          </cell>
          <cell r="W120">
            <v>-5.6983300156151287E-2</v>
          </cell>
          <cell r="Y120">
            <v>-4.5518869169883257E-2</v>
          </cell>
          <cell r="AA120">
            <v>-4.6957544272250205E-2</v>
          </cell>
          <cell r="AC120">
            <v>-4.4999999999999998E-2</v>
          </cell>
          <cell r="AE120">
            <v>-3.3000000000000002E-2</v>
          </cell>
          <cell r="AG120">
            <v>-3.5000000000000003E-2</v>
          </cell>
          <cell r="AI120">
            <v>-3.5000000000000003E-2</v>
          </cell>
          <cell r="AK120">
            <v>-3.5000000000000003E-2</v>
          </cell>
          <cell r="AM120">
            <v>-3.5000000000000003E-2</v>
          </cell>
          <cell r="AO120">
            <v>-3.5000000000000003E-2</v>
          </cell>
          <cell r="AQ120">
            <v>-3.5000000000000003E-2</v>
          </cell>
          <cell r="AS120">
            <v>-3.5000000000000003E-2</v>
          </cell>
          <cell r="AU120">
            <v>-3.5000000000000003E-2</v>
          </cell>
        </row>
        <row r="121">
          <cell r="B121" t="str">
            <v>Interst Expense</v>
          </cell>
          <cell r="C121">
            <v>0</v>
          </cell>
          <cell r="E121">
            <v>0</v>
          </cell>
          <cell r="G121">
            <v>0</v>
          </cell>
          <cell r="I121">
            <v>0</v>
          </cell>
          <cell r="K121">
            <v>0</v>
          </cell>
          <cell r="M121">
            <v>0</v>
          </cell>
          <cell r="O121">
            <v>0</v>
          </cell>
          <cell r="Q121">
            <v>0</v>
          </cell>
          <cell r="S121">
            <v>-10.128</v>
          </cell>
          <cell r="U121">
            <v>-9.8019999999999996</v>
          </cell>
          <cell r="W121">
            <v>-9.5609999999999999</v>
          </cell>
          <cell r="Y121">
            <v>-17.241000000000003</v>
          </cell>
          <cell r="AA121">
            <v>-16.053000000000001</v>
          </cell>
          <cell r="AC121">
            <v>-16.699635000000001</v>
          </cell>
          <cell r="AE121">
            <v>-12.583824000000002</v>
          </cell>
          <cell r="AG121">
            <v>-13.704355000000003</v>
          </cell>
          <cell r="AI121">
            <v>-14.062230000000005</v>
          </cell>
          <cell r="AK121">
            <v>-14.420105000000005</v>
          </cell>
          <cell r="AM121">
            <v>0</v>
          </cell>
          <cell r="AO121">
            <v>0</v>
          </cell>
          <cell r="AQ121">
            <v>0</v>
          </cell>
          <cell r="AS121">
            <v>0</v>
          </cell>
          <cell r="AU121">
            <v>0</v>
          </cell>
        </row>
        <row r="122">
          <cell r="B122" t="str">
            <v>Test</v>
          </cell>
          <cell r="S122">
            <v>-10.128</v>
          </cell>
          <cell r="U122">
            <v>-9.8019999999999996</v>
          </cell>
          <cell r="W122">
            <v>-9.5609999999999999</v>
          </cell>
          <cell r="Y122">
            <v>-17.241000000000003</v>
          </cell>
          <cell r="AA122">
            <v>-16.053000000000001</v>
          </cell>
          <cell r="AC122">
            <v>-17.91</v>
          </cell>
          <cell r="AE122">
            <v>-24.030999999999999</v>
          </cell>
          <cell r="AG122">
            <v>-23.929355000000001</v>
          </cell>
          <cell r="AI122">
            <v>-24.287230000000005</v>
          </cell>
          <cell r="AK122">
            <v>-24.645105000000004</v>
          </cell>
          <cell r="AM122">
            <v>0</v>
          </cell>
          <cell r="AO122">
            <v>0</v>
          </cell>
          <cell r="AQ122">
            <v>0</v>
          </cell>
          <cell r="AS122">
            <v>0</v>
          </cell>
          <cell r="AU122">
            <v>0</v>
          </cell>
        </row>
        <row r="124">
          <cell r="B124" t="str">
            <v>Statuatory Tax</v>
          </cell>
          <cell r="C124">
            <v>0.35</v>
          </cell>
          <cell r="E124">
            <v>0.35</v>
          </cell>
          <cell r="G124">
            <v>0.35</v>
          </cell>
          <cell r="I124">
            <v>0.35</v>
          </cell>
          <cell r="K124">
            <v>0.35</v>
          </cell>
          <cell r="M124">
            <v>0.35</v>
          </cell>
          <cell r="O124">
            <v>0.35</v>
          </cell>
          <cell r="Q124">
            <v>0.35</v>
          </cell>
          <cell r="S124">
            <v>0.35</v>
          </cell>
          <cell r="U124">
            <v>0.35</v>
          </cell>
          <cell r="W124">
            <v>0.35</v>
          </cell>
          <cell r="Y124">
            <v>0.35</v>
          </cell>
          <cell r="AA124">
            <v>0.35</v>
          </cell>
          <cell r="AC124">
            <v>0.35</v>
          </cell>
          <cell r="AE124">
            <v>0.35</v>
          </cell>
          <cell r="AG124">
            <v>0.35</v>
          </cell>
          <cell r="AI124">
            <v>0.35</v>
          </cell>
          <cell r="AK124">
            <v>0.35</v>
          </cell>
          <cell r="AM124">
            <v>0.35</v>
          </cell>
          <cell r="AO124">
            <v>0.35</v>
          </cell>
          <cell r="AQ124">
            <v>0.35</v>
          </cell>
          <cell r="AS124">
            <v>0.35</v>
          </cell>
          <cell r="AU124">
            <v>0.35</v>
          </cell>
          <cell r="AZ124" t="str">
            <v>mstag:statutoryTaxRate</v>
          </cell>
          <cell r="BA124">
            <v>0</v>
          </cell>
          <cell r="BB124" t="str">
            <v>ms_eqr_gcim_Decimal:ms_eqr_gcim_decimal</v>
          </cell>
          <cell r="BC124" t="b">
            <v>0</v>
          </cell>
          <cell r="BD124" t="b">
            <v>0</v>
          </cell>
        </row>
        <row r="125">
          <cell r="B125" t="str">
            <v>Common Dividends</v>
          </cell>
          <cell r="C125">
            <v>0</v>
          </cell>
          <cell r="E125">
            <v>0</v>
          </cell>
          <cell r="G125">
            <v>0</v>
          </cell>
          <cell r="I125">
            <v>0</v>
          </cell>
          <cell r="K125">
            <v>0</v>
          </cell>
          <cell r="M125">
            <v>0</v>
          </cell>
          <cell r="O125">
            <v>0</v>
          </cell>
          <cell r="Q125">
            <v>0</v>
          </cell>
          <cell r="S125">
            <v>0</v>
          </cell>
          <cell r="U125">
            <v>0</v>
          </cell>
          <cell r="W125">
            <v>0</v>
          </cell>
          <cell r="Y125">
            <v>0</v>
          </cell>
          <cell r="AA125">
            <v>0</v>
          </cell>
          <cell r="AC125">
            <v>0</v>
          </cell>
          <cell r="AE125">
            <v>0</v>
          </cell>
          <cell r="AG125">
            <v>0</v>
          </cell>
          <cell r="AI125">
            <v>0</v>
          </cell>
          <cell r="AK125">
            <v>0</v>
          </cell>
          <cell r="AM125">
            <v>0</v>
          </cell>
          <cell r="AO125">
            <v>0</v>
          </cell>
          <cell r="AQ125">
            <v>0</v>
          </cell>
          <cell r="AS125">
            <v>0</v>
          </cell>
          <cell r="AU125">
            <v>0</v>
          </cell>
          <cell r="AZ125" t="str">
            <v>mstag:commonDividends</v>
          </cell>
          <cell r="BA125">
            <v>6</v>
          </cell>
          <cell r="BB125" t="str">
            <v>ISO4217:USD</v>
          </cell>
          <cell r="BC125" t="b">
            <v>0</v>
          </cell>
          <cell r="BD125" t="b">
            <v>0</v>
          </cell>
        </row>
        <row r="126">
          <cell r="B126" t="str">
            <v>Unrecorded Goodwill</v>
          </cell>
          <cell r="C126">
            <v>0</v>
          </cell>
          <cell r="E126">
            <v>0</v>
          </cell>
          <cell r="G126">
            <v>0</v>
          </cell>
          <cell r="I126">
            <v>0</v>
          </cell>
          <cell r="K126">
            <v>0</v>
          </cell>
          <cell r="M126">
            <v>0</v>
          </cell>
          <cell r="O126">
            <v>0</v>
          </cell>
          <cell r="Q126">
            <v>0</v>
          </cell>
          <cell r="S126">
            <v>0</v>
          </cell>
          <cell r="U126">
            <v>0</v>
          </cell>
          <cell r="W126">
            <v>0</v>
          </cell>
          <cell r="Y126">
            <v>0</v>
          </cell>
          <cell r="AA126">
            <v>0</v>
          </cell>
          <cell r="AC126">
            <v>0</v>
          </cell>
          <cell r="AE126">
            <v>0</v>
          </cell>
          <cell r="AG126">
            <v>0</v>
          </cell>
          <cell r="AI126">
            <v>0</v>
          </cell>
          <cell r="AK126">
            <v>0</v>
          </cell>
          <cell r="AM126">
            <v>0</v>
          </cell>
          <cell r="AO126">
            <v>0</v>
          </cell>
          <cell r="AQ126">
            <v>0</v>
          </cell>
          <cell r="AS126">
            <v>0</v>
          </cell>
          <cell r="AU126">
            <v>0</v>
          </cell>
          <cell r="AZ126" t="str">
            <v>mstag:unrecordedGoodwillFromPoolingAndAmortizedOrWrittenOffGoodwill</v>
          </cell>
          <cell r="BA126">
            <v>6</v>
          </cell>
          <cell r="BB126" t="str">
            <v>ISO4217:USD</v>
          </cell>
          <cell r="BC126" t="b">
            <v>0</v>
          </cell>
          <cell r="BD126" t="b">
            <v>0</v>
          </cell>
        </row>
        <row r="129">
          <cell r="B129" t="str">
            <v>Deferred Revenue</v>
          </cell>
        </row>
        <row r="130">
          <cell r="B130" t="str">
            <v>Cash</v>
          </cell>
          <cell r="AA130">
            <v>40</v>
          </cell>
        </row>
        <row r="131">
          <cell r="B131" t="str">
            <v>Collaborative Revenue</v>
          </cell>
          <cell r="AC131">
            <v>20</v>
          </cell>
          <cell r="AE131">
            <v>20</v>
          </cell>
        </row>
        <row r="132">
          <cell r="B132" t="str">
            <v>Cumulative Realized Revenue</v>
          </cell>
          <cell r="AC132">
            <v>20</v>
          </cell>
          <cell r="AE132">
            <v>40</v>
          </cell>
        </row>
        <row r="133">
          <cell r="B133" t="str">
            <v>Deferred Revenue</v>
          </cell>
          <cell r="AC133">
            <v>20</v>
          </cell>
          <cell r="AE133">
            <v>0</v>
          </cell>
        </row>
        <row r="135">
          <cell r="B135" t="str">
            <v>EPS Adjusted for Consensus</v>
          </cell>
          <cell r="Y135">
            <v>-1.468717302068522</v>
          </cell>
          <cell r="AA135">
            <v>-1.2366990314566555</v>
          </cell>
          <cell r="AC135">
            <v>-0.77764651129488405</v>
          </cell>
          <cell r="AE135">
            <v>-1.0100522956948854</v>
          </cell>
          <cell r="AG135">
            <v>-1.8125293524433519</v>
          </cell>
          <cell r="AI135">
            <v>-1.5691142233678756</v>
          </cell>
          <cell r="AK135">
            <v>-1.5118461474861082</v>
          </cell>
          <cell r="AM135">
            <v>-0.55129532972968132</v>
          </cell>
          <cell r="AO135">
            <v>-0.23567144938892384</v>
          </cell>
          <cell r="AQ135">
            <v>1.0306743509812535</v>
          </cell>
          <cell r="AS135">
            <v>2.2886488104112113</v>
          </cell>
          <cell r="AU135">
            <v>3.5884142829542554</v>
          </cell>
          <cell r="AZ135" t="str">
            <v>mstag:adjEpsForConsensus</v>
          </cell>
          <cell r="BA135">
            <v>0</v>
          </cell>
          <cell r="BB135" t="str">
            <v>ISO4217:USD</v>
          </cell>
          <cell r="BC135" t="b">
            <v>0</v>
          </cell>
          <cell r="BD135" t="b">
            <v>0</v>
          </cell>
        </row>
      </sheetData>
      <sheetData sheetId="3">
        <row r="1">
          <cell r="B1" t="str">
            <v>Incyte Corporation Balance Sheet</v>
          </cell>
          <cell r="AX1" t="str">
            <v>ElementName</v>
          </cell>
          <cell r="AY1" t="str">
            <v>ScaleOverride</v>
          </cell>
          <cell r="AZ1" t="str">
            <v>UnitOverride</v>
          </cell>
          <cell r="BA1" t="str">
            <v>ReverseSign</v>
          </cell>
          <cell r="BB1" t="str">
            <v>IsDrivingAssumption</v>
          </cell>
          <cell r="BC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2005E</v>
          </cell>
          <cell r="AC4" t="str">
            <v>2006A</v>
          </cell>
          <cell r="AE4" t="str">
            <v>2007E</v>
          </cell>
          <cell r="AG4" t="str">
            <v>2008E</v>
          </cell>
          <cell r="AI4" t="str">
            <v>2009E</v>
          </cell>
          <cell r="AK4" t="str">
            <v>2010E</v>
          </cell>
          <cell r="AM4" t="str">
            <v>2011E</v>
          </cell>
          <cell r="AO4" t="str">
            <v>2012E</v>
          </cell>
          <cell r="AQ4" t="str">
            <v>2013E</v>
          </cell>
          <cell r="AS4" t="str">
            <v>2014E</v>
          </cell>
          <cell r="AU4" t="str">
            <v>2015E</v>
          </cell>
        </row>
        <row r="5">
          <cell r="B5" t="str">
            <v>Current assets:</v>
          </cell>
        </row>
        <row r="6">
          <cell r="B6" t="str">
            <v>Cash and Equivalents</v>
          </cell>
          <cell r="S6">
            <v>43.368000000000002</v>
          </cell>
          <cell r="U6">
            <v>22.928000000000001</v>
          </cell>
          <cell r="W6">
            <v>29.698</v>
          </cell>
          <cell r="Y6">
            <v>132.18</v>
          </cell>
          <cell r="AA6">
            <v>11.494</v>
          </cell>
          <cell r="AC6">
            <v>18.861000000000001</v>
          </cell>
          <cell r="AE6">
            <v>91.939680093356699</v>
          </cell>
          <cell r="AG6">
            <v>63.824837583046133</v>
          </cell>
          <cell r="AI6">
            <v>153.62289429723813</v>
          </cell>
          <cell r="AK6">
            <v>174.40993054508192</v>
          </cell>
          <cell r="AM6">
            <v>127.78678542925505</v>
          </cell>
          <cell r="AO6">
            <v>294.33820769501472</v>
          </cell>
          <cell r="AQ6">
            <v>557.20778936553711</v>
          </cell>
          <cell r="AS6">
            <v>774.36711246034668</v>
          </cell>
          <cell r="AU6">
            <v>1113.3950179809435</v>
          </cell>
          <cell r="AX6" t="str">
            <v>mstag:cashAndCashEquivalents</v>
          </cell>
          <cell r="AY6">
            <v>6</v>
          </cell>
          <cell r="AZ6" t="str">
            <v>ISO4217:USD</v>
          </cell>
          <cell r="BA6" t="b">
            <v>0</v>
          </cell>
          <cell r="BB6" t="b">
            <v>0</v>
          </cell>
        </row>
        <row r="7">
          <cell r="B7" t="str">
            <v>Marketable Securities</v>
          </cell>
          <cell r="S7">
            <v>464.53500000000003</v>
          </cell>
          <cell r="U7">
            <v>406.09</v>
          </cell>
          <cell r="W7">
            <v>264.10899999999998</v>
          </cell>
          <cell r="Y7">
            <v>337.584</v>
          </cell>
          <cell r="AA7">
            <v>333.47699999999998</v>
          </cell>
          <cell r="AC7">
            <v>299.71199999999999</v>
          </cell>
          <cell r="AE7">
            <v>153.69846153846152</v>
          </cell>
          <cell r="AG7">
            <v>58.295156695156663</v>
          </cell>
          <cell r="AI7">
            <v>37.609778513004258</v>
          </cell>
          <cell r="AK7">
            <v>27.859095194817925</v>
          </cell>
          <cell r="AM7">
            <v>20.63636681097617</v>
          </cell>
          <cell r="AO7">
            <v>15.286197637760019</v>
          </cell>
          <cell r="AQ7">
            <v>48.360146398340589</v>
          </cell>
          <cell r="AS7">
            <v>35.822330665437221</v>
          </cell>
          <cell r="AU7">
            <v>19.12765234476792</v>
          </cell>
          <cell r="AX7" t="str">
            <v>mstag:shortTermInvestments</v>
          </cell>
          <cell r="AY7">
            <v>6</v>
          </cell>
          <cell r="AZ7" t="str">
            <v>ISO4217:USD</v>
          </cell>
          <cell r="BA7" t="b">
            <v>0</v>
          </cell>
          <cell r="BB7" t="b">
            <v>0</v>
          </cell>
        </row>
        <row r="8">
          <cell r="B8" t="str">
            <v>Accounts Receivable, net</v>
          </cell>
          <cell r="S8">
            <v>54.037999999999997</v>
          </cell>
          <cell r="U8">
            <v>8.4849999999999994</v>
          </cell>
          <cell r="W8">
            <v>5.2279999999999998</v>
          </cell>
          <cell r="Y8">
            <v>2.1429999999999998</v>
          </cell>
          <cell r="AA8">
            <v>1.423</v>
          </cell>
          <cell r="AC8">
            <v>2.073</v>
          </cell>
          <cell r="AE8">
            <v>6.8879999999999999</v>
          </cell>
          <cell r="AG8">
            <v>0.72222222222222221</v>
          </cell>
          <cell r="AI8">
            <v>6</v>
          </cell>
          <cell r="AK8">
            <v>6.75</v>
          </cell>
          <cell r="AM8">
            <v>25.46875</v>
          </cell>
          <cell r="AO8">
            <v>44.6875</v>
          </cell>
          <cell r="AQ8">
            <v>106.09375</v>
          </cell>
          <cell r="AS8">
            <v>167.5</v>
          </cell>
          <cell r="AU8">
            <v>228.90625</v>
          </cell>
          <cell r="AX8" t="str">
            <v>mstag:tradeReceivablesCurrent</v>
          </cell>
          <cell r="AY8">
            <v>6</v>
          </cell>
          <cell r="AZ8" t="str">
            <v>ISO4217:USD</v>
          </cell>
          <cell r="BA8" t="b">
            <v>0</v>
          </cell>
          <cell r="BB8" t="b">
            <v>0</v>
          </cell>
        </row>
        <row r="9">
          <cell r="B9" t="str">
            <v>Inventories</v>
          </cell>
          <cell r="S9">
            <v>0</v>
          </cell>
          <cell r="U9">
            <v>0</v>
          </cell>
          <cell r="W9">
            <v>0</v>
          </cell>
          <cell r="Y9">
            <v>0</v>
          </cell>
          <cell r="AA9">
            <v>0</v>
          </cell>
          <cell r="AC9">
            <v>0</v>
          </cell>
          <cell r="AE9">
            <v>0</v>
          </cell>
          <cell r="AG9">
            <v>0</v>
          </cell>
          <cell r="AI9">
            <v>0</v>
          </cell>
          <cell r="AK9">
            <v>0</v>
          </cell>
          <cell r="AM9">
            <v>3.84375</v>
          </cell>
          <cell r="AO9">
            <v>7.6875</v>
          </cell>
          <cell r="AQ9">
            <v>11.53125</v>
          </cell>
          <cell r="AS9">
            <v>15.375</v>
          </cell>
          <cell r="AU9">
            <v>19.21875</v>
          </cell>
          <cell r="AX9" t="str">
            <v>mstag:inventories</v>
          </cell>
          <cell r="AY9">
            <v>6</v>
          </cell>
          <cell r="AZ9" t="str">
            <v>ISO4217:USD</v>
          </cell>
          <cell r="BA9" t="b">
            <v>0</v>
          </cell>
          <cell r="BB9" t="b">
            <v>0</v>
          </cell>
        </row>
        <row r="10">
          <cell r="B10" t="str">
            <v>Deferred Taxes, Net</v>
          </cell>
          <cell r="Y10">
            <v>0</v>
          </cell>
          <cell r="AA10">
            <v>0</v>
          </cell>
          <cell r="AC10">
            <v>0</v>
          </cell>
          <cell r="AE10">
            <v>0</v>
          </cell>
          <cell r="AG10">
            <v>0</v>
          </cell>
          <cell r="AI10">
            <v>0</v>
          </cell>
          <cell r="AK10">
            <v>0</v>
          </cell>
          <cell r="AM10">
            <v>0</v>
          </cell>
          <cell r="AO10">
            <v>0</v>
          </cell>
          <cell r="AQ10">
            <v>51.362204030295295</v>
          </cell>
          <cell r="AS10">
            <v>169.15669158142452</v>
          </cell>
          <cell r="AU10">
            <v>356.38893898182585</v>
          </cell>
          <cell r="AX10" t="str">
            <v>mstag:deferredTaxAssetsCurrent</v>
          </cell>
          <cell r="AY10">
            <v>6</v>
          </cell>
          <cell r="AZ10" t="str">
            <v>ISO4217:USD</v>
          </cell>
          <cell r="BA10" t="b">
            <v>0</v>
          </cell>
          <cell r="BB10" t="b">
            <v>0</v>
          </cell>
        </row>
        <row r="11">
          <cell r="B11" t="str">
            <v>Prepaid Expenses and Other Current Assets</v>
          </cell>
          <cell r="S11">
            <v>29.28</v>
          </cell>
          <cell r="U11">
            <v>21.268000000000001</v>
          </cell>
          <cell r="W11">
            <v>11.288</v>
          </cell>
          <cell r="Y11">
            <v>7.1420000000000003</v>
          </cell>
          <cell r="AA11">
            <v>7.5819999999999999</v>
          </cell>
          <cell r="AC11">
            <v>7.1150000000000002</v>
          </cell>
          <cell r="AE11">
            <v>10.331999999999999</v>
          </cell>
          <cell r="AG11">
            <v>0.8125</v>
          </cell>
          <cell r="AI11">
            <v>6.75</v>
          </cell>
          <cell r="AK11">
            <v>6.75</v>
          </cell>
          <cell r="AM11">
            <v>25.46875</v>
          </cell>
          <cell r="AO11">
            <v>44.6875</v>
          </cell>
          <cell r="AQ11">
            <v>106.09375</v>
          </cell>
          <cell r="AS11">
            <v>167.5</v>
          </cell>
          <cell r="AU11">
            <v>228.90625</v>
          </cell>
          <cell r="AX11" t="str">
            <v>mstag:otherAssetsOperatingCurrent</v>
          </cell>
          <cell r="AY11">
            <v>6</v>
          </cell>
          <cell r="AZ11" t="str">
            <v>ISO4217:USD</v>
          </cell>
          <cell r="BA11" t="b">
            <v>0</v>
          </cell>
          <cell r="BB11" t="b">
            <v>0</v>
          </cell>
        </row>
        <row r="12">
          <cell r="B12" t="str">
            <v>Assets of Discontinued Operations</v>
          </cell>
          <cell r="W12">
            <v>0.60399999999999998</v>
          </cell>
          <cell r="Y12">
            <v>2.2639999999999998</v>
          </cell>
          <cell r="AX12" t="str">
            <v>mstag:assetsOfDiscontinuedOperations</v>
          </cell>
          <cell r="AY12">
            <v>6</v>
          </cell>
          <cell r="AZ12" t="str">
            <v>ISO4217:USD</v>
          </cell>
          <cell r="BA12" t="b">
            <v>0</v>
          </cell>
          <cell r="BB12" t="b">
            <v>0</v>
          </cell>
        </row>
        <row r="13">
          <cell r="B13" t="str">
            <v>Total current assets</v>
          </cell>
          <cell r="C13">
            <v>0</v>
          </cell>
          <cell r="E13">
            <v>0</v>
          </cell>
          <cell r="G13">
            <v>0</v>
          </cell>
          <cell r="I13">
            <v>0</v>
          </cell>
          <cell r="K13">
            <v>0</v>
          </cell>
          <cell r="M13">
            <v>0</v>
          </cell>
          <cell r="O13">
            <v>0</v>
          </cell>
          <cell r="Q13">
            <v>0</v>
          </cell>
          <cell r="S13">
            <v>591.221</v>
          </cell>
          <cell r="U13">
            <v>458.77099999999996</v>
          </cell>
          <cell r="W13">
            <v>310.92699999999996</v>
          </cell>
          <cell r="Y13">
            <v>481.31299999999999</v>
          </cell>
          <cell r="AA13">
            <v>353.976</v>
          </cell>
          <cell r="AC13">
            <v>327.76099999999997</v>
          </cell>
          <cell r="AE13">
            <v>262.85814163181823</v>
          </cell>
          <cell r="AG13">
            <v>123.65471650042502</v>
          </cell>
          <cell r="AI13">
            <v>203.98267281024238</v>
          </cell>
          <cell r="AK13">
            <v>215.76902573989986</v>
          </cell>
          <cell r="AM13">
            <v>203.20440224023122</v>
          </cell>
          <cell r="AO13">
            <v>406.68690533277476</v>
          </cell>
          <cell r="AQ13">
            <v>880.64888979417299</v>
          </cell>
          <cell r="AS13">
            <v>1329.7211347072084</v>
          </cell>
          <cell r="AU13">
            <v>1965.9428593075372</v>
          </cell>
        </row>
        <row r="15">
          <cell r="B15" t="str">
            <v>Property, Plant &amp; Equipment, Net</v>
          </cell>
          <cell r="S15">
            <v>47.927</v>
          </cell>
          <cell r="U15">
            <v>31.786999999999999</v>
          </cell>
          <cell r="W15">
            <v>27.193000000000001</v>
          </cell>
          <cell r="Y15">
            <v>9.9589999999999996</v>
          </cell>
          <cell r="AA15">
            <v>7.6669999999999998</v>
          </cell>
          <cell r="AC15">
            <v>5.89</v>
          </cell>
          <cell r="AE15">
            <v>6.3339999999999996</v>
          </cell>
          <cell r="AG15">
            <v>3.6589999999999998</v>
          </cell>
          <cell r="AI15">
            <v>3.359</v>
          </cell>
          <cell r="AK15">
            <v>3.0590000000000002</v>
          </cell>
          <cell r="AM15">
            <v>11.209000000000001</v>
          </cell>
          <cell r="AO15">
            <v>27.046500000000002</v>
          </cell>
          <cell r="AQ15">
            <v>67.446500000000015</v>
          </cell>
          <cell r="AS15">
            <v>132.40900000000002</v>
          </cell>
          <cell r="AU15">
            <v>221.93400000000003</v>
          </cell>
        </row>
        <row r="16">
          <cell r="B16" t="str">
            <v>Gross P,P&amp;E:  Ending balance</v>
          </cell>
          <cell r="S16">
            <v>135.43199999999999</v>
          </cell>
          <cell r="U16">
            <v>131.28399999999999</v>
          </cell>
          <cell r="W16">
            <v>90.617000000000004</v>
          </cell>
          <cell r="Y16">
            <v>21.69</v>
          </cell>
          <cell r="AA16">
            <v>23.323</v>
          </cell>
          <cell r="AC16">
            <v>24.891000000000002</v>
          </cell>
          <cell r="AE16">
            <v>28.335000000000001</v>
          </cell>
          <cell r="AG16">
            <v>28.66</v>
          </cell>
          <cell r="AI16">
            <v>31.36</v>
          </cell>
          <cell r="AK16">
            <v>34.06</v>
          </cell>
          <cell r="AM16">
            <v>44.247500000000002</v>
          </cell>
          <cell r="AO16">
            <v>62.122500000000002</v>
          </cell>
          <cell r="AQ16">
            <v>104.56</v>
          </cell>
          <cell r="AS16">
            <v>171.56</v>
          </cell>
          <cell r="AU16">
            <v>263.1225</v>
          </cell>
          <cell r="AX16" t="str">
            <v>mstag:propertyPlantAndEquipmentGross</v>
          </cell>
          <cell r="AY16">
            <v>6</v>
          </cell>
          <cell r="AZ16" t="str">
            <v>ISO4217:USD</v>
          </cell>
          <cell r="BA16" t="b">
            <v>0</v>
          </cell>
          <cell r="BB16" t="b">
            <v>0</v>
          </cell>
        </row>
        <row r="17">
          <cell r="B17" t="str">
            <v>Accumulated Depreciation:  Ending balance</v>
          </cell>
          <cell r="S17">
            <v>87.504999999999995</v>
          </cell>
          <cell r="U17">
            <v>99.497</v>
          </cell>
          <cell r="W17">
            <v>63.423999999999999</v>
          </cell>
          <cell r="Y17">
            <v>11.731</v>
          </cell>
          <cell r="AA17">
            <v>15.654999999999999</v>
          </cell>
          <cell r="AC17">
            <v>18.957999999999998</v>
          </cell>
          <cell r="AE17">
            <v>21.957999999999998</v>
          </cell>
          <cell r="AG17">
            <v>24.957999999999998</v>
          </cell>
          <cell r="AI17">
            <v>27.957999999999998</v>
          </cell>
          <cell r="AK17">
            <v>30.957999999999998</v>
          </cell>
          <cell r="AM17">
            <v>32.9955</v>
          </cell>
          <cell r="AO17">
            <v>35.033000000000001</v>
          </cell>
          <cell r="AQ17">
            <v>37.070500000000003</v>
          </cell>
          <cell r="AS17">
            <v>39.108000000000004</v>
          </cell>
          <cell r="AU17">
            <v>41.145500000000006</v>
          </cell>
          <cell r="AX17" t="str">
            <v>mstag:accumulatedDepreciation</v>
          </cell>
          <cell r="AY17">
            <v>6</v>
          </cell>
          <cell r="AZ17" t="str">
            <v>ISO4217:USD</v>
          </cell>
          <cell r="BA17" t="b">
            <v>0</v>
          </cell>
          <cell r="BB17" t="b">
            <v>0</v>
          </cell>
        </row>
        <row r="18">
          <cell r="B18" t="str">
            <v>Long-Term Investments</v>
          </cell>
          <cell r="S18">
            <v>45.271999999999998</v>
          </cell>
          <cell r="U18">
            <v>35.515000000000001</v>
          </cell>
          <cell r="W18">
            <v>16.196000000000002</v>
          </cell>
          <cell r="Y18">
            <v>11.427</v>
          </cell>
          <cell r="AA18">
            <v>1.3680000000000001</v>
          </cell>
          <cell r="AC18">
            <v>11.237</v>
          </cell>
          <cell r="AE18">
            <v>11.237</v>
          </cell>
          <cell r="AG18">
            <v>11.237</v>
          </cell>
          <cell r="AI18">
            <v>11.237</v>
          </cell>
          <cell r="AK18">
            <v>11.237</v>
          </cell>
          <cell r="AM18">
            <v>11.237</v>
          </cell>
          <cell r="AO18">
            <v>11.237</v>
          </cell>
          <cell r="AQ18">
            <v>11.237</v>
          </cell>
          <cell r="AS18">
            <v>11.237</v>
          </cell>
          <cell r="AU18">
            <v>11.237</v>
          </cell>
          <cell r="AX18" t="str">
            <v>mstag:longTermInvestmentsNonOperating</v>
          </cell>
          <cell r="AY18">
            <v>6</v>
          </cell>
          <cell r="AZ18" t="str">
            <v>ISO4217:USD</v>
          </cell>
          <cell r="BA18" t="b">
            <v>0</v>
          </cell>
          <cell r="BB18" t="b">
            <v>0</v>
          </cell>
        </row>
        <row r="19">
          <cell r="B19" t="str">
            <v>Non-Current Deferred Tax Asset</v>
          </cell>
          <cell r="AA19">
            <v>0</v>
          </cell>
          <cell r="AC19">
            <v>0</v>
          </cell>
          <cell r="AE19">
            <v>0</v>
          </cell>
          <cell r="AG19">
            <v>0</v>
          </cell>
          <cell r="AI19">
            <v>0</v>
          </cell>
          <cell r="AK19">
            <v>0</v>
          </cell>
          <cell r="AM19">
            <v>0</v>
          </cell>
          <cell r="AO19">
            <v>0</v>
          </cell>
          <cell r="AQ19">
            <v>0</v>
          </cell>
          <cell r="AS19">
            <v>0</v>
          </cell>
          <cell r="AU19">
            <v>0</v>
          </cell>
          <cell r="AX19" t="str">
            <v>mstag:deferredTaxAssetsNonCurrent</v>
          </cell>
          <cell r="AY19">
            <v>6</v>
          </cell>
          <cell r="AZ19" t="str">
            <v>ISO4217:USD</v>
          </cell>
          <cell r="BA19" t="b">
            <v>0</v>
          </cell>
          <cell r="BB19" t="b">
            <v>0</v>
          </cell>
        </row>
        <row r="20">
          <cell r="B20" t="str">
            <v>Intangible Assets, net</v>
          </cell>
          <cell r="S20">
            <v>21.138999999999999</v>
          </cell>
          <cell r="U20">
            <v>26.065999999999999</v>
          </cell>
          <cell r="W20">
            <v>23.109000000000002</v>
          </cell>
          <cell r="Y20">
            <v>14.22</v>
          </cell>
          <cell r="AA20">
            <v>11.097</v>
          </cell>
          <cell r="AC20">
            <v>8.7149999999999999</v>
          </cell>
          <cell r="AE20">
            <v>7.527181818181818</v>
          </cell>
          <cell r="AG20">
            <v>6.4473471074380164</v>
          </cell>
          <cell r="AI20">
            <v>5.4656791885800153</v>
          </cell>
          <cell r="AK20">
            <v>4.5732538078000138</v>
          </cell>
          <cell r="AM20">
            <v>3.7619580070909215</v>
          </cell>
          <cell r="AO20">
            <v>3.0244163700826556</v>
          </cell>
          <cell r="AQ20">
            <v>2.3539239728024142</v>
          </cell>
          <cell r="AS20">
            <v>1.6834315755221725</v>
          </cell>
          <cell r="AU20">
            <v>1.0129391782419312</v>
          </cell>
          <cell r="AX20" t="str">
            <v>mstag:otherIntangibleAssets</v>
          </cell>
          <cell r="AY20">
            <v>6</v>
          </cell>
          <cell r="AZ20" t="str">
            <v>ISO4217:USD</v>
          </cell>
          <cell r="BA20" t="b">
            <v>0</v>
          </cell>
          <cell r="BB20" t="b">
            <v>0</v>
          </cell>
        </row>
        <row r="21">
          <cell r="B21" t="str">
            <v>Goodwill</v>
          </cell>
          <cell r="AA21">
            <v>0</v>
          </cell>
          <cell r="AC21">
            <v>0</v>
          </cell>
          <cell r="AE21">
            <v>0</v>
          </cell>
          <cell r="AG21">
            <v>0</v>
          </cell>
          <cell r="AI21">
            <v>0</v>
          </cell>
          <cell r="AK21">
            <v>0</v>
          </cell>
          <cell r="AM21">
            <v>0</v>
          </cell>
          <cell r="AO21">
            <v>0</v>
          </cell>
          <cell r="AQ21">
            <v>0</v>
          </cell>
          <cell r="AS21">
            <v>0</v>
          </cell>
          <cell r="AU21">
            <v>0</v>
          </cell>
          <cell r="AX21" t="str">
            <v>mstag:goodwill</v>
          </cell>
          <cell r="AY21">
            <v>6</v>
          </cell>
          <cell r="AZ21" t="str">
            <v>ISO4217:USD</v>
          </cell>
          <cell r="BA21" t="b">
            <v>0</v>
          </cell>
          <cell r="BB21" t="b">
            <v>0</v>
          </cell>
        </row>
        <row r="22">
          <cell r="B22" t="str">
            <v>Other Assets</v>
          </cell>
          <cell r="W22">
            <v>2.12</v>
          </cell>
          <cell r="Y22">
            <v>0</v>
          </cell>
          <cell r="AA22">
            <v>0</v>
          </cell>
          <cell r="AC22">
            <v>0</v>
          </cell>
          <cell r="AE22">
            <v>0.64402800000000004</v>
          </cell>
          <cell r="AG22">
            <v>5.5250000000000007E-2</v>
          </cell>
          <cell r="AI22">
            <v>0.432</v>
          </cell>
          <cell r="AK22">
            <v>0.40499999999999997</v>
          </cell>
          <cell r="AM22">
            <v>1.528125</v>
          </cell>
          <cell r="AO22">
            <v>2.6812499999999999</v>
          </cell>
          <cell r="AQ22">
            <v>6.3656249999999996</v>
          </cell>
          <cell r="AS22">
            <v>10.049999999999999</v>
          </cell>
          <cell r="AU22">
            <v>13.734375</v>
          </cell>
          <cell r="AX22" t="str">
            <v>mstag:otherAssetsNonOperatingNonCurrent</v>
          </cell>
          <cell r="AY22">
            <v>6</v>
          </cell>
          <cell r="AZ22" t="str">
            <v>ISO4217:USD</v>
          </cell>
          <cell r="BA22" t="b">
            <v>0</v>
          </cell>
          <cell r="BB22" t="b">
            <v>0</v>
          </cell>
        </row>
        <row r="24">
          <cell r="B24" t="str">
            <v>Total assets</v>
          </cell>
          <cell r="C24">
            <v>0</v>
          </cell>
          <cell r="E24">
            <v>0</v>
          </cell>
          <cell r="G24">
            <v>0</v>
          </cell>
          <cell r="I24">
            <v>0</v>
          </cell>
          <cell r="K24">
            <v>0</v>
          </cell>
          <cell r="M24">
            <v>0</v>
          </cell>
          <cell r="O24">
            <v>0</v>
          </cell>
          <cell r="Q24">
            <v>0</v>
          </cell>
          <cell r="S24">
            <v>705.55900000000008</v>
          </cell>
          <cell r="U24">
            <v>552.13900000000001</v>
          </cell>
          <cell r="W24">
            <v>379.54499999999996</v>
          </cell>
          <cell r="Y24">
            <v>516.91899999999998</v>
          </cell>
          <cell r="AA24">
            <v>374.10799999999995</v>
          </cell>
          <cell r="AC24">
            <v>353.60299999999995</v>
          </cell>
          <cell r="AE24">
            <v>288.60035145000006</v>
          </cell>
          <cell r="AG24">
            <v>145.05331360786306</v>
          </cell>
          <cell r="AI24">
            <v>224.47635199882239</v>
          </cell>
          <cell r="AK24">
            <v>235.04327954769985</v>
          </cell>
          <cell r="AM24">
            <v>230.94048524732213</v>
          </cell>
          <cell r="AO24">
            <v>450.67607170285737</v>
          </cell>
          <cell r="AQ24">
            <v>968.05193876697535</v>
          </cell>
          <cell r="AS24">
            <v>1485.1005662827308</v>
          </cell>
          <cell r="AU24">
            <v>2213.8611734857795</v>
          </cell>
        </row>
        <row r="26">
          <cell r="B26" t="str">
            <v>Current liabilities:</v>
          </cell>
        </row>
        <row r="27">
          <cell r="B27" t="str">
            <v>Accounts Payable</v>
          </cell>
          <cell r="S27">
            <v>7.3470000000000004</v>
          </cell>
          <cell r="U27">
            <v>9.0730000000000004</v>
          </cell>
          <cell r="W27">
            <v>6.45</v>
          </cell>
          <cell r="Y27">
            <v>2.3210000000000002</v>
          </cell>
          <cell r="AA27">
            <v>3.573</v>
          </cell>
          <cell r="AC27">
            <v>5.9160000000000004</v>
          </cell>
          <cell r="AE27">
            <v>10.937000000000001</v>
          </cell>
          <cell r="AG27">
            <v>14.2</v>
          </cell>
          <cell r="AI27">
            <v>14.697916559999999</v>
          </cell>
          <cell r="AK27">
            <v>15.2618748912</v>
          </cell>
          <cell r="AM27">
            <v>17.249375000000001</v>
          </cell>
          <cell r="AO27">
            <v>21.96875</v>
          </cell>
          <cell r="AQ27">
            <v>27.733625</v>
          </cell>
          <cell r="AS27">
            <v>32.082500000000003</v>
          </cell>
          <cell r="AU27">
            <v>35.5234375</v>
          </cell>
          <cell r="AX27" t="str">
            <v>mstag:tradeAndOtherPayablesCurrent</v>
          </cell>
          <cell r="AY27">
            <v>6</v>
          </cell>
          <cell r="AZ27" t="str">
            <v>ISO4217:USD</v>
          </cell>
          <cell r="BA27" t="b">
            <v>0</v>
          </cell>
          <cell r="BB27" t="b">
            <v>0</v>
          </cell>
        </row>
        <row r="28">
          <cell r="B28" t="str">
            <v>Accrued Compensatoin / Expenses</v>
          </cell>
          <cell r="S28">
            <v>18.812000000000001</v>
          </cell>
          <cell r="U28">
            <v>14.319000000000001</v>
          </cell>
          <cell r="W28">
            <v>12.401999999999999</v>
          </cell>
          <cell r="Y28">
            <v>7.8760000000000003</v>
          </cell>
          <cell r="AA28">
            <v>7.59</v>
          </cell>
          <cell r="AC28">
            <v>6.8789999999999996</v>
          </cell>
          <cell r="AE28">
            <v>15.497999999999999</v>
          </cell>
          <cell r="AG28">
            <v>1.5274999999999999</v>
          </cell>
          <cell r="AI28">
            <v>13.5</v>
          </cell>
          <cell r="AK28">
            <v>13.77</v>
          </cell>
          <cell r="AM28">
            <v>52.975000000000001</v>
          </cell>
          <cell r="AO28">
            <v>92.95</v>
          </cell>
          <cell r="AQ28">
            <v>220.67500000000001</v>
          </cell>
          <cell r="AS28">
            <v>348.40000000000003</v>
          </cell>
          <cell r="AU28">
            <v>476.125</v>
          </cell>
          <cell r="AX28" t="str">
            <v>mstag:payrollAndBenefitsRelatedLiabilities</v>
          </cell>
          <cell r="AY28">
            <v>6</v>
          </cell>
          <cell r="AZ28" t="str">
            <v>ISO4217:USD</v>
          </cell>
          <cell r="BA28" t="b">
            <v>0</v>
          </cell>
          <cell r="BB28" t="b">
            <v>0</v>
          </cell>
        </row>
        <row r="29">
          <cell r="B29" t="str">
            <v>Interest Payable / Current Portion of Long Term Debt</v>
          </cell>
          <cell r="S29">
            <v>4.0599999999999996</v>
          </cell>
          <cell r="U29">
            <v>3.903</v>
          </cell>
          <cell r="W29">
            <v>3.8159999999999998</v>
          </cell>
          <cell r="Y29">
            <v>6.2169999999999996</v>
          </cell>
          <cell r="AA29">
            <v>5.3819999999999997</v>
          </cell>
          <cell r="AC29">
            <v>4.6680000000000001</v>
          </cell>
          <cell r="AE29">
            <v>4.6680000000000001</v>
          </cell>
          <cell r="AG29">
            <v>4.6680000000000001</v>
          </cell>
          <cell r="AI29">
            <v>4.6680000000000001</v>
          </cell>
          <cell r="AK29">
            <v>4.6680000000000001</v>
          </cell>
          <cell r="AM29">
            <v>4.6680000000000001</v>
          </cell>
          <cell r="AO29">
            <v>4.6680000000000001</v>
          </cell>
          <cell r="AQ29">
            <v>4.6680000000000001</v>
          </cell>
          <cell r="AS29">
            <v>4.6680000000000001</v>
          </cell>
          <cell r="AU29">
            <v>4.6680000000000001</v>
          </cell>
          <cell r="AX29" t="str">
            <v>mstag:otherPayablesNonCurrent</v>
          </cell>
          <cell r="AY29">
            <v>6</v>
          </cell>
          <cell r="AZ29" t="str">
            <v>ISO4217:USD</v>
          </cell>
          <cell r="BA29" t="b">
            <v>0</v>
          </cell>
          <cell r="BB29" t="b">
            <v>0</v>
          </cell>
        </row>
        <row r="30">
          <cell r="B30" t="str">
            <v>Accrued and Other Current Liabilities</v>
          </cell>
          <cell r="S30">
            <v>16.873999999999999</v>
          </cell>
          <cell r="U30">
            <v>7.1400000000000006</v>
          </cell>
          <cell r="W30">
            <v>4.3209999999999997</v>
          </cell>
          <cell r="Y30">
            <v>4.8380000000000001</v>
          </cell>
          <cell r="AA30">
            <v>5.1239999999999997</v>
          </cell>
          <cell r="AC30">
            <v>4.024</v>
          </cell>
          <cell r="AE30">
            <v>13.1244</v>
          </cell>
          <cell r="AG30">
            <v>17.04</v>
          </cell>
          <cell r="AI30">
            <v>20.577083183999999</v>
          </cell>
          <cell r="AK30">
            <v>22.892812336799999</v>
          </cell>
          <cell r="AM30">
            <v>27.599</v>
          </cell>
          <cell r="AO30">
            <v>35.15</v>
          </cell>
          <cell r="AQ30">
            <v>44.373800000000003</v>
          </cell>
          <cell r="AS30">
            <v>51.332000000000008</v>
          </cell>
          <cell r="AU30">
            <v>56.837499999999999</v>
          </cell>
          <cell r="AX30" t="str">
            <v>mstag:otherLiabilitiesNonOperating</v>
          </cell>
          <cell r="AY30">
            <v>6</v>
          </cell>
          <cell r="AZ30" t="str">
            <v>ISO4217:USD</v>
          </cell>
          <cell r="BA30" t="b">
            <v>0</v>
          </cell>
          <cell r="BB30" t="b">
            <v>0</v>
          </cell>
        </row>
        <row r="31">
          <cell r="B31" t="str">
            <v>Deferred Revenue</v>
          </cell>
          <cell r="S31">
            <v>24.045000000000002</v>
          </cell>
          <cell r="U31">
            <v>11.662000000000001</v>
          </cell>
          <cell r="W31">
            <v>4.5339999999999998</v>
          </cell>
          <cell r="Y31">
            <v>1.8069999999999999</v>
          </cell>
          <cell r="AA31">
            <v>0.60399999999999998</v>
          </cell>
          <cell r="AC31">
            <v>22.882999999999999</v>
          </cell>
          <cell r="AE31">
            <v>2.8829999999999991</v>
          </cell>
          <cell r="AG31">
            <v>2.8829999999999991</v>
          </cell>
          <cell r="AI31">
            <v>2.8829999999999991</v>
          </cell>
          <cell r="AK31">
            <v>2.8829999999999991</v>
          </cell>
          <cell r="AM31">
            <v>2.8829999999999991</v>
          </cell>
          <cell r="AO31">
            <v>2.8829999999999991</v>
          </cell>
          <cell r="AQ31">
            <v>2.8829999999999991</v>
          </cell>
          <cell r="AS31">
            <v>2.8829999999999991</v>
          </cell>
          <cell r="AU31">
            <v>2.8829999999999991</v>
          </cell>
          <cell r="AX31" t="str">
            <v>mstag:deferredRevenueCurrent</v>
          </cell>
          <cell r="AY31">
            <v>6</v>
          </cell>
          <cell r="AZ31" t="str">
            <v>ISO4217:USD</v>
          </cell>
          <cell r="BA31" t="b">
            <v>0</v>
          </cell>
          <cell r="BB31" t="b">
            <v>0</v>
          </cell>
        </row>
        <row r="32">
          <cell r="B32" t="str">
            <v>Accrued Restructuring and Acquisition Costs</v>
          </cell>
          <cell r="S32">
            <v>14.97</v>
          </cell>
          <cell r="U32">
            <v>31.596</v>
          </cell>
          <cell r="W32">
            <v>8.6</v>
          </cell>
          <cell r="Y32">
            <v>5.8730000000000002</v>
          </cell>
          <cell r="AA32">
            <v>5.5839999999999996</v>
          </cell>
          <cell r="AC32">
            <v>4.97</v>
          </cell>
          <cell r="AX32" t="str">
            <v>mstag:restructuringProvision</v>
          </cell>
          <cell r="AY32">
            <v>6</v>
          </cell>
          <cell r="AZ32" t="str">
            <v>ISO4217:USD</v>
          </cell>
          <cell r="BA32" t="b">
            <v>0</v>
          </cell>
          <cell r="BB32" t="b">
            <v>0</v>
          </cell>
        </row>
        <row r="33">
          <cell r="B33" t="str">
            <v>Liabilities of Discontinued Operations</v>
          </cell>
          <cell r="W33">
            <v>1.867</v>
          </cell>
          <cell r="Y33">
            <v>2.5489999999999999</v>
          </cell>
          <cell r="AA33">
            <v>0</v>
          </cell>
          <cell r="AX33" t="str">
            <v>mstag:liabilitiesOfDiscontinuedOperations</v>
          </cell>
          <cell r="AY33">
            <v>6</v>
          </cell>
          <cell r="AZ33" t="str">
            <v>ISO4217:USD</v>
          </cell>
          <cell r="BA33" t="b">
            <v>0</v>
          </cell>
          <cell r="BB33" t="b">
            <v>0</v>
          </cell>
        </row>
        <row r="34">
          <cell r="B34" t="str">
            <v>Total current liabilities</v>
          </cell>
          <cell r="C34">
            <v>0</v>
          </cell>
          <cell r="E34">
            <v>0</v>
          </cell>
          <cell r="G34">
            <v>0</v>
          </cell>
          <cell r="I34">
            <v>0</v>
          </cell>
          <cell r="K34">
            <v>0</v>
          </cell>
          <cell r="M34">
            <v>0</v>
          </cell>
          <cell r="O34">
            <v>0</v>
          </cell>
          <cell r="Q34">
            <v>0</v>
          </cell>
          <cell r="S34">
            <v>86.108000000000004</v>
          </cell>
          <cell r="U34">
            <v>77.692999999999998</v>
          </cell>
          <cell r="W34">
            <v>41.989999999999995</v>
          </cell>
          <cell r="Y34">
            <v>31.481000000000002</v>
          </cell>
          <cell r="AA34">
            <v>27.856999999999999</v>
          </cell>
          <cell r="AC34">
            <v>49.34</v>
          </cell>
          <cell r="AE34">
            <v>47.110399999999998</v>
          </cell>
          <cell r="AG34">
            <v>40.3185</v>
          </cell>
          <cell r="AI34">
            <v>56.325999744000001</v>
          </cell>
          <cell r="AK34">
            <v>59.475687227999998</v>
          </cell>
          <cell r="AM34">
            <v>105.37437500000001</v>
          </cell>
          <cell r="AO34">
            <v>157.61975000000001</v>
          </cell>
          <cell r="AQ34">
            <v>300.33342499999998</v>
          </cell>
          <cell r="AS34">
            <v>439.3655</v>
          </cell>
          <cell r="AU34">
            <v>576.03693750000002</v>
          </cell>
        </row>
        <row r="36">
          <cell r="B36" t="str">
            <v>Deferred Tax Liabilities</v>
          </cell>
          <cell r="Y36">
            <v>0</v>
          </cell>
          <cell r="AA36">
            <v>0</v>
          </cell>
          <cell r="AC36">
            <v>0</v>
          </cell>
          <cell r="AE36">
            <v>0</v>
          </cell>
          <cell r="AG36">
            <v>0</v>
          </cell>
          <cell r="AI36">
            <v>0</v>
          </cell>
          <cell r="AK36">
            <v>0</v>
          </cell>
          <cell r="AM36">
            <v>0</v>
          </cell>
          <cell r="AO36">
            <v>0</v>
          </cell>
          <cell r="AQ36">
            <v>0</v>
          </cell>
          <cell r="AS36">
            <v>0</v>
          </cell>
          <cell r="AU36">
            <v>0</v>
          </cell>
          <cell r="AX36" t="str">
            <v>mstag:deferredTaxLiabilities</v>
          </cell>
          <cell r="AY36">
            <v>6</v>
          </cell>
          <cell r="AZ36" t="str">
            <v>ISO4217:USD</v>
          </cell>
          <cell r="BA36" t="b">
            <v>0</v>
          </cell>
          <cell r="BB36" t="b">
            <v>0</v>
          </cell>
        </row>
        <row r="37">
          <cell r="B37" t="str">
            <v xml:space="preserve">Long-Term Debt </v>
          </cell>
          <cell r="S37">
            <v>179.24799999999999</v>
          </cell>
          <cell r="U37">
            <v>172.036</v>
          </cell>
          <cell r="W37">
            <v>167.786</v>
          </cell>
          <cell r="Y37">
            <v>378.76600000000002</v>
          </cell>
          <cell r="AA37">
            <v>341.86200000000002</v>
          </cell>
          <cell r="AC37">
            <v>371.10300000000001</v>
          </cell>
          <cell r="AE37">
            <v>381.32800000000003</v>
          </cell>
          <cell r="AG37">
            <v>391.55300000000005</v>
          </cell>
          <cell r="AI37">
            <v>401.77800000000008</v>
          </cell>
          <cell r="AK37">
            <v>412.0030000000001</v>
          </cell>
          <cell r="AM37">
            <v>0</v>
          </cell>
          <cell r="AO37">
            <v>0</v>
          </cell>
          <cell r="AQ37">
            <v>0</v>
          </cell>
          <cell r="AS37">
            <v>0</v>
          </cell>
          <cell r="AU37">
            <v>0</v>
          </cell>
          <cell r="AX37" t="str">
            <v>mstag:longTermDebt</v>
          </cell>
          <cell r="AY37">
            <v>6</v>
          </cell>
          <cell r="AZ37" t="str">
            <v>ISO4217:USD</v>
          </cell>
          <cell r="BA37" t="b">
            <v>0</v>
          </cell>
          <cell r="BB37" t="b">
            <v>0</v>
          </cell>
        </row>
        <row r="38">
          <cell r="B38" t="str">
            <v>Long-Term Deferred Revenue</v>
          </cell>
          <cell r="Y38">
            <v>0</v>
          </cell>
          <cell r="AA38">
            <v>0</v>
          </cell>
          <cell r="AC38">
            <v>0.34799999999999998</v>
          </cell>
          <cell r="AE38">
            <v>0.34799999999999998</v>
          </cell>
          <cell r="AG38">
            <v>0.34799999999999998</v>
          </cell>
          <cell r="AI38">
            <v>0.34799999999999998</v>
          </cell>
          <cell r="AK38">
            <v>0.34799999999999998</v>
          </cell>
          <cell r="AM38">
            <v>0.34799999999999998</v>
          </cell>
          <cell r="AO38">
            <v>0.34799999999999998</v>
          </cell>
          <cell r="AQ38">
            <v>0.34799999999999998</v>
          </cell>
          <cell r="AS38">
            <v>0.34799999999999998</v>
          </cell>
          <cell r="AU38">
            <v>0.34799999999999998</v>
          </cell>
          <cell r="AX38" t="str">
            <v>mstag:deferredRevenueNonCurrent</v>
          </cell>
          <cell r="AY38">
            <v>6</v>
          </cell>
          <cell r="AZ38" t="str">
            <v>ISO4217:USD</v>
          </cell>
          <cell r="BA38" t="b">
            <v>0</v>
          </cell>
          <cell r="BB38" t="b">
            <v>0</v>
          </cell>
        </row>
        <row r="39">
          <cell r="B39" t="str">
            <v>Other Long-Term Liabilities</v>
          </cell>
          <cell r="W39">
            <v>15.436</v>
          </cell>
          <cell r="Y39">
            <v>28.155000000000001</v>
          </cell>
          <cell r="AA39">
            <v>23.786000000000001</v>
          </cell>
          <cell r="AC39">
            <v>17.72</v>
          </cell>
          <cell r="AE39">
            <v>17.72</v>
          </cell>
          <cell r="AG39">
            <v>17.72</v>
          </cell>
          <cell r="AI39">
            <v>17.72</v>
          </cell>
          <cell r="AK39">
            <v>17.72</v>
          </cell>
          <cell r="AM39">
            <v>17.72</v>
          </cell>
          <cell r="AO39">
            <v>17.72</v>
          </cell>
          <cell r="AQ39">
            <v>17.72</v>
          </cell>
          <cell r="AS39">
            <v>17.72</v>
          </cell>
          <cell r="AU39">
            <v>17.72</v>
          </cell>
          <cell r="AX39" t="str">
            <v>mstag:otherLiabilitiesOperatingNonCurrent</v>
          </cell>
          <cell r="AY39">
            <v>6</v>
          </cell>
          <cell r="AZ39" t="str">
            <v>ISO4217:USD</v>
          </cell>
          <cell r="BA39" t="b">
            <v>0</v>
          </cell>
          <cell r="BB39" t="b">
            <v>0</v>
          </cell>
        </row>
        <row r="40">
          <cell r="B40" t="str">
            <v>Total liabilities</v>
          </cell>
          <cell r="C40">
            <v>0</v>
          </cell>
          <cell r="E40">
            <v>0</v>
          </cell>
          <cell r="G40">
            <v>0</v>
          </cell>
          <cell r="I40">
            <v>0</v>
          </cell>
          <cell r="K40">
            <v>0</v>
          </cell>
          <cell r="M40">
            <v>0</v>
          </cell>
          <cell r="O40">
            <v>0</v>
          </cell>
          <cell r="Q40">
            <v>0</v>
          </cell>
          <cell r="S40">
            <v>265.35599999999999</v>
          </cell>
          <cell r="U40">
            <v>249.72899999999998</v>
          </cell>
          <cell r="W40">
            <v>225.21200000000002</v>
          </cell>
          <cell r="Y40">
            <v>438.40200000000004</v>
          </cell>
          <cell r="AA40">
            <v>393.50500000000005</v>
          </cell>
          <cell r="AC40">
            <v>438.51099999999997</v>
          </cell>
          <cell r="AE40">
            <v>446.50639999999999</v>
          </cell>
          <cell r="AG40">
            <v>449.93950000000007</v>
          </cell>
          <cell r="AI40">
            <v>476.17199974400012</v>
          </cell>
          <cell r="AK40">
            <v>489.54668722800011</v>
          </cell>
          <cell r="AM40">
            <v>123.44237500000001</v>
          </cell>
          <cell r="AO40">
            <v>175.68775000000002</v>
          </cell>
          <cell r="AQ40">
            <v>318.40142500000002</v>
          </cell>
          <cell r="AS40">
            <v>457.43349999999998</v>
          </cell>
          <cell r="AU40">
            <v>594.10493750000001</v>
          </cell>
        </row>
        <row r="42">
          <cell r="B42" t="str">
            <v>Stockholders' equity:</v>
          </cell>
        </row>
        <row r="43">
          <cell r="B43" t="str">
            <v>Preferred Stock</v>
          </cell>
          <cell r="Y43">
            <v>0</v>
          </cell>
          <cell r="AA43">
            <v>0</v>
          </cell>
          <cell r="AC43">
            <v>0</v>
          </cell>
          <cell r="AE43">
            <v>0</v>
          </cell>
          <cell r="AG43">
            <v>0</v>
          </cell>
          <cell r="AI43">
            <v>0</v>
          </cell>
          <cell r="AK43">
            <v>0</v>
          </cell>
          <cell r="AM43">
            <v>0</v>
          </cell>
          <cell r="AO43">
            <v>0</v>
          </cell>
          <cell r="AQ43">
            <v>0</v>
          </cell>
          <cell r="AS43">
            <v>0</v>
          </cell>
          <cell r="AU43">
            <v>0</v>
          </cell>
          <cell r="AX43" t="str">
            <v>mstag:preferredEquity</v>
          </cell>
          <cell r="AY43">
            <v>6</v>
          </cell>
          <cell r="AZ43" t="str">
            <v>ISO4217:USD</v>
          </cell>
          <cell r="BA43" t="b">
            <v>0</v>
          </cell>
          <cell r="BB43" t="b">
            <v>0</v>
          </cell>
        </row>
        <row r="44">
          <cell r="B44" t="str">
            <v>Common Stock and APIC</v>
          </cell>
          <cell r="S44">
            <v>707.47900000000004</v>
          </cell>
          <cell r="U44">
            <v>708.23</v>
          </cell>
          <cell r="W44">
            <v>727.03499999999997</v>
          </cell>
          <cell r="Y44">
            <v>817.23299999999995</v>
          </cell>
          <cell r="AA44">
            <v>818.72199999999998</v>
          </cell>
          <cell r="AC44">
            <v>829.02</v>
          </cell>
          <cell r="AE44">
            <v>842.70195145000002</v>
          </cell>
          <cell r="AG44">
            <v>866.66691288000004</v>
          </cell>
          <cell r="AI44">
            <v>1077.9535281199999</v>
          </cell>
          <cell r="AK44">
            <v>1239.5233423722498</v>
          </cell>
          <cell r="AM44">
            <v>1689.0055324652196</v>
          </cell>
          <cell r="AO44">
            <v>1914.4174116632273</v>
          </cell>
          <cell r="AQ44">
            <v>2158.7649743170755</v>
          </cell>
          <cell r="AS44">
            <v>2205.9557990968315</v>
          </cell>
          <cell r="AU44">
            <v>2257.5008898589676</v>
          </cell>
          <cell r="AX44" t="str">
            <v>mstag:totalShareCapital</v>
          </cell>
          <cell r="AY44">
            <v>6</v>
          </cell>
          <cell r="AZ44" t="str">
            <v>ISO4217:USD</v>
          </cell>
          <cell r="BA44" t="b">
            <v>0</v>
          </cell>
          <cell r="BB44" t="b">
            <v>0</v>
          </cell>
        </row>
        <row r="45">
          <cell r="B45" t="str">
            <v>Deferred Stock-Based Compensation</v>
          </cell>
          <cell r="S45">
            <v>-8.1270000000000007</v>
          </cell>
          <cell r="U45">
            <v>-3.25</v>
          </cell>
          <cell r="W45">
            <v>-0.64900000000000002</v>
          </cell>
          <cell r="Y45">
            <v>-0.186</v>
          </cell>
          <cell r="AA45">
            <v>0</v>
          </cell>
          <cell r="AC45">
            <v>0</v>
          </cell>
          <cell r="AE45">
            <v>0</v>
          </cell>
          <cell r="AG45">
            <v>0</v>
          </cell>
          <cell r="AI45">
            <v>0</v>
          </cell>
          <cell r="AK45">
            <v>0</v>
          </cell>
          <cell r="AM45">
            <v>0</v>
          </cell>
          <cell r="AO45">
            <v>0</v>
          </cell>
          <cell r="AQ45">
            <v>0</v>
          </cell>
          <cell r="AS45">
            <v>0</v>
          </cell>
          <cell r="AU45">
            <v>0</v>
          </cell>
          <cell r="AX45" t="str">
            <v>mstag:unearnedCompensationReserve</v>
          </cell>
          <cell r="AY45">
            <v>6</v>
          </cell>
          <cell r="AZ45" t="str">
            <v>ISO4217:USD</v>
          </cell>
          <cell r="BA45" t="b">
            <v>0</v>
          </cell>
          <cell r="BB45" t="b">
            <v>0</v>
          </cell>
        </row>
        <row r="46">
          <cell r="B46" t="str">
            <v>(Accumulated Deficit) Retained Earnings</v>
          </cell>
          <cell r="S46">
            <v>-268.13900000000001</v>
          </cell>
          <cell r="U46">
            <v>-405.024</v>
          </cell>
          <cell r="W46">
            <v>-571.48699999999997</v>
          </cell>
          <cell r="Y46">
            <v>-736.30399999999997</v>
          </cell>
          <cell r="AA46">
            <v>-839.34699999999998</v>
          </cell>
          <cell r="AC46">
            <v>-913.51299999999992</v>
          </cell>
          <cell r="AE46">
            <v>-1000.193</v>
          </cell>
          <cell r="AG46">
            <v>-1171.138099272137</v>
          </cell>
          <cell r="AI46">
            <v>-1329.2341758651776</v>
          </cell>
          <cell r="AK46">
            <v>-1493.6117500525502</v>
          </cell>
          <cell r="AM46">
            <v>-1581.0933869378978</v>
          </cell>
          <cell r="AO46">
            <v>-1639.0150546803702</v>
          </cell>
          <cell r="AQ46">
            <v>-1508.7004252701004</v>
          </cell>
          <cell r="AS46">
            <v>-1177.8746975341012</v>
          </cell>
          <cell r="AU46">
            <v>-637.33061859318912</v>
          </cell>
          <cell r="AX46" t="str">
            <v>mstag:retainedEarnings</v>
          </cell>
          <cell r="AY46">
            <v>6</v>
          </cell>
          <cell r="AZ46" t="str">
            <v>ISO4217:USD</v>
          </cell>
          <cell r="BA46" t="b">
            <v>0</v>
          </cell>
          <cell r="BB46" t="b">
            <v>0</v>
          </cell>
        </row>
        <row r="47">
          <cell r="B47" t="str">
            <v>Accumulated Other Comprehensive Income</v>
          </cell>
          <cell r="S47">
            <v>8.99</v>
          </cell>
          <cell r="U47">
            <v>2.4540000000000002</v>
          </cell>
          <cell r="W47">
            <v>-0.56599999999999995</v>
          </cell>
          <cell r="Y47">
            <v>-2.226</v>
          </cell>
          <cell r="AA47">
            <v>1.228</v>
          </cell>
          <cell r="AC47">
            <v>-0.41499999999999998</v>
          </cell>
          <cell r="AE47">
            <v>-0.41499999999999998</v>
          </cell>
          <cell r="AG47">
            <v>-0.41499999999999998</v>
          </cell>
          <cell r="AI47">
            <v>-0.41499999999999998</v>
          </cell>
          <cell r="AK47">
            <v>-0.41499999999999998</v>
          </cell>
          <cell r="AM47">
            <v>-0.41499999999999998</v>
          </cell>
          <cell r="AO47">
            <v>-0.41499999999999998</v>
          </cell>
          <cell r="AQ47">
            <v>-0.41499999999999998</v>
          </cell>
          <cell r="AS47">
            <v>-0.41499999999999998</v>
          </cell>
          <cell r="AU47">
            <v>-0.41499999999999998</v>
          </cell>
          <cell r="AX47" t="str">
            <v>mstag:otherAccumulatedOciAndReserves</v>
          </cell>
          <cell r="AY47">
            <v>6</v>
          </cell>
          <cell r="AZ47" t="str">
            <v>ISO4217:USD</v>
          </cell>
          <cell r="BA47" t="b">
            <v>0</v>
          </cell>
          <cell r="BB47" t="b">
            <v>0</v>
          </cell>
        </row>
        <row r="48">
          <cell r="B48" t="str">
            <v>Total stockholders' equity</v>
          </cell>
          <cell r="I48">
            <v>0</v>
          </cell>
          <cell r="K48">
            <v>0</v>
          </cell>
          <cell r="M48">
            <v>0</v>
          </cell>
          <cell r="O48">
            <v>0</v>
          </cell>
          <cell r="Q48">
            <v>0</v>
          </cell>
          <cell r="S48">
            <v>440.20300000000009</v>
          </cell>
          <cell r="U48">
            <v>302.41000000000003</v>
          </cell>
          <cell r="W48">
            <v>154.333</v>
          </cell>
          <cell r="Y48">
            <v>78.516999999999939</v>
          </cell>
          <cell r="AA48">
            <v>-19.396999999999998</v>
          </cell>
          <cell r="AC48">
            <v>-84.907999999999944</v>
          </cell>
          <cell r="AE48">
            <v>-157.90604854999995</v>
          </cell>
          <cell r="AG48">
            <v>-304.88618639213695</v>
          </cell>
          <cell r="AI48">
            <v>-251.69564774517769</v>
          </cell>
          <cell r="AK48">
            <v>-254.5034076803004</v>
          </cell>
          <cell r="AM48">
            <v>107.49714552732185</v>
          </cell>
          <cell r="AO48">
            <v>274.98735698285708</v>
          </cell>
          <cell r="AQ48">
            <v>649.64954904697515</v>
          </cell>
          <cell r="AS48">
            <v>1027.6661015627303</v>
          </cell>
          <cell r="AU48">
            <v>1619.7552712657784</v>
          </cell>
        </row>
        <row r="50">
          <cell r="B50" t="str">
            <v>Total Liabilities and Equity</v>
          </cell>
          <cell r="C50">
            <v>0</v>
          </cell>
          <cell r="E50">
            <v>0</v>
          </cell>
          <cell r="G50">
            <v>0</v>
          </cell>
          <cell r="I50">
            <v>0</v>
          </cell>
          <cell r="K50">
            <v>0</v>
          </cell>
          <cell r="M50">
            <v>0</v>
          </cell>
          <cell r="O50">
            <v>0</v>
          </cell>
          <cell r="Q50">
            <v>0</v>
          </cell>
          <cell r="S50">
            <v>705.55900000000008</v>
          </cell>
          <cell r="U50">
            <v>552.13900000000001</v>
          </cell>
          <cell r="W50">
            <v>379.54500000000002</v>
          </cell>
          <cell r="Y50">
            <v>516.91899999999998</v>
          </cell>
          <cell r="AA50">
            <v>374.10800000000006</v>
          </cell>
          <cell r="AC50">
            <v>353.60300000000001</v>
          </cell>
          <cell r="AE50">
            <v>288.60035145000006</v>
          </cell>
          <cell r="AG50">
            <v>145.05331360786312</v>
          </cell>
          <cell r="AI50">
            <v>224.47635199882242</v>
          </cell>
          <cell r="AK50">
            <v>235.04327954769971</v>
          </cell>
          <cell r="AM50">
            <v>230.93952052732186</v>
          </cell>
          <cell r="AO50">
            <v>450.67510698285707</v>
          </cell>
          <cell r="AQ50">
            <v>968.05097404697517</v>
          </cell>
          <cell r="AS50">
            <v>1485.0996015627302</v>
          </cell>
          <cell r="AU50">
            <v>2213.8602087657782</v>
          </cell>
        </row>
        <row r="52">
          <cell r="B52" t="str">
            <v>Common Stock and APIC</v>
          </cell>
          <cell r="S52">
            <v>707.47900000000004</v>
          </cell>
          <cell r="U52">
            <v>0.75099999999997635</v>
          </cell>
          <cell r="W52">
            <v>18.80499999999995</v>
          </cell>
          <cell r="Y52">
            <v>90.197999999999979</v>
          </cell>
          <cell r="AA52">
            <v>1.4890000000000327</v>
          </cell>
          <cell r="AC52">
            <v>10.298000000000002</v>
          </cell>
          <cell r="AE52">
            <v>13.681951450000042</v>
          </cell>
          <cell r="AG52">
            <v>23.964961430000017</v>
          </cell>
          <cell r="AI52">
            <v>211.28661523999983</v>
          </cell>
          <cell r="AK52">
            <v>161.5698142522499</v>
          </cell>
          <cell r="AM52">
            <v>449.48219009296986</v>
          </cell>
          <cell r="AO52">
            <v>225.41187919800768</v>
          </cell>
          <cell r="AQ52">
            <v>244.34756265384817</v>
          </cell>
          <cell r="AS52">
            <v>47.190824779755985</v>
          </cell>
          <cell r="AU52">
            <v>51.545090762136169</v>
          </cell>
        </row>
        <row r="53">
          <cell r="B53" t="str">
            <v>(Accumulated Deficit) Retained Earnings</v>
          </cell>
          <cell r="S53">
            <v>-268.13900000000001</v>
          </cell>
          <cell r="U53">
            <v>-136.88499999999999</v>
          </cell>
          <cell r="W53">
            <v>-166.46299999999997</v>
          </cell>
          <cell r="Y53">
            <v>-164.81700000000001</v>
          </cell>
          <cell r="AA53">
            <v>-103.04300000000001</v>
          </cell>
          <cell r="AC53">
            <v>-74.16599999999994</v>
          </cell>
          <cell r="AE53">
            <v>-86.680000000000064</v>
          </cell>
          <cell r="AG53">
            <v>-170.94509927213699</v>
          </cell>
          <cell r="AI53">
            <v>-158.09607659304061</v>
          </cell>
          <cell r="AK53">
            <v>-164.3775741873726</v>
          </cell>
          <cell r="AM53">
            <v>-87.481636885347598</v>
          </cell>
          <cell r="AO53">
            <v>-57.921667742472437</v>
          </cell>
          <cell r="AQ53">
            <v>130.31462941026984</v>
          </cell>
          <cell r="AS53">
            <v>330.82572773599918</v>
          </cell>
          <cell r="AU53">
            <v>540.54407894091207</v>
          </cell>
        </row>
        <row r="54">
          <cell r="B54" t="str">
            <v>Accumulated Other Comprehensive Income</v>
          </cell>
          <cell r="S54">
            <v>8.99</v>
          </cell>
          <cell r="U54">
            <v>-6.5359999999999996</v>
          </cell>
          <cell r="W54">
            <v>-3.02</v>
          </cell>
          <cell r="Y54">
            <v>-1.6600000000000001</v>
          </cell>
          <cell r="AA54">
            <v>3.4539999999999997</v>
          </cell>
          <cell r="AC54">
            <v>-1.643</v>
          </cell>
          <cell r="AE54">
            <v>0</v>
          </cell>
          <cell r="AG54">
            <v>0</v>
          </cell>
          <cell r="AI54">
            <v>0</v>
          </cell>
          <cell r="AK54">
            <v>0</v>
          </cell>
          <cell r="AM54">
            <v>0</v>
          </cell>
          <cell r="AO54">
            <v>0</v>
          </cell>
          <cell r="AQ54">
            <v>0</v>
          </cell>
          <cell r="AS54">
            <v>0</v>
          </cell>
          <cell r="AU54">
            <v>0</v>
          </cell>
        </row>
        <row r="56">
          <cell r="C56">
            <v>0</v>
          </cell>
          <cell r="E56">
            <v>0</v>
          </cell>
          <cell r="G56">
            <v>0</v>
          </cell>
          <cell r="I56">
            <v>0</v>
          </cell>
          <cell r="K56">
            <v>0</v>
          </cell>
          <cell r="M56">
            <v>0</v>
          </cell>
          <cell r="O56">
            <v>0</v>
          </cell>
          <cell r="Q56">
            <v>0</v>
          </cell>
          <cell r="S56">
            <v>0</v>
          </cell>
          <cell r="U56">
            <v>0</v>
          </cell>
          <cell r="W56">
            <v>0</v>
          </cell>
          <cell r="Y56">
            <v>0</v>
          </cell>
          <cell r="AA56">
            <v>0</v>
          </cell>
          <cell r="AC56">
            <v>0</v>
          </cell>
          <cell r="AE56">
            <v>0</v>
          </cell>
          <cell r="AG56">
            <v>0</v>
          </cell>
          <cell r="AI56">
            <v>0</v>
          </cell>
          <cell r="AK56">
            <v>0</v>
          </cell>
          <cell r="AM56">
            <v>9.6472000026892601E-4</v>
          </cell>
          <cell r="AO56">
            <v>9.6472000029734772E-4</v>
          </cell>
          <cell r="AQ56">
            <v>9.6472000018366089E-4</v>
          </cell>
          <cell r="AS56">
            <v>9.6472000063840824E-4</v>
          </cell>
          <cell r="AU56">
            <v>9.6472000132052926E-4</v>
          </cell>
        </row>
        <row r="57">
          <cell r="C57">
            <v>0</v>
          </cell>
          <cell r="E57">
            <v>0</v>
          </cell>
          <cell r="G57">
            <v>0</v>
          </cell>
          <cell r="I57">
            <v>0</v>
          </cell>
          <cell r="K57">
            <v>0</v>
          </cell>
          <cell r="M57">
            <v>0</v>
          </cell>
          <cell r="O57">
            <v>0</v>
          </cell>
          <cell r="Q57">
            <v>0</v>
          </cell>
          <cell r="S57">
            <v>0</v>
          </cell>
          <cell r="U57">
            <v>0</v>
          </cell>
          <cell r="W57">
            <v>0</v>
          </cell>
          <cell r="Y57">
            <v>0</v>
          </cell>
          <cell r="AA57">
            <v>0</v>
          </cell>
          <cell r="AC57">
            <v>0</v>
          </cell>
          <cell r="AE57">
            <v>0</v>
          </cell>
          <cell r="AG57">
            <v>0</v>
          </cell>
          <cell r="AI57">
            <v>0</v>
          </cell>
          <cell r="AK57">
            <v>0</v>
          </cell>
          <cell r="AM57">
            <v>4.8236000013446301E-4</v>
          </cell>
          <cell r="AO57">
            <v>4.8236000014867386E-4</v>
          </cell>
          <cell r="AQ57">
            <v>4.8236000009183044E-4</v>
          </cell>
          <cell r="AS57">
            <v>4.8236000031920412E-4</v>
          </cell>
          <cell r="AU57">
            <v>4.8236000066026463E-4</v>
          </cell>
        </row>
        <row r="58">
          <cell r="B58" t="str">
            <v>CALCULATIONS</v>
          </cell>
        </row>
        <row r="59">
          <cell r="U59" t="str">
            <v>2002-FY</v>
          </cell>
          <cell r="W59" t="str">
            <v>2003-FY</v>
          </cell>
          <cell r="Y59" t="str">
            <v>2004-FY</v>
          </cell>
          <cell r="AA59" t="str">
            <v>2005-FY</v>
          </cell>
          <cell r="AC59" t="str">
            <v>2006-FY</v>
          </cell>
          <cell r="AE59" t="str">
            <v>2007-FY</v>
          </cell>
          <cell r="AG59" t="str">
            <v>2008-FY</v>
          </cell>
          <cell r="AI59" t="str">
            <v>2009-FY</v>
          </cell>
          <cell r="AK59" t="str">
            <v>2010-FY</v>
          </cell>
          <cell r="AM59" t="str">
            <v>2011-FY</v>
          </cell>
          <cell r="AO59" t="str">
            <v>2012-FY</v>
          </cell>
          <cell r="AQ59" t="str">
            <v>2013-FY</v>
          </cell>
          <cell r="AS59" t="str">
            <v>2014-FY</v>
          </cell>
          <cell r="AU59" t="str">
            <v>2015-FY</v>
          </cell>
        </row>
        <row r="60">
          <cell r="B60" t="str">
            <v>Revenues</v>
          </cell>
          <cell r="O60">
            <v>0</v>
          </cell>
          <cell r="Q60">
            <v>0</v>
          </cell>
          <cell r="S60">
            <v>219.26300000000001</v>
          </cell>
          <cell r="U60">
            <v>101.61199999999999</v>
          </cell>
          <cell r="W60">
            <v>41.197000000000003</v>
          </cell>
          <cell r="Y60">
            <v>14.146000000000001</v>
          </cell>
          <cell r="AA60">
            <v>7.8460000000000001</v>
          </cell>
          <cell r="AC60">
            <v>27.643999999999998</v>
          </cell>
          <cell r="AE60">
            <v>34.44</v>
          </cell>
          <cell r="AG60">
            <v>3.25</v>
          </cell>
          <cell r="AI60">
            <v>27</v>
          </cell>
          <cell r="AK60">
            <v>27</v>
          </cell>
          <cell r="AM60">
            <v>101.875</v>
          </cell>
          <cell r="AO60">
            <v>178.75</v>
          </cell>
          <cell r="AQ60">
            <v>424.375</v>
          </cell>
          <cell r="AS60">
            <v>670</v>
          </cell>
          <cell r="AU60">
            <v>915.625</v>
          </cell>
        </row>
        <row r="61">
          <cell r="B61" t="str">
            <v>Operating expenses</v>
          </cell>
          <cell r="O61">
            <v>0</v>
          </cell>
          <cell r="Q61">
            <v>0</v>
          </cell>
          <cell r="S61">
            <v>289.73900000000003</v>
          </cell>
          <cell r="U61">
            <v>199.821</v>
          </cell>
          <cell r="W61">
            <v>140.774</v>
          </cell>
          <cell r="Y61">
            <v>108.82200000000002</v>
          </cell>
          <cell r="AA61">
            <v>108.631</v>
          </cell>
          <cell r="AC61">
            <v>95.507999999999996</v>
          </cell>
          <cell r="AE61">
            <v>109.37</v>
          </cell>
          <cell r="AG61">
            <v>142</v>
          </cell>
          <cell r="AI61">
            <v>146.97916559999999</v>
          </cell>
          <cell r="AK61">
            <v>152.618748912</v>
          </cell>
          <cell r="AM61">
            <v>172.49375000000001</v>
          </cell>
          <cell r="AO61">
            <v>219.6875</v>
          </cell>
          <cell r="AQ61">
            <v>277.33625000000001</v>
          </cell>
          <cell r="AS61">
            <v>320.82500000000005</v>
          </cell>
          <cell r="AU61">
            <v>355.234375</v>
          </cell>
        </row>
        <row r="62">
          <cell r="B62" t="str">
            <v>COGS</v>
          </cell>
          <cell r="O62">
            <v>0</v>
          </cell>
          <cell r="Q62">
            <v>0</v>
          </cell>
          <cell r="S62">
            <v>0</v>
          </cell>
          <cell r="U62">
            <v>0</v>
          </cell>
          <cell r="W62">
            <v>0</v>
          </cell>
          <cell r="Y62">
            <v>0</v>
          </cell>
          <cell r="AA62">
            <v>0</v>
          </cell>
          <cell r="AC62">
            <v>0</v>
          </cell>
          <cell r="AE62">
            <v>0</v>
          </cell>
          <cell r="AG62">
            <v>0</v>
          </cell>
          <cell r="AI62">
            <v>0</v>
          </cell>
          <cell r="AK62">
            <v>0</v>
          </cell>
          <cell r="AM62">
            <v>11.53125</v>
          </cell>
          <cell r="AO62">
            <v>23.0625</v>
          </cell>
          <cell r="AQ62">
            <v>34.59375</v>
          </cell>
          <cell r="AS62">
            <v>46.125</v>
          </cell>
          <cell r="AU62">
            <v>57.65625</v>
          </cell>
        </row>
        <row r="64">
          <cell r="B64" t="str">
            <v xml:space="preserve">Depreciation &amp; Amortization </v>
          </cell>
        </row>
        <row r="65">
          <cell r="B65" t="str">
            <v xml:space="preserve">Existing PP&amp;E </v>
          </cell>
          <cell r="O65">
            <v>0</v>
          </cell>
          <cell r="Q65">
            <v>0</v>
          </cell>
          <cell r="S65">
            <v>31.2</v>
          </cell>
          <cell r="U65">
            <v>24.96</v>
          </cell>
          <cell r="W65">
            <v>19.968</v>
          </cell>
          <cell r="Y65">
            <v>15.974399999999999</v>
          </cell>
          <cell r="AA65">
            <v>12.77952</v>
          </cell>
          <cell r="AC65">
            <v>10.223616</v>
          </cell>
          <cell r="AE65">
            <v>8.1788927999999999</v>
          </cell>
          <cell r="AG65">
            <v>6.5431142399999995</v>
          </cell>
          <cell r="AI65">
            <v>5.2344913919999998</v>
          </cell>
          <cell r="AK65">
            <v>4.1875931136000002</v>
          </cell>
          <cell r="AM65">
            <v>3.35007449088</v>
          </cell>
          <cell r="AO65">
            <v>2.6800595927040001</v>
          </cell>
          <cell r="AQ65">
            <v>2.1440476741632</v>
          </cell>
          <cell r="AS65">
            <v>1.71523813933056</v>
          </cell>
          <cell r="AU65">
            <v>1.3721905114644479</v>
          </cell>
        </row>
        <row r="66">
          <cell r="B66" t="str">
            <v>2002 capital expenditures</v>
          </cell>
          <cell r="U66">
            <v>-5.8599999999999994</v>
          </cell>
          <cell r="W66">
            <v>-5.8599999999999994</v>
          </cell>
          <cell r="Y66">
            <v>-5.8599999999999994</v>
          </cell>
          <cell r="AA66">
            <v>-5.8599999999999994</v>
          </cell>
          <cell r="AC66">
            <v>-5.8599999999999994</v>
          </cell>
          <cell r="AE66">
            <v>-5.8599999999999994</v>
          </cell>
          <cell r="AG66">
            <v>-5.8599999999999994</v>
          </cell>
          <cell r="AI66">
            <v>-5.8599999999999994</v>
          </cell>
          <cell r="AK66">
            <v>-5.8599999999999994</v>
          </cell>
          <cell r="AM66">
            <v>-5.8599999999999994</v>
          </cell>
          <cell r="AO66">
            <v>-5.8599999999999994</v>
          </cell>
          <cell r="AQ66">
            <v>-5.8599999999999994</v>
          </cell>
          <cell r="AS66">
            <v>-5.8599999999999994</v>
          </cell>
          <cell r="AU66">
            <v>-5.8599999999999994</v>
          </cell>
        </row>
        <row r="67">
          <cell r="B67" t="str">
            <v>2003 capital expenditures</v>
          </cell>
          <cell r="W67">
            <v>-2.1080000000000005</v>
          </cell>
          <cell r="Y67">
            <v>-2.1080000000000005</v>
          </cell>
          <cell r="AA67">
            <v>-2.1080000000000005</v>
          </cell>
          <cell r="AC67">
            <v>-2.1080000000000005</v>
          </cell>
          <cell r="AE67">
            <v>-2.1080000000000005</v>
          </cell>
          <cell r="AG67">
            <v>-2.1080000000000005</v>
          </cell>
          <cell r="AI67">
            <v>-2.1080000000000005</v>
          </cell>
          <cell r="AK67">
            <v>-2.1080000000000005</v>
          </cell>
          <cell r="AM67">
            <v>-2.1080000000000005</v>
          </cell>
          <cell r="AO67">
            <v>-2.1080000000000005</v>
          </cell>
          <cell r="AQ67">
            <v>-2.1080000000000005</v>
          </cell>
          <cell r="AS67">
            <v>-2.1080000000000005</v>
          </cell>
          <cell r="AU67">
            <v>-2.1080000000000005</v>
          </cell>
        </row>
        <row r="68">
          <cell r="B68" t="str">
            <v>2004 capital expenditures</v>
          </cell>
          <cell r="Y68">
            <v>11.731</v>
          </cell>
          <cell r="AA68">
            <v>11.731</v>
          </cell>
          <cell r="AC68">
            <v>11.731</v>
          </cell>
          <cell r="AE68">
            <v>11.731</v>
          </cell>
          <cell r="AG68">
            <v>11.731</v>
          </cell>
          <cell r="AI68">
            <v>11.731</v>
          </cell>
          <cell r="AK68">
            <v>11.731</v>
          </cell>
          <cell r="AM68">
            <v>11.731</v>
          </cell>
          <cell r="AO68">
            <v>11.731</v>
          </cell>
          <cell r="AQ68">
            <v>11.731</v>
          </cell>
          <cell r="AS68">
            <v>11.731</v>
          </cell>
          <cell r="AU68">
            <v>11.731</v>
          </cell>
        </row>
        <row r="69">
          <cell r="B69" t="str">
            <v>2005 capital expenditures</v>
          </cell>
          <cell r="AA69">
            <v>3.9239999999999995</v>
          </cell>
          <cell r="AC69">
            <v>3.9239999999999995</v>
          </cell>
          <cell r="AE69">
            <v>3.9239999999999995</v>
          </cell>
          <cell r="AG69">
            <v>3.9239999999999995</v>
          </cell>
          <cell r="AI69">
            <v>3.9239999999999995</v>
          </cell>
          <cell r="AK69">
            <v>3.9239999999999995</v>
          </cell>
          <cell r="AM69">
            <v>3.9239999999999995</v>
          </cell>
          <cell r="AO69">
            <v>3.9239999999999995</v>
          </cell>
          <cell r="AQ69">
            <v>3.9239999999999995</v>
          </cell>
          <cell r="AS69">
            <v>3.9239999999999995</v>
          </cell>
          <cell r="AU69">
            <v>3.9239999999999995</v>
          </cell>
        </row>
        <row r="70">
          <cell r="B70" t="str">
            <v>2006 capital expenditures</v>
          </cell>
          <cell r="AC70">
            <v>0.31359999999999999</v>
          </cell>
          <cell r="AE70">
            <v>0.31359999999999999</v>
          </cell>
          <cell r="AG70">
            <v>0.31359999999999999</v>
          </cell>
          <cell r="AI70">
            <v>0.31359999999999999</v>
          </cell>
          <cell r="AK70">
            <v>0.31359999999999999</v>
          </cell>
          <cell r="AM70">
            <v>0.31359999999999999</v>
          </cell>
          <cell r="AO70">
            <v>0.31359999999999999</v>
          </cell>
          <cell r="AQ70">
            <v>0.31359999999999999</v>
          </cell>
          <cell r="AS70">
            <v>0.31359999999999999</v>
          </cell>
          <cell r="AU70">
            <v>0.31359999999999999</v>
          </cell>
        </row>
        <row r="71">
          <cell r="B71" t="str">
            <v>2007 capital expenditures</v>
          </cell>
          <cell r="AE71">
            <v>3</v>
          </cell>
          <cell r="AG71">
            <v>3</v>
          </cell>
          <cell r="AI71">
            <v>3</v>
          </cell>
          <cell r="AK71">
            <v>3</v>
          </cell>
          <cell r="AM71">
            <v>3</v>
          </cell>
          <cell r="AO71">
            <v>3</v>
          </cell>
          <cell r="AQ71">
            <v>3</v>
          </cell>
          <cell r="AS71">
            <v>3</v>
          </cell>
          <cell r="AU71">
            <v>3</v>
          </cell>
        </row>
        <row r="72">
          <cell r="B72" t="str">
            <v>2008 capital expenditures</v>
          </cell>
          <cell r="AG72">
            <v>3</v>
          </cell>
          <cell r="AI72">
            <v>3</v>
          </cell>
          <cell r="AK72">
            <v>3</v>
          </cell>
          <cell r="AM72">
            <v>3</v>
          </cell>
          <cell r="AO72">
            <v>3</v>
          </cell>
          <cell r="AQ72">
            <v>3</v>
          </cell>
          <cell r="AS72">
            <v>3</v>
          </cell>
          <cell r="AU72">
            <v>3</v>
          </cell>
        </row>
        <row r="73">
          <cell r="B73" t="str">
            <v>2009 capital expenditures</v>
          </cell>
          <cell r="AI73">
            <v>3</v>
          </cell>
          <cell r="AK73">
            <v>3</v>
          </cell>
          <cell r="AM73">
            <v>3</v>
          </cell>
          <cell r="AO73">
            <v>3</v>
          </cell>
          <cell r="AQ73">
            <v>3</v>
          </cell>
          <cell r="AS73">
            <v>3</v>
          </cell>
          <cell r="AU73">
            <v>3</v>
          </cell>
        </row>
        <row r="74">
          <cell r="B74" t="str">
            <v>2010 capital expenditures</v>
          </cell>
          <cell r="AK74">
            <v>3</v>
          </cell>
          <cell r="AM74">
            <v>3</v>
          </cell>
          <cell r="AO74">
            <v>3</v>
          </cell>
          <cell r="AQ74">
            <v>3</v>
          </cell>
          <cell r="AS74">
            <v>3</v>
          </cell>
          <cell r="AU74">
            <v>3</v>
          </cell>
        </row>
        <row r="75">
          <cell r="B75" t="str">
            <v>2011 capital expenditures</v>
          </cell>
          <cell r="AM75">
            <v>2.0375000000000001</v>
          </cell>
          <cell r="AO75">
            <v>2.0375000000000001</v>
          </cell>
          <cell r="AQ75">
            <v>2.0375000000000001</v>
          </cell>
          <cell r="AS75">
            <v>2.0375000000000001</v>
          </cell>
          <cell r="AU75">
            <v>2.0375000000000001</v>
          </cell>
        </row>
        <row r="76">
          <cell r="B76" t="str">
            <v>2012 capital expenditures</v>
          </cell>
          <cell r="AO76">
            <v>3.5750000000000002</v>
          </cell>
          <cell r="AQ76">
            <v>3.5750000000000002</v>
          </cell>
          <cell r="AS76">
            <v>3.5750000000000002</v>
          </cell>
          <cell r="AU76">
            <v>3.5750000000000002</v>
          </cell>
        </row>
        <row r="77">
          <cell r="B77" t="str">
            <v>2013 capital expenditures</v>
          </cell>
          <cell r="AQ77">
            <v>8.4875000000000007</v>
          </cell>
          <cell r="AS77">
            <v>8.4875000000000007</v>
          </cell>
          <cell r="AU77">
            <v>8.4875000000000007</v>
          </cell>
        </row>
        <row r="78">
          <cell r="B78" t="str">
            <v>2014 capital expenditures</v>
          </cell>
          <cell r="AS78">
            <v>13.4</v>
          </cell>
          <cell r="AU78">
            <v>13.4</v>
          </cell>
        </row>
        <row r="79">
          <cell r="B79" t="str">
            <v>2015 capital expenditures</v>
          </cell>
          <cell r="AU79">
            <v>18.3125</v>
          </cell>
        </row>
        <row r="80">
          <cell r="B80" t="str">
            <v>Total depreciation</v>
          </cell>
          <cell r="U80">
            <v>19.100000000000001</v>
          </cell>
          <cell r="W80">
            <v>12</v>
          </cell>
          <cell r="Y80">
            <v>11.731</v>
          </cell>
          <cell r="AA80">
            <v>15.654999999999999</v>
          </cell>
          <cell r="AC80">
            <v>15.968599999999999</v>
          </cell>
          <cell r="AE80">
            <v>18.968599999999999</v>
          </cell>
          <cell r="AG80">
            <v>21.968599999999999</v>
          </cell>
          <cell r="AI80">
            <v>24.968599999999999</v>
          </cell>
          <cell r="AK80">
            <v>27.968599999999999</v>
          </cell>
          <cell r="AM80">
            <v>30.0061</v>
          </cell>
          <cell r="AO80">
            <v>33.581099999999999</v>
          </cell>
          <cell r="AQ80">
            <v>42.068600000000004</v>
          </cell>
          <cell r="AS80">
            <v>55.468600000000002</v>
          </cell>
          <cell r="AU80">
            <v>73.781100000000009</v>
          </cell>
        </row>
        <row r="81">
          <cell r="B81">
            <v>5</v>
          </cell>
        </row>
        <row r="83">
          <cell r="B83" t="str">
            <v>Amortization from</v>
          </cell>
        </row>
        <row r="84">
          <cell r="B84" t="str">
            <v>Existing Intangibles</v>
          </cell>
          <cell r="O84">
            <v>0</v>
          </cell>
          <cell r="Q84">
            <v>0</v>
          </cell>
          <cell r="S84">
            <v>15.209999999999997</v>
          </cell>
          <cell r="U84">
            <v>13.942499999999997</v>
          </cell>
          <cell r="W84">
            <v>12.780624999999997</v>
          </cell>
          <cell r="Y84">
            <v>11.715572916666664</v>
          </cell>
          <cell r="AA84">
            <v>10.739275173611109</v>
          </cell>
          <cell r="AC84">
            <v>9.8443355758101827</v>
          </cell>
          <cell r="AE84">
            <v>9.0239742778260013</v>
          </cell>
          <cell r="AG84">
            <v>8.2719764213405007</v>
          </cell>
          <cell r="AI84">
            <v>7.582645052895459</v>
          </cell>
          <cell r="AK84">
            <v>6.9507579651541711</v>
          </cell>
          <cell r="AM84">
            <v>6.3715281347246568</v>
          </cell>
          <cell r="AO84">
            <v>5.8405674568309358</v>
          </cell>
          <cell r="AQ84">
            <v>5.3538535020950242</v>
          </cell>
          <cell r="AS84">
            <v>4.9076990435871055</v>
          </cell>
          <cell r="AU84">
            <v>4.4987241232881798</v>
          </cell>
        </row>
        <row r="85">
          <cell r="B85" t="str">
            <v>2002 amortization</v>
          </cell>
          <cell r="U85">
            <v>1.2675000000000001</v>
          </cell>
          <cell r="W85">
            <v>1.161875</v>
          </cell>
          <cell r="Y85">
            <v>1.0650520833333332</v>
          </cell>
          <cell r="AA85">
            <v>0.9762977430555555</v>
          </cell>
          <cell r="AC85">
            <v>0.89493959780092591</v>
          </cell>
          <cell r="AE85">
            <v>0.82036129798418211</v>
          </cell>
          <cell r="AG85">
            <v>0.75199785648550033</v>
          </cell>
          <cell r="AI85">
            <v>0.68933136844504195</v>
          </cell>
          <cell r="AK85">
            <v>0.63188708774128843</v>
          </cell>
          <cell r="AM85">
            <v>0.57922983042951437</v>
          </cell>
          <cell r="AO85">
            <v>0.53096067789372148</v>
          </cell>
          <cell r="AQ85">
            <v>0.48671395473591134</v>
          </cell>
          <cell r="AS85">
            <v>0.44615445850791874</v>
          </cell>
          <cell r="AU85">
            <v>0.40897492029892552</v>
          </cell>
        </row>
        <row r="86">
          <cell r="B86" t="str">
            <v>2003 amortization</v>
          </cell>
          <cell r="W86">
            <v>-9.7726249999999979</v>
          </cell>
          <cell r="Y86">
            <v>0</v>
          </cell>
          <cell r="AA86">
            <v>0</v>
          </cell>
          <cell r="AC86">
            <v>0</v>
          </cell>
          <cell r="AE86">
            <v>0</v>
          </cell>
          <cell r="AG86">
            <v>0</v>
          </cell>
          <cell r="AI86">
            <v>0</v>
          </cell>
          <cell r="AK86">
            <v>0</v>
          </cell>
          <cell r="AM86">
            <v>0</v>
          </cell>
          <cell r="AO86">
            <v>0</v>
          </cell>
          <cell r="AQ86">
            <v>0</v>
          </cell>
          <cell r="AS86">
            <v>0</v>
          </cell>
          <cell r="AU86">
            <v>0</v>
          </cell>
        </row>
        <row r="87">
          <cell r="B87" t="str">
            <v>2004 amortization</v>
          </cell>
          <cell r="Y87">
            <v>0</v>
          </cell>
          <cell r="AA87">
            <v>0</v>
          </cell>
          <cell r="AC87">
            <v>0</v>
          </cell>
          <cell r="AE87">
            <v>0</v>
          </cell>
          <cell r="AG87">
            <v>0</v>
          </cell>
          <cell r="AI87">
            <v>0</v>
          </cell>
          <cell r="AK87">
            <v>0</v>
          </cell>
          <cell r="AM87">
            <v>0</v>
          </cell>
          <cell r="AO87">
            <v>0</v>
          </cell>
          <cell r="AQ87">
            <v>0</v>
          </cell>
          <cell r="AS87">
            <v>0</v>
          </cell>
          <cell r="AU87">
            <v>0</v>
          </cell>
        </row>
        <row r="88">
          <cell r="B88" t="str">
            <v>2005 amortization</v>
          </cell>
          <cell r="AA88">
            <v>0</v>
          </cell>
          <cell r="AC88">
            <v>0</v>
          </cell>
          <cell r="AE88">
            <v>0</v>
          </cell>
          <cell r="AG88">
            <v>0</v>
          </cell>
          <cell r="AI88">
            <v>0</v>
          </cell>
          <cell r="AK88">
            <v>0</v>
          </cell>
          <cell r="AM88">
            <v>0</v>
          </cell>
          <cell r="AO88">
            <v>0</v>
          </cell>
          <cell r="AQ88">
            <v>0</v>
          </cell>
          <cell r="AS88">
            <v>0</v>
          </cell>
          <cell r="AU88">
            <v>0</v>
          </cell>
        </row>
        <row r="89">
          <cell r="B89" t="str">
            <v>2006 amortization</v>
          </cell>
          <cell r="AC89">
            <v>0</v>
          </cell>
          <cell r="AE89">
            <v>0</v>
          </cell>
          <cell r="AG89">
            <v>0</v>
          </cell>
          <cell r="AI89">
            <v>0</v>
          </cell>
          <cell r="AK89">
            <v>0</v>
          </cell>
          <cell r="AM89">
            <v>0</v>
          </cell>
          <cell r="AO89">
            <v>0</v>
          </cell>
          <cell r="AQ89">
            <v>0</v>
          </cell>
          <cell r="AS89">
            <v>0</v>
          </cell>
          <cell r="AU89">
            <v>0</v>
          </cell>
        </row>
        <row r="90">
          <cell r="B90" t="str">
            <v>2007 amortization</v>
          </cell>
          <cell r="AE90">
            <v>0</v>
          </cell>
          <cell r="AG90">
            <v>0</v>
          </cell>
          <cell r="AI90">
            <v>0</v>
          </cell>
          <cell r="AK90">
            <v>0</v>
          </cell>
          <cell r="AM90">
            <v>0</v>
          </cell>
          <cell r="AO90">
            <v>0</v>
          </cell>
          <cell r="AQ90">
            <v>0</v>
          </cell>
          <cell r="AS90">
            <v>0</v>
          </cell>
          <cell r="AU90">
            <v>0</v>
          </cell>
        </row>
        <row r="91">
          <cell r="B91" t="str">
            <v>2008 amortization</v>
          </cell>
          <cell r="AG91">
            <v>0</v>
          </cell>
          <cell r="AI91">
            <v>0</v>
          </cell>
          <cell r="AK91">
            <v>0</v>
          </cell>
          <cell r="AM91">
            <v>0</v>
          </cell>
          <cell r="AO91">
            <v>0</v>
          </cell>
          <cell r="AQ91">
            <v>0</v>
          </cell>
          <cell r="AS91">
            <v>0</v>
          </cell>
          <cell r="AU91">
            <v>0</v>
          </cell>
        </row>
        <row r="92">
          <cell r="B92" t="str">
            <v>2009 amortization</v>
          </cell>
          <cell r="AI92">
            <v>0</v>
          </cell>
          <cell r="AK92">
            <v>0</v>
          </cell>
          <cell r="AM92">
            <v>0</v>
          </cell>
          <cell r="AO92">
            <v>0</v>
          </cell>
          <cell r="AQ92">
            <v>0</v>
          </cell>
          <cell r="AS92">
            <v>0</v>
          </cell>
          <cell r="AU92">
            <v>0</v>
          </cell>
        </row>
        <row r="93">
          <cell r="B93" t="str">
            <v>2010 amortization</v>
          </cell>
          <cell r="AK93">
            <v>0</v>
          </cell>
          <cell r="AM93">
            <v>0</v>
          </cell>
          <cell r="AO93">
            <v>0</v>
          </cell>
          <cell r="AQ93">
            <v>0</v>
          </cell>
          <cell r="AS93">
            <v>0</v>
          </cell>
          <cell r="AU93">
            <v>0</v>
          </cell>
        </row>
        <row r="94">
          <cell r="B94" t="str">
            <v>2011 amortization</v>
          </cell>
          <cell r="AM94">
            <v>0</v>
          </cell>
          <cell r="AO94">
            <v>0</v>
          </cell>
          <cell r="AQ94">
            <v>0</v>
          </cell>
          <cell r="AS94">
            <v>0</v>
          </cell>
          <cell r="AU94">
            <v>0</v>
          </cell>
        </row>
        <row r="95">
          <cell r="B95" t="str">
            <v>2012 amortization</v>
          </cell>
          <cell r="AO95">
            <v>0</v>
          </cell>
          <cell r="AQ95">
            <v>0</v>
          </cell>
          <cell r="AS95">
            <v>0</v>
          </cell>
          <cell r="AU95">
            <v>0</v>
          </cell>
        </row>
        <row r="96">
          <cell r="B96" t="str">
            <v>2013 amortization</v>
          </cell>
        </row>
        <row r="97">
          <cell r="B97" t="str">
            <v>2014 amortization</v>
          </cell>
        </row>
        <row r="98">
          <cell r="B98" t="str">
            <v>2015 amortization</v>
          </cell>
        </row>
        <row r="99">
          <cell r="B99" t="str">
            <v>Total amortization</v>
          </cell>
          <cell r="S99">
            <v>15.209999999999997</v>
          </cell>
          <cell r="U99">
            <v>3.0079999999999991</v>
          </cell>
          <cell r="W99">
            <v>4.8949999999999996</v>
          </cell>
          <cell r="Y99">
            <v>3.9130000000000003</v>
          </cell>
          <cell r="AA99">
            <v>4.2919999999999998</v>
          </cell>
          <cell r="AC99">
            <v>4.1109999999999998</v>
          </cell>
          <cell r="AE99">
            <v>1.1878181818181817</v>
          </cell>
          <cell r="AG99">
            <v>1.0798347107438016</v>
          </cell>
          <cell r="AI99">
            <v>0.98166791885800153</v>
          </cell>
          <cell r="AK99">
            <v>0.89242538078000144</v>
          </cell>
          <cell r="AM99">
            <v>0.81129580070909213</v>
          </cell>
          <cell r="AO99">
            <v>0.7375416370082658</v>
          </cell>
          <cell r="AQ99">
            <v>0.67049239728024135</v>
          </cell>
          <cell r="AS99">
            <v>0.67049239728024168</v>
          </cell>
          <cell r="AU99">
            <v>0.67049239728024135</v>
          </cell>
        </row>
        <row r="100">
          <cell r="B100">
            <v>12</v>
          </cell>
        </row>
        <row r="102">
          <cell r="B102" t="str">
            <v>Total depreciation and amortization</v>
          </cell>
          <cell r="Q102">
            <v>0</v>
          </cell>
          <cell r="S102">
            <v>46.41</v>
          </cell>
          <cell r="U102">
            <v>22.108000000000001</v>
          </cell>
          <cell r="W102">
            <v>16.895</v>
          </cell>
          <cell r="Y102">
            <v>11.731</v>
          </cell>
          <cell r="AA102">
            <v>15.654999999999999</v>
          </cell>
          <cell r="AC102">
            <v>15.968599999999999</v>
          </cell>
          <cell r="AE102">
            <v>18.968599999999999</v>
          </cell>
          <cell r="AG102">
            <v>21.968599999999999</v>
          </cell>
          <cell r="AI102">
            <v>24.968599999999999</v>
          </cell>
          <cell r="AK102">
            <v>27.968599999999999</v>
          </cell>
          <cell r="AM102">
            <v>30.0061</v>
          </cell>
          <cell r="AO102">
            <v>33.581099999999999</v>
          </cell>
          <cell r="AQ102">
            <v>42.068600000000004</v>
          </cell>
          <cell r="AS102">
            <v>55.468600000000002</v>
          </cell>
          <cell r="AU102">
            <v>73.781100000000009</v>
          </cell>
        </row>
        <row r="103">
          <cell r="B103" t="str">
            <v xml:space="preserve">     Depreciation as % operating expenses</v>
          </cell>
          <cell r="U103">
            <v>9.5585549066414449E-2</v>
          </cell>
          <cell r="W103">
            <v>8.5243013624675013E-2</v>
          </cell>
          <cell r="Y103">
            <v>0.10779989340390728</v>
          </cell>
          <cell r="AA103">
            <v>0.14411171764965802</v>
          </cell>
          <cell r="AC103">
            <v>0.16719646521757339</v>
          </cell>
          <cell r="AE103">
            <v>0.17343512846301543</v>
          </cell>
          <cell r="AG103">
            <v>0.15470845070422534</v>
          </cell>
          <cell r="AI103">
            <v>0.1698784987523429</v>
          </cell>
          <cell r="AK103">
            <v>0.18325795617762991</v>
          </cell>
          <cell r="AM103">
            <v>0.1739547085039313</v>
          </cell>
          <cell r="AO103">
            <v>0.15285849217638692</v>
          </cell>
          <cell r="AQ103">
            <v>0.15168806818437908</v>
          </cell>
          <cell r="AS103">
            <v>0.17289363360087273</v>
          </cell>
          <cell r="AU103">
            <v>0.20769696063338466</v>
          </cell>
        </row>
        <row r="104">
          <cell r="B104" t="str">
            <v xml:space="preserve">    Amortization as % of operating expenses</v>
          </cell>
          <cell r="U104">
            <v>1.5053472858208091E-2</v>
          </cell>
          <cell r="W104">
            <v>3.4772045974398681E-2</v>
          </cell>
          <cell r="Y104">
            <v>3.5957802650199405E-2</v>
          </cell>
          <cell r="AA104">
            <v>3.9509900488810742E-2</v>
          </cell>
          <cell r="AC104">
            <v>4.3043514679398584E-2</v>
          </cell>
          <cell r="AE104">
            <v>1.08605484302659E-2</v>
          </cell>
          <cell r="AG104">
            <v>7.6044697939704337E-3</v>
          </cell>
          <cell r="AI104">
            <v>6.6789596664984848E-3</v>
          </cell>
          <cell r="AK104">
            <v>5.8474164356737985E-3</v>
          </cell>
          <cell r="AM104">
            <v>4.7033344727509963E-3</v>
          </cell>
          <cell r="AO104">
            <v>3.3572307801229737E-3</v>
          </cell>
          <cell r="AQ104">
            <v>2.4176154299347503E-3</v>
          </cell>
          <cell r="AS104">
            <v>0</v>
          </cell>
          <cell r="AU104">
            <v>0</v>
          </cell>
        </row>
        <row r="106">
          <cell r="B106" t="str">
            <v>Working Capital</v>
          </cell>
        </row>
        <row r="107">
          <cell r="B107" t="str">
            <v>Accounts receivable</v>
          </cell>
          <cell r="O107">
            <v>0</v>
          </cell>
          <cell r="Q107">
            <v>0</v>
          </cell>
          <cell r="S107">
            <v>54.037999999999997</v>
          </cell>
          <cell r="U107">
            <v>8.4849999999999994</v>
          </cell>
          <cell r="W107">
            <v>5.2279999999999998</v>
          </cell>
          <cell r="Y107">
            <v>2.1429999999999998</v>
          </cell>
          <cell r="AA107">
            <v>1.423</v>
          </cell>
          <cell r="AC107">
            <v>2.073</v>
          </cell>
          <cell r="AE107">
            <v>6.8879999999999999</v>
          </cell>
          <cell r="AG107">
            <v>0.72222222222222221</v>
          </cell>
          <cell r="AI107">
            <v>6</v>
          </cell>
          <cell r="AK107">
            <v>6.75</v>
          </cell>
          <cell r="AM107">
            <v>25.46875</v>
          </cell>
          <cell r="AO107">
            <v>44.6875</v>
          </cell>
          <cell r="AQ107">
            <v>106.09375</v>
          </cell>
          <cell r="AS107">
            <v>167.5</v>
          </cell>
          <cell r="AU107">
            <v>228.90625</v>
          </cell>
        </row>
        <row r="108">
          <cell r="B108" t="str">
            <v>% revenue</v>
          </cell>
          <cell r="O108" t="e">
            <v>#DIV/0!</v>
          </cell>
          <cell r="Q108" t="e">
            <v>#DIV/0!</v>
          </cell>
          <cell r="S108">
            <v>0.24645288990846606</v>
          </cell>
          <cell r="U108">
            <v>8.3503916860213356E-2</v>
          </cell>
          <cell r="W108">
            <v>0.12690244435274411</v>
          </cell>
          <cell r="Y108">
            <v>0.1514915877279796</v>
          </cell>
          <cell r="AA108">
            <v>0.18136630130002548</v>
          </cell>
          <cell r="AC108">
            <v>7.4989147735494144E-2</v>
          </cell>
          <cell r="AE108">
            <v>0.2</v>
          </cell>
          <cell r="AG108">
            <v>0.22222222222222221</v>
          </cell>
          <cell r="AI108">
            <v>0.22222222222222221</v>
          </cell>
          <cell r="AK108">
            <v>0.25</v>
          </cell>
          <cell r="AM108">
            <v>0.25</v>
          </cell>
          <cell r="AO108">
            <v>0.25</v>
          </cell>
          <cell r="AQ108">
            <v>0.25</v>
          </cell>
          <cell r="AS108">
            <v>0.25</v>
          </cell>
          <cell r="AU108">
            <v>0.25</v>
          </cell>
        </row>
        <row r="109">
          <cell r="B109" t="str">
            <v>Days receivables outstanding (CHECK)</v>
          </cell>
          <cell r="O109" t="e">
            <v>#DIV/0!</v>
          </cell>
          <cell r="Q109" t="e">
            <v>#DIV/0!</v>
          </cell>
          <cell r="S109">
            <v>89.9553048165901</v>
          </cell>
          <cell r="U109">
            <v>30.478929653977875</v>
          </cell>
          <cell r="W109">
            <v>46.3193921887516</v>
          </cell>
          <cell r="Y109">
            <v>55.294429520712562</v>
          </cell>
          <cell r="AA109">
            <v>66.19869997450931</v>
          </cell>
          <cell r="AC109">
            <v>27.371038923455362</v>
          </cell>
          <cell r="AE109">
            <v>73</v>
          </cell>
          <cell r="AG109">
            <v>81.111111111111114</v>
          </cell>
          <cell r="AI109">
            <v>81.111111111111114</v>
          </cell>
          <cell r="AK109">
            <v>91.25</v>
          </cell>
          <cell r="AM109">
            <v>91.25</v>
          </cell>
          <cell r="AO109">
            <v>91.25</v>
          </cell>
          <cell r="AQ109">
            <v>91.25</v>
          </cell>
          <cell r="AS109">
            <v>91.25</v>
          </cell>
          <cell r="AU109">
            <v>91.25</v>
          </cell>
        </row>
        <row r="110">
          <cell r="B110" t="str">
            <v>Accounts receivable turnover</v>
          </cell>
          <cell r="O110" t="e">
            <v>#DIV/0!</v>
          </cell>
          <cell r="Q110" t="e">
            <v>#DIV/0!</v>
          </cell>
          <cell r="S110">
            <v>4.0575705984677457</v>
          </cell>
          <cell r="U110">
            <v>11.975486152033</v>
          </cell>
          <cell r="W110">
            <v>7.8800688599846991</v>
          </cell>
          <cell r="Y110">
            <v>6.6010265982267855</v>
          </cell>
          <cell r="AA110">
            <v>5.5137034434293746</v>
          </cell>
          <cell r="AC110">
            <v>13.335262904003859</v>
          </cell>
          <cell r="AE110">
            <v>5</v>
          </cell>
          <cell r="AG110">
            <v>4.5</v>
          </cell>
          <cell r="AI110">
            <v>4.5</v>
          </cell>
          <cell r="AK110">
            <v>4</v>
          </cell>
          <cell r="AM110">
            <v>4</v>
          </cell>
          <cell r="AO110">
            <v>4</v>
          </cell>
          <cell r="AQ110">
            <v>4</v>
          </cell>
          <cell r="AS110">
            <v>4</v>
          </cell>
          <cell r="AU110">
            <v>4</v>
          </cell>
        </row>
        <row r="111">
          <cell r="B111" t="str">
            <v>Inventories</v>
          </cell>
          <cell r="O111">
            <v>0</v>
          </cell>
          <cell r="Q111">
            <v>0</v>
          </cell>
          <cell r="S111">
            <v>0</v>
          </cell>
          <cell r="U111">
            <v>0</v>
          </cell>
          <cell r="W111">
            <v>0</v>
          </cell>
          <cell r="Y111">
            <v>0</v>
          </cell>
          <cell r="AA111">
            <v>0</v>
          </cell>
          <cell r="AC111">
            <v>0</v>
          </cell>
          <cell r="AE111">
            <v>0</v>
          </cell>
          <cell r="AG111">
            <v>0</v>
          </cell>
          <cell r="AI111">
            <v>0</v>
          </cell>
          <cell r="AK111">
            <v>0</v>
          </cell>
          <cell r="AM111">
            <v>3.84375</v>
          </cell>
          <cell r="AO111">
            <v>7.6875</v>
          </cell>
          <cell r="AQ111">
            <v>11.53125</v>
          </cell>
          <cell r="AS111">
            <v>15.375</v>
          </cell>
          <cell r="AU111">
            <v>19.21875</v>
          </cell>
        </row>
        <row r="112">
          <cell r="B112" t="str">
            <v>% revenue</v>
          </cell>
          <cell r="O112" t="e">
            <v>#DIV/0!</v>
          </cell>
          <cell r="Q112" t="e">
            <v>#DIV/0!</v>
          </cell>
          <cell r="S112">
            <v>0</v>
          </cell>
          <cell r="U112">
            <v>0</v>
          </cell>
          <cell r="W112">
            <v>0</v>
          </cell>
          <cell r="Y112">
            <v>0</v>
          </cell>
          <cell r="AA112">
            <v>0</v>
          </cell>
          <cell r="AC112">
            <v>0</v>
          </cell>
          <cell r="AE112">
            <v>0</v>
          </cell>
          <cell r="AG112">
            <v>0</v>
          </cell>
          <cell r="AI112">
            <v>0</v>
          </cell>
          <cell r="AK112">
            <v>0</v>
          </cell>
          <cell r="AM112">
            <v>3.7730061349693249E-2</v>
          </cell>
          <cell r="AO112">
            <v>4.3006993006993004E-2</v>
          </cell>
          <cell r="AQ112">
            <v>2.7172312223858616E-2</v>
          </cell>
          <cell r="AS112">
            <v>2.2947761194029852E-2</v>
          </cell>
          <cell r="AU112">
            <v>2.0989761092150172E-2</v>
          </cell>
        </row>
        <row r="113">
          <cell r="B113" t="str">
            <v>Days inventory outstanding (CHECK)</v>
          </cell>
          <cell r="O113" t="e">
            <v>#DIV/0!</v>
          </cell>
          <cell r="Q113" t="e">
            <v>#DIV/0!</v>
          </cell>
          <cell r="S113" t="e">
            <v>#DIV/0!</v>
          </cell>
          <cell r="U113" t="e">
            <v>#DIV/0!</v>
          </cell>
          <cell r="W113" t="e">
            <v>#DIV/0!</v>
          </cell>
          <cell r="Y113" t="e">
            <v>#DIV/0!</v>
          </cell>
          <cell r="AA113" t="e">
            <v>#DIV/0!</v>
          </cell>
          <cell r="AC113" t="e">
            <v>#DIV/0!</v>
          </cell>
          <cell r="AE113" t="e">
            <v>#DIV/0!</v>
          </cell>
          <cell r="AG113" t="e">
            <v>#DIV/0!</v>
          </cell>
          <cell r="AI113" t="e">
            <v>#DIV/0!</v>
          </cell>
          <cell r="AK113" t="e">
            <v>#DIV/0!</v>
          </cell>
          <cell r="AM113">
            <v>121.66666666666667</v>
          </cell>
          <cell r="AO113">
            <v>121.66666666666667</v>
          </cell>
          <cell r="AQ113">
            <v>121.66666666666667</v>
          </cell>
          <cell r="AS113">
            <v>121.66666666666667</v>
          </cell>
          <cell r="AU113">
            <v>121.66666666666667</v>
          </cell>
        </row>
        <row r="114">
          <cell r="B114" t="str">
            <v>Inventory Turnover</v>
          </cell>
          <cell r="O114" t="e">
            <v>#DIV/0!</v>
          </cell>
          <cell r="Q114" t="e">
            <v>#DIV/0!</v>
          </cell>
          <cell r="S114" t="e">
            <v>#DIV/0!</v>
          </cell>
          <cell r="U114" t="e">
            <v>#DIV/0!</v>
          </cell>
          <cell r="W114" t="e">
            <v>#DIV/0!</v>
          </cell>
          <cell r="Y114" t="e">
            <v>#DIV/0!</v>
          </cell>
          <cell r="AA114" t="e">
            <v>#DIV/0!</v>
          </cell>
          <cell r="AC114">
            <v>1.7</v>
          </cell>
          <cell r="AE114">
            <v>1.25</v>
          </cell>
          <cell r="AG114">
            <v>1.8</v>
          </cell>
          <cell r="AI114">
            <v>2.5</v>
          </cell>
          <cell r="AK114">
            <v>3</v>
          </cell>
          <cell r="AM114">
            <v>3</v>
          </cell>
          <cell r="AO114">
            <v>3</v>
          </cell>
          <cell r="AQ114">
            <v>3</v>
          </cell>
          <cell r="AS114">
            <v>3</v>
          </cell>
          <cell r="AU114">
            <v>3</v>
          </cell>
        </row>
        <row r="115">
          <cell r="B115" t="str">
            <v>Other current assets</v>
          </cell>
          <cell r="O115">
            <v>0</v>
          </cell>
          <cell r="Q115">
            <v>0</v>
          </cell>
          <cell r="S115">
            <v>29.28</v>
          </cell>
          <cell r="U115">
            <v>21.268000000000001</v>
          </cell>
          <cell r="W115">
            <v>11.288</v>
          </cell>
          <cell r="Y115">
            <v>7.1420000000000003</v>
          </cell>
          <cell r="AA115">
            <v>7.5819999999999999</v>
          </cell>
          <cell r="AC115">
            <v>7.1150000000000002</v>
          </cell>
          <cell r="AE115">
            <v>10.331999999999999</v>
          </cell>
          <cell r="AG115">
            <v>0.8125</v>
          </cell>
          <cell r="AI115">
            <v>6.75</v>
          </cell>
          <cell r="AK115">
            <v>6.75</v>
          </cell>
          <cell r="AM115">
            <v>25.46875</v>
          </cell>
          <cell r="AO115">
            <v>44.6875</v>
          </cell>
          <cell r="AQ115">
            <v>106.09375</v>
          </cell>
          <cell r="AS115">
            <v>167.5</v>
          </cell>
          <cell r="AU115">
            <v>228.90625</v>
          </cell>
        </row>
        <row r="116">
          <cell r="B116" t="str">
            <v>% revenue</v>
          </cell>
          <cell r="O116" t="e">
            <v>#DIV/0!</v>
          </cell>
          <cell r="Q116" t="e">
            <v>#DIV/0!</v>
          </cell>
          <cell r="S116">
            <v>0.13353826226951196</v>
          </cell>
          <cell r="U116">
            <v>0.20930598748179349</v>
          </cell>
          <cell r="W116">
            <v>0.27400053401946745</v>
          </cell>
          <cell r="Y116">
            <v>0.50487770394457798</v>
          </cell>
          <cell r="AA116">
            <v>0.96635228141728269</v>
          </cell>
          <cell r="AC116">
            <v>0.25737953986398499</v>
          </cell>
          <cell r="AE116">
            <v>0.3</v>
          </cell>
          <cell r="AG116">
            <v>0.25</v>
          </cell>
          <cell r="AI116">
            <v>0.25</v>
          </cell>
          <cell r="AK116">
            <v>0.25</v>
          </cell>
          <cell r="AM116">
            <v>0.25</v>
          </cell>
          <cell r="AO116">
            <v>0.25</v>
          </cell>
          <cell r="AQ116">
            <v>0.25</v>
          </cell>
          <cell r="AS116">
            <v>0.25</v>
          </cell>
          <cell r="AU116">
            <v>0.25</v>
          </cell>
        </row>
        <row r="117">
          <cell r="B117" t="str">
            <v>% total current assets</v>
          </cell>
          <cell r="O117" t="e">
            <v>#DIV/0!</v>
          </cell>
          <cell r="Q117" t="e">
            <v>#DIV/0!</v>
          </cell>
          <cell r="S117">
            <v>4.952462784643983E-2</v>
          </cell>
          <cell r="U117">
            <v>4.6358640803363778E-2</v>
          </cell>
          <cell r="W117">
            <v>3.6304341533543248E-2</v>
          </cell>
          <cell r="Y117">
            <v>1.4838576975897182E-2</v>
          </cell>
          <cell r="AA117">
            <v>2.1419531267656566E-2</v>
          </cell>
          <cell r="AC117">
            <v>2.1707890810682178E-2</v>
          </cell>
          <cell r="AE117">
            <v>3.9306372387247143E-2</v>
          </cell>
          <cell r="AG117">
            <v>6.5707158044166257E-3</v>
          </cell>
          <cell r="AI117">
            <v>3.3091045955061481E-2</v>
          </cell>
          <cell r="AK117">
            <v>3.1283452186213374E-2</v>
          </cell>
          <cell r="AM117">
            <v>0.12533562127207495</v>
          </cell>
          <cell r="AO117">
            <v>0.1098818265698378</v>
          </cell>
          <cell r="AQ117">
            <v>0.12047224635097926</v>
          </cell>
          <cell r="AS117">
            <v>0.12596626136718647</v>
          </cell>
          <cell r="AU117">
            <v>0.11643586125419103</v>
          </cell>
        </row>
        <row r="118">
          <cell r="B118" t="str">
            <v>Other non-current assets</v>
          </cell>
          <cell r="O118">
            <v>0</v>
          </cell>
          <cell r="Q118">
            <v>0</v>
          </cell>
          <cell r="S118">
            <v>0</v>
          </cell>
          <cell r="U118">
            <v>0</v>
          </cell>
          <cell r="W118">
            <v>2.12</v>
          </cell>
          <cell r="Y118">
            <v>0</v>
          </cell>
          <cell r="AA118">
            <v>0</v>
          </cell>
          <cell r="AC118">
            <v>0</v>
          </cell>
          <cell r="AE118">
            <v>0.64402800000000004</v>
          </cell>
          <cell r="AG118">
            <v>5.5250000000000007E-2</v>
          </cell>
          <cell r="AI118">
            <v>0.432</v>
          </cell>
          <cell r="AK118">
            <v>0.40499999999999997</v>
          </cell>
          <cell r="AM118">
            <v>1.528125</v>
          </cell>
          <cell r="AO118">
            <v>2.6812499999999999</v>
          </cell>
          <cell r="AQ118">
            <v>6.3656249999999996</v>
          </cell>
          <cell r="AS118">
            <v>10.049999999999999</v>
          </cell>
          <cell r="AU118">
            <v>13.734375</v>
          </cell>
        </row>
        <row r="119">
          <cell r="B119" t="str">
            <v>% revenue</v>
          </cell>
          <cell r="O119" t="e">
            <v>#DIV/0!</v>
          </cell>
          <cell r="Q119" t="e">
            <v>#DIV/0!</v>
          </cell>
          <cell r="S119">
            <v>0</v>
          </cell>
          <cell r="U119">
            <v>0</v>
          </cell>
          <cell r="W119">
            <v>5.1460057771196929E-2</v>
          </cell>
          <cell r="Y119">
            <v>0</v>
          </cell>
          <cell r="AA119">
            <v>0</v>
          </cell>
          <cell r="AC119">
            <v>0</v>
          </cell>
          <cell r="AE119">
            <v>1.8700000000000001E-2</v>
          </cell>
          <cell r="AG119">
            <v>1.7000000000000001E-2</v>
          </cell>
          <cell r="AI119">
            <v>1.6E-2</v>
          </cell>
          <cell r="AK119">
            <v>1.4999999999999999E-2</v>
          </cell>
          <cell r="AM119">
            <v>1.4999999999999999E-2</v>
          </cell>
          <cell r="AO119">
            <v>1.4999999999999999E-2</v>
          </cell>
          <cell r="AQ119">
            <v>1.4999999999999999E-2</v>
          </cell>
          <cell r="AS119">
            <v>1.4999999999999999E-2</v>
          </cell>
          <cell r="AU119">
            <v>1.4999999999999999E-2</v>
          </cell>
        </row>
        <row r="120">
          <cell r="B120" t="str">
            <v>% total non-current assets</v>
          </cell>
          <cell r="O120" t="e">
            <v>#DIV/0!</v>
          </cell>
          <cell r="Q120" t="e">
            <v>#DIV/0!</v>
          </cell>
          <cell r="S120">
            <v>0</v>
          </cell>
          <cell r="U120">
            <v>0</v>
          </cell>
          <cell r="W120">
            <v>3.0895683348392555E-2</v>
          </cell>
          <cell r="Y120">
            <v>0</v>
          </cell>
          <cell r="AA120">
            <v>0</v>
          </cell>
          <cell r="AC120">
            <v>0</v>
          </cell>
          <cell r="AE120">
            <v>2.5018364955798018E-2</v>
          </cell>
          <cell r="AG120">
            <v>2.5819449622141539E-3</v>
          </cell>
          <cell r="AI120">
            <v>2.1079670274175535E-2</v>
          </cell>
          <cell r="AK120">
            <v>2.1012486607191128E-2</v>
          </cell>
          <cell r="AM120">
            <v>5.5095198540086744E-2</v>
          </cell>
          <cell r="AO120">
            <v>6.0952507657056662E-2</v>
          </cell>
          <cell r="AQ120">
            <v>7.2830697267561251E-2</v>
          </cell>
          <cell r="AS120">
            <v>6.4680375633342321E-2</v>
          </cell>
          <cell r="AU120">
            <v>5.5398791515360139E-2</v>
          </cell>
        </row>
        <row r="121">
          <cell r="B121" t="str">
            <v xml:space="preserve">Accounts payable </v>
          </cell>
          <cell r="O121">
            <v>0</v>
          </cell>
          <cell r="Q121">
            <v>0</v>
          </cell>
          <cell r="S121">
            <v>7.3470000000000004</v>
          </cell>
          <cell r="U121">
            <v>9.0730000000000004</v>
          </cell>
          <cell r="W121">
            <v>6.45</v>
          </cell>
          <cell r="Y121">
            <v>2.3210000000000002</v>
          </cell>
          <cell r="AA121">
            <v>3.573</v>
          </cell>
          <cell r="AC121">
            <v>5.9160000000000004</v>
          </cell>
          <cell r="AE121">
            <v>10.937000000000001</v>
          </cell>
          <cell r="AG121">
            <v>14.2</v>
          </cell>
          <cell r="AI121">
            <v>14.697916559999999</v>
          </cell>
          <cell r="AK121">
            <v>15.2618748912</v>
          </cell>
          <cell r="AM121">
            <v>17.249375000000001</v>
          </cell>
          <cell r="AO121">
            <v>21.96875</v>
          </cell>
          <cell r="AQ121">
            <v>27.733625</v>
          </cell>
          <cell r="AS121">
            <v>32.082500000000003</v>
          </cell>
          <cell r="AU121">
            <v>35.5234375</v>
          </cell>
        </row>
        <row r="122">
          <cell r="B122" t="str">
            <v>% operating expenses</v>
          </cell>
          <cell r="O122" t="e">
            <v>#DIV/0!</v>
          </cell>
          <cell r="Q122" t="e">
            <v>#DIV/0!</v>
          </cell>
          <cell r="S122">
            <v>2.5357304332519957E-2</v>
          </cell>
          <cell r="U122">
            <v>4.5405638046051217E-2</v>
          </cell>
          <cell r="W122">
            <v>4.5818119823262816E-2</v>
          </cell>
          <cell r="Y122">
            <v>2.1328407858705038E-2</v>
          </cell>
          <cell r="AA122">
            <v>3.2891163664147433E-2</v>
          </cell>
          <cell r="AC122">
            <v>6.1942455082296781E-2</v>
          </cell>
          <cell r="AE122">
            <v>0.1</v>
          </cell>
          <cell r="AG122">
            <v>9.9999999999999992E-2</v>
          </cell>
          <cell r="AI122">
            <v>0.1</v>
          </cell>
          <cell r="AK122">
            <v>9.9999999999999992E-2</v>
          </cell>
          <cell r="AM122">
            <v>0.1</v>
          </cell>
          <cell r="AO122">
            <v>0.1</v>
          </cell>
          <cell r="AQ122">
            <v>9.9999999999999992E-2</v>
          </cell>
          <cell r="AS122">
            <v>9.9999999999999992E-2</v>
          </cell>
          <cell r="AU122">
            <v>0.1</v>
          </cell>
        </row>
        <row r="123">
          <cell r="B123" t="str">
            <v>Days payable outstanding (CHECK)</v>
          </cell>
          <cell r="O123" t="e">
            <v>#DIV/0!</v>
          </cell>
          <cell r="Q123" t="e">
            <v>#DIV/0!</v>
          </cell>
          <cell r="S123" t="e">
            <v>#DIV/0!</v>
          </cell>
          <cell r="U123" t="e">
            <v>#DIV/0!</v>
          </cell>
          <cell r="W123" t="e">
            <v>#DIV/0!</v>
          </cell>
          <cell r="Y123" t="e">
            <v>#DIV/0!</v>
          </cell>
          <cell r="AA123" t="e">
            <v>#DIV/0!</v>
          </cell>
          <cell r="AC123" t="e">
            <v>#DIV/0!</v>
          </cell>
          <cell r="AE123" t="e">
            <v>#DIV/0!</v>
          </cell>
          <cell r="AG123" t="e">
            <v>#DIV/0!</v>
          </cell>
          <cell r="AI123" t="e">
            <v>#DIV/0!</v>
          </cell>
          <cell r="AK123" t="e">
            <v>#DIV/0!</v>
          </cell>
          <cell r="AM123">
            <v>545.99647696476961</v>
          </cell>
          <cell r="AO123">
            <v>347.68970189701895</v>
          </cell>
          <cell r="AQ123">
            <v>292.61855465221322</v>
          </cell>
          <cell r="AS123">
            <v>253.87777777777782</v>
          </cell>
          <cell r="AU123">
            <v>224.88550135501356</v>
          </cell>
        </row>
        <row r="124">
          <cell r="B124" t="str">
            <v>Accounts payable turnover</v>
          </cell>
          <cell r="O124" t="e">
            <v>#DIV/0!</v>
          </cell>
          <cell r="Q124" t="e">
            <v>#DIV/0!</v>
          </cell>
          <cell r="S124">
            <v>39.436368585817341</v>
          </cell>
          <cell r="U124">
            <v>22.023696682464454</v>
          </cell>
          <cell r="W124">
            <v>21.825426356589148</v>
          </cell>
          <cell r="Y124">
            <v>46.885825075398536</v>
          </cell>
          <cell r="AA124">
            <v>30.403302546879374</v>
          </cell>
          <cell r="AC124">
            <v>16.144016227180526</v>
          </cell>
          <cell r="AE124">
            <v>10</v>
          </cell>
          <cell r="AG124">
            <v>10</v>
          </cell>
          <cell r="AI124">
            <v>10</v>
          </cell>
          <cell r="AK124">
            <v>10</v>
          </cell>
          <cell r="AM124">
            <v>10</v>
          </cell>
          <cell r="AO124">
            <v>10</v>
          </cell>
          <cell r="AQ124">
            <v>10</v>
          </cell>
          <cell r="AS124">
            <v>10</v>
          </cell>
          <cell r="AU124">
            <v>10</v>
          </cell>
        </row>
        <row r="125">
          <cell r="B125" t="str">
            <v>Other Accrued Expenses</v>
          </cell>
          <cell r="O125">
            <v>0</v>
          </cell>
          <cell r="Q125">
            <v>0</v>
          </cell>
          <cell r="S125">
            <v>18.812000000000001</v>
          </cell>
          <cell r="U125">
            <v>14.319000000000001</v>
          </cell>
          <cell r="W125">
            <v>12.401999999999999</v>
          </cell>
          <cell r="Y125">
            <v>7.8760000000000003</v>
          </cell>
          <cell r="AA125">
            <v>7.59</v>
          </cell>
          <cell r="AC125">
            <v>6.8789999999999996</v>
          </cell>
          <cell r="AE125">
            <v>15.497999999999999</v>
          </cell>
          <cell r="AG125">
            <v>1.5274999999999999</v>
          </cell>
          <cell r="AI125">
            <v>13.5</v>
          </cell>
          <cell r="AK125">
            <v>13.77</v>
          </cell>
          <cell r="AM125">
            <v>52.975000000000001</v>
          </cell>
          <cell r="AO125">
            <v>92.95</v>
          </cell>
          <cell r="AQ125">
            <v>220.67500000000001</v>
          </cell>
          <cell r="AS125">
            <v>348.40000000000003</v>
          </cell>
          <cell r="AU125">
            <v>476.125</v>
          </cell>
        </row>
        <row r="126">
          <cell r="B126" t="str">
            <v>% revenue</v>
          </cell>
          <cell r="O126" t="e">
            <v>#DIV/0!</v>
          </cell>
          <cell r="Q126" t="e">
            <v>#DIV/0!</v>
          </cell>
          <cell r="S126">
            <v>8.5796509214961028E-2</v>
          </cell>
          <cell r="U126">
            <v>0.14091839546510257</v>
          </cell>
          <cell r="W126">
            <v>0.30104133796150201</v>
          </cell>
          <cell r="Y126">
            <v>0.55676516329704506</v>
          </cell>
          <cell r="AA126">
            <v>0.96737190925312255</v>
          </cell>
          <cell r="AC126">
            <v>0.2488424251193749</v>
          </cell>
          <cell r="AE126">
            <v>0.45</v>
          </cell>
          <cell r="AG126">
            <v>0.47</v>
          </cell>
          <cell r="AI126">
            <v>0.5</v>
          </cell>
          <cell r="AK126">
            <v>0.51</v>
          </cell>
          <cell r="AM126">
            <v>0.52</v>
          </cell>
          <cell r="AO126">
            <v>0.52</v>
          </cell>
          <cell r="AQ126">
            <v>0.52</v>
          </cell>
          <cell r="AS126">
            <v>0.52</v>
          </cell>
          <cell r="AU126">
            <v>0.52</v>
          </cell>
        </row>
        <row r="127">
          <cell r="B127" t="str">
            <v>% total current liabilities</v>
          </cell>
          <cell r="O127" t="e">
            <v>#DIV/0!</v>
          </cell>
          <cell r="Q127" t="e">
            <v>#DIV/0!</v>
          </cell>
          <cell r="S127">
            <v>0.21846982858735542</v>
          </cell>
          <cell r="U127">
            <v>0.18430231809815559</v>
          </cell>
          <cell r="W127">
            <v>0.29535603715170278</v>
          </cell>
          <cell r="Y127">
            <v>0.25018264985229188</v>
          </cell>
          <cell r="AA127">
            <v>0.27246293570736263</v>
          </cell>
          <cell r="AC127">
            <v>0.13942034860154032</v>
          </cell>
          <cell r="AE127">
            <v>0.32897194674636598</v>
          </cell>
          <cell r="AG127">
            <v>3.7885834046405491E-2</v>
          </cell>
          <cell r="AI127">
            <v>0.23967617195180024</v>
          </cell>
          <cell r="AK127">
            <v>0.23152317596958091</v>
          </cell>
          <cell r="AM127">
            <v>0.50273133292605521</v>
          </cell>
          <cell r="AO127">
            <v>0.5897103630731555</v>
          </cell>
          <cell r="AQ127">
            <v>0.73476670137531319</v>
          </cell>
          <cell r="AS127">
            <v>0.79296166858799799</v>
          </cell>
          <cell r="AU127">
            <v>0.82655289792071707</v>
          </cell>
        </row>
        <row r="128">
          <cell r="B128" t="str">
            <v>Accrued liabilities</v>
          </cell>
          <cell r="O128">
            <v>0</v>
          </cell>
          <cell r="Q128">
            <v>0</v>
          </cell>
          <cell r="S128">
            <v>16.873999999999999</v>
          </cell>
          <cell r="U128">
            <v>7.1400000000000006</v>
          </cell>
          <cell r="W128">
            <v>4.3209999999999997</v>
          </cell>
          <cell r="Y128">
            <v>4.8380000000000001</v>
          </cell>
          <cell r="AA128">
            <v>5.1239999999999997</v>
          </cell>
          <cell r="AC128">
            <v>4.024</v>
          </cell>
          <cell r="AE128">
            <v>13.1244</v>
          </cell>
          <cell r="AG128">
            <v>17.04</v>
          </cell>
          <cell r="AI128">
            <v>20.577083183999999</v>
          </cell>
          <cell r="AK128">
            <v>22.892812336799999</v>
          </cell>
          <cell r="AM128">
            <v>27.599</v>
          </cell>
          <cell r="AO128">
            <v>35.15</v>
          </cell>
          <cell r="AQ128">
            <v>44.373800000000003</v>
          </cell>
          <cell r="AS128">
            <v>51.332000000000008</v>
          </cell>
          <cell r="AU128">
            <v>56.837499999999999</v>
          </cell>
        </row>
        <row r="129">
          <cell r="B129" t="str">
            <v>% operating expenses</v>
          </cell>
          <cell r="O129" t="e">
            <v>#DIV/0!</v>
          </cell>
          <cell r="Q129" t="e">
            <v>#DIV/0!</v>
          </cell>
          <cell r="S129">
            <v>5.8238621656042149E-2</v>
          </cell>
          <cell r="U129">
            <v>3.5731980122209378E-2</v>
          </cell>
          <cell r="W129">
            <v>3.0694588489351724E-2</v>
          </cell>
          <cell r="Y129">
            <v>4.4457922111337776E-2</v>
          </cell>
          <cell r="AA129">
            <v>4.7168856035569952E-2</v>
          </cell>
          <cell r="AC129">
            <v>4.2132596222305987E-2</v>
          </cell>
          <cell r="AE129">
            <v>0.12</v>
          </cell>
          <cell r="AG129">
            <v>0.12</v>
          </cell>
          <cell r="AI129">
            <v>0.14000000000000001</v>
          </cell>
          <cell r="AK129">
            <v>0.15</v>
          </cell>
          <cell r="AM129">
            <v>0.16</v>
          </cell>
          <cell r="AO129">
            <v>0.16</v>
          </cell>
          <cell r="AQ129">
            <v>0.16</v>
          </cell>
          <cell r="AS129">
            <v>0.16</v>
          </cell>
          <cell r="AU129">
            <v>0.16</v>
          </cell>
        </row>
        <row r="130">
          <cell r="B130" t="str">
            <v>% total current liabilities</v>
          </cell>
          <cell r="O130" t="e">
            <v>#DIV/0!</v>
          </cell>
          <cell r="Q130" t="e">
            <v>#DIV/0!</v>
          </cell>
          <cell r="S130">
            <v>0.19596320899335715</v>
          </cell>
          <cell r="U130">
            <v>9.1900171186593396E-2</v>
          </cell>
          <cell r="W130">
            <v>0.10290545367944749</v>
          </cell>
          <cell r="Y130">
            <v>0.15367999745878466</v>
          </cell>
          <cell r="AA130">
            <v>0.1839394048174606</v>
          </cell>
          <cell r="AC130">
            <v>8.1556546412646938E-2</v>
          </cell>
          <cell r="AE130">
            <v>0.27858816736856407</v>
          </cell>
          <cell r="AG130">
            <v>0.42263477063878863</v>
          </cell>
          <cell r="AI130">
            <v>0.3653212242573986</v>
          </cell>
          <cell r="AK130">
            <v>0.38491042985414226</v>
          </cell>
          <cell r="AM130">
            <v>0.26191377173055591</v>
          </cell>
          <cell r="AO130">
            <v>0.22300504854245737</v>
          </cell>
          <cell r="AQ130">
            <v>0.14774845656956101</v>
          </cell>
          <cell r="AS130">
            <v>0.11683211358197221</v>
          </cell>
          <cell r="AU130">
            <v>9.8669887814268845E-2</v>
          </cell>
        </row>
        <row r="132">
          <cell r="B132" t="str">
            <v>Property and Equipment, Net</v>
          </cell>
        </row>
        <row r="133">
          <cell r="B133" t="str">
            <v>Gross P,P&amp;E:  Beginning balance</v>
          </cell>
          <cell r="S133">
            <v>0</v>
          </cell>
          <cell r="U133">
            <v>0</v>
          </cell>
          <cell r="W133">
            <v>131.28399999999999</v>
          </cell>
          <cell r="Y133">
            <v>90.617000000000004</v>
          </cell>
          <cell r="AA133">
            <v>21.69</v>
          </cell>
          <cell r="AC133">
            <v>23.323</v>
          </cell>
          <cell r="AE133">
            <v>24.891000000000002</v>
          </cell>
          <cell r="AG133">
            <v>28.335000000000001</v>
          </cell>
          <cell r="AI133">
            <v>28.66</v>
          </cell>
          <cell r="AK133">
            <v>31.36</v>
          </cell>
          <cell r="AM133">
            <v>34.06</v>
          </cell>
          <cell r="AO133">
            <v>44.247500000000002</v>
          </cell>
          <cell r="AQ133">
            <v>62.122500000000002</v>
          </cell>
          <cell r="AS133">
            <v>104.56</v>
          </cell>
          <cell r="AU133">
            <v>171.56</v>
          </cell>
        </row>
        <row r="134">
          <cell r="B134" t="str">
            <v>Capital expenditures</v>
          </cell>
          <cell r="S134">
            <v>12.919</v>
          </cell>
          <cell r="U134">
            <v>11.89</v>
          </cell>
          <cell r="W134">
            <v>9.7379999999999995</v>
          </cell>
          <cell r="Y134">
            <v>1.391</v>
          </cell>
          <cell r="AA134">
            <v>1.633</v>
          </cell>
          <cell r="AC134">
            <v>1.5680000000000001</v>
          </cell>
          <cell r="AE134">
            <v>3.444</v>
          </cell>
          <cell r="AG134">
            <v>0.32500000000000001</v>
          </cell>
          <cell r="AI134">
            <v>2.7</v>
          </cell>
          <cell r="AK134">
            <v>2.7</v>
          </cell>
          <cell r="AM134">
            <v>10.1875</v>
          </cell>
          <cell r="AO134">
            <v>17.875</v>
          </cell>
          <cell r="AQ134">
            <v>42.4375</v>
          </cell>
          <cell r="AS134">
            <v>67</v>
          </cell>
          <cell r="AU134">
            <v>91.5625</v>
          </cell>
        </row>
        <row r="135">
          <cell r="B135" t="str">
            <v>% revenue</v>
          </cell>
          <cell r="O135" t="e">
            <v>#DIV/0!</v>
          </cell>
          <cell r="Q135" t="e">
            <v>#DIV/0!</v>
          </cell>
          <cell r="S135">
            <v>5.8920109640021347E-2</v>
          </cell>
          <cell r="U135">
            <v>0.11701373853481874</v>
          </cell>
          <cell r="W135">
            <v>0.23637643517731871</v>
          </cell>
          <cell r="Y135">
            <v>9.8331683868231295E-2</v>
          </cell>
          <cell r="AA135">
            <v>0.20813153199082335</v>
          </cell>
          <cell r="AC135">
            <v>5.6721169150629434E-2</v>
          </cell>
          <cell r="AE135">
            <v>0.1</v>
          </cell>
          <cell r="AG135">
            <v>0.1</v>
          </cell>
          <cell r="AI135">
            <v>0.1</v>
          </cell>
          <cell r="AK135">
            <v>0.1</v>
          </cell>
          <cell r="AM135">
            <v>0.1</v>
          </cell>
          <cell r="AO135">
            <v>0.1</v>
          </cell>
          <cell r="AQ135">
            <v>0.1</v>
          </cell>
          <cell r="AS135">
            <v>0.1</v>
          </cell>
          <cell r="AU135">
            <v>0.1</v>
          </cell>
        </row>
        <row r="136">
          <cell r="B136" t="str">
            <v>Sales and Retirements (Purchases)</v>
          </cell>
          <cell r="S136">
            <v>-12.919</v>
          </cell>
          <cell r="U136">
            <v>119.39399999999999</v>
          </cell>
          <cell r="W136">
            <v>-50.404999999999987</v>
          </cell>
          <cell r="Y136">
            <v>-70.318000000000012</v>
          </cell>
        </row>
        <row r="137">
          <cell r="B137" t="str">
            <v>Gross P,P&amp;E:  Ending balance</v>
          </cell>
          <cell r="U137">
            <v>131.28399999999999</v>
          </cell>
          <cell r="W137">
            <v>90.617000000000004</v>
          </cell>
          <cell r="Y137">
            <v>21.69</v>
          </cell>
          <cell r="AA137">
            <v>23.323</v>
          </cell>
          <cell r="AC137">
            <v>24.891000000000002</v>
          </cell>
          <cell r="AE137">
            <v>28.335000000000001</v>
          </cell>
          <cell r="AG137">
            <v>28.66</v>
          </cell>
          <cell r="AI137">
            <v>31.36</v>
          </cell>
          <cell r="AK137">
            <v>34.06</v>
          </cell>
          <cell r="AM137">
            <v>44.247500000000002</v>
          </cell>
          <cell r="AO137">
            <v>62.122500000000002</v>
          </cell>
          <cell r="AQ137">
            <v>104.56</v>
          </cell>
          <cell r="AS137">
            <v>171.56</v>
          </cell>
          <cell r="AU137">
            <v>263.1225</v>
          </cell>
        </row>
        <row r="139">
          <cell r="B139" t="str">
            <v>Accumulated Depreciation:  Beginning balance</v>
          </cell>
          <cell r="U139">
            <v>0</v>
          </cell>
          <cell r="W139">
            <v>99.497</v>
          </cell>
          <cell r="Y139">
            <v>63.423999999999999</v>
          </cell>
          <cell r="AA139">
            <v>11.731</v>
          </cell>
          <cell r="AC139">
            <v>15.654999999999999</v>
          </cell>
          <cell r="AE139">
            <v>18.957999999999998</v>
          </cell>
          <cell r="AG139">
            <v>21.957999999999998</v>
          </cell>
          <cell r="AI139">
            <v>24.957999999999998</v>
          </cell>
          <cell r="AK139">
            <v>27.957999999999998</v>
          </cell>
          <cell r="AM139">
            <v>30.957999999999998</v>
          </cell>
          <cell r="AO139">
            <v>32.9955</v>
          </cell>
          <cell r="AQ139">
            <v>35.033000000000001</v>
          </cell>
          <cell r="AS139">
            <v>37.070500000000003</v>
          </cell>
          <cell r="AU139">
            <v>39.108000000000004</v>
          </cell>
        </row>
        <row r="140">
          <cell r="B140" t="str">
            <v>Annual Depreciation Expense</v>
          </cell>
          <cell r="S140">
            <v>-31.2</v>
          </cell>
          <cell r="U140">
            <v>-19.100000000000001</v>
          </cell>
          <cell r="W140">
            <v>-12</v>
          </cell>
          <cell r="Y140">
            <v>-11.731</v>
          </cell>
          <cell r="AA140">
            <v>3.9239999999999995</v>
          </cell>
          <cell r="AC140">
            <v>3.3</v>
          </cell>
          <cell r="AE140">
            <v>3</v>
          </cell>
          <cell r="AG140">
            <v>3</v>
          </cell>
          <cell r="AI140">
            <v>3</v>
          </cell>
          <cell r="AK140">
            <v>3</v>
          </cell>
          <cell r="AM140">
            <v>2.0375000000000001</v>
          </cell>
          <cell r="AO140">
            <v>2.0375000000000001</v>
          </cell>
          <cell r="AQ140">
            <v>2.0375000000000001</v>
          </cell>
          <cell r="AS140">
            <v>2.0375000000000001</v>
          </cell>
          <cell r="AU140">
            <v>2.0375000000000001</v>
          </cell>
        </row>
        <row r="141">
          <cell r="B141" t="str">
            <v>Accumulated Depreciation:  Ending balance</v>
          </cell>
          <cell r="U141">
            <v>99.497</v>
          </cell>
          <cell r="W141">
            <v>63.423999999999999</v>
          </cell>
          <cell r="Y141">
            <v>11.731</v>
          </cell>
          <cell r="AA141">
            <v>15.654999999999999</v>
          </cell>
          <cell r="AC141">
            <v>18.957999999999998</v>
          </cell>
          <cell r="AE141">
            <v>21.957999999999998</v>
          </cell>
          <cell r="AG141">
            <v>24.957999999999998</v>
          </cell>
          <cell r="AI141">
            <v>27.957999999999998</v>
          </cell>
          <cell r="AK141">
            <v>30.957999999999998</v>
          </cell>
          <cell r="AM141">
            <v>32.9955</v>
          </cell>
          <cell r="AO141">
            <v>35.033000000000001</v>
          </cell>
          <cell r="AQ141">
            <v>37.070500000000003</v>
          </cell>
          <cell r="AS141">
            <v>39.108000000000004</v>
          </cell>
          <cell r="AU141">
            <v>41.145500000000006</v>
          </cell>
        </row>
        <row r="143">
          <cell r="B143" t="str">
            <v>Subtotal P,P&amp;E</v>
          </cell>
          <cell r="S143">
            <v>0</v>
          </cell>
          <cell r="U143">
            <v>31.786999999999992</v>
          </cell>
          <cell r="W143">
            <v>27.193000000000005</v>
          </cell>
          <cell r="Y143">
            <v>9.9590000000000014</v>
          </cell>
          <cell r="AA143">
            <v>7.668000000000001</v>
          </cell>
          <cell r="AC143">
            <v>5.9330000000000034</v>
          </cell>
          <cell r="AE143">
            <v>6.3770000000000024</v>
          </cell>
          <cell r="AG143">
            <v>3.7020000000000017</v>
          </cell>
          <cell r="AI143">
            <v>3.402000000000001</v>
          </cell>
          <cell r="AK143">
            <v>3.1020000000000039</v>
          </cell>
          <cell r="AM143">
            <v>11.252000000000002</v>
          </cell>
          <cell r="AO143">
            <v>27.089500000000001</v>
          </cell>
          <cell r="AQ143">
            <v>67.489499999999992</v>
          </cell>
          <cell r="AS143">
            <v>132.452</v>
          </cell>
          <cell r="AU143">
            <v>221.977</v>
          </cell>
        </row>
        <row r="144">
          <cell r="B144" t="str">
            <v>Land</v>
          </cell>
        </row>
        <row r="145">
          <cell r="B145" t="str">
            <v>Net P,P&amp;E</v>
          </cell>
          <cell r="S145">
            <v>47.927</v>
          </cell>
          <cell r="U145">
            <v>31.786999999999999</v>
          </cell>
          <cell r="W145">
            <v>27.193000000000001</v>
          </cell>
          <cell r="Y145">
            <v>9.9590000000000014</v>
          </cell>
          <cell r="AA145">
            <v>7.668000000000001</v>
          </cell>
          <cell r="AC145">
            <v>5.9330000000000034</v>
          </cell>
          <cell r="AE145">
            <v>6.3770000000000024</v>
          </cell>
          <cell r="AG145">
            <v>3.7020000000000017</v>
          </cell>
          <cell r="AI145">
            <v>3.402000000000001</v>
          </cell>
          <cell r="AK145">
            <v>3.1020000000000039</v>
          </cell>
          <cell r="AM145">
            <v>11.252000000000002</v>
          </cell>
          <cell r="AO145">
            <v>27.089500000000001</v>
          </cell>
          <cell r="AQ145">
            <v>67.489499999999992</v>
          </cell>
          <cell r="AS145">
            <v>132.452</v>
          </cell>
          <cell r="AU145">
            <v>221.977</v>
          </cell>
        </row>
        <row r="148">
          <cell r="B148" t="str">
            <v>Patents and other intangibles</v>
          </cell>
        </row>
        <row r="149">
          <cell r="B149" t="str">
            <v>Beginning balance</v>
          </cell>
          <cell r="U149">
            <v>17.14</v>
          </cell>
          <cell r="W149">
            <v>25.103000000000002</v>
          </cell>
          <cell r="Y149">
            <v>25.382000000000001</v>
          </cell>
          <cell r="AA149">
            <v>21.469000000000001</v>
          </cell>
          <cell r="AC149">
            <v>17.177</v>
          </cell>
          <cell r="AE149">
            <v>13.065999999999999</v>
          </cell>
          <cell r="AG149">
            <v>11.878181818181817</v>
          </cell>
          <cell r="AI149">
            <v>10.798347107438016</v>
          </cell>
          <cell r="AK149">
            <v>9.8166791885800144</v>
          </cell>
          <cell r="AM149">
            <v>8.9242538078000138</v>
          </cell>
          <cell r="AO149">
            <v>8.1129580070909206</v>
          </cell>
          <cell r="AQ149">
            <v>7.3754163700826574</v>
          </cell>
          <cell r="AS149">
            <v>6.7049239728024128</v>
          </cell>
          <cell r="AU149">
            <v>6.7049239728024164</v>
          </cell>
        </row>
        <row r="150">
          <cell r="B150" t="str">
            <v>Additions to patents and other intangibles</v>
          </cell>
          <cell r="U150">
            <v>10.971</v>
          </cell>
          <cell r="W150">
            <v>5.1739999999999995</v>
          </cell>
        </row>
        <row r="151">
          <cell r="B151" t="str">
            <v>% revenue</v>
          </cell>
          <cell r="U151">
            <v>2.9602802818564731E-2</v>
          </cell>
          <cell r="W151">
            <v>0.1188193315047212</v>
          </cell>
          <cell r="Y151">
            <v>0.05</v>
          </cell>
          <cell r="AA151">
            <v>0.05</v>
          </cell>
          <cell r="AC151">
            <v>0.05</v>
          </cell>
          <cell r="AE151">
            <v>0.05</v>
          </cell>
          <cell r="AG151">
            <v>0.05</v>
          </cell>
          <cell r="AI151">
            <v>0.05</v>
          </cell>
          <cell r="AK151">
            <v>0.05</v>
          </cell>
          <cell r="AM151">
            <v>0.05</v>
          </cell>
          <cell r="AO151">
            <v>0.05</v>
          </cell>
          <cell r="AQ151">
            <v>0.05</v>
          </cell>
          <cell r="AS151">
            <v>0.05</v>
          </cell>
          <cell r="AU151">
            <v>0.05</v>
          </cell>
        </row>
        <row r="152">
          <cell r="B152" t="str">
            <v>Amortization</v>
          </cell>
          <cell r="S152">
            <v>-15.209999999999997</v>
          </cell>
          <cell r="U152">
            <v>-3.0079999999999991</v>
          </cell>
          <cell r="W152">
            <v>-4.8949999999999996</v>
          </cell>
          <cell r="Y152">
            <v>-3.9130000000000003</v>
          </cell>
          <cell r="AA152">
            <v>-4.2919999999999998</v>
          </cell>
          <cell r="AC152">
            <v>-4.1109999999999998</v>
          </cell>
          <cell r="AE152">
            <v>-1.1878181818181817</v>
          </cell>
          <cell r="AG152">
            <v>-1.0798347107438016</v>
          </cell>
          <cell r="AI152">
            <v>-0.98166791885800153</v>
          </cell>
          <cell r="AK152">
            <v>-0.89242538078000144</v>
          </cell>
          <cell r="AM152">
            <v>-0.81129580070909213</v>
          </cell>
          <cell r="AO152">
            <v>-0.7375416370082658</v>
          </cell>
          <cell r="AQ152">
            <v>-0.67049239728024135</v>
          </cell>
          <cell r="AS152">
            <v>0</v>
          </cell>
          <cell r="AU152">
            <v>0</v>
          </cell>
        </row>
        <row r="153">
          <cell r="B153" t="str">
            <v>Ending balance</v>
          </cell>
          <cell r="S153">
            <v>17.14</v>
          </cell>
          <cell r="U153">
            <v>25.103000000000002</v>
          </cell>
          <cell r="W153">
            <v>25.382000000000001</v>
          </cell>
          <cell r="Y153">
            <v>21.469000000000001</v>
          </cell>
          <cell r="AA153">
            <v>17.177</v>
          </cell>
          <cell r="AC153">
            <v>13.065999999999999</v>
          </cell>
          <cell r="AE153">
            <v>11.878181818181817</v>
          </cell>
          <cell r="AG153">
            <v>10.798347107438016</v>
          </cell>
          <cell r="AI153">
            <v>9.8166791885800144</v>
          </cell>
          <cell r="AK153">
            <v>8.9242538078000138</v>
          </cell>
          <cell r="AM153">
            <v>8.1129580070909224</v>
          </cell>
          <cell r="AO153">
            <v>7.3754163700826547</v>
          </cell>
          <cell r="AQ153">
            <v>6.7049239728024164</v>
          </cell>
          <cell r="AS153">
            <v>6.7049239728024128</v>
          </cell>
          <cell r="AU153">
            <v>6.7049239728024164</v>
          </cell>
        </row>
        <row r="155">
          <cell r="B155" t="str">
            <v xml:space="preserve">Amortization from </v>
          </cell>
        </row>
        <row r="156">
          <cell r="B156" t="str">
            <v>Intangibles</v>
          </cell>
          <cell r="U156">
            <v>3.0079999999999991</v>
          </cell>
          <cell r="W156">
            <v>4.8949999999999996</v>
          </cell>
          <cell r="Y156">
            <v>3.86442</v>
          </cell>
          <cell r="AA156">
            <v>2.7483200000000001</v>
          </cell>
          <cell r="AC156">
            <v>1.82924</v>
          </cell>
          <cell r="AE156">
            <v>1.1878181818181817</v>
          </cell>
          <cell r="AG156">
            <v>1.0798347107438016</v>
          </cell>
          <cell r="AI156">
            <v>0.98166791885800153</v>
          </cell>
          <cell r="AK156">
            <v>0.89242538078000144</v>
          </cell>
          <cell r="AM156">
            <v>0.81129580070909224</v>
          </cell>
          <cell r="AO156">
            <v>0.73754163700826547</v>
          </cell>
          <cell r="AQ156">
            <v>0.67049239728024168</v>
          </cell>
          <cell r="AS156">
            <v>0.67049239728024135</v>
          </cell>
          <cell r="AU156">
            <v>0.67049239728024168</v>
          </cell>
        </row>
        <row r="157">
          <cell r="B157" t="str">
            <v>% of Gross Intangibles</v>
          </cell>
          <cell r="U157">
            <v>0.11982631557981113</v>
          </cell>
          <cell r="W157">
            <v>0.19285320305728465</v>
          </cell>
          <cell r="Y157">
            <v>0.18</v>
          </cell>
          <cell r="AA157">
            <v>0.16</v>
          </cell>
          <cell r="AC157">
            <v>0.14000000000000001</v>
          </cell>
          <cell r="AE157">
            <v>0.1</v>
          </cell>
          <cell r="AG157">
            <v>0.1</v>
          </cell>
          <cell r="AI157">
            <v>0.1</v>
          </cell>
          <cell r="AK157">
            <v>0.1</v>
          </cell>
          <cell r="AM157">
            <v>0.1</v>
          </cell>
          <cell r="AO157">
            <v>0.1</v>
          </cell>
          <cell r="AQ157">
            <v>0.1</v>
          </cell>
          <cell r="AS157">
            <v>0.1</v>
          </cell>
          <cell r="AU157">
            <v>0.1</v>
          </cell>
        </row>
        <row r="158">
          <cell r="B158" t="str">
            <v>Amortization Expense</v>
          </cell>
          <cell r="U158">
            <v>3.0079999999999991</v>
          </cell>
          <cell r="W158">
            <v>4.8949999999999996</v>
          </cell>
          <cell r="Y158">
            <v>3.86442</v>
          </cell>
          <cell r="AA158">
            <v>2.7483200000000001</v>
          </cell>
          <cell r="AC158">
            <v>1.82924</v>
          </cell>
          <cell r="AE158">
            <v>1.1878181818181817</v>
          </cell>
          <cell r="AG158">
            <v>1.0798347107438016</v>
          </cell>
          <cell r="AI158">
            <v>0.98166791885800153</v>
          </cell>
          <cell r="AK158">
            <v>0.89242538078000144</v>
          </cell>
          <cell r="AM158">
            <v>0.81129580070909224</v>
          </cell>
          <cell r="AO158">
            <v>0.73754163700826547</v>
          </cell>
          <cell r="AQ158">
            <v>0.67049239728024168</v>
          </cell>
          <cell r="AS158">
            <v>0.67049239728024135</v>
          </cell>
          <cell r="AU158">
            <v>0.67049239728024168</v>
          </cell>
        </row>
        <row r="160">
          <cell r="B160" t="str">
            <v>Accumulated Amortization</v>
          </cell>
        </row>
        <row r="161">
          <cell r="B161" t="str">
            <v>Beginning balance</v>
          </cell>
          <cell r="W161">
            <v>4.9790000000000001</v>
          </cell>
          <cell r="Y161">
            <v>4.8849999999999998</v>
          </cell>
          <cell r="AA161">
            <v>8.7494200000000006</v>
          </cell>
          <cell r="AC161">
            <v>11.49774</v>
          </cell>
          <cell r="AE161">
            <v>13.326980000000001</v>
          </cell>
          <cell r="AG161">
            <v>14.514798181818183</v>
          </cell>
          <cell r="AI161">
            <v>15.594632892561984</v>
          </cell>
          <cell r="AK161">
            <v>16.576300811419987</v>
          </cell>
          <cell r="AM161">
            <v>17.468726192199988</v>
          </cell>
          <cell r="AO161">
            <v>18.280021992909081</v>
          </cell>
          <cell r="AQ161">
            <v>19.017563629917348</v>
          </cell>
          <cell r="AS161">
            <v>19.68805602719759</v>
          </cell>
          <cell r="AU161">
            <v>20.358548424477831</v>
          </cell>
        </row>
        <row r="162">
          <cell r="B162" t="str">
            <v>Amortization expense</v>
          </cell>
          <cell r="Y162">
            <v>3.86442</v>
          </cell>
          <cell r="AA162">
            <v>2.7483200000000001</v>
          </cell>
          <cell r="AC162">
            <v>1.82924</v>
          </cell>
          <cell r="AE162">
            <v>1.1878181818181817</v>
          </cell>
          <cell r="AG162">
            <v>1.0798347107438016</v>
          </cell>
          <cell r="AI162">
            <v>0.98166791885800153</v>
          </cell>
          <cell r="AK162">
            <v>0.89242538078000144</v>
          </cell>
          <cell r="AM162">
            <v>0.81129580070909224</v>
          </cell>
          <cell r="AO162">
            <v>0.73754163700826547</v>
          </cell>
          <cell r="AQ162">
            <v>0.67049239728024168</v>
          </cell>
          <cell r="AS162">
            <v>0.67049239728024135</v>
          </cell>
          <cell r="AU162">
            <v>0.67049239728024168</v>
          </cell>
        </row>
        <row r="163">
          <cell r="B163" t="str">
            <v>Ending Balance</v>
          </cell>
          <cell r="U163">
            <v>4.9790000000000001</v>
          </cell>
          <cell r="W163">
            <v>4.8849999999999998</v>
          </cell>
          <cell r="Y163">
            <v>8.7494200000000006</v>
          </cell>
          <cell r="AA163">
            <v>11.49774</v>
          </cell>
          <cell r="AC163">
            <v>13.326980000000001</v>
          </cell>
          <cell r="AE163">
            <v>14.514798181818183</v>
          </cell>
          <cell r="AG163">
            <v>15.594632892561984</v>
          </cell>
          <cell r="AI163">
            <v>16.576300811419987</v>
          </cell>
          <cell r="AK163">
            <v>17.468726192199988</v>
          </cell>
          <cell r="AM163">
            <v>18.280021992909081</v>
          </cell>
          <cell r="AO163">
            <v>19.017563629917348</v>
          </cell>
          <cell r="AQ163">
            <v>19.68805602719759</v>
          </cell>
          <cell r="AS163">
            <v>20.358548424477831</v>
          </cell>
          <cell r="AU163">
            <v>21.029040821758073</v>
          </cell>
        </row>
        <row r="164">
          <cell r="B164" t="str">
            <v>Relative age as a % of depreciable life</v>
          </cell>
          <cell r="U164">
            <v>0.19834282755049196</v>
          </cell>
          <cell r="W164">
            <v>0.19245922307146796</v>
          </cell>
          <cell r="Y164">
            <v>0.407537379477386</v>
          </cell>
          <cell r="AA164">
            <v>0.66936834138673806</v>
          </cell>
          <cell r="AC164">
            <v>1.0199739782641972</v>
          </cell>
          <cell r="AE164">
            <v>1.221971376090617</v>
          </cell>
          <cell r="AG164">
            <v>1.4441685136996787</v>
          </cell>
          <cell r="AI164">
            <v>1.6885853650696467</v>
          </cell>
          <cell r="AK164">
            <v>1.9574439015766112</v>
          </cell>
          <cell r="AM164">
            <v>2.253188291734272</v>
          </cell>
          <cell r="AO164">
            <v>2.5785071209077004</v>
          </cell>
          <cell r="AQ164">
            <v>2.936357832998469</v>
          </cell>
          <cell r="AS164">
            <v>3.0363578329984708</v>
          </cell>
          <cell r="AU164">
            <v>3.1363578329984692</v>
          </cell>
        </row>
        <row r="167">
          <cell r="B167" t="str">
            <v>Growth</v>
          </cell>
          <cell r="AA167">
            <v>0.2</v>
          </cell>
        </row>
        <row r="168">
          <cell r="B168" t="str">
            <v>Supplement:  Option Balance (Beginning Year)</v>
          </cell>
          <cell r="AA168">
            <v>14.216879270915994</v>
          </cell>
        </row>
        <row r="169">
          <cell r="B169" t="str">
            <v>Annual Growth in Exercise Price</v>
          </cell>
          <cell r="AA169">
            <v>0.25</v>
          </cell>
          <cell r="AC169">
            <v>0.1</v>
          </cell>
        </row>
        <row r="171">
          <cell r="B171" t="str">
            <v>Employee Stock Option Analysis</v>
          </cell>
          <cell r="AC171">
            <v>1</v>
          </cell>
          <cell r="AE171">
            <v>2</v>
          </cell>
          <cell r="AG171">
            <v>3</v>
          </cell>
          <cell r="AI171">
            <v>4</v>
          </cell>
          <cell r="AK171">
            <v>5</v>
          </cell>
          <cell r="AM171">
            <v>6</v>
          </cell>
          <cell r="AO171">
            <v>6</v>
          </cell>
          <cell r="AQ171">
            <v>6</v>
          </cell>
          <cell r="AS171">
            <v>6</v>
          </cell>
          <cell r="AU171">
            <v>6</v>
          </cell>
        </row>
        <row r="172">
          <cell r="O172">
            <v>1999</v>
          </cell>
          <cell r="Q172">
            <v>2000</v>
          </cell>
          <cell r="S172" t="str">
            <v>2001</v>
          </cell>
          <cell r="U172" t="str">
            <v>2002</v>
          </cell>
          <cell r="W172" t="str">
            <v>2003</v>
          </cell>
          <cell r="Y172" t="str">
            <v>2004E</v>
          </cell>
          <cell r="AA172" t="str">
            <v>2005E</v>
          </cell>
          <cell r="AC172" t="str">
            <v>2006E</v>
          </cell>
          <cell r="AE172" t="str">
            <v>2007E</v>
          </cell>
          <cell r="AG172" t="str">
            <v>2008E</v>
          </cell>
          <cell r="AI172" t="str">
            <v>2009E</v>
          </cell>
          <cell r="AK172" t="str">
            <v>2010E</v>
          </cell>
          <cell r="AM172" t="str">
            <v>2011E</v>
          </cell>
          <cell r="AO172" t="str">
            <v>2012E</v>
          </cell>
          <cell r="AQ172" t="str">
            <v>2013E</v>
          </cell>
          <cell r="AS172" t="str">
            <v>2014E</v>
          </cell>
          <cell r="AU172" t="str">
            <v>2015E</v>
          </cell>
        </row>
        <row r="173">
          <cell r="B173" t="str">
            <v xml:space="preserve">Stock Price (average) </v>
          </cell>
          <cell r="Y173">
            <v>10.5</v>
          </cell>
          <cell r="AA173">
            <v>7</v>
          </cell>
          <cell r="AC173">
            <v>8</v>
          </cell>
          <cell r="AE173">
            <v>9</v>
          </cell>
          <cell r="AG173">
            <v>18</v>
          </cell>
          <cell r="AI173">
            <v>21.599999999999998</v>
          </cell>
          <cell r="AK173">
            <v>25.919999999999998</v>
          </cell>
          <cell r="AM173">
            <v>28.252800000000001</v>
          </cell>
          <cell r="AO173">
            <v>30.795552000000004</v>
          </cell>
          <cell r="AQ173">
            <v>33.567151680000009</v>
          </cell>
          <cell r="AS173">
            <v>36.588195331200012</v>
          </cell>
          <cell r="AU173">
            <v>39.881132911008017</v>
          </cell>
        </row>
        <row r="174">
          <cell r="B174" t="str">
            <v>Option Balance (Beginning Year)</v>
          </cell>
          <cell r="S174">
            <v>8.2626010000000001</v>
          </cell>
          <cell r="U174">
            <v>10.380774000000001</v>
          </cell>
          <cell r="W174">
            <v>11.156772999999999</v>
          </cell>
          <cell r="Y174">
            <v>8.5318860000000001</v>
          </cell>
          <cell r="AA174">
            <v>6.5187449999999991</v>
          </cell>
          <cell r="AC174">
            <v>7.7984009999999993</v>
          </cell>
          <cell r="AE174">
            <v>10.094147</v>
          </cell>
          <cell r="AG174">
            <v>11.608269049999997</v>
          </cell>
          <cell r="AI174">
            <v>11.608269049999995</v>
          </cell>
          <cell r="AK174">
            <v>12.188682502499997</v>
          </cell>
          <cell r="AM174">
            <v>13.163777102699996</v>
          </cell>
          <cell r="AO174">
            <v>14.216879270915994</v>
          </cell>
          <cell r="AQ174">
            <v>15.354229612589275</v>
          </cell>
          <cell r="AS174">
            <v>16.582567981596419</v>
          </cell>
          <cell r="AU174">
            <v>17.909173420124134</v>
          </cell>
        </row>
        <row r="175">
          <cell r="B175" t="str">
            <v xml:space="preserve"> Average Options Exercisable</v>
          </cell>
          <cell r="S175">
            <v>4.1390690000000001</v>
          </cell>
          <cell r="U175">
            <v>4.7790879999999998</v>
          </cell>
          <cell r="W175">
            <v>4.4629760000000003</v>
          </cell>
          <cell r="Y175">
            <v>3.5256319999999999</v>
          </cell>
          <cell r="AA175">
            <v>4.1819990000000002</v>
          </cell>
          <cell r="AC175">
            <v>5.5779110000000003</v>
          </cell>
          <cell r="AE175">
            <v>4.0376588</v>
          </cell>
          <cell r="AG175">
            <v>2.9020672624999992</v>
          </cell>
          <cell r="AI175">
            <v>2.9020672624999988</v>
          </cell>
          <cell r="AK175">
            <v>3.0471706256249993</v>
          </cell>
          <cell r="AM175">
            <v>3.2909442756749989</v>
          </cell>
          <cell r="AO175">
            <v>3.5542198177289985</v>
          </cell>
          <cell r="AQ175">
            <v>3.8385574031473189</v>
          </cell>
          <cell r="AS175">
            <v>4.1456419953991048</v>
          </cell>
          <cell r="AU175">
            <v>4.4772933550310334</v>
          </cell>
        </row>
        <row r="176">
          <cell r="B176" t="str">
            <v xml:space="preserve">   % Exercisable</v>
          </cell>
          <cell r="S176">
            <v>0.22201285979604016</v>
          </cell>
          <cell r="U176">
            <v>0.22189565041924225</v>
          </cell>
          <cell r="W176">
            <v>0.22667749997600142</v>
          </cell>
          <cell r="Y176">
            <v>0.23425144101931675</v>
          </cell>
          <cell r="AA176">
            <v>0.29209725178467838</v>
          </cell>
          <cell r="AC176">
            <v>0.31174492308194457</v>
          </cell>
          <cell r="AE176">
            <v>0.4</v>
          </cell>
          <cell r="AG176">
            <v>0.25</v>
          </cell>
          <cell r="AI176">
            <v>0.25</v>
          </cell>
          <cell r="AK176">
            <v>0.25</v>
          </cell>
          <cell r="AM176">
            <v>0.25</v>
          </cell>
          <cell r="AO176">
            <v>0.25</v>
          </cell>
          <cell r="AQ176">
            <v>0.25</v>
          </cell>
          <cell r="AS176">
            <v>0.25</v>
          </cell>
          <cell r="AU176">
            <v>0.25</v>
          </cell>
        </row>
        <row r="177">
          <cell r="B177" t="str">
            <v>Weighted Average Exercise Price of exercisable</v>
          </cell>
          <cell r="U177">
            <v>14.94</v>
          </cell>
          <cell r="W177">
            <v>13.13</v>
          </cell>
          <cell r="Y177">
            <v>11.14</v>
          </cell>
          <cell r="AA177">
            <v>9.7100000000000009</v>
          </cell>
          <cell r="AC177">
            <v>9.19</v>
          </cell>
          <cell r="AE177">
            <v>11.487499999999999</v>
          </cell>
          <cell r="AG177">
            <v>14.359374999999998</v>
          </cell>
          <cell r="AI177">
            <v>15.7953125</v>
          </cell>
          <cell r="AK177">
            <v>17.37484375</v>
          </cell>
          <cell r="AM177">
            <v>19.112328125000001</v>
          </cell>
          <cell r="AO177">
            <v>21.023560937500005</v>
          </cell>
          <cell r="AQ177">
            <v>23.125917031250008</v>
          </cell>
          <cell r="AS177">
            <v>25.438508734375009</v>
          </cell>
          <cell r="AU177">
            <v>27.982359607812512</v>
          </cell>
        </row>
        <row r="178">
          <cell r="B178" t="str">
            <v>Options Cancelled</v>
          </cell>
          <cell r="S178">
            <v>1.673468</v>
          </cell>
          <cell r="U178">
            <v>1.9679310000000001</v>
          </cell>
          <cell r="W178">
            <v>3.562557</v>
          </cell>
          <cell r="Y178">
            <v>2.5526049999999998</v>
          </cell>
          <cell r="AA178">
            <v>1.3109420000000001</v>
          </cell>
          <cell r="AC178">
            <v>0.47654999999999997</v>
          </cell>
          <cell r="AE178">
            <v>1.0094147</v>
          </cell>
          <cell r="AG178">
            <v>1.1608269049999997</v>
          </cell>
          <cell r="AI178">
            <v>1.1608269049999995</v>
          </cell>
          <cell r="AK178">
            <v>1.2188682502499999</v>
          </cell>
          <cell r="AM178">
            <v>1.3163777102699996</v>
          </cell>
          <cell r="AO178">
            <v>1.4216879270915994</v>
          </cell>
          <cell r="AQ178">
            <v>1.5354229612589276</v>
          </cell>
          <cell r="AS178">
            <v>1.6582567981596421</v>
          </cell>
          <cell r="AU178">
            <v>1.7909173420124134</v>
          </cell>
        </row>
        <row r="179">
          <cell r="B179" t="str">
            <v xml:space="preserve">   % Cancelled </v>
          </cell>
          <cell r="S179">
            <v>0.20253525493969754</v>
          </cell>
          <cell r="U179">
            <v>0.18957459241478525</v>
          </cell>
          <cell r="W179">
            <v>0.31931787085746033</v>
          </cell>
          <cell r="Y179">
            <v>0.29918414287298256</v>
          </cell>
          <cell r="AA179">
            <v>0.20110343325287311</v>
          </cell>
          <cell r="AC179">
            <v>6.1108681125784638E-2</v>
          </cell>
          <cell r="AE179">
            <v>0.1</v>
          </cell>
          <cell r="AG179">
            <v>0.1</v>
          </cell>
          <cell r="AI179">
            <v>0.1</v>
          </cell>
          <cell r="AK179">
            <v>0.1</v>
          </cell>
          <cell r="AM179">
            <v>0.1</v>
          </cell>
          <cell r="AO179">
            <v>0.1</v>
          </cell>
          <cell r="AQ179">
            <v>0.1</v>
          </cell>
          <cell r="AS179">
            <v>0.1</v>
          </cell>
          <cell r="AU179">
            <v>0.1</v>
          </cell>
        </row>
        <row r="180">
          <cell r="B180" t="str">
            <v>Options Exercised</v>
          </cell>
          <cell r="S180">
            <v>0.75219100000000005</v>
          </cell>
          <cell r="U180">
            <v>1.1330450000000001</v>
          </cell>
          <cell r="W180">
            <v>0.40105499999999999</v>
          </cell>
          <cell r="Y180">
            <v>0.98791099999999998</v>
          </cell>
          <cell r="AA180">
            <v>0.20360200000000001</v>
          </cell>
          <cell r="AC180">
            <v>6.1931E-2</v>
          </cell>
          <cell r="AE180">
            <v>1.0094147</v>
          </cell>
          <cell r="AG180">
            <v>1.1608269049999997</v>
          </cell>
          <cell r="AI180">
            <v>1.1608269049999995</v>
          </cell>
          <cell r="AK180">
            <v>1.2188682502499999</v>
          </cell>
          <cell r="AM180">
            <v>1.3163777102699996</v>
          </cell>
          <cell r="AO180">
            <v>1.4216879270915994</v>
          </cell>
          <cell r="AQ180">
            <v>1.5354229612589276</v>
          </cell>
          <cell r="AS180">
            <v>1.6582567981596421</v>
          </cell>
          <cell r="AU180">
            <v>1.7909173420124134</v>
          </cell>
        </row>
        <row r="181">
          <cell r="B181" t="str">
            <v xml:space="preserve">   % Exercised</v>
          </cell>
          <cell r="Q181" t="e">
            <v>#DIV/0!</v>
          </cell>
          <cell r="S181">
            <v>9.1035619413305818E-2</v>
          </cell>
          <cell r="U181">
            <v>0.10914841224748752</v>
          </cell>
          <cell r="W181">
            <v>3.594722237335115E-2</v>
          </cell>
          <cell r="Y181">
            <v>0.11579045945995996</v>
          </cell>
          <cell r="AA181">
            <v>3.1233312547123724E-2</v>
          </cell>
          <cell r="AC181">
            <v>7.9414998023312738E-3</v>
          </cell>
          <cell r="AE181">
            <v>0.1</v>
          </cell>
          <cell r="AG181">
            <v>0.1</v>
          </cell>
          <cell r="AI181">
            <v>0.1</v>
          </cell>
          <cell r="AK181">
            <v>0.1</v>
          </cell>
          <cell r="AM181">
            <v>0.1</v>
          </cell>
          <cell r="AO181">
            <v>0.1</v>
          </cell>
          <cell r="AQ181">
            <v>0.1</v>
          </cell>
          <cell r="AS181">
            <v>0.1</v>
          </cell>
          <cell r="AU181">
            <v>0.1</v>
          </cell>
        </row>
        <row r="182">
          <cell r="B182" t="str">
            <v>Weighted Average Exercise Price</v>
          </cell>
          <cell r="S182">
            <v>11.01</v>
          </cell>
          <cell r="U182">
            <v>4.29</v>
          </cell>
          <cell r="W182">
            <v>1.32</v>
          </cell>
          <cell r="Y182">
            <v>5.65</v>
          </cell>
          <cell r="AA182">
            <v>1.33</v>
          </cell>
          <cell r="AC182">
            <v>4.72</v>
          </cell>
          <cell r="AE182">
            <v>3.5</v>
          </cell>
          <cell r="AG182">
            <v>6</v>
          </cell>
          <cell r="AI182">
            <v>8</v>
          </cell>
          <cell r="AK182">
            <v>9</v>
          </cell>
          <cell r="AM182">
            <v>11</v>
          </cell>
          <cell r="AO182">
            <v>11</v>
          </cell>
          <cell r="AQ182">
            <v>11</v>
          </cell>
          <cell r="AS182">
            <v>11</v>
          </cell>
          <cell r="AU182">
            <v>11</v>
          </cell>
        </row>
        <row r="183">
          <cell r="B183" t="str">
            <v xml:space="preserve">   Statuatory  Tax rate</v>
          </cell>
          <cell r="S183">
            <v>0.35</v>
          </cell>
          <cell r="U183">
            <v>0.35</v>
          </cell>
          <cell r="W183">
            <v>0.35</v>
          </cell>
          <cell r="Y183">
            <v>0.35</v>
          </cell>
          <cell r="AA183">
            <v>0</v>
          </cell>
          <cell r="AC183">
            <v>0</v>
          </cell>
          <cell r="AE183">
            <v>0</v>
          </cell>
          <cell r="AG183">
            <v>0</v>
          </cell>
          <cell r="AI183">
            <v>0</v>
          </cell>
          <cell r="AK183">
            <v>0</v>
          </cell>
          <cell r="AM183">
            <v>0</v>
          </cell>
          <cell r="AO183">
            <v>0</v>
          </cell>
          <cell r="AQ183">
            <v>0</v>
          </cell>
          <cell r="AS183">
            <v>0</v>
          </cell>
          <cell r="AU183">
            <v>0</v>
          </cell>
        </row>
        <row r="184">
          <cell r="B184" t="str">
            <v>Proceeds from option</v>
          </cell>
          <cell r="Y184">
            <v>5.5816971500000001</v>
          </cell>
          <cell r="AA184">
            <v>0.27079066000000002</v>
          </cell>
          <cell r="AC184">
            <v>0.29231431999999996</v>
          </cell>
          <cell r="AE184">
            <v>3.5329514500000001</v>
          </cell>
          <cell r="AG184">
            <v>6.9649614299999989</v>
          </cell>
          <cell r="AI184">
            <v>9.2866152399999962</v>
          </cell>
          <cell r="AK184">
            <v>10.96981425225</v>
          </cell>
          <cell r="AM184">
            <v>14.480154812969996</v>
          </cell>
          <cell r="AO184">
            <v>15.638567198007593</v>
          </cell>
          <cell r="AQ184">
            <v>16.889652573848203</v>
          </cell>
          <cell r="AS184">
            <v>18.240824779756064</v>
          </cell>
          <cell r="AU184">
            <v>19.700090762136547</v>
          </cell>
        </row>
        <row r="185">
          <cell r="B185" t="str">
            <v>Tax Benefit from Options</v>
          </cell>
          <cell r="Y185">
            <v>1.6769789224999998</v>
          </cell>
          <cell r="AA185">
            <v>0</v>
          </cell>
          <cell r="AC185">
            <v>0</v>
          </cell>
          <cell r="AE185">
            <v>0</v>
          </cell>
          <cell r="AG185">
            <v>0</v>
          </cell>
          <cell r="AI185">
            <v>0</v>
          </cell>
          <cell r="AK185">
            <v>0</v>
          </cell>
          <cell r="AM185">
            <v>0</v>
          </cell>
          <cell r="AO185">
            <v>0</v>
          </cell>
          <cell r="AQ185">
            <v>0</v>
          </cell>
          <cell r="AS185">
            <v>0</v>
          </cell>
          <cell r="AU185">
            <v>0</v>
          </cell>
        </row>
        <row r="186">
          <cell r="B186" t="str">
            <v>Options Granted</v>
          </cell>
          <cell r="S186">
            <v>4.5438320000000001</v>
          </cell>
          <cell r="U186">
            <v>3.8769749999999998</v>
          </cell>
          <cell r="W186">
            <v>1.3387249999999999</v>
          </cell>
          <cell r="Y186">
            <v>1.5273749999999999</v>
          </cell>
          <cell r="AA186">
            <v>2.7942</v>
          </cell>
          <cell r="AC186">
            <v>2.8342269999999998</v>
          </cell>
          <cell r="AE186">
            <v>3.5329514499999997</v>
          </cell>
          <cell r="AG186">
            <v>2.3216538099999995</v>
          </cell>
          <cell r="AI186">
            <v>2.9020672624999988</v>
          </cell>
          <cell r="AK186">
            <v>3.4128311006999996</v>
          </cell>
          <cell r="AM186">
            <v>3.685857588755999</v>
          </cell>
          <cell r="AO186">
            <v>3.9807261958564788</v>
          </cell>
          <cell r="AQ186">
            <v>4.2991842915249974</v>
          </cell>
          <cell r="AS186">
            <v>4.6431190348469977</v>
          </cell>
          <cell r="AU186">
            <v>5.0145685576347576</v>
          </cell>
        </row>
        <row r="187">
          <cell r="B187" t="str">
            <v xml:space="preserve">     % of Outstanding Options</v>
          </cell>
          <cell r="Q187" t="e">
            <v>#DIV/0!</v>
          </cell>
          <cell r="S187">
            <v>0.54992755913059344</v>
          </cell>
          <cell r="U187">
            <v>0.37347648643540449</v>
          </cell>
          <cell r="W187">
            <v>0.11999213392618098</v>
          </cell>
          <cell r="Y187">
            <v>0.1790196212185676</v>
          </cell>
          <cell r="AA187">
            <v>0.42864078898622365</v>
          </cell>
          <cell r="AC187">
            <v>0.36343694047023228</v>
          </cell>
          <cell r="AE187">
            <v>0.35</v>
          </cell>
          <cell r="AG187">
            <v>0.2</v>
          </cell>
          <cell r="AI187">
            <v>0.25</v>
          </cell>
          <cell r="AK187">
            <v>0.28000000000000003</v>
          </cell>
          <cell r="AM187">
            <v>0.28000000000000003</v>
          </cell>
          <cell r="AO187">
            <v>0.28000000000000003</v>
          </cell>
          <cell r="AQ187">
            <v>0.28000000000000003</v>
          </cell>
          <cell r="AS187">
            <v>0.28000000000000003</v>
          </cell>
          <cell r="AU187">
            <v>0.28000000000000003</v>
          </cell>
        </row>
        <row r="188">
          <cell r="B188" t="str">
            <v>Option Balance (End of Year)</v>
          </cell>
          <cell r="S188">
            <v>10.380774000000001</v>
          </cell>
          <cell r="U188">
            <v>11.156772999999999</v>
          </cell>
          <cell r="W188">
            <v>8.5318860000000001</v>
          </cell>
          <cell r="Y188">
            <v>6.518745</v>
          </cell>
          <cell r="AA188">
            <v>7.7984009999999993</v>
          </cell>
          <cell r="AC188">
            <v>10.094147</v>
          </cell>
          <cell r="AE188">
            <v>11.608269049999997</v>
          </cell>
          <cell r="AG188">
            <v>11.608269049999995</v>
          </cell>
          <cell r="AI188">
            <v>12.188682502499995</v>
          </cell>
          <cell r="AK188">
            <v>13.163777102699996</v>
          </cell>
          <cell r="AM188">
            <v>14.216879270915994</v>
          </cell>
          <cell r="AO188">
            <v>15.354229612589274</v>
          </cell>
          <cell r="AQ188">
            <v>16.582567981596419</v>
          </cell>
          <cell r="AS188">
            <v>17.909173420124134</v>
          </cell>
          <cell r="AU188">
            <v>19.341907293734064</v>
          </cell>
        </row>
        <row r="190">
          <cell r="B190" t="str">
            <v>Shares Issued</v>
          </cell>
          <cell r="Y190">
            <v>9.4484609588610002</v>
          </cell>
          <cell r="AA190">
            <v>1.4890000000000001</v>
          </cell>
          <cell r="AE190">
            <v>0</v>
          </cell>
          <cell r="AG190">
            <v>0</v>
          </cell>
          <cell r="AI190">
            <v>5</v>
          </cell>
          <cell r="AK190">
            <v>5</v>
          </cell>
          <cell r="AM190">
            <v>36.720323999999998</v>
          </cell>
          <cell r="AO190">
            <v>6</v>
          </cell>
          <cell r="AQ190">
            <v>6</v>
          </cell>
          <cell r="AS190">
            <v>0</v>
          </cell>
          <cell r="AU190">
            <v>0</v>
          </cell>
        </row>
        <row r="191">
          <cell r="B191" t="str">
            <v>Proceeds from share issuance</v>
          </cell>
          <cell r="S191">
            <v>0</v>
          </cell>
          <cell r="U191">
            <v>0</v>
          </cell>
          <cell r="W191">
            <v>0</v>
          </cell>
          <cell r="Y191">
            <v>82.891323927499997</v>
          </cell>
          <cell r="AA191">
            <v>1.21</v>
          </cell>
          <cell r="AC191">
            <v>1.4079999999999999</v>
          </cell>
          <cell r="AE191">
            <v>0</v>
          </cell>
          <cell r="AG191">
            <v>0</v>
          </cell>
          <cell r="AI191">
            <v>183</v>
          </cell>
          <cell r="AK191">
            <v>129.6</v>
          </cell>
          <cell r="AM191">
            <v>412.00203527999997</v>
          </cell>
          <cell r="AO191">
            <v>184.77331200000003</v>
          </cell>
          <cell r="AQ191">
            <v>201.40291008000005</v>
          </cell>
          <cell r="AS191">
            <v>0</v>
          </cell>
          <cell r="AU191">
            <v>0</v>
          </cell>
        </row>
        <row r="192">
          <cell r="B192" t="str">
            <v>Shares Repurchased (mm)</v>
          </cell>
          <cell r="Y192">
            <v>0</v>
          </cell>
        </row>
        <row r="193">
          <cell r="B193" t="str">
            <v>Share Repurchase Cost</v>
          </cell>
          <cell r="Y193">
            <v>0</v>
          </cell>
          <cell r="AA193">
            <v>0</v>
          </cell>
          <cell r="AC193">
            <v>0</v>
          </cell>
          <cell r="AE193">
            <v>0</v>
          </cell>
          <cell r="AG193">
            <v>0</v>
          </cell>
          <cell r="AI193">
            <v>0</v>
          </cell>
          <cell r="AK193">
            <v>0</v>
          </cell>
          <cell r="AM193">
            <v>0</v>
          </cell>
          <cell r="AO193">
            <v>0</v>
          </cell>
          <cell r="AQ193">
            <v>0</v>
          </cell>
          <cell r="AS193">
            <v>0</v>
          </cell>
          <cell r="AU193">
            <v>0</v>
          </cell>
        </row>
        <row r="194">
          <cell r="B194" t="str">
            <v>Conversion of Convertible Subordinated Debt/Share Issuance from Acquisitions</v>
          </cell>
        </row>
        <row r="195">
          <cell r="B195" t="str">
            <v>Stock Compensation Expense</v>
          </cell>
          <cell r="AA195">
            <v>0</v>
          </cell>
          <cell r="AC195">
            <v>8.89</v>
          </cell>
          <cell r="AE195">
            <v>10.149000000000001</v>
          </cell>
          <cell r="AG195">
            <v>17</v>
          </cell>
          <cell r="AI195">
            <v>19</v>
          </cell>
          <cell r="AK195">
            <v>21</v>
          </cell>
          <cell r="AM195">
            <v>23</v>
          </cell>
          <cell r="AO195">
            <v>25</v>
          </cell>
          <cell r="AQ195">
            <v>26.055</v>
          </cell>
          <cell r="AS195">
            <v>28.95</v>
          </cell>
          <cell r="AU195">
            <v>31.844999999999999</v>
          </cell>
        </row>
        <row r="196">
          <cell r="B196" t="str">
            <v>Total Change in APIC</v>
          </cell>
          <cell r="K196">
            <v>0</v>
          </cell>
          <cell r="M196">
            <v>0</v>
          </cell>
          <cell r="O196">
            <v>0</v>
          </cell>
          <cell r="Q196">
            <v>0</v>
          </cell>
          <cell r="S196">
            <v>18.02</v>
          </cell>
          <cell r="U196">
            <v>0.75100000000000033</v>
          </cell>
          <cell r="W196">
            <v>18.798999999999999</v>
          </cell>
          <cell r="Y196">
            <v>90.149999999999991</v>
          </cell>
          <cell r="AA196">
            <v>1.48079066</v>
          </cell>
          <cell r="AC196">
            <v>10.590314320000001</v>
          </cell>
          <cell r="AE196">
            <v>13.681951450000001</v>
          </cell>
          <cell r="AG196">
            <v>23.964961429999999</v>
          </cell>
          <cell r="AI196">
            <v>211.28661524</v>
          </cell>
          <cell r="AK196">
            <v>161.56981425224998</v>
          </cell>
          <cell r="AM196">
            <v>449.48219009296997</v>
          </cell>
          <cell r="AO196">
            <v>225.41187919800763</v>
          </cell>
          <cell r="AQ196">
            <v>244.34756265384826</v>
          </cell>
          <cell r="AS196">
            <v>47.190824779756063</v>
          </cell>
          <cell r="AU196">
            <v>51.545090762136546</v>
          </cell>
          <cell r="AX196" t="str">
            <v>mstag:netIssuanceRepurchaseOfCommonStock</v>
          </cell>
          <cell r="AY196">
            <v>6</v>
          </cell>
          <cell r="AZ196" t="str">
            <v>ISO4217:USD</v>
          </cell>
          <cell r="BA196" t="b">
            <v>0</v>
          </cell>
          <cell r="BB196" t="b">
            <v>0</v>
          </cell>
        </row>
        <row r="197">
          <cell r="B197" t="str">
            <v>Beginning Period Shares</v>
          </cell>
          <cell r="Q197">
            <v>0</v>
          </cell>
          <cell r="S197">
            <v>65.691623000000007</v>
          </cell>
          <cell r="U197">
            <v>66.745576999999997</v>
          </cell>
          <cell r="W197">
            <v>67.177591000000007</v>
          </cell>
          <cell r="Y197">
            <v>72.544903000000005</v>
          </cell>
          <cell r="AA197">
            <v>82.981274958861007</v>
          </cell>
          <cell r="AC197">
            <v>84.673876958861015</v>
          </cell>
          <cell r="AE197">
            <v>84.735807958861017</v>
          </cell>
          <cell r="AG197">
            <v>84.405000000000001</v>
          </cell>
          <cell r="AI197">
            <v>85.565826904999994</v>
          </cell>
          <cell r="AK197">
            <v>91.726653809999988</v>
          </cell>
          <cell r="AM197">
            <v>97.945522060249985</v>
          </cell>
          <cell r="AO197">
            <v>135.98222377051999</v>
          </cell>
          <cell r="AQ197">
            <v>143.40391169761159</v>
          </cell>
          <cell r="AS197">
            <v>150.93933465887051</v>
          </cell>
          <cell r="AU197">
            <v>152.59759145703015</v>
          </cell>
        </row>
        <row r="198">
          <cell r="B198" t="str">
            <v>End of Period Shares</v>
          </cell>
          <cell r="Q198">
            <v>65.691623000000007</v>
          </cell>
          <cell r="S198">
            <v>66.745576999999997</v>
          </cell>
          <cell r="U198">
            <v>67.177591000000007</v>
          </cell>
          <cell r="W198">
            <v>72.544903000000005</v>
          </cell>
          <cell r="Y198">
            <v>82.981274958861007</v>
          </cell>
          <cell r="AA198">
            <v>84.673876958861015</v>
          </cell>
          <cell r="AC198">
            <v>84.735807958861017</v>
          </cell>
          <cell r="AE198">
            <v>84.405000000000001</v>
          </cell>
          <cell r="AG198">
            <v>85.565826904999994</v>
          </cell>
          <cell r="AI198">
            <v>91.726653809999988</v>
          </cell>
          <cell r="AK198">
            <v>97.945522060249985</v>
          </cell>
          <cell r="AM198">
            <v>135.98222377051999</v>
          </cell>
          <cell r="AO198">
            <v>143.40391169761159</v>
          </cell>
          <cell r="AQ198">
            <v>150.93933465887051</v>
          </cell>
          <cell r="AS198">
            <v>152.59759145703015</v>
          </cell>
          <cell r="AU198">
            <v>154.38850879904257</v>
          </cell>
          <cell r="AX198" t="str">
            <v>mstag:periodEndBasicSharesOutstanding</v>
          </cell>
          <cell r="AY198">
            <v>6</v>
          </cell>
          <cell r="AZ198" t="str">
            <v>ms_eqr_gcim_Decimal:ms_eqr_gcim_decimal</v>
          </cell>
          <cell r="BA198" t="b">
            <v>0</v>
          </cell>
          <cell r="BB198" t="b">
            <v>0</v>
          </cell>
        </row>
        <row r="199">
          <cell r="B199" t="str">
            <v xml:space="preserve">Average Shares Outstanding-basic </v>
          </cell>
          <cell r="O199">
            <v>0</v>
          </cell>
          <cell r="Q199">
            <v>0</v>
          </cell>
          <cell r="S199">
            <v>66.192999999999998</v>
          </cell>
          <cell r="U199">
            <v>67.403000000000006</v>
          </cell>
          <cell r="W199">
            <v>71.369</v>
          </cell>
          <cell r="Y199">
            <v>74.545999999999992</v>
          </cell>
          <cell r="AA199">
            <v>83.320999999999998</v>
          </cell>
          <cell r="AC199">
            <v>84.704842458861009</v>
          </cell>
          <cell r="AE199">
            <v>84.570403979430509</v>
          </cell>
          <cell r="AG199">
            <v>84.985413452499998</v>
          </cell>
          <cell r="AI199">
            <v>88.646240357499991</v>
          </cell>
          <cell r="AK199">
            <v>94.836087935124993</v>
          </cell>
          <cell r="AM199">
            <v>116.963872915385</v>
          </cell>
          <cell r="AO199">
            <v>139.69306773406578</v>
          </cell>
          <cell r="AQ199">
            <v>147.17162317824105</v>
          </cell>
          <cell r="AS199">
            <v>151.76846305795033</v>
          </cell>
          <cell r="AU199">
            <v>153.49305012803637</v>
          </cell>
        </row>
        <row r="200">
          <cell r="B200" t="str">
            <v>Average Shares Outstanding-diluted</v>
          </cell>
          <cell r="O200">
            <v>0</v>
          </cell>
          <cell r="Q200">
            <v>0</v>
          </cell>
          <cell r="S200">
            <v>76.573774</v>
          </cell>
          <cell r="U200">
            <v>78.559773000000007</v>
          </cell>
          <cell r="W200">
            <v>79.900886</v>
          </cell>
          <cell r="Y200">
            <v>82.243453000000002</v>
          </cell>
          <cell r="AA200">
            <v>84.291381999999999</v>
          </cell>
          <cell r="AC200">
            <v>83.875128197611005</v>
          </cell>
          <cell r="AE200">
            <v>86.987391399986066</v>
          </cell>
          <cell r="AG200">
            <v>87.894030519585499</v>
          </cell>
          <cell r="AI200">
            <v>92.328196210870033</v>
          </cell>
          <cell r="AK200">
            <v>99.253492690006169</v>
          </cell>
          <cell r="AM200">
            <v>121.71443147515978</v>
          </cell>
          <cell r="AO200">
            <v>144.801612788081</v>
          </cell>
          <cell r="AQ200">
            <v>152.6648104325744</v>
          </cell>
          <cell r="AS200">
            <v>157.67490236790039</v>
          </cell>
          <cell r="AU200">
            <v>159.84344579876483</v>
          </cell>
        </row>
        <row r="202">
          <cell r="B202" t="str">
            <v>Retained Earnings</v>
          </cell>
        </row>
        <row r="203">
          <cell r="B203" t="str">
            <v>Retained Earnings:  Beg. of Period</v>
          </cell>
          <cell r="U203">
            <v>-268.13900000000001</v>
          </cell>
          <cell r="W203">
            <v>-405.024</v>
          </cell>
          <cell r="Y203">
            <v>-571.48699999999997</v>
          </cell>
          <cell r="AA203">
            <v>-736.30399999999997</v>
          </cell>
          <cell r="AC203">
            <v>-839.34699999999998</v>
          </cell>
          <cell r="AE203">
            <v>-913.51299999999992</v>
          </cell>
          <cell r="AG203">
            <v>-1000.193</v>
          </cell>
          <cell r="AI203">
            <v>-1171.138099272137</v>
          </cell>
          <cell r="AK203">
            <v>-1329.2341758651776</v>
          </cell>
          <cell r="AM203">
            <v>-1493.6117500525502</v>
          </cell>
          <cell r="AO203">
            <v>-1581.0933869378978</v>
          </cell>
          <cell r="AQ203">
            <v>-1639.0150546803702</v>
          </cell>
          <cell r="AS203">
            <v>-1508.7004252701004</v>
          </cell>
          <cell r="AU203">
            <v>-1177.8746975341012</v>
          </cell>
        </row>
        <row r="204">
          <cell r="B204" t="str">
            <v>Net income</v>
          </cell>
          <cell r="Y204">
            <v>-164.81700000000001</v>
          </cell>
          <cell r="AA204">
            <v>-103.04299999999999</v>
          </cell>
          <cell r="AC204">
            <v>-74.165999999999997</v>
          </cell>
          <cell r="AE204">
            <v>-86.68</v>
          </cell>
          <cell r="AG204">
            <v>-170.94509927213699</v>
          </cell>
          <cell r="AI204">
            <v>-158.09607659304064</v>
          </cell>
          <cell r="AK204">
            <v>-164.37757418737252</v>
          </cell>
          <cell r="AM204">
            <v>-87.481636885347712</v>
          </cell>
          <cell r="AO204">
            <v>-57.921667742472394</v>
          </cell>
          <cell r="AQ204">
            <v>130.31462941026973</v>
          </cell>
          <cell r="AS204">
            <v>330.82572773599912</v>
          </cell>
          <cell r="AU204">
            <v>540.54407894091207</v>
          </cell>
        </row>
        <row r="205">
          <cell r="B205" t="str">
            <v>Dividend Payout Ratio</v>
          </cell>
          <cell r="Y205">
            <v>0</v>
          </cell>
          <cell r="AA205">
            <v>0</v>
          </cell>
          <cell r="AC205">
            <v>0</v>
          </cell>
          <cell r="AE205">
            <v>0</v>
          </cell>
          <cell r="AG205">
            <v>0</v>
          </cell>
          <cell r="AI205">
            <v>0</v>
          </cell>
          <cell r="AK205">
            <v>0</v>
          </cell>
          <cell r="AM205">
            <v>0</v>
          </cell>
          <cell r="AO205">
            <v>0</v>
          </cell>
          <cell r="AQ205">
            <v>0</v>
          </cell>
          <cell r="AS205">
            <v>0</v>
          </cell>
          <cell r="AU205">
            <v>0</v>
          </cell>
        </row>
        <row r="206">
          <cell r="B206" t="str">
            <v>Dividends</v>
          </cell>
          <cell r="Y206">
            <v>0</v>
          </cell>
          <cell r="AA206">
            <v>0</v>
          </cell>
          <cell r="AC206">
            <v>0</v>
          </cell>
          <cell r="AE206">
            <v>0</v>
          </cell>
          <cell r="AG206">
            <v>0</v>
          </cell>
          <cell r="AI206">
            <v>0</v>
          </cell>
          <cell r="AK206">
            <v>0</v>
          </cell>
          <cell r="AM206">
            <v>0</v>
          </cell>
          <cell r="AO206">
            <v>0</v>
          </cell>
          <cell r="AQ206">
            <v>0</v>
          </cell>
          <cell r="AS206">
            <v>0</v>
          </cell>
          <cell r="AU206">
            <v>0</v>
          </cell>
        </row>
        <row r="207">
          <cell r="B207" t="str">
            <v>Retained Earnings:  End. of Period</v>
          </cell>
          <cell r="S207">
            <v>-268.13900000000001</v>
          </cell>
          <cell r="U207">
            <v>-405.024</v>
          </cell>
          <cell r="W207">
            <v>-571.48699999999997</v>
          </cell>
          <cell r="Y207">
            <v>-736.30399999999997</v>
          </cell>
          <cell r="AA207">
            <v>-839.34699999999998</v>
          </cell>
          <cell r="AC207">
            <v>-913.51299999999992</v>
          </cell>
          <cell r="AE207">
            <v>-1000.193</v>
          </cell>
          <cell r="AG207">
            <v>-1171.138099272137</v>
          </cell>
          <cell r="AI207">
            <v>-1329.2341758651776</v>
          </cell>
          <cell r="AK207">
            <v>-1493.6117500525502</v>
          </cell>
          <cell r="AM207">
            <v>-1581.0933869378978</v>
          </cell>
          <cell r="AO207">
            <v>-1639.0150546803702</v>
          </cell>
          <cell r="AQ207">
            <v>-1508.7004252701004</v>
          </cell>
          <cell r="AS207">
            <v>-1177.8746975341012</v>
          </cell>
          <cell r="AU207">
            <v>-637.33061859318912</v>
          </cell>
        </row>
        <row r="210">
          <cell r="W210">
            <v>-4.1139000000001098E-2</v>
          </cell>
          <cell r="Y210">
            <v>83.022413999999998</v>
          </cell>
        </row>
        <row r="213">
          <cell r="Y213">
            <v>108.17117607249999</v>
          </cell>
          <cell r="AA213">
            <v>14.117755406269865</v>
          </cell>
          <cell r="AC213">
            <v>102.05487021007892</v>
          </cell>
          <cell r="AE213">
            <v>4.2713919364103479</v>
          </cell>
          <cell r="AG213">
            <v>121.72785432571183</v>
          </cell>
          <cell r="AI213">
            <v>5.5219450506252681</v>
          </cell>
          <cell r="AK213">
            <v>5.986573583594029</v>
          </cell>
          <cell r="AM213">
            <v>28.77214852315354</v>
          </cell>
          <cell r="AO213">
            <v>28.77214852315354</v>
          </cell>
          <cell r="AQ213">
            <v>28.77214852315354</v>
          </cell>
          <cell r="AS213">
            <v>28.77214852315354</v>
          </cell>
          <cell r="AU213">
            <v>28.77214852315354</v>
          </cell>
        </row>
        <row r="214">
          <cell r="Y214">
            <v>72.544903000000005</v>
          </cell>
          <cell r="AA214">
            <v>79.289000000000001</v>
          </cell>
          <cell r="AC214">
            <v>81.013794739550008</v>
          </cell>
          <cell r="AE214">
            <v>85.383867152572506</v>
          </cell>
          <cell r="AG214">
            <v>85.827954048199501</v>
          </cell>
          <cell r="AI214">
            <v>90.316449633389198</v>
          </cell>
          <cell r="AK214">
            <v>90.804945218578894</v>
          </cell>
          <cell r="AM214">
            <v>91.29344080376859</v>
          </cell>
          <cell r="AO214">
            <v>91.29344080376859</v>
          </cell>
          <cell r="AQ214">
            <v>91.29344080376859</v>
          </cell>
          <cell r="AS214">
            <v>91.29344080376859</v>
          </cell>
          <cell r="AU214">
            <v>91.29344080376859</v>
          </cell>
        </row>
        <row r="215">
          <cell r="Y215">
            <v>79.289000000000001</v>
          </cell>
          <cell r="AA215">
            <v>81.013794739550008</v>
          </cell>
          <cell r="AC215">
            <v>85.383867152572506</v>
          </cell>
          <cell r="AE215">
            <v>85.827954048199501</v>
          </cell>
          <cell r="AG215">
            <v>90.316449633389198</v>
          </cell>
          <cell r="AI215">
            <v>90.804945218578894</v>
          </cell>
          <cell r="AK215">
            <v>91.29344080376859</v>
          </cell>
          <cell r="AM215">
            <v>114.06357631765704</v>
          </cell>
          <cell r="AO215">
            <v>114.06357631765704</v>
          </cell>
          <cell r="AQ215">
            <v>114.06357631765704</v>
          </cell>
          <cell r="AS215">
            <v>114.06357631765704</v>
          </cell>
          <cell r="AU215">
            <v>114.06357631765704</v>
          </cell>
        </row>
        <row r="216">
          <cell r="Y216">
            <v>74.545999999999992</v>
          </cell>
          <cell r="AA216">
            <v>80.151397369774998</v>
          </cell>
          <cell r="AC216">
            <v>83.198830946061264</v>
          </cell>
          <cell r="AE216">
            <v>85.605910600386011</v>
          </cell>
          <cell r="AG216">
            <v>88.072201840794349</v>
          </cell>
          <cell r="AI216">
            <v>90.560697425984046</v>
          </cell>
          <cell r="AK216">
            <v>91.049193011173742</v>
          </cell>
          <cell r="AM216">
            <v>102.67850856071281</v>
          </cell>
          <cell r="AO216">
            <v>102.67850856071281</v>
          </cell>
          <cell r="AQ216">
            <v>102.67850856071281</v>
          </cell>
          <cell r="AS216">
            <v>102.67850856071281</v>
          </cell>
          <cell r="AU216">
            <v>102.67850856071281</v>
          </cell>
        </row>
        <row r="217">
          <cell r="Y217">
            <v>82.243453000000002</v>
          </cell>
          <cell r="AA217">
            <v>79.896856693012495</v>
          </cell>
          <cell r="AC217">
            <v>82.95070620437761</v>
          </cell>
          <cell r="AE217">
            <v>85.378538109824987</v>
          </cell>
          <cell r="AG217">
            <v>87.941191977185383</v>
          </cell>
          <cell r="AI217">
            <v>90.429687562375079</v>
          </cell>
          <cell r="AK217">
            <v>90.918183147564775</v>
          </cell>
          <cell r="AM217">
            <v>102.54749869710385</v>
          </cell>
          <cell r="AO217">
            <v>102.54749869710385</v>
          </cell>
          <cell r="AQ217">
            <v>102.54749869710385</v>
          </cell>
          <cell r="AS217">
            <v>102.54749869710385</v>
          </cell>
          <cell r="AU217">
            <v>102.54749869710385</v>
          </cell>
        </row>
      </sheetData>
      <sheetData sheetId="4">
        <row r="1">
          <cell r="B1" t="str">
            <v>Incyte Corporation Cash Flow Statements</v>
          </cell>
          <cell r="AY1" t="str">
            <v>ElementName</v>
          </cell>
          <cell r="AZ1" t="str">
            <v>ScaleOverride</v>
          </cell>
          <cell r="BA1" t="str">
            <v>UnitOverride</v>
          </cell>
          <cell r="BB1" t="str">
            <v>ReverseSign</v>
          </cell>
          <cell r="BC1" t="str">
            <v>IsDrivingAssumption</v>
          </cell>
          <cell r="BD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2005E</v>
          </cell>
          <cell r="AC4" t="str">
            <v>2006A</v>
          </cell>
          <cell r="AE4" t="str">
            <v>2007E</v>
          </cell>
          <cell r="AG4" t="str">
            <v>2008E</v>
          </cell>
          <cell r="AI4" t="str">
            <v>2009E</v>
          </cell>
          <cell r="AK4" t="str">
            <v>2010E</v>
          </cell>
          <cell r="AM4" t="str">
            <v>2011E</v>
          </cell>
          <cell r="AO4" t="str">
            <v>2012E</v>
          </cell>
          <cell r="AQ4" t="str">
            <v>2013E</v>
          </cell>
          <cell r="AS4" t="str">
            <v>2014E</v>
          </cell>
          <cell r="AU4" t="str">
            <v>2015E</v>
          </cell>
        </row>
        <row r="5">
          <cell r="B5" t="str">
            <v>CASH FLOWS FROM OPERATING ACTIVITIES</v>
          </cell>
        </row>
        <row r="6">
          <cell r="B6" t="str">
            <v>Net Income (Loss)</v>
          </cell>
          <cell r="S6">
            <v>-183.23500000000001</v>
          </cell>
          <cell r="U6">
            <v>-136.88499999999999</v>
          </cell>
          <cell r="W6">
            <v>-166.46299999999999</v>
          </cell>
          <cell r="Y6">
            <v>-164.81700000000001</v>
          </cell>
          <cell r="AA6">
            <v>-103.04299999999999</v>
          </cell>
          <cell r="AC6">
            <v>-74.165999999999997</v>
          </cell>
          <cell r="AE6">
            <v>-86.68</v>
          </cell>
          <cell r="AG6">
            <v>-170.94509927213699</v>
          </cell>
          <cell r="AI6">
            <v>-158.09607659304064</v>
          </cell>
          <cell r="AK6">
            <v>-164.37757418737252</v>
          </cell>
          <cell r="AM6">
            <v>-87.481636885347712</v>
          </cell>
          <cell r="AO6">
            <v>-57.921667742472394</v>
          </cell>
          <cell r="AQ6">
            <v>130.31462941026973</v>
          </cell>
          <cell r="AS6">
            <v>330.82572773599912</v>
          </cell>
          <cell r="AU6">
            <v>540.54407894091207</v>
          </cell>
          <cell r="AY6" t="str">
            <v>mstag:netIncomeReported</v>
          </cell>
          <cell r="AZ6">
            <v>6</v>
          </cell>
          <cell r="BA6" t="str">
            <v>ISO4217:USD</v>
          </cell>
          <cell r="BB6" t="b">
            <v>0</v>
          </cell>
          <cell r="BC6" t="b">
            <v>0</v>
          </cell>
        </row>
        <row r="7">
          <cell r="B7" t="str">
            <v>Loss from Discontinued Operation</v>
          </cell>
          <cell r="U7">
            <v>3.0880000000000001</v>
          </cell>
          <cell r="W7">
            <v>7.6999999999999999E-2</v>
          </cell>
          <cell r="Y7">
            <v>1.153</v>
          </cell>
          <cell r="AA7">
            <v>-0.314</v>
          </cell>
          <cell r="AY7" t="str">
            <v>mstag:netCashFlowFromDiscontinuedOperations</v>
          </cell>
          <cell r="AZ7">
            <v>6</v>
          </cell>
          <cell r="BA7" t="str">
            <v>ISO4217:USD</v>
          </cell>
          <cell r="BB7" t="b">
            <v>0</v>
          </cell>
          <cell r="BC7" t="b">
            <v>0</v>
          </cell>
        </row>
        <row r="8">
          <cell r="B8" t="str">
            <v>Write-Off Of In-Process Research and Development</v>
          </cell>
          <cell r="S8">
            <v>0</v>
          </cell>
          <cell r="U8">
            <v>0</v>
          </cell>
          <cell r="W8">
            <v>27.702000000000002</v>
          </cell>
          <cell r="Y8">
            <v>0</v>
          </cell>
          <cell r="AA8">
            <v>0</v>
          </cell>
          <cell r="AC8">
            <v>0</v>
          </cell>
          <cell r="AE8">
            <v>0</v>
          </cell>
          <cell r="AG8">
            <v>0</v>
          </cell>
          <cell r="AI8">
            <v>0</v>
          </cell>
          <cell r="AK8">
            <v>0</v>
          </cell>
          <cell r="AM8">
            <v>0</v>
          </cell>
          <cell r="AO8">
            <v>0</v>
          </cell>
          <cell r="AQ8">
            <v>0</v>
          </cell>
          <cell r="AS8">
            <v>0</v>
          </cell>
          <cell r="AU8">
            <v>0</v>
          </cell>
          <cell r="AY8" t="str">
            <v>mstag:acquiredInProcessRAndD</v>
          </cell>
          <cell r="AZ8">
            <v>6</v>
          </cell>
          <cell r="BA8" t="str">
            <v>ISO4217:USD</v>
          </cell>
          <cell r="BB8" t="b">
            <v>0</v>
          </cell>
          <cell r="BC8" t="b">
            <v>0</v>
          </cell>
        </row>
        <row r="9">
          <cell r="B9" t="str">
            <v>Depreciation &amp; Amort.</v>
          </cell>
          <cell r="C9">
            <v>0</v>
          </cell>
          <cell r="E9">
            <v>0</v>
          </cell>
          <cell r="G9">
            <v>0</v>
          </cell>
          <cell r="I9">
            <v>0</v>
          </cell>
          <cell r="K9">
            <v>0</v>
          </cell>
          <cell r="M9">
            <v>0</v>
          </cell>
          <cell r="O9">
            <v>0</v>
          </cell>
          <cell r="Q9">
            <v>0</v>
          </cell>
          <cell r="S9">
            <v>46.41</v>
          </cell>
          <cell r="U9">
            <v>22.108000000000001</v>
          </cell>
          <cell r="W9">
            <v>16.895</v>
          </cell>
          <cell r="Y9">
            <v>13.913</v>
          </cell>
          <cell r="AA9">
            <v>8.1920000000000002</v>
          </cell>
          <cell r="AC9">
            <v>7.4109999999999996</v>
          </cell>
          <cell r="AE9">
            <v>4.1878181818181819</v>
          </cell>
          <cell r="AG9">
            <v>4.0798347107438016</v>
          </cell>
          <cell r="AI9">
            <v>3.9816679188580015</v>
          </cell>
          <cell r="AK9">
            <v>3.8924253807800016</v>
          </cell>
          <cell r="AM9">
            <v>2.8487958007090923</v>
          </cell>
          <cell r="AO9">
            <v>2.775041637008266</v>
          </cell>
          <cell r="AQ9">
            <v>2.7079923972802415</v>
          </cell>
          <cell r="AS9">
            <v>2.7079923972802415</v>
          </cell>
          <cell r="AU9">
            <v>2.7079923972802415</v>
          </cell>
        </row>
        <row r="10">
          <cell r="B10" t="str">
            <v xml:space="preserve">     Depreciation</v>
          </cell>
          <cell r="S10">
            <v>31.2</v>
          </cell>
          <cell r="U10">
            <v>19.100000000000001</v>
          </cell>
          <cell r="W10">
            <v>12</v>
          </cell>
          <cell r="Y10">
            <v>10</v>
          </cell>
          <cell r="AA10">
            <v>3.9</v>
          </cell>
          <cell r="AC10">
            <v>3.3</v>
          </cell>
          <cell r="AE10">
            <v>3</v>
          </cell>
          <cell r="AG10">
            <v>3</v>
          </cell>
          <cell r="AI10">
            <v>3</v>
          </cell>
          <cell r="AK10">
            <v>3</v>
          </cell>
          <cell r="AM10">
            <v>2.0375000000000001</v>
          </cell>
          <cell r="AO10">
            <v>2.0375000000000001</v>
          </cell>
          <cell r="AQ10">
            <v>2.0375000000000001</v>
          </cell>
          <cell r="AS10">
            <v>2.0375000000000001</v>
          </cell>
          <cell r="AU10">
            <v>2.0375000000000001</v>
          </cell>
          <cell r="AY10" t="str">
            <v>mstag:depreciation</v>
          </cell>
          <cell r="AZ10">
            <v>6</v>
          </cell>
          <cell r="BA10" t="str">
            <v>ISO4217:USD</v>
          </cell>
          <cell r="BB10" t="b">
            <v>0</v>
          </cell>
          <cell r="BC10" t="b">
            <v>0</v>
          </cell>
        </row>
        <row r="11">
          <cell r="B11" t="str">
            <v xml:space="preserve">     Amortization</v>
          </cell>
          <cell r="S11">
            <v>15.209999999999997</v>
          </cell>
          <cell r="U11">
            <v>3.0079999999999991</v>
          </cell>
          <cell r="W11">
            <v>4.8949999999999996</v>
          </cell>
          <cell r="Y11">
            <v>3.9130000000000003</v>
          </cell>
          <cell r="AA11">
            <v>4.2919999999999998</v>
          </cell>
          <cell r="AC11">
            <v>4.1109999999999998</v>
          </cell>
          <cell r="AE11">
            <v>1.1878181818181817</v>
          </cell>
          <cell r="AG11">
            <v>1.0798347107438016</v>
          </cell>
          <cell r="AI11">
            <v>0.98166791885800153</v>
          </cell>
          <cell r="AK11">
            <v>0.89242538078000144</v>
          </cell>
          <cell r="AM11">
            <v>0.81129580070909224</v>
          </cell>
          <cell r="AO11">
            <v>0.73754163700826547</v>
          </cell>
          <cell r="AQ11">
            <v>0.67049239728024168</v>
          </cell>
          <cell r="AS11">
            <v>0.67049239728024135</v>
          </cell>
          <cell r="AU11">
            <v>0.67049239728024168</v>
          </cell>
          <cell r="AY11" t="str">
            <v>mstag:amortizationOfTaxableOtherIntangiblesCashFlowStatement</v>
          </cell>
          <cell r="AZ11">
            <v>6</v>
          </cell>
          <cell r="BA11" t="str">
            <v>ISO4217:USD</v>
          </cell>
          <cell r="BB11" t="b">
            <v>0</v>
          </cell>
          <cell r="BC11" t="b">
            <v>0</v>
          </cell>
        </row>
        <row r="12">
          <cell r="B12" t="str">
            <v>Tax Benefits Related to Employee Stock Options</v>
          </cell>
          <cell r="S12">
            <v>1.2549999999999999</v>
          </cell>
          <cell r="U12">
            <v>4.0970000000000004</v>
          </cell>
          <cell r="W12">
            <v>1.6279999999999999</v>
          </cell>
          <cell r="Y12">
            <v>0.46300000000000002</v>
          </cell>
          <cell r="AA12">
            <v>0.186</v>
          </cell>
          <cell r="AY12" t="str">
            <v>mstag:taxBenefitFromExerciseOfEsosCashFlowStatement</v>
          </cell>
          <cell r="AZ12">
            <v>6</v>
          </cell>
          <cell r="BA12" t="str">
            <v>ISO4217:USD</v>
          </cell>
          <cell r="BB12" t="b">
            <v>0</v>
          </cell>
          <cell r="BC12" t="b">
            <v>0</v>
          </cell>
        </row>
        <row r="13">
          <cell r="B13" t="str">
            <v>Stock Compensation Expense</v>
          </cell>
          <cell r="AA13">
            <v>0</v>
          </cell>
          <cell r="AC13">
            <v>8.89</v>
          </cell>
          <cell r="AE13">
            <v>10.149000000000001</v>
          </cell>
          <cell r="AG13">
            <v>17</v>
          </cell>
          <cell r="AI13">
            <v>19</v>
          </cell>
          <cell r="AK13">
            <v>21</v>
          </cell>
          <cell r="AM13">
            <v>23</v>
          </cell>
          <cell r="AO13">
            <v>25</v>
          </cell>
          <cell r="AQ13">
            <v>26.055</v>
          </cell>
          <cell r="AS13">
            <v>28.95</v>
          </cell>
          <cell r="AU13">
            <v>31.844999999999999</v>
          </cell>
          <cell r="AY13" t="str">
            <v>mstag:otherCashFlow</v>
          </cell>
          <cell r="AZ13">
            <v>6</v>
          </cell>
          <cell r="BA13" t="str">
            <v>ISO4217:USD</v>
          </cell>
          <cell r="BB13" t="b">
            <v>0</v>
          </cell>
          <cell r="BC13" t="b">
            <v>0</v>
          </cell>
        </row>
        <row r="14">
          <cell r="B14" t="str">
            <v>Non-Cash Restructuring Charnges and Impairment of Long-Lived Assets</v>
          </cell>
          <cell r="S14">
            <v>109.423</v>
          </cell>
          <cell r="U14">
            <v>16.72</v>
          </cell>
          <cell r="W14">
            <v>7.3090000000000002</v>
          </cell>
          <cell r="Y14">
            <v>32.825000000000003</v>
          </cell>
          <cell r="AA14">
            <v>2.3239999999999998</v>
          </cell>
          <cell r="AC14">
            <v>-0.55200000000000005</v>
          </cell>
          <cell r="AE14">
            <v>-4.97</v>
          </cell>
          <cell r="AG14">
            <v>0</v>
          </cell>
          <cell r="AI14">
            <v>0</v>
          </cell>
          <cell r="AY14" t="str">
            <v>mstag:restructuringCostsOneTimeCashFlowStatement</v>
          </cell>
          <cell r="AZ14">
            <v>6</v>
          </cell>
          <cell r="BA14" t="str">
            <v>ISO4217:USD</v>
          </cell>
          <cell r="BB14" t="b">
            <v>0</v>
          </cell>
          <cell r="BC14" t="b">
            <v>0</v>
          </cell>
        </row>
        <row r="15">
          <cell r="B15" t="str">
            <v>Asset Impairment</v>
          </cell>
          <cell r="AY15" t="str">
            <v>mstag:assetImpairmentNonGoodwillOneTime</v>
          </cell>
          <cell r="AZ15">
            <v>6</v>
          </cell>
          <cell r="BA15" t="str">
            <v>ISO4217:USD</v>
          </cell>
          <cell r="BB15" t="b">
            <v>0</v>
          </cell>
          <cell r="BC15" t="b">
            <v>0</v>
          </cell>
        </row>
        <row r="16">
          <cell r="B16" t="str">
            <v>Net Effect of Change in Accounting Principle</v>
          </cell>
        </row>
        <row r="17">
          <cell r="B17" t="str">
            <v>Gain (Loss) on Sale of Marketable Securities</v>
          </cell>
          <cell r="S17">
            <v>-3.0579999999999998</v>
          </cell>
          <cell r="U17">
            <v>0.59499999999999997</v>
          </cell>
          <cell r="W17">
            <v>-1.4159999999999999</v>
          </cell>
          <cell r="Y17">
            <v>0.33100000000000002</v>
          </cell>
          <cell r="AA17">
            <v>-2.6850000000000001</v>
          </cell>
          <cell r="AC17">
            <v>-6.23</v>
          </cell>
          <cell r="AY17" t="str">
            <v>mstag:incomeLossFromInvestmentsAccountedForUnderTheEquityMethodNonOperating</v>
          </cell>
          <cell r="AZ17">
            <v>6</v>
          </cell>
          <cell r="BA17" t="str">
            <v>ISO4217:USD</v>
          </cell>
          <cell r="BB17" t="b">
            <v>1</v>
          </cell>
          <cell r="BC17" t="b">
            <v>0</v>
          </cell>
        </row>
        <row r="18">
          <cell r="B18" t="str">
            <v>Gain on Repurchase of Convertible Subordinated Notes</v>
          </cell>
          <cell r="S18">
            <v>-2.3860000000000001</v>
          </cell>
          <cell r="U18">
            <v>-1.9370000000000001</v>
          </cell>
          <cell r="W18">
            <v>-0.70599999999999996</v>
          </cell>
          <cell r="Y18">
            <v>0.22600000000000001</v>
          </cell>
          <cell r="AA18">
            <v>-0.50600000000000001</v>
          </cell>
          <cell r="AC18">
            <v>-7.0000000000000007E-2</v>
          </cell>
          <cell r="AY18" t="str">
            <v>mstag:incomeLossFromInvestmentsAccountedForUnderTheEquityMethodNonOperating</v>
          </cell>
          <cell r="AZ18">
            <v>6</v>
          </cell>
          <cell r="BA18" t="str">
            <v>ISO4217:USD</v>
          </cell>
          <cell r="BB18" t="b">
            <v>1</v>
          </cell>
          <cell r="BC18" t="b">
            <v>0</v>
          </cell>
        </row>
        <row r="19">
          <cell r="B19" t="str">
            <v>Other</v>
          </cell>
          <cell r="S19">
            <v>-10.379</v>
          </cell>
          <cell r="U19">
            <v>-2.3380000000000001</v>
          </cell>
          <cell r="W19">
            <v>0.245</v>
          </cell>
          <cell r="Y19">
            <v>7.4999999999999997E-2</v>
          </cell>
          <cell r="AA19">
            <v>7.4999999999999997E-2</v>
          </cell>
          <cell r="AC19">
            <v>0</v>
          </cell>
          <cell r="AE19">
            <v>10.225</v>
          </cell>
          <cell r="AG19">
            <v>10.225</v>
          </cell>
          <cell r="AI19">
            <v>10.225</v>
          </cell>
          <cell r="AK19">
            <v>10.225</v>
          </cell>
          <cell r="AY19" t="str">
            <v>mstag:otherProvisionsRecurringCashFlowStatement</v>
          </cell>
          <cell r="AZ19">
            <v>6</v>
          </cell>
          <cell r="BA19" t="str">
            <v>ISO4217:USD</v>
          </cell>
          <cell r="BB19" t="b">
            <v>0</v>
          </cell>
          <cell r="BC19" t="b">
            <v>0</v>
          </cell>
        </row>
        <row r="20">
          <cell r="B20" t="str">
            <v>Deferred Income Taxes</v>
          </cell>
          <cell r="AA20">
            <v>0</v>
          </cell>
          <cell r="AC20">
            <v>0</v>
          </cell>
          <cell r="AE20">
            <v>0</v>
          </cell>
          <cell r="AG20">
            <v>0</v>
          </cell>
          <cell r="AI20">
            <v>0</v>
          </cell>
          <cell r="AK20">
            <v>0</v>
          </cell>
          <cell r="AM20">
            <v>0</v>
          </cell>
          <cell r="AO20">
            <v>0</v>
          </cell>
          <cell r="AQ20">
            <v>-51.362204030295295</v>
          </cell>
          <cell r="AS20">
            <v>-117.79448755112924</v>
          </cell>
          <cell r="AU20">
            <v>-187.23224740040132</v>
          </cell>
          <cell r="AY20" t="str">
            <v>mstag:deferredTax</v>
          </cell>
          <cell r="AZ20">
            <v>6</v>
          </cell>
          <cell r="BA20" t="str">
            <v>ISO4217:USD</v>
          </cell>
          <cell r="BB20" t="b">
            <v>0</v>
          </cell>
          <cell r="BC20" t="b">
            <v>0</v>
          </cell>
        </row>
        <row r="21">
          <cell r="B21" t="str">
            <v>Impairment of Long-Term Investments</v>
          </cell>
          <cell r="S21">
            <v>14.664999999999999</v>
          </cell>
          <cell r="U21">
            <v>9.734</v>
          </cell>
          <cell r="W21">
            <v>17.963999999999999</v>
          </cell>
          <cell r="Y21">
            <v>5.2469999999999999</v>
          </cell>
          <cell r="AA21">
            <v>0</v>
          </cell>
          <cell r="AC21">
            <v>1.3120000000000001</v>
          </cell>
          <cell r="AE21">
            <v>0</v>
          </cell>
          <cell r="AG21">
            <v>0</v>
          </cell>
          <cell r="AI21">
            <v>0</v>
          </cell>
          <cell r="AK21">
            <v>0</v>
          </cell>
          <cell r="AM21">
            <v>0</v>
          </cell>
          <cell r="AO21">
            <v>0</v>
          </cell>
          <cell r="AQ21">
            <v>0</v>
          </cell>
          <cell r="AS21">
            <v>0</v>
          </cell>
          <cell r="AU21">
            <v>0</v>
          </cell>
          <cell r="AY21" t="str">
            <v>mstag:incomeLossFromInvestmentsAccountedForUnderTheEquityMethodNonOperating</v>
          </cell>
          <cell r="AZ21">
            <v>6</v>
          </cell>
          <cell r="BA21" t="str">
            <v>ISO4217:USD</v>
          </cell>
          <cell r="BB21" t="b">
            <v>1</v>
          </cell>
          <cell r="BC21" t="b">
            <v>0</v>
          </cell>
        </row>
        <row r="22">
          <cell r="B22" t="str">
            <v>Loss of Sale on Assets</v>
          </cell>
          <cell r="S22">
            <v>5.7770000000000001</v>
          </cell>
          <cell r="U22">
            <v>0.313</v>
          </cell>
          <cell r="W22">
            <v>0</v>
          </cell>
          <cell r="AY22" t="str">
            <v>mstag:gainsLossesFromSaleOfOperatingAssetsOneTime</v>
          </cell>
          <cell r="AZ22">
            <v>6</v>
          </cell>
          <cell r="BA22" t="str">
            <v>ISO4217:USD</v>
          </cell>
          <cell r="BB22" t="b">
            <v>1</v>
          </cell>
          <cell r="BC22" t="b">
            <v>0</v>
          </cell>
        </row>
        <row r="23">
          <cell r="B23" t="str">
            <v>Changes in operating assets and liabilities</v>
          </cell>
        </row>
        <row r="24">
          <cell r="B24" t="str">
            <v xml:space="preserve">     net of the acquisition:</v>
          </cell>
        </row>
        <row r="25">
          <cell r="B25" t="str">
            <v>Accounts Receivable</v>
          </cell>
          <cell r="S25">
            <v>-21.405999999999999</v>
          </cell>
          <cell r="U25">
            <v>45.344999999999999</v>
          </cell>
          <cell r="W25">
            <v>2.5529999999999999</v>
          </cell>
          <cell r="Y25">
            <v>3.085</v>
          </cell>
          <cell r="AA25">
            <v>0.72299999999999998</v>
          </cell>
          <cell r="AC25">
            <v>-0.65</v>
          </cell>
          <cell r="AE25">
            <v>-4.8149999999999995</v>
          </cell>
          <cell r="AG25">
            <v>6.1657777777777776</v>
          </cell>
          <cell r="AI25">
            <v>-5.2777777777777777</v>
          </cell>
          <cell r="AK25">
            <v>-0.75</v>
          </cell>
          <cell r="AM25">
            <v>-18.71875</v>
          </cell>
          <cell r="AO25">
            <v>-19.21875</v>
          </cell>
          <cell r="AQ25">
            <v>-61.40625</v>
          </cell>
          <cell r="AS25">
            <v>-61.40625</v>
          </cell>
          <cell r="AU25">
            <v>-61.40625</v>
          </cell>
          <cell r="AY25" t="str">
            <v>mstag:netDecreaseInTradeReceivables</v>
          </cell>
          <cell r="AZ25">
            <v>6</v>
          </cell>
          <cell r="BA25" t="str">
            <v>ISO4217:USD</v>
          </cell>
          <cell r="BB25" t="b">
            <v>0</v>
          </cell>
          <cell r="BC25" t="b">
            <v>0</v>
          </cell>
        </row>
        <row r="26">
          <cell r="B26" t="str">
            <v>Inventories</v>
          </cell>
          <cell r="Y26">
            <v>0</v>
          </cell>
          <cell r="AA26">
            <v>0</v>
          </cell>
          <cell r="AC26">
            <v>0</v>
          </cell>
          <cell r="AE26">
            <v>0</v>
          </cell>
          <cell r="AG26">
            <v>0</v>
          </cell>
          <cell r="AI26">
            <v>0</v>
          </cell>
          <cell r="AK26">
            <v>0</v>
          </cell>
          <cell r="AM26">
            <v>-3.84375</v>
          </cell>
          <cell r="AO26">
            <v>-3.84375</v>
          </cell>
          <cell r="AQ26">
            <v>-3.84375</v>
          </cell>
          <cell r="AS26">
            <v>-3.84375</v>
          </cell>
          <cell r="AU26">
            <v>-3.84375</v>
          </cell>
          <cell r="AY26" t="str">
            <v>mstag:netDecreaseInInventories</v>
          </cell>
          <cell r="AZ26">
            <v>6</v>
          </cell>
          <cell r="BA26" t="str">
            <v>ISO4217:USD</v>
          </cell>
          <cell r="BB26" t="b">
            <v>0</v>
          </cell>
          <cell r="BC26" t="b">
            <v>0</v>
          </cell>
        </row>
        <row r="27">
          <cell r="B27" t="str">
            <v>Other Current Assets</v>
          </cell>
          <cell r="S27">
            <v>-14.916</v>
          </cell>
          <cell r="U27">
            <v>-10.093</v>
          </cell>
          <cell r="W27">
            <v>-2.4260000000000002</v>
          </cell>
          <cell r="Y27">
            <v>0.51300000000000001</v>
          </cell>
          <cell r="AA27">
            <v>0</v>
          </cell>
          <cell r="AC27">
            <v>0.58599999999999997</v>
          </cell>
          <cell r="AE27">
            <v>-3.2169999999999987</v>
          </cell>
          <cell r="AG27">
            <v>9.519499999999999</v>
          </cell>
          <cell r="AI27">
            <v>-5.9375</v>
          </cell>
          <cell r="AK27">
            <v>0</v>
          </cell>
          <cell r="AM27">
            <v>-18.71875</v>
          </cell>
          <cell r="AO27">
            <v>-19.21875</v>
          </cell>
          <cell r="AQ27">
            <v>-61.40625</v>
          </cell>
          <cell r="AS27">
            <v>-61.40625</v>
          </cell>
          <cell r="AU27">
            <v>-61.40625</v>
          </cell>
          <cell r="AY27" t="str">
            <v>mstag:netDecreaseInOtherAssets</v>
          </cell>
          <cell r="AZ27">
            <v>6</v>
          </cell>
          <cell r="BA27" t="str">
            <v>ISO4217:USD</v>
          </cell>
          <cell r="BB27" t="b">
            <v>0</v>
          </cell>
          <cell r="BC27" t="b">
            <v>0</v>
          </cell>
        </row>
        <row r="28">
          <cell r="B28" t="str">
            <v>Accounts Payable</v>
          </cell>
          <cell r="S28">
            <v>-10.15</v>
          </cell>
          <cell r="U28">
            <v>2.0379999999999998</v>
          </cell>
          <cell r="W28">
            <v>-3.3919999999999999</v>
          </cell>
          <cell r="Y28">
            <v>-4.1509999999999998</v>
          </cell>
          <cell r="AA28">
            <v>1.252</v>
          </cell>
          <cell r="AC28">
            <v>2.343</v>
          </cell>
          <cell r="AE28">
            <v>5.0210000000000008</v>
          </cell>
          <cell r="AG28">
            <v>3.2629999999999981</v>
          </cell>
          <cell r="AI28">
            <v>0.49791656000000017</v>
          </cell>
          <cell r="AK28">
            <v>0.56395833120000027</v>
          </cell>
          <cell r="AM28">
            <v>1.9875001088000008</v>
          </cell>
          <cell r="AO28">
            <v>4.7193749999999994</v>
          </cell>
          <cell r="AQ28">
            <v>5.764875</v>
          </cell>
          <cell r="AS28">
            <v>4.3488750000000032</v>
          </cell>
          <cell r="AU28">
            <v>3.4409374999999969</v>
          </cell>
          <cell r="AY28" t="str">
            <v>mstag:netIncreaseInTradeAndOtherPayables</v>
          </cell>
          <cell r="AZ28">
            <v>6</v>
          </cell>
          <cell r="BA28" t="str">
            <v>ISO4217:USD</v>
          </cell>
          <cell r="BB28" t="b">
            <v>0</v>
          </cell>
          <cell r="BC28" t="b">
            <v>0</v>
          </cell>
        </row>
        <row r="29">
          <cell r="B29" t="str">
            <v>Accrued Liabilities</v>
          </cell>
          <cell r="S29">
            <v>19.556999999999999</v>
          </cell>
          <cell r="U29">
            <v>4.0510000000000002</v>
          </cell>
          <cell r="W29">
            <v>-13.851000000000001</v>
          </cell>
          <cell r="Y29">
            <v>-0.40400000000000003</v>
          </cell>
          <cell r="AA29">
            <v>-6.8490000000000002</v>
          </cell>
          <cell r="AC29">
            <v>-8.6530000000000005</v>
          </cell>
          <cell r="AE29">
            <v>17.7194</v>
          </cell>
          <cell r="AG29">
            <v>-10.0549</v>
          </cell>
          <cell r="AI29">
            <v>15.509583184</v>
          </cell>
          <cell r="AK29">
            <v>2.585729152799999</v>
          </cell>
          <cell r="AM29">
            <v>43.911187663199996</v>
          </cell>
          <cell r="AO29">
            <v>47.525999999999996</v>
          </cell>
          <cell r="AQ29">
            <v>136.94880000000001</v>
          </cell>
          <cell r="AS29">
            <v>134.68320000000003</v>
          </cell>
          <cell r="AU29">
            <v>133.23049999999995</v>
          </cell>
          <cell r="AY29" t="str">
            <v>mstag:netIncreaseInAccruedExpenses</v>
          </cell>
          <cell r="AZ29">
            <v>6</v>
          </cell>
          <cell r="BA29" t="str">
            <v>ISO4217:USD</v>
          </cell>
          <cell r="BB29" t="b">
            <v>0</v>
          </cell>
          <cell r="BC29" t="b">
            <v>0</v>
          </cell>
        </row>
        <row r="30">
          <cell r="B30" t="str">
            <v>Deferred Revenue</v>
          </cell>
          <cell r="S30">
            <v>1.4390000000000001</v>
          </cell>
          <cell r="U30">
            <v>-12.192</v>
          </cell>
          <cell r="W30">
            <v>-4.6890000000000001</v>
          </cell>
          <cell r="Y30">
            <v>-2.7280000000000002</v>
          </cell>
          <cell r="AA30">
            <v>-1.2030000000000001</v>
          </cell>
          <cell r="AC30">
            <v>19.393999999999998</v>
          </cell>
          <cell r="AE30">
            <v>-20</v>
          </cell>
          <cell r="AG30">
            <v>0</v>
          </cell>
          <cell r="AI30">
            <v>0</v>
          </cell>
          <cell r="AK30">
            <v>0</v>
          </cell>
          <cell r="AM30">
            <v>0</v>
          </cell>
          <cell r="AO30">
            <v>0</v>
          </cell>
          <cell r="AQ30">
            <v>0</v>
          </cell>
          <cell r="AS30">
            <v>0</v>
          </cell>
          <cell r="AU30">
            <v>0</v>
          </cell>
          <cell r="AY30" t="str">
            <v>mstag:netIncreaseInDeferredRevenue</v>
          </cell>
          <cell r="AZ30">
            <v>6</v>
          </cell>
          <cell r="BA30" t="str">
            <v>ISO4217:USD</v>
          </cell>
          <cell r="BB30" t="b">
            <v>0</v>
          </cell>
          <cell r="BC30" t="b">
            <v>0</v>
          </cell>
        </row>
        <row r="31">
          <cell r="B31" t="str">
            <v>Cash Provided (used) in Discontinued Activities</v>
          </cell>
          <cell r="U31">
            <v>-2.91</v>
          </cell>
          <cell r="W31">
            <v>0.23799999999999999</v>
          </cell>
          <cell r="Y31">
            <v>-0.39800000000000002</v>
          </cell>
          <cell r="AA31">
            <v>-2.4E-2</v>
          </cell>
          <cell r="AY31" t="str">
            <v>mstag:netCashFlowFromDiscontinuedOperations</v>
          </cell>
          <cell r="AZ31">
            <v>6</v>
          </cell>
          <cell r="BA31" t="str">
            <v>ISO4217:USD</v>
          </cell>
          <cell r="BB31" t="b">
            <v>0</v>
          </cell>
          <cell r="BC31" t="b">
            <v>0</v>
          </cell>
        </row>
        <row r="32">
          <cell r="B32" t="str">
            <v>Net cash provided by (used in) operating activities</v>
          </cell>
          <cell r="C32">
            <v>0</v>
          </cell>
          <cell r="E32">
            <v>0</v>
          </cell>
          <cell r="G32">
            <v>0</v>
          </cell>
          <cell r="I32">
            <v>0</v>
          </cell>
          <cell r="K32">
            <v>0</v>
          </cell>
          <cell r="M32">
            <v>0</v>
          </cell>
          <cell r="O32">
            <v>0</v>
          </cell>
          <cell r="Q32">
            <v>0</v>
          </cell>
          <cell r="S32">
            <v>-47.003999999999991</v>
          </cell>
          <cell r="U32">
            <v>-58.266000000000005</v>
          </cell>
          <cell r="W32">
            <v>-118.33200000000001</v>
          </cell>
          <cell r="Y32">
            <v>-114.667</v>
          </cell>
          <cell r="AA32">
            <v>-101.87199999999999</v>
          </cell>
          <cell r="AC32">
            <v>-50.384999999999998</v>
          </cell>
          <cell r="AE32">
            <v>-72.379781818181812</v>
          </cell>
          <cell r="AG32">
            <v>-130.74688678361542</v>
          </cell>
          <cell r="AI32">
            <v>-120.09718670796042</v>
          </cell>
          <cell r="AK32">
            <v>-126.86046132259253</v>
          </cell>
          <cell r="AM32">
            <v>-57.015403312638618</v>
          </cell>
          <cell r="AO32">
            <v>-20.182501105464134</v>
          </cell>
          <cell r="AQ32">
            <v>123.77284277725468</v>
          </cell>
          <cell r="AS32">
            <v>257.06505758215013</v>
          </cell>
          <cell r="AU32">
            <v>397.88001143779098</v>
          </cell>
        </row>
        <row r="34">
          <cell r="B34" t="str">
            <v>CASH FLOWS FROM INVESTING ACTIVITIES</v>
          </cell>
        </row>
        <row r="35">
          <cell r="B35" t="str">
            <v>Purchases of PP&amp;E</v>
          </cell>
          <cell r="S35">
            <v>-12.919</v>
          </cell>
          <cell r="U35">
            <v>-11.89</v>
          </cell>
          <cell r="W35">
            <v>-9.7379999999999995</v>
          </cell>
          <cell r="Y35">
            <v>-1.391</v>
          </cell>
          <cell r="AA35">
            <v>-1.633</v>
          </cell>
          <cell r="AC35">
            <v>-1.5680000000000001</v>
          </cell>
          <cell r="AE35">
            <v>-3.444</v>
          </cell>
          <cell r="AG35">
            <v>-0.32500000000000001</v>
          </cell>
          <cell r="AI35">
            <v>-2.7</v>
          </cell>
          <cell r="AK35">
            <v>-2.7</v>
          </cell>
          <cell r="AM35">
            <v>-10.1875</v>
          </cell>
          <cell r="AO35">
            <v>-17.875</v>
          </cell>
          <cell r="AQ35">
            <v>-42.4375</v>
          </cell>
          <cell r="AS35">
            <v>-67</v>
          </cell>
          <cell r="AU35">
            <v>-91.5625</v>
          </cell>
          <cell r="AY35" t="str">
            <v>mstag:capitalExpenditures</v>
          </cell>
          <cell r="AZ35">
            <v>6</v>
          </cell>
          <cell r="BA35" t="str">
            <v>ISO4217:USD</v>
          </cell>
          <cell r="BB35" t="b">
            <v>1</v>
          </cell>
          <cell r="BC35" t="b">
            <v>0</v>
          </cell>
        </row>
        <row r="36">
          <cell r="B36" t="str">
            <v>Proceeds From Maturities Of Mktable Sec.</v>
          </cell>
          <cell r="S36">
            <v>899.11</v>
          </cell>
          <cell r="U36">
            <v>805.98299999999995</v>
          </cell>
          <cell r="W36">
            <v>714.65</v>
          </cell>
          <cell r="Y36">
            <v>753.06200000000001</v>
          </cell>
          <cell r="AA36">
            <v>365.642</v>
          </cell>
          <cell r="AC36">
            <v>429.04</v>
          </cell>
          <cell r="AE36">
            <v>146.01353846153845</v>
          </cell>
          <cell r="AG36">
            <v>20.403304843304831</v>
          </cell>
          <cell r="AI36">
            <v>20.685378182152345</v>
          </cell>
          <cell r="AK36">
            <v>9.7506833181862724</v>
          </cell>
          <cell r="AM36">
            <v>7.2227283838416589</v>
          </cell>
          <cell r="AO36">
            <v>5.3501691732160062</v>
          </cell>
          <cell r="AQ36">
            <v>16.926051239419206</v>
          </cell>
          <cell r="AS36">
            <v>12.537815732903027</v>
          </cell>
          <cell r="AU36">
            <v>6.6946783206687721</v>
          </cell>
          <cell r="AY36" t="str">
            <v>mstag:otherCashFlow</v>
          </cell>
          <cell r="AZ36">
            <v>6</v>
          </cell>
          <cell r="BA36" t="str">
            <v>ISO4217:USD</v>
          </cell>
          <cell r="BB36" t="b">
            <v>0</v>
          </cell>
          <cell r="BC36" t="b">
            <v>0</v>
          </cell>
        </row>
        <row r="37">
          <cell r="B37" t="str">
            <v>Proceeds From Sales Of Mktable Sec.</v>
          </cell>
          <cell r="S37">
            <v>4.3369999999999997</v>
          </cell>
          <cell r="U37">
            <v>2.637</v>
          </cell>
          <cell r="W37">
            <v>2.6469999999999998</v>
          </cell>
          <cell r="Y37">
            <v>0.123</v>
          </cell>
          <cell r="AA37">
            <v>0</v>
          </cell>
          <cell r="AC37">
            <v>109.971</v>
          </cell>
          <cell r="AE37">
            <v>0</v>
          </cell>
          <cell r="AG37">
            <v>75</v>
          </cell>
          <cell r="AI37">
            <v>0</v>
          </cell>
          <cell r="AK37">
            <v>0</v>
          </cell>
          <cell r="AM37">
            <v>0</v>
          </cell>
          <cell r="AO37">
            <v>0</v>
          </cell>
          <cell r="AQ37">
            <v>0</v>
          </cell>
          <cell r="AS37">
            <v>0</v>
          </cell>
          <cell r="AU37">
            <v>10</v>
          </cell>
          <cell r="AY37" t="str">
            <v>mstag:otherCashFlow</v>
          </cell>
          <cell r="AZ37">
            <v>6</v>
          </cell>
          <cell r="BA37" t="str">
            <v>ISO4217:USD</v>
          </cell>
          <cell r="BB37" t="b">
            <v>0</v>
          </cell>
          <cell r="BC37" t="b">
            <v>0</v>
          </cell>
        </row>
        <row r="38">
          <cell r="B38" t="str">
            <v>Purchases Of Marketable Securities</v>
          </cell>
          <cell r="S38">
            <v>-916.38499999999999</v>
          </cell>
          <cell r="U38">
            <v>-754.35199999999998</v>
          </cell>
          <cell r="W38">
            <v>-575.48299999999995</v>
          </cell>
          <cell r="Y38">
            <v>-830.49400000000003</v>
          </cell>
          <cell r="AA38">
            <v>-348.54</v>
          </cell>
          <cell r="AC38">
            <v>-511.40800000000002</v>
          </cell>
          <cell r="AE38">
            <v>0</v>
          </cell>
          <cell r="AI38">
            <v>0</v>
          </cell>
          <cell r="AM38">
            <v>0</v>
          </cell>
          <cell r="AO38">
            <v>0</v>
          </cell>
          <cell r="AQ38">
            <v>-50</v>
          </cell>
          <cell r="AS38">
            <v>0</v>
          </cell>
          <cell r="AU38">
            <v>0</v>
          </cell>
          <cell r="AY38" t="str">
            <v>mstag:proceedsFromSaleOfFundsUsedTopurchaseSecuritiesAndOtherInvestments</v>
          </cell>
          <cell r="AZ38">
            <v>6</v>
          </cell>
          <cell r="BA38" t="str">
            <v>ISO4217:USD</v>
          </cell>
          <cell r="BB38" t="b">
            <v>0</v>
          </cell>
          <cell r="BC38" t="b">
            <v>0</v>
          </cell>
        </row>
        <row r="39">
          <cell r="B39" t="str">
            <v>Acquisitions, Net Of Cash</v>
          </cell>
          <cell r="W39">
            <v>-5.7249999999999996</v>
          </cell>
          <cell r="Y39">
            <v>0</v>
          </cell>
          <cell r="AA39">
            <v>0</v>
          </cell>
          <cell r="AC39">
            <v>0</v>
          </cell>
          <cell r="AE39">
            <v>0</v>
          </cell>
          <cell r="AG39">
            <v>0</v>
          </cell>
          <cell r="AI39">
            <v>0</v>
          </cell>
          <cell r="AK39">
            <v>0</v>
          </cell>
          <cell r="AM39">
            <v>0</v>
          </cell>
          <cell r="AO39">
            <v>0</v>
          </cell>
          <cell r="AQ39">
            <v>0</v>
          </cell>
          <cell r="AS39">
            <v>0</v>
          </cell>
          <cell r="AU39">
            <v>0</v>
          </cell>
          <cell r="AY39" t="str">
            <v>mstag:otherCashFlow</v>
          </cell>
          <cell r="AZ39">
            <v>6</v>
          </cell>
          <cell r="BA39" t="str">
            <v>ISO4217:USD</v>
          </cell>
          <cell r="BB39" t="b">
            <v>0</v>
          </cell>
          <cell r="BC39" t="b">
            <v>0</v>
          </cell>
        </row>
        <row r="40">
          <cell r="B40" t="str">
            <v>Proceeds from Sale of Unconsolidated Affiliate</v>
          </cell>
          <cell r="Y40">
            <v>0</v>
          </cell>
          <cell r="AA40">
            <v>0</v>
          </cell>
          <cell r="AC40">
            <v>0</v>
          </cell>
          <cell r="AE40">
            <v>0</v>
          </cell>
          <cell r="AG40">
            <v>0</v>
          </cell>
          <cell r="AI40">
            <v>0</v>
          </cell>
          <cell r="AK40">
            <v>0</v>
          </cell>
          <cell r="AM40">
            <v>0</v>
          </cell>
          <cell r="AO40">
            <v>0</v>
          </cell>
          <cell r="AQ40">
            <v>0</v>
          </cell>
          <cell r="AS40">
            <v>0</v>
          </cell>
          <cell r="AU40">
            <v>0</v>
          </cell>
          <cell r="AY40" t="str">
            <v>mstag:gainsLossesFromSaleOfOperatingAssetsOneTime</v>
          </cell>
          <cell r="AZ40">
            <v>6</v>
          </cell>
          <cell r="BA40" t="str">
            <v>ISO4217:USD</v>
          </cell>
          <cell r="BB40" t="b">
            <v>1</v>
          </cell>
          <cell r="BC40" t="b">
            <v>0</v>
          </cell>
        </row>
        <row r="41">
          <cell r="B41" t="str">
            <v>Other</v>
          </cell>
          <cell r="S41">
            <v>0.3</v>
          </cell>
          <cell r="U41">
            <v>-1.1499999999999999</v>
          </cell>
          <cell r="Y41">
            <v>1.5399999999999998</v>
          </cell>
          <cell r="AA41">
            <v>5.8999999999999997E-2</v>
          </cell>
          <cell r="AC41">
            <v>0</v>
          </cell>
          <cell r="AE41">
            <v>-0.64402800000000004</v>
          </cell>
          <cell r="AG41">
            <v>0.58877800000000002</v>
          </cell>
          <cell r="AI41">
            <v>-0.37674999999999997</v>
          </cell>
          <cell r="AK41">
            <v>2.7000000000000024E-2</v>
          </cell>
          <cell r="AM41">
            <v>-1.1231249999999999</v>
          </cell>
          <cell r="AO41">
            <v>-1.153125</v>
          </cell>
          <cell r="AQ41">
            <v>-3.6843749999999997</v>
          </cell>
          <cell r="AS41">
            <v>-3.6843749999999993</v>
          </cell>
          <cell r="AU41">
            <v>-3.6843750000000011</v>
          </cell>
          <cell r="AY41" t="str">
            <v>mstag:otherCashFlow</v>
          </cell>
          <cell r="AZ41">
            <v>6</v>
          </cell>
          <cell r="BA41" t="str">
            <v>ISO4217:USD</v>
          </cell>
          <cell r="BB41" t="b">
            <v>0</v>
          </cell>
          <cell r="BC41" t="b">
            <v>0</v>
          </cell>
        </row>
        <row r="42">
          <cell r="B42" t="str">
            <v>Net cash used in investing activities</v>
          </cell>
          <cell r="C42">
            <v>0</v>
          </cell>
          <cell r="E42">
            <v>0</v>
          </cell>
          <cell r="G42">
            <v>0</v>
          </cell>
          <cell r="I42">
            <v>0</v>
          </cell>
          <cell r="K42">
            <v>0</v>
          </cell>
          <cell r="M42">
            <v>0</v>
          </cell>
          <cell r="O42">
            <v>0</v>
          </cell>
          <cell r="Q42">
            <v>0</v>
          </cell>
          <cell r="S42">
            <v>-25.55699999999997</v>
          </cell>
          <cell r="U42">
            <v>41.22799999999993</v>
          </cell>
          <cell r="W42">
            <v>126.35100000000014</v>
          </cell>
          <cell r="Y42">
            <v>-77.159999999999926</v>
          </cell>
          <cell r="AA42">
            <v>15.527999999999993</v>
          </cell>
          <cell r="AC42">
            <v>26.034999999999968</v>
          </cell>
          <cell r="AE42">
            <v>141.92551046153847</v>
          </cell>
          <cell r="AG42">
            <v>95.66708284330484</v>
          </cell>
          <cell r="AI42">
            <v>17.608628182152344</v>
          </cell>
          <cell r="AK42">
            <v>7.0776833181862724</v>
          </cell>
          <cell r="AM42">
            <v>-4.087896616158341</v>
          </cell>
          <cell r="AO42">
            <v>-13.677955826783993</v>
          </cell>
          <cell r="AQ42">
            <v>-79.195823760580794</v>
          </cell>
          <cell r="AS42">
            <v>-58.146559267096976</v>
          </cell>
          <cell r="AU42">
            <v>-78.552196679331232</v>
          </cell>
        </row>
        <row r="44">
          <cell r="B44" t="str">
            <v>CASH FLOWS FROM FINANCING ACTIVITIES</v>
          </cell>
        </row>
        <row r="45">
          <cell r="B45" t="str">
            <v>Net Proceeds from Issuance Of Common Stock Upon</v>
          </cell>
          <cell r="S45">
            <v>11.268000000000001</v>
          </cell>
          <cell r="U45">
            <v>7.1820000000000004</v>
          </cell>
          <cell r="W45">
            <v>1.9970000000000001</v>
          </cell>
          <cell r="Y45">
            <v>90.15</v>
          </cell>
          <cell r="AA45">
            <v>1.4890000000000001</v>
          </cell>
          <cell r="AC45">
            <v>1.4079999999999999</v>
          </cell>
          <cell r="AE45">
            <v>0</v>
          </cell>
          <cell r="AG45">
            <v>0</v>
          </cell>
          <cell r="AH45">
            <v>0</v>
          </cell>
          <cell r="AI45">
            <v>183</v>
          </cell>
          <cell r="AJ45">
            <v>0</v>
          </cell>
          <cell r="AK45">
            <v>129.6</v>
          </cell>
          <cell r="AL45">
            <v>0</v>
          </cell>
          <cell r="AM45">
            <v>0</v>
          </cell>
          <cell r="AO45">
            <v>184.77331200000003</v>
          </cell>
          <cell r="AQ45">
            <v>201.40291008000005</v>
          </cell>
          <cell r="AS45">
            <v>0</v>
          </cell>
          <cell r="AU45">
            <v>0</v>
          </cell>
          <cell r="AY45" t="str">
            <v>mstag:proceedsFromIssuanceOfCommonStock</v>
          </cell>
          <cell r="AZ45">
            <v>6</v>
          </cell>
          <cell r="BA45" t="str">
            <v>ISO4217:USD</v>
          </cell>
          <cell r="BB45" t="b">
            <v>0</v>
          </cell>
          <cell r="BC45" t="b">
            <v>0</v>
          </cell>
        </row>
        <row r="46">
          <cell r="B46" t="str">
            <v xml:space="preserve">      Exercise of ESO in connection with ESOP</v>
          </cell>
          <cell r="AA46">
            <v>0</v>
          </cell>
          <cell r="AE46">
            <v>3.5329514500000001</v>
          </cell>
          <cell r="AG46">
            <v>6.9649614299999989</v>
          </cell>
          <cell r="AI46">
            <v>9.2866152399999962</v>
          </cell>
          <cell r="AK46">
            <v>10.96981425225</v>
          </cell>
          <cell r="AM46">
            <v>14.480154812969996</v>
          </cell>
          <cell r="AO46">
            <v>15.638567198007593</v>
          </cell>
          <cell r="AQ46">
            <v>16.889652573848203</v>
          </cell>
          <cell r="AS46">
            <v>18.240824779756064</v>
          </cell>
          <cell r="AU46">
            <v>19.700090762136547</v>
          </cell>
          <cell r="AY46" t="str">
            <v>mstag:proceedsFromIssuanceOfCommonStock</v>
          </cell>
          <cell r="AZ46">
            <v>6</v>
          </cell>
          <cell r="BA46" t="str">
            <v>ISO4217:USD</v>
          </cell>
          <cell r="BB46" t="b">
            <v>0</v>
          </cell>
          <cell r="BC46" t="b">
            <v>0</v>
          </cell>
        </row>
        <row r="47">
          <cell r="B47" t="str">
            <v>Tax Benefits Related to Employee Stock Options</v>
          </cell>
          <cell r="AC47">
            <v>0</v>
          </cell>
          <cell r="AE47">
            <v>0</v>
          </cell>
          <cell r="AG47">
            <v>0</v>
          </cell>
          <cell r="AI47">
            <v>0</v>
          </cell>
          <cell r="AK47">
            <v>0</v>
          </cell>
          <cell r="AM47">
            <v>0</v>
          </cell>
          <cell r="AO47">
            <v>0</v>
          </cell>
          <cell r="AQ47">
            <v>0</v>
          </cell>
          <cell r="AS47">
            <v>0</v>
          </cell>
          <cell r="AU47">
            <v>0</v>
          </cell>
          <cell r="AY47" t="str">
            <v>mstag:taxBenefitFromExerciseOfEsosCashFlowStatement</v>
          </cell>
          <cell r="AZ47">
            <v>6</v>
          </cell>
          <cell r="BA47" t="str">
            <v>ISO4217:USD</v>
          </cell>
          <cell r="BB47" t="b">
            <v>0</v>
          </cell>
          <cell r="BC47" t="b">
            <v>0</v>
          </cell>
        </row>
        <row r="48">
          <cell r="B48" t="str">
            <v xml:space="preserve">Issuance of Convertible Senior Notes, Net </v>
          </cell>
          <cell r="Y48">
            <v>242.5</v>
          </cell>
          <cell r="AA48">
            <v>0</v>
          </cell>
          <cell r="AC48">
            <v>0</v>
          </cell>
          <cell r="AE48">
            <v>0</v>
          </cell>
          <cell r="AG48">
            <v>0</v>
          </cell>
          <cell r="AI48">
            <v>0</v>
          </cell>
          <cell r="AK48">
            <v>0</v>
          </cell>
          <cell r="AM48">
            <v>0</v>
          </cell>
          <cell r="AO48">
            <v>0</v>
          </cell>
          <cell r="AQ48">
            <v>0</v>
          </cell>
          <cell r="AS48">
            <v>0</v>
          </cell>
          <cell r="AU48">
            <v>0</v>
          </cell>
          <cell r="AY48" t="str">
            <v>mstag:proceedsFromIssuanceAndCashUsedToRepayLongTermDebt</v>
          </cell>
          <cell r="AZ48">
            <v>6</v>
          </cell>
          <cell r="BA48" t="str">
            <v>ISO4217:USD</v>
          </cell>
          <cell r="BB48" t="b">
            <v>0</v>
          </cell>
          <cell r="BC48" t="b">
            <v>0</v>
          </cell>
        </row>
        <row r="49">
          <cell r="B49" t="str">
            <v>Stock Repurchases</v>
          </cell>
          <cell r="U49">
            <v>-5.7229999999999999</v>
          </cell>
          <cell r="W49">
            <v>-0.105</v>
          </cell>
          <cell r="Y49">
            <v>0</v>
          </cell>
          <cell r="AA49">
            <v>0</v>
          </cell>
          <cell r="AC49">
            <v>0</v>
          </cell>
          <cell r="AE49">
            <v>0</v>
          </cell>
          <cell r="AG49">
            <v>0</v>
          </cell>
          <cell r="AI49">
            <v>0</v>
          </cell>
          <cell r="AK49">
            <v>0</v>
          </cell>
          <cell r="AM49">
            <v>0</v>
          </cell>
          <cell r="AO49">
            <v>0</v>
          </cell>
          <cell r="AQ49">
            <v>0</v>
          </cell>
          <cell r="AS49">
            <v>0</v>
          </cell>
          <cell r="AU49">
            <v>0</v>
          </cell>
          <cell r="AY49" t="str">
            <v>mstag:fundsUsedToRepurchaseCommonStock</v>
          </cell>
          <cell r="AZ49">
            <v>6</v>
          </cell>
          <cell r="BA49" t="str">
            <v>ISO4217:USD</v>
          </cell>
          <cell r="BB49" t="b">
            <v>1</v>
          </cell>
          <cell r="BC49" t="b">
            <v>0</v>
          </cell>
        </row>
        <row r="50">
          <cell r="B50" t="str">
            <v>Proceeds From Additions To Long-Term Debt</v>
          </cell>
          <cell r="Y50">
            <v>0</v>
          </cell>
          <cell r="AA50">
            <v>0</v>
          </cell>
          <cell r="AC50">
            <v>121.905</v>
          </cell>
          <cell r="AE50">
            <v>0</v>
          </cell>
          <cell r="AG50">
            <v>0</v>
          </cell>
          <cell r="AI50">
            <v>0</v>
          </cell>
          <cell r="AK50">
            <v>0</v>
          </cell>
          <cell r="AM50">
            <v>0</v>
          </cell>
          <cell r="AO50">
            <v>0</v>
          </cell>
          <cell r="AQ50">
            <v>0</v>
          </cell>
          <cell r="AS50">
            <v>0</v>
          </cell>
          <cell r="AU50">
            <v>0</v>
          </cell>
          <cell r="AY50" t="str">
            <v>mstag:proceedsFromIssuanceAndCashUsedToRepayLongTermDebt</v>
          </cell>
          <cell r="AZ50">
            <v>6</v>
          </cell>
          <cell r="BA50" t="str">
            <v>ISO4217:USD</v>
          </cell>
          <cell r="BB50" t="b">
            <v>0</v>
          </cell>
          <cell r="BC50" t="b">
            <v>0</v>
          </cell>
        </row>
        <row r="51">
          <cell r="B51" t="str">
            <v>Repayments Of Long-Term Debt</v>
          </cell>
          <cell r="S51">
            <v>-5.6429999999999998</v>
          </cell>
          <cell r="U51">
            <v>-4.6900000000000004</v>
          </cell>
          <cell r="W51">
            <v>-3.0590000000000002</v>
          </cell>
          <cell r="Y51">
            <v>-38.411999999999999</v>
          </cell>
          <cell r="AA51">
            <v>-35.837000000000003</v>
          </cell>
          <cell r="AC51">
            <v>-91.614000000000004</v>
          </cell>
          <cell r="AE51">
            <v>0</v>
          </cell>
          <cell r="AG51">
            <v>0</v>
          </cell>
          <cell r="AI51">
            <v>0</v>
          </cell>
          <cell r="AK51">
            <v>0</v>
          </cell>
          <cell r="AM51">
            <v>0</v>
          </cell>
          <cell r="AO51">
            <v>0</v>
          </cell>
          <cell r="AQ51">
            <v>0</v>
          </cell>
          <cell r="AS51">
            <v>0</v>
          </cell>
          <cell r="AU51">
            <v>0</v>
          </cell>
          <cell r="AY51" t="str">
            <v>mstag:proceedsFromIssuanceAndCashUsedToRepayLongTermDebt</v>
          </cell>
          <cell r="AZ51">
            <v>6</v>
          </cell>
          <cell r="BA51" t="str">
            <v>ISO4217:USD</v>
          </cell>
          <cell r="BB51" t="b">
            <v>0</v>
          </cell>
          <cell r="BC51" t="b">
            <v>0</v>
          </cell>
        </row>
        <row r="52">
          <cell r="B52" t="str">
            <v>Cash Dividends Paid</v>
          </cell>
          <cell r="Y52">
            <v>0</v>
          </cell>
          <cell r="AA52">
            <v>0</v>
          </cell>
          <cell r="AC52">
            <v>0</v>
          </cell>
          <cell r="AE52">
            <v>0</v>
          </cell>
          <cell r="AG52">
            <v>0</v>
          </cell>
          <cell r="AI52">
            <v>0</v>
          </cell>
          <cell r="AK52">
            <v>0</v>
          </cell>
          <cell r="AM52">
            <v>0</v>
          </cell>
          <cell r="AO52">
            <v>0</v>
          </cell>
          <cell r="AQ52">
            <v>0</v>
          </cell>
          <cell r="AS52">
            <v>0</v>
          </cell>
          <cell r="AU52">
            <v>0</v>
          </cell>
          <cell r="AY52" t="str">
            <v>mstag:cashDividendsPaid</v>
          </cell>
          <cell r="AZ52">
            <v>6</v>
          </cell>
          <cell r="BA52" t="str">
            <v>ISO4217:USD</v>
          </cell>
          <cell r="BB52" t="b">
            <v>1</v>
          </cell>
          <cell r="BC52" t="b">
            <v>0</v>
          </cell>
        </row>
        <row r="53">
          <cell r="B53" t="str">
            <v>Other</v>
          </cell>
          <cell r="S53">
            <v>0.14499999999999999</v>
          </cell>
          <cell r="U53">
            <v>7.1999999999999995E-2</v>
          </cell>
          <cell r="AA53">
            <v>6.0000000000000001E-3</v>
          </cell>
          <cell r="AY53" t="str">
            <v>mstag:otherCashFlow</v>
          </cell>
          <cell r="AZ53">
            <v>6</v>
          </cell>
          <cell r="BA53" t="str">
            <v>ISO4217:USD</v>
          </cell>
          <cell r="BB53" t="b">
            <v>0</v>
          </cell>
          <cell r="BC53" t="b">
            <v>0</v>
          </cell>
        </row>
        <row r="54">
          <cell r="B54" t="str">
            <v>Net cash provided by financing activities</v>
          </cell>
          <cell r="C54">
            <v>0</v>
          </cell>
          <cell r="E54">
            <v>0</v>
          </cell>
          <cell r="G54">
            <v>0</v>
          </cell>
          <cell r="I54">
            <v>0</v>
          </cell>
          <cell r="K54">
            <v>0</v>
          </cell>
          <cell r="M54">
            <v>0</v>
          </cell>
          <cell r="O54">
            <v>0</v>
          </cell>
          <cell r="Q54">
            <v>0</v>
          </cell>
          <cell r="S54">
            <v>5.7700000000000005</v>
          </cell>
          <cell r="U54">
            <v>-3.1589999999999998</v>
          </cell>
          <cell r="W54">
            <v>-1.167</v>
          </cell>
          <cell r="Y54">
            <v>294.238</v>
          </cell>
          <cell r="AA54">
            <v>-34.342000000000006</v>
          </cell>
          <cell r="AC54">
            <v>31.698999999999998</v>
          </cell>
          <cell r="AE54">
            <v>3.5329514500000001</v>
          </cell>
          <cell r="AG54">
            <v>6.9649614299999989</v>
          </cell>
          <cell r="AI54">
            <v>192.28661524</v>
          </cell>
          <cell r="AK54">
            <v>140.56981425224998</v>
          </cell>
          <cell r="AM54">
            <v>14.480154812969996</v>
          </cell>
          <cell r="AO54">
            <v>200.41187919800763</v>
          </cell>
          <cell r="AQ54">
            <v>218.29256265384825</v>
          </cell>
          <cell r="AS54">
            <v>18.240824779756064</v>
          </cell>
          <cell r="AU54">
            <v>19.700090762136547</v>
          </cell>
        </row>
        <row r="56">
          <cell r="B56" t="str">
            <v>Effect of Exchange Rate Changes on Cash</v>
          </cell>
          <cell r="S56">
            <v>4.0000000000000001E-3</v>
          </cell>
          <cell r="U56">
            <v>-0.24299999999999999</v>
          </cell>
          <cell r="W56">
            <v>-8.2000000000000003E-2</v>
          </cell>
          <cell r="Y56">
            <v>7.0999999999999994E-2</v>
          </cell>
          <cell r="AY56" t="str">
            <v>mstag:effectOfForeignExchangeRatesOnCash</v>
          </cell>
          <cell r="AZ56">
            <v>6</v>
          </cell>
          <cell r="BA56" t="str">
            <v>ISO4217:USD</v>
          </cell>
          <cell r="BB56" t="b">
            <v>0</v>
          </cell>
          <cell r="BC56" t="b">
            <v>0</v>
          </cell>
        </row>
        <row r="57">
          <cell r="B57" t="str">
            <v xml:space="preserve">Change in cash </v>
          </cell>
          <cell r="C57">
            <v>0</v>
          </cell>
          <cell r="E57">
            <v>0</v>
          </cell>
          <cell r="G57">
            <v>0</v>
          </cell>
          <cell r="I57">
            <v>0</v>
          </cell>
          <cell r="K57">
            <v>0</v>
          </cell>
          <cell r="M57">
            <v>0</v>
          </cell>
          <cell r="O57">
            <v>0</v>
          </cell>
          <cell r="Q57">
            <v>0</v>
          </cell>
          <cell r="S57">
            <v>-66.786999999999964</v>
          </cell>
          <cell r="U57">
            <v>-20.440000000000072</v>
          </cell>
          <cell r="W57">
            <v>6.7700000000001319</v>
          </cell>
          <cell r="Y57">
            <v>102.48200000000008</v>
          </cell>
          <cell r="AA57">
            <v>-120.68600000000001</v>
          </cell>
          <cell r="AC57">
            <v>7.3489999999999682</v>
          </cell>
          <cell r="AE57">
            <v>73.078680093356667</v>
          </cell>
          <cell r="AG57">
            <v>-28.114842510310581</v>
          </cell>
          <cell r="AI57">
            <v>89.798056714191944</v>
          </cell>
          <cell r="AK57">
            <v>20.78703624784373</v>
          </cell>
          <cell r="AM57">
            <v>-46.623145115826965</v>
          </cell>
          <cell r="AO57">
            <v>166.5514222657595</v>
          </cell>
          <cell r="AQ57">
            <v>262.86958167052217</v>
          </cell>
          <cell r="AS57">
            <v>217.15932309480922</v>
          </cell>
          <cell r="AU57">
            <v>339.02790552059628</v>
          </cell>
        </row>
        <row r="58">
          <cell r="B58" t="str">
            <v>Cash at beginning of year</v>
          </cell>
          <cell r="I58">
            <v>0</v>
          </cell>
          <cell r="K58">
            <v>0</v>
          </cell>
          <cell r="M58">
            <v>0</v>
          </cell>
          <cell r="O58">
            <v>0</v>
          </cell>
          <cell r="Q58">
            <v>0</v>
          </cell>
          <cell r="S58">
            <v>110.155</v>
          </cell>
          <cell r="U58">
            <v>43.368000000000038</v>
          </cell>
          <cell r="W58">
            <v>22.927999999999965</v>
          </cell>
          <cell r="Y58">
            <v>29.698000000000096</v>
          </cell>
          <cell r="AA58">
            <v>132.18000000000018</v>
          </cell>
          <cell r="AC58">
            <v>11.49400000000017</v>
          </cell>
          <cell r="AE58">
            <v>18.843000000000139</v>
          </cell>
          <cell r="AG58">
            <v>91.921680093356827</v>
          </cell>
          <cell r="AI58">
            <v>63.806837583046232</v>
          </cell>
          <cell r="AK58">
            <v>153.60489429723825</v>
          </cell>
          <cell r="AM58">
            <v>174.39193054508195</v>
          </cell>
          <cell r="AO58">
            <v>127.7687854292551</v>
          </cell>
          <cell r="AQ58">
            <v>294.32020769501463</v>
          </cell>
          <cell r="AS58">
            <v>557.18978936553697</v>
          </cell>
          <cell r="AU58">
            <v>774.34911246034642</v>
          </cell>
        </row>
        <row r="59">
          <cell r="B59" t="str">
            <v>Cash at end of year</v>
          </cell>
          <cell r="C59">
            <v>0</v>
          </cell>
          <cell r="E59">
            <v>0</v>
          </cell>
          <cell r="G59">
            <v>0</v>
          </cell>
          <cell r="I59">
            <v>0</v>
          </cell>
          <cell r="K59">
            <v>0</v>
          </cell>
          <cell r="M59">
            <v>0</v>
          </cell>
          <cell r="O59">
            <v>0</v>
          </cell>
          <cell r="Q59">
            <v>110.155</v>
          </cell>
          <cell r="S59">
            <v>43.368000000000038</v>
          </cell>
          <cell r="U59">
            <v>22.927999999999965</v>
          </cell>
          <cell r="W59">
            <v>29.698000000000096</v>
          </cell>
          <cell r="Y59">
            <v>132.18000000000018</v>
          </cell>
          <cell r="AA59">
            <v>11.49400000000017</v>
          </cell>
          <cell r="AC59">
            <v>18.843000000000139</v>
          </cell>
          <cell r="AE59">
            <v>91.921680093356798</v>
          </cell>
          <cell r="AG59">
            <v>63.806837583046246</v>
          </cell>
          <cell r="AI59">
            <v>153.60489429723816</v>
          </cell>
          <cell r="AK59">
            <v>174.39193054508198</v>
          </cell>
          <cell r="AM59">
            <v>127.76878542925499</v>
          </cell>
          <cell r="AO59">
            <v>294.32020769501457</v>
          </cell>
          <cell r="AQ59">
            <v>557.18978936553685</v>
          </cell>
          <cell r="AS59">
            <v>774.34911246034619</v>
          </cell>
          <cell r="AU59">
            <v>1113.3770179809426</v>
          </cell>
        </row>
        <row r="60">
          <cell r="B60" t="str">
            <v>Cash and mkt. securities at end of year</v>
          </cell>
          <cell r="C60">
            <v>0</v>
          </cell>
          <cell r="E60">
            <v>0</v>
          </cell>
          <cell r="G60">
            <v>0</v>
          </cell>
          <cell r="I60">
            <v>0</v>
          </cell>
          <cell r="K60">
            <v>0</v>
          </cell>
          <cell r="M60">
            <v>0</v>
          </cell>
          <cell r="O60">
            <v>0</v>
          </cell>
          <cell r="Q60">
            <v>0</v>
          </cell>
          <cell r="S60">
            <v>507.90300000000002</v>
          </cell>
          <cell r="U60">
            <v>464.53299999999996</v>
          </cell>
          <cell r="W60">
            <v>310.00299999999999</v>
          </cell>
          <cell r="Y60">
            <v>481.19100000000003</v>
          </cell>
          <cell r="AA60">
            <v>346.339</v>
          </cell>
          <cell r="AC60">
            <v>329.81</v>
          </cell>
          <cell r="AE60">
            <v>256.87514163181822</v>
          </cell>
          <cell r="AG60">
            <v>133.35699427820279</v>
          </cell>
          <cell r="AI60">
            <v>202.46967281024237</v>
          </cell>
          <cell r="AK60">
            <v>213.50602573989985</v>
          </cell>
          <cell r="AM60">
            <v>159.66015224023121</v>
          </cell>
          <cell r="AO60">
            <v>320.86140533277478</v>
          </cell>
          <cell r="AQ60">
            <v>616.80493576387767</v>
          </cell>
          <cell r="AS60">
            <v>821.42644312578386</v>
          </cell>
          <cell r="AU60">
            <v>1143.7596703257116</v>
          </cell>
        </row>
        <row r="62">
          <cell r="B62" t="str">
            <v>Source: Company data and Morgan Stanley Research</v>
          </cell>
          <cell r="U62">
            <v>22.928000000000001</v>
          </cell>
        </row>
        <row r="64">
          <cell r="U64" t="str">
            <v>2002-FY</v>
          </cell>
          <cell r="W64" t="str">
            <v>2003-FY</v>
          </cell>
          <cell r="Y64" t="str">
            <v>2004-FY</v>
          </cell>
          <cell r="AA64" t="str">
            <v>2005-FY</v>
          </cell>
          <cell r="AC64" t="str">
            <v>2006-FY</v>
          </cell>
          <cell r="AE64" t="str">
            <v>2007-FY</v>
          </cell>
          <cell r="AG64" t="str">
            <v>2008-FY</v>
          </cell>
          <cell r="AI64" t="str">
            <v>2009-FY</v>
          </cell>
          <cell r="AK64" t="str">
            <v>2010-FY</v>
          </cell>
          <cell r="AM64" t="str">
            <v>2011-FY</v>
          </cell>
          <cell r="AO64" t="str">
            <v>2012-FY</v>
          </cell>
          <cell r="AQ64" t="str">
            <v>2013-FY</v>
          </cell>
          <cell r="AS64" t="str">
            <v>2014-FY</v>
          </cell>
          <cell r="AU64" t="str">
            <v>2015-FY</v>
          </cell>
        </row>
        <row r="67">
          <cell r="B67" t="str">
            <v>EBIT</v>
          </cell>
          <cell r="C67">
            <v>0</v>
          </cell>
          <cell r="E67">
            <v>0</v>
          </cell>
          <cell r="G67">
            <v>0</v>
          </cell>
          <cell r="I67">
            <v>0</v>
          </cell>
          <cell r="K67">
            <v>0</v>
          </cell>
          <cell r="M67">
            <v>0</v>
          </cell>
          <cell r="O67">
            <v>0</v>
          </cell>
          <cell r="Q67">
            <v>0</v>
          </cell>
          <cell r="S67">
            <v>-70.476000000000028</v>
          </cell>
          <cell r="U67">
            <v>-98.209000000000003</v>
          </cell>
          <cell r="W67">
            <v>-99.576999999999998</v>
          </cell>
          <cell r="Y67">
            <v>-94.676000000000016</v>
          </cell>
          <cell r="AA67">
            <v>-100.785</v>
          </cell>
          <cell r="AC67">
            <v>-67.864000000000004</v>
          </cell>
          <cell r="AE67">
            <v>-74.930000000000007</v>
          </cell>
          <cell r="AG67">
            <v>-138.75</v>
          </cell>
          <cell r="AI67">
            <v>-119.97916559999999</v>
          </cell>
          <cell r="AK67">
            <v>-125.618748912</v>
          </cell>
          <cell r="AM67">
            <v>-70.618750000000006</v>
          </cell>
          <cell r="AO67">
            <v>0</v>
          </cell>
          <cell r="AQ67">
            <v>0</v>
          </cell>
          <cell r="AS67">
            <v>0</v>
          </cell>
          <cell r="AU67">
            <v>0</v>
          </cell>
        </row>
        <row r="68">
          <cell r="B68" t="str">
            <v>EBIT * (1-tax)</v>
          </cell>
          <cell r="C68">
            <v>0</v>
          </cell>
          <cell r="E68">
            <v>0</v>
          </cell>
          <cell r="G68">
            <v>0</v>
          </cell>
          <cell r="I68">
            <v>0</v>
          </cell>
          <cell r="K68">
            <v>0</v>
          </cell>
          <cell r="M68">
            <v>0</v>
          </cell>
          <cell r="O68">
            <v>0</v>
          </cell>
          <cell r="Q68">
            <v>0</v>
          </cell>
          <cell r="S68">
            <v>-70.476000000000028</v>
          </cell>
          <cell r="U68">
            <v>-98.209000000000003</v>
          </cell>
          <cell r="W68">
            <v>-99.576999999999998</v>
          </cell>
          <cell r="Y68">
            <v>-94.676000000000016</v>
          </cell>
          <cell r="AA68">
            <v>-100.24894062397435</v>
          </cell>
          <cell r="AC68">
            <v>-67.864000000000004</v>
          </cell>
          <cell r="AE68">
            <v>-74.930000000000007</v>
          </cell>
          <cell r="AG68">
            <v>-138.75</v>
          </cell>
          <cell r="AI68">
            <v>-119.97916559999999</v>
          </cell>
          <cell r="AK68">
            <v>-125.618748912</v>
          </cell>
          <cell r="AM68">
            <v>-70.618750000000006</v>
          </cell>
          <cell r="AO68">
            <v>0</v>
          </cell>
          <cell r="AQ68">
            <v>0</v>
          </cell>
          <cell r="AS68">
            <v>0</v>
          </cell>
          <cell r="AU68">
            <v>0</v>
          </cell>
        </row>
        <row r="69">
          <cell r="B69" t="str">
            <v>Depreciation &amp; Amortization</v>
          </cell>
          <cell r="C69">
            <v>0</v>
          </cell>
          <cell r="E69">
            <v>0</v>
          </cell>
          <cell r="G69">
            <v>0</v>
          </cell>
          <cell r="I69">
            <v>0</v>
          </cell>
          <cell r="K69">
            <v>0</v>
          </cell>
          <cell r="M69">
            <v>0</v>
          </cell>
          <cell r="O69">
            <v>0</v>
          </cell>
          <cell r="Q69">
            <v>0</v>
          </cell>
          <cell r="S69">
            <v>46.41</v>
          </cell>
          <cell r="U69">
            <v>22.108000000000001</v>
          </cell>
          <cell r="W69">
            <v>16.895</v>
          </cell>
          <cell r="Y69">
            <v>13.913</v>
          </cell>
          <cell r="AA69">
            <v>8.1920000000000002</v>
          </cell>
          <cell r="AC69">
            <v>7.4109999999999996</v>
          </cell>
          <cell r="AE69">
            <v>4.1878181818181819</v>
          </cell>
          <cell r="AG69">
            <v>4.0798347107438016</v>
          </cell>
          <cell r="AI69">
            <v>3.9816679188580015</v>
          </cell>
          <cell r="AK69">
            <v>3.8924253807800016</v>
          </cell>
          <cell r="AM69">
            <v>2.8487958007090923</v>
          </cell>
          <cell r="AO69">
            <v>2.775041637008266</v>
          </cell>
          <cell r="AQ69">
            <v>2.7079923972802415</v>
          </cell>
          <cell r="AS69">
            <v>2.7079923972802415</v>
          </cell>
          <cell r="AU69">
            <v>2.7079923972802415</v>
          </cell>
        </row>
        <row r="70">
          <cell r="B70" t="str">
            <v>Cap Ex</v>
          </cell>
          <cell r="C70">
            <v>0</v>
          </cell>
          <cell r="E70">
            <v>0</v>
          </cell>
          <cell r="G70">
            <v>0</v>
          </cell>
          <cell r="I70">
            <v>0</v>
          </cell>
          <cell r="K70">
            <v>0</v>
          </cell>
          <cell r="M70">
            <v>0</v>
          </cell>
          <cell r="O70">
            <v>0</v>
          </cell>
          <cell r="Q70">
            <v>0</v>
          </cell>
          <cell r="S70">
            <v>-12.919</v>
          </cell>
          <cell r="U70">
            <v>-11.89</v>
          </cell>
          <cell r="W70">
            <v>-9.7379999999999995</v>
          </cell>
          <cell r="Y70">
            <v>-1.391</v>
          </cell>
          <cell r="AA70">
            <v>-1.633</v>
          </cell>
          <cell r="AC70">
            <v>-1.5680000000000001</v>
          </cell>
          <cell r="AE70">
            <v>-3.444</v>
          </cell>
          <cell r="AG70">
            <v>-0.32500000000000001</v>
          </cell>
          <cell r="AI70">
            <v>-2.7</v>
          </cell>
          <cell r="AK70">
            <v>-2.7</v>
          </cell>
          <cell r="AM70">
            <v>-10.1875</v>
          </cell>
          <cell r="AO70">
            <v>-17.875</v>
          </cell>
          <cell r="AQ70">
            <v>-42.4375</v>
          </cell>
          <cell r="AS70">
            <v>-67</v>
          </cell>
          <cell r="AU70">
            <v>-91.5625</v>
          </cell>
        </row>
        <row r="71">
          <cell r="B71" t="str">
            <v>Change to WC</v>
          </cell>
          <cell r="C71">
            <v>0</v>
          </cell>
          <cell r="E71">
            <v>0</v>
          </cell>
          <cell r="G71">
            <v>0</v>
          </cell>
          <cell r="I71">
            <v>0</v>
          </cell>
          <cell r="K71">
            <v>0</v>
          </cell>
          <cell r="M71">
            <v>0</v>
          </cell>
          <cell r="O71">
            <v>0</v>
          </cell>
          <cell r="Q71">
            <v>0</v>
          </cell>
          <cell r="S71">
            <v>-25.476000000000003</v>
          </cell>
          <cell r="U71">
            <v>29.148999999999994</v>
          </cell>
          <cell r="W71">
            <v>-21.805</v>
          </cell>
          <cell r="Y71">
            <v>-3.6850000000000001</v>
          </cell>
          <cell r="AA71">
            <v>-6.0770000000000008</v>
          </cell>
          <cell r="AC71">
            <v>13.019999999999998</v>
          </cell>
          <cell r="AE71">
            <v>-5.2915999999999972</v>
          </cell>
          <cell r="AG71">
            <v>8.8933777777777756</v>
          </cell>
          <cell r="AI71">
            <v>4.7922219662222219</v>
          </cell>
          <cell r="AK71">
            <v>2.3996874839999993</v>
          </cell>
          <cell r="AM71">
            <v>4.6174377719999953</v>
          </cell>
          <cell r="AO71">
            <v>9.9641249999999957</v>
          </cell>
          <cell r="AQ71">
            <v>16.057425000000009</v>
          </cell>
          <cell r="AS71">
            <v>12.375825000000034</v>
          </cell>
          <cell r="AU71">
            <v>10.015187499999939</v>
          </cell>
        </row>
        <row r="72">
          <cell r="B72" t="str">
            <v>Non-Cash Charges</v>
          </cell>
          <cell r="C72">
            <v>0</v>
          </cell>
          <cell r="E72">
            <v>0</v>
          </cell>
          <cell r="G72">
            <v>0</v>
          </cell>
          <cell r="I72">
            <v>0</v>
          </cell>
          <cell r="K72">
            <v>0</v>
          </cell>
          <cell r="M72">
            <v>0</v>
          </cell>
          <cell r="O72">
            <v>0</v>
          </cell>
          <cell r="Q72">
            <v>0</v>
          </cell>
          <cell r="S72">
            <v>4.2859999999999996</v>
          </cell>
          <cell r="U72">
            <v>7.3959999999999999</v>
          </cell>
          <cell r="W72">
            <v>45.911000000000001</v>
          </cell>
          <cell r="Y72">
            <v>5.3220000000000001</v>
          </cell>
          <cell r="AA72">
            <v>7.4999999999999997E-2</v>
          </cell>
          <cell r="AC72">
            <v>1.3120000000000001</v>
          </cell>
          <cell r="AE72">
            <v>10.225</v>
          </cell>
          <cell r="AG72">
            <v>10.225</v>
          </cell>
          <cell r="AI72">
            <v>10.225</v>
          </cell>
          <cell r="AK72">
            <v>10.225</v>
          </cell>
          <cell r="AM72">
            <v>0</v>
          </cell>
          <cell r="AO72">
            <v>0</v>
          </cell>
          <cell r="AQ72">
            <v>-51.362204030295295</v>
          </cell>
          <cell r="AS72">
            <v>-117.79448755112924</v>
          </cell>
          <cell r="AU72">
            <v>-187.23224740040132</v>
          </cell>
        </row>
        <row r="73">
          <cell r="B73" t="str">
            <v>Tax Benefit from Stock Options</v>
          </cell>
          <cell r="C73">
            <v>0</v>
          </cell>
          <cell r="E73">
            <v>0</v>
          </cell>
          <cell r="G73">
            <v>0</v>
          </cell>
          <cell r="I73">
            <v>0</v>
          </cell>
          <cell r="K73">
            <v>0</v>
          </cell>
          <cell r="M73">
            <v>0</v>
          </cell>
          <cell r="O73">
            <v>0</v>
          </cell>
          <cell r="Q73">
            <v>0</v>
          </cell>
          <cell r="S73">
            <v>1.2549999999999999</v>
          </cell>
          <cell r="U73">
            <v>4.0970000000000004</v>
          </cell>
          <cell r="W73">
            <v>1.6279999999999999</v>
          </cell>
          <cell r="Y73">
            <v>0.46300000000000002</v>
          </cell>
          <cell r="AA73">
            <v>0.186</v>
          </cell>
          <cell r="AC73">
            <v>0</v>
          </cell>
          <cell r="AE73">
            <v>0</v>
          </cell>
          <cell r="AG73">
            <v>0</v>
          </cell>
          <cell r="AI73">
            <v>0</v>
          </cell>
          <cell r="AK73">
            <v>0</v>
          </cell>
          <cell r="AM73">
            <v>0</v>
          </cell>
          <cell r="AO73">
            <v>0</v>
          </cell>
          <cell r="AQ73">
            <v>0</v>
          </cell>
          <cell r="AS73">
            <v>0</v>
          </cell>
          <cell r="AU73">
            <v>0</v>
          </cell>
        </row>
        <row r="74">
          <cell r="B74" t="str">
            <v>Free Cash Flow</v>
          </cell>
          <cell r="C74">
            <v>0</v>
          </cell>
          <cell r="E74">
            <v>0</v>
          </cell>
          <cell r="G74">
            <v>0</v>
          </cell>
          <cell r="I74">
            <v>0</v>
          </cell>
          <cell r="K74">
            <v>0</v>
          </cell>
          <cell r="M74">
            <v>0</v>
          </cell>
          <cell r="O74">
            <v>0</v>
          </cell>
          <cell r="Q74">
            <v>0</v>
          </cell>
          <cell r="S74">
            <v>-56.920000000000023</v>
          </cell>
          <cell r="U74">
            <v>-47.349000000000004</v>
          </cell>
          <cell r="W74">
            <v>-66.685999999999993</v>
          </cell>
          <cell r="Y74">
            <v>-80.05400000000003</v>
          </cell>
          <cell r="AA74">
            <v>-99.50594062397434</v>
          </cell>
          <cell r="AC74">
            <v>-47.689000000000007</v>
          </cell>
          <cell r="AE74">
            <v>-69.25278181818183</v>
          </cell>
          <cell r="AG74">
            <v>-115.87678751147843</v>
          </cell>
          <cell r="AI74">
            <v>-103.68027571491976</v>
          </cell>
          <cell r="AK74">
            <v>-111.80163604722001</v>
          </cell>
          <cell r="AM74">
            <v>-73.340016427290919</v>
          </cell>
          <cell r="AO74">
            <v>-5.1358333629917379</v>
          </cell>
          <cell r="AQ74">
            <v>-75.034286633015043</v>
          </cell>
          <cell r="AS74">
            <v>-169.71067015384898</v>
          </cell>
          <cell r="AU74">
            <v>-266.07156750312117</v>
          </cell>
        </row>
        <row r="76">
          <cell r="B76" t="str">
            <v>CFO</v>
          </cell>
          <cell r="C76">
            <v>0</v>
          </cell>
          <cell r="E76">
            <v>0</v>
          </cell>
          <cell r="G76">
            <v>0</v>
          </cell>
          <cell r="I76">
            <v>0</v>
          </cell>
          <cell r="K76">
            <v>0</v>
          </cell>
          <cell r="M76">
            <v>0</v>
          </cell>
          <cell r="O76">
            <v>0</v>
          </cell>
          <cell r="Q76">
            <v>0</v>
          </cell>
          <cell r="S76">
            <v>-47.003999999999991</v>
          </cell>
          <cell r="U76">
            <v>-58.266000000000005</v>
          </cell>
          <cell r="W76">
            <v>-118.33200000000001</v>
          </cell>
          <cell r="Y76">
            <v>-114.667</v>
          </cell>
          <cell r="AA76">
            <v>-101.87199999999999</v>
          </cell>
          <cell r="AC76">
            <v>-50.384999999999998</v>
          </cell>
          <cell r="AE76">
            <v>-72.379781818181812</v>
          </cell>
          <cell r="AG76">
            <v>-130.74688678361542</v>
          </cell>
          <cell r="AI76">
            <v>-120.09718670796042</v>
          </cell>
          <cell r="AK76">
            <v>-126.86046132259253</v>
          </cell>
          <cell r="AM76">
            <v>-57.015403312638618</v>
          </cell>
          <cell r="AO76">
            <v>-20.182501105464134</v>
          </cell>
          <cell r="AQ76">
            <v>123.77284277725468</v>
          </cell>
          <cell r="AS76">
            <v>257.06505758215013</v>
          </cell>
          <cell r="AU76">
            <v>397.88001143779098</v>
          </cell>
        </row>
        <row r="77">
          <cell r="B77" t="str">
            <v>Cap Ex</v>
          </cell>
          <cell r="C77">
            <v>0</v>
          </cell>
          <cell r="E77">
            <v>0</v>
          </cell>
          <cell r="G77">
            <v>0</v>
          </cell>
          <cell r="I77">
            <v>0</v>
          </cell>
          <cell r="K77">
            <v>0</v>
          </cell>
          <cell r="M77">
            <v>0</v>
          </cell>
          <cell r="O77">
            <v>0</v>
          </cell>
          <cell r="Q77">
            <v>0</v>
          </cell>
          <cell r="S77">
            <v>-12.919</v>
          </cell>
          <cell r="U77">
            <v>-11.89</v>
          </cell>
          <cell r="W77">
            <v>-9.7379999999999995</v>
          </cell>
          <cell r="Y77">
            <v>-1.391</v>
          </cell>
          <cell r="AA77">
            <v>-1.633</v>
          </cell>
          <cell r="AC77">
            <v>-1.5680000000000001</v>
          </cell>
          <cell r="AE77">
            <v>-3.444</v>
          </cell>
          <cell r="AG77">
            <v>-0.32500000000000001</v>
          </cell>
          <cell r="AI77">
            <v>-2.7</v>
          </cell>
          <cell r="AK77">
            <v>-2.7</v>
          </cell>
          <cell r="AM77">
            <v>-10.1875</v>
          </cell>
          <cell r="AO77">
            <v>-17.875</v>
          </cell>
          <cell r="AQ77">
            <v>-42.4375</v>
          </cell>
          <cell r="AS77">
            <v>-67</v>
          </cell>
          <cell r="AU77">
            <v>-91.5625</v>
          </cell>
        </row>
        <row r="78">
          <cell r="B78" t="str">
            <v>Free Cash Flow</v>
          </cell>
          <cell r="C78">
            <v>0</v>
          </cell>
          <cell r="E78">
            <v>0</v>
          </cell>
          <cell r="G78">
            <v>0</v>
          </cell>
          <cell r="I78">
            <v>0</v>
          </cell>
          <cell r="K78">
            <v>0</v>
          </cell>
          <cell r="M78">
            <v>0</v>
          </cell>
          <cell r="O78">
            <v>0</v>
          </cell>
          <cell r="Q78">
            <v>0</v>
          </cell>
          <cell r="S78">
            <v>-59.922999999999988</v>
          </cell>
          <cell r="U78">
            <v>-70.156000000000006</v>
          </cell>
          <cell r="W78">
            <v>-128.07</v>
          </cell>
          <cell r="Y78">
            <v>-116.05800000000001</v>
          </cell>
          <cell r="AA78">
            <v>-103.50499999999998</v>
          </cell>
          <cell r="AC78">
            <v>-51.952999999999996</v>
          </cell>
          <cell r="AE78">
            <v>-75.823781818181814</v>
          </cell>
          <cell r="AG78">
            <v>-131.07188678361541</v>
          </cell>
          <cell r="AI78">
            <v>-122.79718670796042</v>
          </cell>
          <cell r="AK78">
            <v>-129.56046132259252</v>
          </cell>
          <cell r="AM78">
            <v>-67.202903312638625</v>
          </cell>
          <cell r="AO78">
            <v>-38.057501105464134</v>
          </cell>
          <cell r="AQ78">
            <v>81.335342777254681</v>
          </cell>
          <cell r="AS78">
            <v>190.06505758215013</v>
          </cell>
          <cell r="AU78">
            <v>306.31751143779098</v>
          </cell>
        </row>
        <row r="80">
          <cell r="B80" t="str">
            <v>GAAP, Net Income</v>
          </cell>
          <cell r="W80">
            <v>-136.87299999999999</v>
          </cell>
          <cell r="Y80">
            <v>-166.46299999999999</v>
          </cell>
          <cell r="AA80">
            <v>-164.81700000000001</v>
          </cell>
          <cell r="AC80">
            <v>-103.04299999999999</v>
          </cell>
          <cell r="AE80">
            <v>-74.165999999999997</v>
          </cell>
          <cell r="AG80">
            <v>-86.68</v>
          </cell>
          <cell r="AI80">
            <v>-170.94509927213699</v>
          </cell>
          <cell r="AK80">
            <v>-158.09607659304064</v>
          </cell>
          <cell r="AM80">
            <v>-164.37757418737252</v>
          </cell>
          <cell r="AO80">
            <v>-87.481636885347712</v>
          </cell>
          <cell r="AQ80">
            <v>-57.921667742472394</v>
          </cell>
          <cell r="AS80">
            <v>130.31462941026973</v>
          </cell>
          <cell r="AU80">
            <v>330.82572773599912</v>
          </cell>
        </row>
      </sheetData>
      <sheetData sheetId="5"/>
      <sheetData sheetId="6"/>
      <sheetData sheetId="7">
        <row r="1">
          <cell r="A1" t="str">
            <v>4Q05 Earnings Comparison</v>
          </cell>
        </row>
        <row r="2">
          <cell r="B2" t="str">
            <v>2Q03</v>
          </cell>
          <cell r="C2" t="str">
            <v>4Q05</v>
          </cell>
          <cell r="D2" t="str">
            <v>4Q05</v>
          </cell>
          <cell r="E2" t="str">
            <v>Est. vs.</v>
          </cell>
        </row>
        <row r="3">
          <cell r="B3" t="str">
            <v>Actual</v>
          </cell>
          <cell r="C3" t="str">
            <v>Actual</v>
          </cell>
          <cell r="D3" t="str">
            <v>MS Est.</v>
          </cell>
          <cell r="E3" t="str">
            <v>Actual</v>
          </cell>
          <cell r="F3" t="str">
            <v>Comments</v>
          </cell>
        </row>
        <row r="4">
          <cell r="A4" t="str">
            <v>Revenues:</v>
          </cell>
        </row>
        <row r="6">
          <cell r="A6" t="e">
            <v>#REF!</v>
          </cell>
          <cell r="E6">
            <v>0</v>
          </cell>
        </row>
        <row r="7">
          <cell r="A7" t="e">
            <v>#REF!</v>
          </cell>
          <cell r="E7">
            <v>0</v>
          </cell>
        </row>
        <row r="8">
          <cell r="A8" t="e">
            <v>#REF!</v>
          </cell>
          <cell r="E8">
            <v>0</v>
          </cell>
        </row>
        <row r="9">
          <cell r="A9" t="str">
            <v>JAK Inhibitor (RA) - US</v>
          </cell>
          <cell r="E9">
            <v>0</v>
          </cell>
        </row>
        <row r="10">
          <cell r="A10" t="str">
            <v>JAK Inhibitor (RA) - Ex-US</v>
          </cell>
          <cell r="E10">
            <v>0</v>
          </cell>
        </row>
        <row r="11">
          <cell r="A11" t="str">
            <v>JAK Inhibitor (RA)</v>
          </cell>
          <cell r="E11">
            <v>0</v>
          </cell>
        </row>
        <row r="12">
          <cell r="A12" t="e">
            <v>#REF!</v>
          </cell>
          <cell r="E12">
            <v>0</v>
          </cell>
        </row>
        <row r="13">
          <cell r="A13" t="e">
            <v>#REF!</v>
          </cell>
          <cell r="E13">
            <v>0</v>
          </cell>
        </row>
        <row r="14">
          <cell r="A14" t="e">
            <v>#REF!</v>
          </cell>
          <cell r="E14">
            <v>0</v>
          </cell>
        </row>
        <row r="15">
          <cell r="A15" t="e">
            <v>#REF!</v>
          </cell>
          <cell r="E15">
            <v>0</v>
          </cell>
        </row>
        <row r="16">
          <cell r="A16" t="e">
            <v>#REF!</v>
          </cell>
          <cell r="E16">
            <v>0</v>
          </cell>
        </row>
        <row r="17">
          <cell r="A17" t="e">
            <v>#REF!</v>
          </cell>
          <cell r="B17">
            <v>54900</v>
          </cell>
          <cell r="E17">
            <v>0</v>
          </cell>
        </row>
        <row r="18">
          <cell r="A18" t="str">
            <v xml:space="preserve">Other </v>
          </cell>
          <cell r="E18">
            <v>0</v>
          </cell>
        </row>
        <row r="19">
          <cell r="A19" t="str">
            <v>Total Product Sales</v>
          </cell>
          <cell r="E19">
            <v>0</v>
          </cell>
        </row>
        <row r="20">
          <cell r="A20" t="str">
            <v>Royalty Revenue</v>
          </cell>
          <cell r="E20">
            <v>0</v>
          </cell>
        </row>
        <row r="21">
          <cell r="A21" t="str">
            <v>Contract Revenue</v>
          </cell>
          <cell r="C21">
            <v>2.6760000000000002</v>
          </cell>
          <cell r="D21">
            <v>2.6760000000000002</v>
          </cell>
          <cell r="E21">
            <v>0</v>
          </cell>
        </row>
        <row r="22">
          <cell r="A22" t="str">
            <v>Total Revenues</v>
          </cell>
          <cell r="C22">
            <v>1.0269999999999999</v>
          </cell>
          <cell r="D22">
            <v>0.2</v>
          </cell>
          <cell r="E22">
            <v>0.82699999999999996</v>
          </cell>
        </row>
        <row r="23">
          <cell r="A23" t="str">
            <v>Operating Expenses:</v>
          </cell>
        </row>
        <row r="24">
          <cell r="A24" t="str">
            <v xml:space="preserve">   Cost of Sales</v>
          </cell>
          <cell r="E24">
            <v>0</v>
          </cell>
        </row>
        <row r="25">
          <cell r="A25" t="str">
            <v xml:space="preserve">   % of Product Revenues</v>
          </cell>
          <cell r="C25" t="str">
            <v>NM</v>
          </cell>
          <cell r="D25" t="str">
            <v>NM</v>
          </cell>
          <cell r="E25" t="e">
            <v>#VALUE!</v>
          </cell>
        </row>
        <row r="26">
          <cell r="A26" t="str">
            <v xml:space="preserve">   R&amp;D</v>
          </cell>
          <cell r="C26">
            <v>23.942</v>
          </cell>
          <cell r="D26">
            <v>20</v>
          </cell>
          <cell r="E26">
            <v>3.9420000000000002</v>
          </cell>
          <cell r="F26" t="str">
            <v>Initiated second Phase IIb trial for DFC</v>
          </cell>
        </row>
        <row r="27">
          <cell r="A27" t="str">
            <v xml:space="preserve">   % of Total Revenues</v>
          </cell>
          <cell r="C27">
            <v>23.312560856864657</v>
          </cell>
          <cell r="D27">
            <v>100</v>
          </cell>
          <cell r="E27">
            <v>-76.68743914313535</v>
          </cell>
        </row>
        <row r="28">
          <cell r="A28" t="str">
            <v xml:space="preserve">   SG&amp;A</v>
          </cell>
          <cell r="C28">
            <v>3.4119999999999999</v>
          </cell>
          <cell r="D28">
            <v>2.8</v>
          </cell>
          <cell r="E28">
            <v>0.6120000000000001</v>
          </cell>
          <cell r="F28" t="str">
            <v>Restructuing and cost reductions less than projected</v>
          </cell>
        </row>
        <row r="29">
          <cell r="A29" t="str">
            <v xml:space="preserve">   % of Total Revenues</v>
          </cell>
          <cell r="C29">
            <v>3.3222979552093479</v>
          </cell>
          <cell r="D29">
            <v>14</v>
          </cell>
          <cell r="E29">
            <v>-10.677702044790653</v>
          </cell>
        </row>
        <row r="30">
          <cell r="A30" t="e">
            <v>#REF!</v>
          </cell>
          <cell r="E30">
            <v>0</v>
          </cell>
        </row>
        <row r="31">
          <cell r="A31" t="str">
            <v xml:space="preserve">   Other </v>
          </cell>
          <cell r="E31">
            <v>0</v>
          </cell>
        </row>
        <row r="32">
          <cell r="A32" t="str">
            <v>Total Operating Expenses</v>
          </cell>
          <cell r="C32">
            <v>27.622</v>
          </cell>
          <cell r="D32">
            <v>22.8</v>
          </cell>
          <cell r="E32">
            <v>4.8219999999999992</v>
          </cell>
        </row>
        <row r="33">
          <cell r="A33" t="str">
            <v xml:space="preserve">Operating Income (Loss) </v>
          </cell>
          <cell r="C33">
            <v>-26.594999999999999</v>
          </cell>
          <cell r="D33">
            <v>-22.6</v>
          </cell>
          <cell r="E33">
            <v>-3.9949999999999974</v>
          </cell>
        </row>
        <row r="34">
          <cell r="A34" t="str">
            <v>Operatin Margins</v>
          </cell>
          <cell r="E34">
            <v>0</v>
          </cell>
        </row>
        <row r="35">
          <cell r="A35" t="str">
            <v xml:space="preserve">   Interest, Other Income</v>
          </cell>
          <cell r="C35">
            <v>2.302</v>
          </cell>
          <cell r="D35">
            <v>2.1</v>
          </cell>
          <cell r="E35">
            <v>0.20199999999999996</v>
          </cell>
        </row>
        <row r="36">
          <cell r="A36" t="str">
            <v xml:space="preserve">   Interest, Other Expense</v>
          </cell>
          <cell r="C36">
            <v>-3.7959999999999998</v>
          </cell>
          <cell r="D36">
            <v>-4</v>
          </cell>
          <cell r="E36">
            <v>0.20400000000000018</v>
          </cell>
        </row>
        <row r="37">
          <cell r="A37" t="str">
            <v xml:space="preserve">Pretax Income (Loss) </v>
          </cell>
          <cell r="C37">
            <v>-28.105999999999998</v>
          </cell>
          <cell r="D37">
            <v>-24.5</v>
          </cell>
          <cell r="E37">
            <v>-3.6059999999999981</v>
          </cell>
        </row>
        <row r="38">
          <cell r="A38" t="str">
            <v xml:space="preserve">   Provision For Income Taxes</v>
          </cell>
          <cell r="C38">
            <v>-0.39500000000000002</v>
          </cell>
          <cell r="D38">
            <v>0</v>
          </cell>
          <cell r="E38">
            <v>-0.39500000000000002</v>
          </cell>
        </row>
        <row r="39">
          <cell r="A39" t="str">
            <v xml:space="preserve">   Effective Tax Rate</v>
          </cell>
          <cell r="C39">
            <v>1.4053938660784176E-2</v>
          </cell>
          <cell r="D39">
            <v>0</v>
          </cell>
          <cell r="E39">
            <v>1.4053938660784176E-2</v>
          </cell>
        </row>
        <row r="40">
          <cell r="A40" t="str">
            <v>Net Income (Loss) (Non-GAAP)</v>
          </cell>
          <cell r="C40">
            <v>-27.710999999999999</v>
          </cell>
          <cell r="D40">
            <v>-24.5</v>
          </cell>
          <cell r="E40">
            <v>-3.2109999999999985</v>
          </cell>
        </row>
        <row r="41">
          <cell r="A41" t="str">
            <v>GAAP Net Income</v>
          </cell>
          <cell r="C41">
            <v>-27.555999999999997</v>
          </cell>
          <cell r="D41">
            <v>-24.5</v>
          </cell>
          <cell r="E41">
            <v>-3.0559999999999974</v>
          </cell>
        </row>
        <row r="42">
          <cell r="A42" t="str">
            <v>EPS - Diluted (reported)</v>
          </cell>
          <cell r="C42">
            <v>-0.33178879310344828</v>
          </cell>
          <cell r="D42">
            <v>-0.29080705486045416</v>
          </cell>
          <cell r="E42">
            <v>-4.0981738242994115E-2</v>
          </cell>
        </row>
        <row r="43">
          <cell r="A43" t="str">
            <v>EPS, GAAP, Diluted (includes stock comp)</v>
          </cell>
          <cell r="C43" t="e">
            <v>#REF!</v>
          </cell>
          <cell r="D43">
            <v>-0.29080705486045416</v>
          </cell>
          <cell r="E43" t="e">
            <v>#REF!</v>
          </cell>
        </row>
        <row r="45">
          <cell r="A45" t="str">
            <v xml:space="preserve">Basic Shares Outstanding </v>
          </cell>
          <cell r="C45">
            <v>83.52</v>
          </cell>
          <cell r="D45">
            <v>84.2483</v>
          </cell>
          <cell r="E45">
            <v>-0.72830000000000439</v>
          </cell>
        </row>
        <row r="46">
          <cell r="A46" t="str">
            <v xml:space="preserve">Basic Shares Outstanding </v>
          </cell>
          <cell r="C46">
            <v>83.52</v>
          </cell>
          <cell r="D46">
            <v>84.2483</v>
          </cell>
          <cell r="E46">
            <v>-0.72830000000000439</v>
          </cell>
        </row>
        <row r="48">
          <cell r="A48" t="str">
            <v>Source: Company data and Morgan Stanley Research</v>
          </cell>
        </row>
      </sheetData>
      <sheetData sheetId="8"/>
      <sheetData sheetId="9"/>
      <sheetData sheetId="10"/>
      <sheetData sheetId="11">
        <row r="1">
          <cell r="A1" t="str">
            <v>INCYTE CORPORAT STK (INCY.O)</v>
          </cell>
        </row>
        <row r="2">
          <cell r="A2" t="str">
            <v>Probability of Monthly Move ± 25%:</v>
          </cell>
          <cell r="D2">
            <v>0.17926159270354247</v>
          </cell>
          <cell r="Y2" t="str">
            <v>Criteria Table</v>
          </cell>
          <cell r="AB2" t="str">
            <v>Sheet Information</v>
          </cell>
        </row>
        <row r="3">
          <cell r="A3" t="str">
            <v>Volatility Flag:</v>
          </cell>
          <cell r="D3" t="str">
            <v>No</v>
          </cell>
          <cell r="Y3" t="str">
            <v>Minimum Price Points</v>
          </cell>
          <cell r="Z3">
            <v>52</v>
          </cell>
          <cell r="AB3" t="str">
            <v>Ticker:</v>
          </cell>
          <cell r="AC3" t="str">
            <v>INCY.O</v>
          </cell>
        </row>
        <row r="4">
          <cell r="A4" t="str">
            <v>Weekly Returns Retrieved:</v>
          </cell>
          <cell r="D4">
            <v>156</v>
          </cell>
          <cell r="Y4" t="str">
            <v>Return Threshold</v>
          </cell>
          <cell r="Z4">
            <v>0.25</v>
          </cell>
          <cell r="AB4" t="str">
            <v>Extended Price Range Address:</v>
          </cell>
        </row>
        <row r="5">
          <cell r="A5" t="str">
            <v>The volatility flag is set if the probability of a monthly move of ± 25% exceeds 25% or if</v>
          </cell>
          <cell r="Y5" t="str">
            <v>Probability Threshold</v>
          </cell>
          <cell r="Z5">
            <v>0.25</v>
          </cell>
        </row>
        <row r="6">
          <cell r="A6" t="str">
            <v>there is less then 52 weeks of data.</v>
          </cell>
          <cell r="Y6" t="str">
            <v>Data Statistics</v>
          </cell>
        </row>
        <row r="7">
          <cell r="A7" t="str">
            <v>INCYTE CORPORAT STK Charts</v>
          </cell>
          <cell r="Y7" t="str">
            <v>Mean Weekly Return:</v>
          </cell>
          <cell r="Z7">
            <v>1.0091597983905582E-3</v>
          </cell>
        </row>
        <row r="8">
          <cell r="Y8" t="str">
            <v>Standard Deviation of Weekly Return:</v>
          </cell>
          <cell r="Z8">
            <v>9.3051094288828198E-2</v>
          </cell>
        </row>
        <row r="9">
          <cell r="Y9" t="str">
            <v>Sheet Information</v>
          </cell>
        </row>
        <row r="10">
          <cell r="Y10" t="str">
            <v>Sheet Type:</v>
          </cell>
          <cell r="Z10" t="str">
            <v>Volatility</v>
          </cell>
        </row>
        <row r="11">
          <cell r="Y11" t="str">
            <v>Version</v>
          </cell>
          <cell r="Z11">
            <v>2</v>
          </cell>
        </row>
        <row r="12">
          <cell r="Y12" t="str">
            <v>Date Format:</v>
          </cell>
          <cell r="Z12">
            <v>36891</v>
          </cell>
        </row>
        <row r="13">
          <cell r="Y13" t="str">
            <v>PlusMinusCharacter:</v>
          </cell>
          <cell r="Z13" t="str">
            <v>±</v>
          </cell>
        </row>
        <row r="14">
          <cell r="Y14" t="str">
            <v>Distribution of Rolling Monthly Returns Chart Data</v>
          </cell>
        </row>
        <row r="15">
          <cell r="Y15" t="str">
            <v>Chart Title:</v>
          </cell>
          <cell r="Z15" t="str">
            <v>Distribution of Rolling Monthly Returns</v>
          </cell>
        </row>
        <row r="17">
          <cell r="Z17" t="str">
            <v>Number</v>
          </cell>
          <cell r="AA17" t="str">
            <v>Bin</v>
          </cell>
          <cell r="AB17" t="str">
            <v>Label</v>
          </cell>
          <cell r="AC17" t="str">
            <v>Frequency</v>
          </cell>
          <cell r="AF17" t="str">
            <v>Bin1</v>
          </cell>
          <cell r="AG17" t="str">
            <v>Rolling Monthly Return</v>
          </cell>
          <cell r="AH17" t="str">
            <v>Date</v>
          </cell>
        </row>
        <row r="18">
          <cell r="Z18">
            <v>1</v>
          </cell>
          <cell r="AA18">
            <v>-0.25</v>
          </cell>
          <cell r="AB18" t="str">
            <v>&lt;= (25%)</v>
          </cell>
          <cell r="AC18">
            <v>9</v>
          </cell>
          <cell r="AG18" t="str">
            <v>&lt;=-0.25</v>
          </cell>
          <cell r="AH18" t="str">
            <v>&gt;=37330</v>
          </cell>
        </row>
        <row r="19">
          <cell r="Z19">
            <v>2</v>
          </cell>
          <cell r="AA19">
            <v>-0.2</v>
          </cell>
          <cell r="AB19" t="str">
            <v>(25%) to (20%)</v>
          </cell>
          <cell r="AC19">
            <v>9</v>
          </cell>
        </row>
        <row r="20">
          <cell r="Z20">
            <v>3</v>
          </cell>
          <cell r="AA20">
            <v>-0.15000000000000002</v>
          </cell>
          <cell r="AB20" t="str">
            <v>(20%) to (15%)</v>
          </cell>
          <cell r="AC20">
            <v>14</v>
          </cell>
          <cell r="AF20" t="str">
            <v>Bin2</v>
          </cell>
          <cell r="AG20" t="str">
            <v>Rolling Monthly Return</v>
          </cell>
          <cell r="AH20" t="str">
            <v>Rolling Monthly Return</v>
          </cell>
          <cell r="AI20" t="str">
            <v>Date</v>
          </cell>
        </row>
        <row r="21">
          <cell r="Z21">
            <v>4</v>
          </cell>
          <cell r="AA21">
            <v>-0.1</v>
          </cell>
          <cell r="AB21" t="str">
            <v>(15%) to (10%)</v>
          </cell>
          <cell r="AC21">
            <v>17</v>
          </cell>
          <cell r="AG21" t="str">
            <v>&gt;-0.25</v>
          </cell>
          <cell r="AH21" t="str">
            <v>&lt;=-0.2</v>
          </cell>
          <cell r="AI21" t="str">
            <v>&gt;=37330</v>
          </cell>
        </row>
        <row r="22">
          <cell r="Z22">
            <v>5</v>
          </cell>
          <cell r="AA22">
            <v>-0.05</v>
          </cell>
          <cell r="AB22" t="str">
            <v>(10%) to (5%)</v>
          </cell>
          <cell r="AC22">
            <v>17</v>
          </cell>
        </row>
        <row r="23">
          <cell r="Z23">
            <v>6</v>
          </cell>
          <cell r="AA23">
            <v>0</v>
          </cell>
          <cell r="AB23" t="str">
            <v xml:space="preserve">(5%) to 0% </v>
          </cell>
          <cell r="AC23">
            <v>22</v>
          </cell>
          <cell r="AF23" t="str">
            <v>Bin3</v>
          </cell>
          <cell r="AG23" t="str">
            <v>Rolling Monthly Return</v>
          </cell>
          <cell r="AH23" t="str">
            <v>Rolling Monthly Return</v>
          </cell>
          <cell r="AI23" t="str">
            <v>Date</v>
          </cell>
        </row>
        <row r="24">
          <cell r="Z24">
            <v>7</v>
          </cell>
          <cell r="AA24">
            <v>0.05</v>
          </cell>
          <cell r="AB24" t="str">
            <v xml:space="preserve">0%  to 5% </v>
          </cell>
          <cell r="AC24">
            <v>20</v>
          </cell>
          <cell r="AG24" t="str">
            <v>&gt;-0.2</v>
          </cell>
          <cell r="AH24" t="str">
            <v>&lt;=-0.15</v>
          </cell>
          <cell r="AI24" t="str">
            <v>&gt;=37330</v>
          </cell>
        </row>
        <row r="25">
          <cell r="Z25">
            <v>8</v>
          </cell>
          <cell r="AA25">
            <v>0.1</v>
          </cell>
          <cell r="AB25" t="str">
            <v xml:space="preserve">5%  to 10% </v>
          </cell>
          <cell r="AC25">
            <v>8</v>
          </cell>
        </row>
        <row r="26">
          <cell r="Z26">
            <v>9</v>
          </cell>
          <cell r="AA26">
            <v>0.15000000000000002</v>
          </cell>
          <cell r="AB26" t="str">
            <v xml:space="preserve">10%  to 15% </v>
          </cell>
          <cell r="AC26">
            <v>9</v>
          </cell>
          <cell r="AF26" t="str">
            <v>Bin4</v>
          </cell>
          <cell r="AG26" t="str">
            <v>Rolling Monthly Return</v>
          </cell>
          <cell r="AH26" t="str">
            <v>Rolling Monthly Return</v>
          </cell>
          <cell r="AI26" t="str">
            <v>Date</v>
          </cell>
        </row>
        <row r="27">
          <cell r="Z27">
            <v>10</v>
          </cell>
          <cell r="AA27">
            <v>0.2</v>
          </cell>
          <cell r="AB27" t="str">
            <v xml:space="preserve">15%  to 20% </v>
          </cell>
          <cell r="AC27">
            <v>7</v>
          </cell>
          <cell r="AG27" t="str">
            <v>&gt;-0.15</v>
          </cell>
          <cell r="AH27" t="str">
            <v>&lt;=-0.1</v>
          </cell>
          <cell r="AI27" t="str">
            <v>&gt;=37330</v>
          </cell>
        </row>
        <row r="28">
          <cell r="Z28">
            <v>11</v>
          </cell>
          <cell r="AA28">
            <v>0.25</v>
          </cell>
          <cell r="AB28" t="str">
            <v xml:space="preserve">20%  to 25% </v>
          </cell>
          <cell r="AC28">
            <v>1</v>
          </cell>
        </row>
        <row r="29">
          <cell r="Z29">
            <v>12</v>
          </cell>
          <cell r="AB29" t="str">
            <v xml:space="preserve">&gt;= 25% </v>
          </cell>
          <cell r="AC29">
            <v>23</v>
          </cell>
          <cell r="AF29" t="str">
            <v>Bin5</v>
          </cell>
          <cell r="AG29" t="str">
            <v>Rolling Monthly Return</v>
          </cell>
          <cell r="AH29" t="str">
            <v>Rolling Monthly Return</v>
          </cell>
          <cell r="AI29" t="str">
            <v>Date</v>
          </cell>
        </row>
        <row r="30">
          <cell r="AC30">
            <v>156</v>
          </cell>
          <cell r="AG30" t="str">
            <v>&gt;-0.1</v>
          </cell>
          <cell r="AH30" t="str">
            <v>&lt;=-0.05</v>
          </cell>
          <cell r="AI30" t="str">
            <v>&gt;=37330</v>
          </cell>
        </row>
        <row r="32">
          <cell r="AF32" t="str">
            <v>Bin6</v>
          </cell>
          <cell r="AG32" t="str">
            <v>Rolling Monthly Return</v>
          </cell>
          <cell r="AH32" t="str">
            <v>Rolling Monthly Return</v>
          </cell>
          <cell r="AI32" t="str">
            <v>Date</v>
          </cell>
        </row>
        <row r="33">
          <cell r="AG33" t="str">
            <v>&gt;-0.05</v>
          </cell>
          <cell r="AH33" t="str">
            <v>&lt;=0</v>
          </cell>
          <cell r="AI33" t="str">
            <v>&gt;=37330</v>
          </cell>
        </row>
        <row r="34">
          <cell r="A34" t="str">
            <v>Date</v>
          </cell>
          <cell r="B34" t="str">
            <v>Price</v>
          </cell>
          <cell r="C34" t="str">
            <v>Weekly Return</v>
          </cell>
          <cell r="D34" t="str">
            <v>Rolling Monthly Return</v>
          </cell>
          <cell r="Q34" t="str">
            <v>Upper Threshold</v>
          </cell>
          <cell r="R34" t="str">
            <v>Lower Threshold</v>
          </cell>
        </row>
        <row r="35">
          <cell r="A35">
            <v>37302</v>
          </cell>
          <cell r="B35">
            <v>12</v>
          </cell>
          <cell r="Q35">
            <v>0.25</v>
          </cell>
          <cell r="R35">
            <v>-0.25</v>
          </cell>
          <cell r="AF35" t="str">
            <v>Bin7</v>
          </cell>
          <cell r="AG35" t="str">
            <v>Rolling Monthly Return</v>
          </cell>
          <cell r="AH35" t="str">
            <v>Rolling Monthly Return</v>
          </cell>
          <cell r="AI35" t="str">
            <v>Date</v>
          </cell>
        </row>
        <row r="36">
          <cell r="A36">
            <v>37309</v>
          </cell>
          <cell r="B36">
            <v>11.68</v>
          </cell>
          <cell r="Q36">
            <v>0.25</v>
          </cell>
          <cell r="R36">
            <v>-0.25</v>
          </cell>
          <cell r="AG36" t="str">
            <v>&gt;0</v>
          </cell>
          <cell r="AH36" t="str">
            <v>&lt;=0.05</v>
          </cell>
          <cell r="AI36" t="str">
            <v>&gt;=37330</v>
          </cell>
        </row>
        <row r="37">
          <cell r="A37">
            <v>37316</v>
          </cell>
          <cell r="B37">
            <v>11.44</v>
          </cell>
          <cell r="Q37">
            <v>0.25</v>
          </cell>
          <cell r="R37">
            <v>-0.25</v>
          </cell>
        </row>
        <row r="38">
          <cell r="A38">
            <v>37323</v>
          </cell>
          <cell r="B38">
            <v>12.29</v>
          </cell>
          <cell r="Q38">
            <v>0.25</v>
          </cell>
          <cell r="R38">
            <v>-0.25</v>
          </cell>
          <cell r="AF38" t="str">
            <v>Bin8</v>
          </cell>
          <cell r="AG38" t="str">
            <v>Rolling Monthly Return</v>
          </cell>
          <cell r="AH38" t="str">
            <v>Rolling Monthly Return</v>
          </cell>
          <cell r="AI38" t="str">
            <v>Date</v>
          </cell>
        </row>
        <row r="39">
          <cell r="A39">
            <v>37330</v>
          </cell>
          <cell r="B39">
            <v>12.4</v>
          </cell>
          <cell r="C39">
            <v>8.9503661513425925E-3</v>
          </cell>
          <cell r="D39">
            <v>3.3333333333333437E-2</v>
          </cell>
          <cell r="Q39">
            <v>0.25</v>
          </cell>
          <cell r="R39">
            <v>-0.25</v>
          </cell>
          <cell r="AG39" t="str">
            <v>&gt;0.05</v>
          </cell>
          <cell r="AH39" t="str">
            <v>&lt;=0.1</v>
          </cell>
          <cell r="AI39" t="str">
            <v>&gt;=37330</v>
          </cell>
        </row>
        <row r="40">
          <cell r="A40">
            <v>37337</v>
          </cell>
          <cell r="B40">
            <v>12.25</v>
          </cell>
          <cell r="C40">
            <v>-1.2096774193548376E-2</v>
          </cell>
          <cell r="D40">
            <v>4.8801369863013644E-2</v>
          </cell>
          <cell r="Q40">
            <v>0.25</v>
          </cell>
          <cell r="R40">
            <v>-0.25</v>
          </cell>
        </row>
        <row r="41">
          <cell r="A41">
            <v>37344</v>
          </cell>
          <cell r="B41">
            <v>11.9</v>
          </cell>
          <cell r="C41">
            <v>-2.8571428571428581E-2</v>
          </cell>
          <cell r="D41">
            <v>4.0209790209790208E-2</v>
          </cell>
          <cell r="Q41">
            <v>0.25</v>
          </cell>
          <cell r="R41">
            <v>-0.25</v>
          </cell>
          <cell r="AF41" t="str">
            <v>Bin9</v>
          </cell>
          <cell r="AG41" t="str">
            <v>Rolling Monthly Return</v>
          </cell>
          <cell r="AH41" t="str">
            <v>Rolling Monthly Return</v>
          </cell>
          <cell r="AI41" t="str">
            <v>Date</v>
          </cell>
        </row>
        <row r="42">
          <cell r="A42">
            <v>37351</v>
          </cell>
          <cell r="B42">
            <v>9.98</v>
          </cell>
          <cell r="C42">
            <v>-0.16134453781512603</v>
          </cell>
          <cell r="D42">
            <v>-0.18795768917819355</v>
          </cell>
          <cell r="Q42">
            <v>0.25</v>
          </cell>
          <cell r="R42">
            <v>-0.25</v>
          </cell>
          <cell r="AG42" t="str">
            <v>&gt;0.1</v>
          </cell>
          <cell r="AH42" t="str">
            <v>&lt;=0.15</v>
          </cell>
          <cell r="AI42" t="str">
            <v>&gt;=37330</v>
          </cell>
        </row>
        <row r="43">
          <cell r="A43">
            <v>37358</v>
          </cell>
          <cell r="B43">
            <v>10.23</v>
          </cell>
          <cell r="C43">
            <v>2.5050100200400882E-2</v>
          </cell>
          <cell r="D43">
            <v>-0.17500000000000004</v>
          </cell>
          <cell r="Q43">
            <v>0.25</v>
          </cell>
          <cell r="R43">
            <v>-0.25</v>
          </cell>
        </row>
        <row r="44">
          <cell r="A44">
            <v>37365</v>
          </cell>
          <cell r="B44">
            <v>9.36</v>
          </cell>
          <cell r="C44">
            <v>-8.5043988269794868E-2</v>
          </cell>
          <cell r="D44">
            <v>-0.23591836734693883</v>
          </cell>
          <cell r="Q44">
            <v>0.25</v>
          </cell>
          <cell r="R44">
            <v>-0.25</v>
          </cell>
          <cell r="AF44" t="str">
            <v>Bin10</v>
          </cell>
          <cell r="AG44" t="str">
            <v>Rolling Monthly Return</v>
          </cell>
          <cell r="AH44" t="str">
            <v>Rolling Monthly Return</v>
          </cell>
          <cell r="AI44" t="str">
            <v>Date</v>
          </cell>
        </row>
        <row r="45">
          <cell r="A45">
            <v>37372</v>
          </cell>
          <cell r="B45">
            <v>8.09</v>
          </cell>
          <cell r="C45">
            <v>-0.13568376068376065</v>
          </cell>
          <cell r="D45">
            <v>-0.32016806722689084</v>
          </cell>
          <cell r="Q45">
            <v>0.25</v>
          </cell>
          <cell r="R45">
            <v>-0.25</v>
          </cell>
          <cell r="AG45" t="str">
            <v>&gt;0.15</v>
          </cell>
          <cell r="AH45" t="str">
            <v>&lt;=0.2</v>
          </cell>
          <cell r="AI45" t="str">
            <v>&gt;=37330</v>
          </cell>
        </row>
        <row r="46">
          <cell r="A46">
            <v>37379</v>
          </cell>
          <cell r="B46">
            <v>8.23</v>
          </cell>
          <cell r="C46">
            <v>1.7305315203955507E-2</v>
          </cell>
          <cell r="D46">
            <v>-0.17535070140280562</v>
          </cell>
          <cell r="Q46">
            <v>0.25</v>
          </cell>
          <cell r="R46">
            <v>-0.25</v>
          </cell>
        </row>
        <row r="47">
          <cell r="A47">
            <v>37386</v>
          </cell>
          <cell r="B47">
            <v>7.51</v>
          </cell>
          <cell r="C47">
            <v>-8.7484811664641615E-2</v>
          </cell>
          <cell r="D47">
            <v>-0.26588465298142727</v>
          </cell>
          <cell r="Q47">
            <v>0.25</v>
          </cell>
          <cell r="R47">
            <v>-0.25</v>
          </cell>
          <cell r="AF47" t="str">
            <v>Bin11</v>
          </cell>
          <cell r="AG47" t="str">
            <v>Rolling Monthly Return</v>
          </cell>
          <cell r="AH47" t="str">
            <v>Rolling Monthly Return</v>
          </cell>
          <cell r="AI47" t="str">
            <v>Date</v>
          </cell>
        </row>
        <row r="48">
          <cell r="A48">
            <v>37393</v>
          </cell>
          <cell r="B48">
            <v>8.01</v>
          </cell>
          <cell r="C48">
            <v>6.6577896138481973E-2</v>
          </cell>
          <cell r="D48">
            <v>-0.14423076923076916</v>
          </cell>
          <cell r="Q48">
            <v>0.25</v>
          </cell>
          <cell r="R48">
            <v>-0.25</v>
          </cell>
          <cell r="Y48" t="str">
            <v>Monthly Return Probability Chart Data</v>
          </cell>
          <cell r="AG48" t="str">
            <v>&gt;0.2</v>
          </cell>
          <cell r="AH48" t="str">
            <v>&lt;0.25</v>
          </cell>
          <cell r="AI48" t="str">
            <v>&gt;=37330</v>
          </cell>
        </row>
        <row r="49">
          <cell r="A49">
            <v>37400</v>
          </cell>
          <cell r="B49">
            <v>7.71</v>
          </cell>
          <cell r="C49">
            <v>-3.7453183520599231E-2</v>
          </cell>
          <cell r="D49">
            <v>-4.6971569839307725E-2</v>
          </cell>
          <cell r="Q49">
            <v>0.25</v>
          </cell>
          <cell r="R49">
            <v>-0.25</v>
          </cell>
          <cell r="Y49" t="str">
            <v>Monthly Return Mean</v>
          </cell>
          <cell r="Z49">
            <v>4.0366391935622329E-3</v>
          </cell>
        </row>
        <row r="50">
          <cell r="A50">
            <v>37407</v>
          </cell>
          <cell r="B50">
            <v>7.3490000000000002</v>
          </cell>
          <cell r="C50">
            <v>-4.6822308690012915E-2</v>
          </cell>
          <cell r="D50">
            <v>-0.10704738760631838</v>
          </cell>
          <cell r="Q50">
            <v>0.25</v>
          </cell>
          <cell r="R50">
            <v>-0.25</v>
          </cell>
          <cell r="Y50" t="str">
            <v>Monthly Return Standard Deviation</v>
          </cell>
          <cell r="Z50">
            <v>0.1861021885776564</v>
          </cell>
          <cell r="AF50" t="str">
            <v>Bin12</v>
          </cell>
          <cell r="AG50" t="str">
            <v>Rolling Monthly Return</v>
          </cell>
          <cell r="AH50" t="str">
            <v>Date</v>
          </cell>
        </row>
        <row r="51">
          <cell r="A51">
            <v>37414</v>
          </cell>
          <cell r="B51">
            <v>6.3</v>
          </cell>
          <cell r="C51">
            <v>-0.14274050891277734</v>
          </cell>
          <cell r="D51">
            <v>-0.16111850865512645</v>
          </cell>
          <cell r="Q51">
            <v>0.25</v>
          </cell>
          <cell r="R51">
            <v>-0.25</v>
          </cell>
          <cell r="Y51" t="str">
            <v>Number of Standard Deviations to be Charted:</v>
          </cell>
          <cell r="Z51">
            <v>5</v>
          </cell>
          <cell r="AG51" t="str">
            <v>&gt;=0.25</v>
          </cell>
          <cell r="AH51" t="str">
            <v>&gt;=37330</v>
          </cell>
        </row>
        <row r="52">
          <cell r="A52">
            <v>37421</v>
          </cell>
          <cell r="B52">
            <v>6.64</v>
          </cell>
          <cell r="C52">
            <v>5.3968253968253999E-2</v>
          </cell>
          <cell r="D52">
            <v>-0.17103620474406989</v>
          </cell>
          <cell r="Q52">
            <v>0.25</v>
          </cell>
          <cell r="R52">
            <v>-0.25</v>
          </cell>
          <cell r="Y52" t="str">
            <v>Legend: Normal Curve</v>
          </cell>
          <cell r="Z52" t="str">
            <v>Normal Curve</v>
          </cell>
        </row>
        <row r="53">
          <cell r="A53">
            <v>37428</v>
          </cell>
          <cell r="B53">
            <v>6.899</v>
          </cell>
          <cell r="C53">
            <v>3.900602409638565E-2</v>
          </cell>
          <cell r="D53">
            <v>-0.10518806744487674</v>
          </cell>
          <cell r="Q53">
            <v>0.25</v>
          </cell>
          <cell r="R53">
            <v>-0.25</v>
          </cell>
          <cell r="Y53" t="str">
            <v>Legend: Volatile Region</v>
          </cell>
          <cell r="Z53" t="str">
            <v>Volatile Return Area</v>
          </cell>
        </row>
        <row r="54">
          <cell r="A54">
            <v>37435</v>
          </cell>
          <cell r="B54">
            <v>7.27</v>
          </cell>
          <cell r="C54">
            <v>5.3775909552108869E-2</v>
          </cell>
          <cell r="D54">
            <v>-1.074976187236365E-2</v>
          </cell>
          <cell r="Q54">
            <v>0.25</v>
          </cell>
          <cell r="R54">
            <v>-0.25</v>
          </cell>
          <cell r="Y54" t="str">
            <v>Chart Title:</v>
          </cell>
          <cell r="Z54" t="str">
            <v>Monthly Return Probability</v>
          </cell>
        </row>
        <row r="55">
          <cell r="A55">
            <v>37442</v>
          </cell>
          <cell r="B55">
            <v>6.24</v>
          </cell>
          <cell r="C55">
            <v>-0.14167812929848689</v>
          </cell>
          <cell r="D55">
            <v>-9.52380952380949E-3</v>
          </cell>
          <cell r="Q55">
            <v>0.25</v>
          </cell>
          <cell r="R55">
            <v>-0.25</v>
          </cell>
          <cell r="Y55" t="str">
            <v>Chart Value Axis Title:</v>
          </cell>
          <cell r="Z55" t="str">
            <v>Prob of Volatile Monthly Return ± 25% = 17.93%</v>
          </cell>
        </row>
        <row r="56">
          <cell r="A56">
            <v>37449</v>
          </cell>
          <cell r="B56">
            <v>5.98</v>
          </cell>
          <cell r="C56">
            <v>-4.166666666666663E-2</v>
          </cell>
          <cell r="D56">
            <v>-9.9397590361445687E-2</v>
          </cell>
          <cell r="Q56">
            <v>0.25</v>
          </cell>
          <cell r="R56">
            <v>-0.25</v>
          </cell>
        </row>
        <row r="57">
          <cell r="A57">
            <v>37456</v>
          </cell>
          <cell r="B57">
            <v>5.82</v>
          </cell>
          <cell r="C57">
            <v>-2.6755852842809347E-2</v>
          </cell>
          <cell r="D57">
            <v>-0.15639947818524425</v>
          </cell>
          <cell r="Q57">
            <v>0.25</v>
          </cell>
          <cell r="R57">
            <v>-0.25</v>
          </cell>
          <cell r="Z57" t="str">
            <v>X Axis</v>
          </cell>
          <cell r="AA57" t="str">
            <v>Normal Curve</v>
          </cell>
          <cell r="AB57" t="str">
            <v>Volatile Area</v>
          </cell>
        </row>
        <row r="58">
          <cell r="A58">
            <v>37463</v>
          </cell>
          <cell r="B58">
            <v>5.75</v>
          </cell>
          <cell r="C58">
            <v>-1.2027491408934776E-2</v>
          </cell>
          <cell r="D58">
            <v>-0.2090784044016506</v>
          </cell>
          <cell r="Q58">
            <v>0.25</v>
          </cell>
          <cell r="R58">
            <v>-0.25</v>
          </cell>
          <cell r="Z58">
            <v>-0.92647430369471973</v>
          </cell>
          <cell r="AA58">
            <v>7.9887266565590371E-6</v>
          </cell>
          <cell r="AB58">
            <v>7.9887266565590371E-6</v>
          </cell>
        </row>
        <row r="59">
          <cell r="A59">
            <v>37470</v>
          </cell>
          <cell r="B59">
            <v>5.85</v>
          </cell>
          <cell r="C59">
            <v>1.7391304347825987E-2</v>
          </cell>
          <cell r="D59">
            <v>-6.2500000000000111E-2</v>
          </cell>
          <cell r="Q59">
            <v>0.25</v>
          </cell>
          <cell r="R59">
            <v>-0.25</v>
          </cell>
          <cell r="Z59">
            <v>-0.90786408483695413</v>
          </cell>
          <cell r="AA59">
            <v>1.310549201239313E-5</v>
          </cell>
          <cell r="AB59">
            <v>1.310549201239313E-5</v>
          </cell>
        </row>
        <row r="60">
          <cell r="A60">
            <v>37477</v>
          </cell>
          <cell r="B60">
            <v>6.18</v>
          </cell>
          <cell r="C60">
            <v>5.6410256410256432E-2</v>
          </cell>
          <cell r="D60">
            <v>3.3444816053511683E-2</v>
          </cell>
          <cell r="Q60">
            <v>0.25</v>
          </cell>
          <cell r="R60">
            <v>-0.25</v>
          </cell>
          <cell r="Z60">
            <v>-0.88925386597918854</v>
          </cell>
          <cell r="AA60">
            <v>2.1285612605136581E-5</v>
          </cell>
          <cell r="AB60">
            <v>2.1285612605136581E-5</v>
          </cell>
        </row>
        <row r="61">
          <cell r="A61">
            <v>37484</v>
          </cell>
          <cell r="B61">
            <v>6.67</v>
          </cell>
          <cell r="C61">
            <v>7.928802588996775E-2</v>
          </cell>
          <cell r="D61">
            <v>0.14604810996563566</v>
          </cell>
          <cell r="Q61">
            <v>0.25</v>
          </cell>
          <cell r="R61">
            <v>-0.25</v>
          </cell>
          <cell r="Z61">
            <v>-0.87064364712142295</v>
          </cell>
          <cell r="AA61">
            <v>3.4227567271241892E-5</v>
          </cell>
          <cell r="AB61">
            <v>3.4227567271241892E-5</v>
          </cell>
        </row>
        <row r="62">
          <cell r="A62">
            <v>37491</v>
          </cell>
          <cell r="B62">
            <v>6.62</v>
          </cell>
          <cell r="C62">
            <v>-7.496251874062887E-3</v>
          </cell>
          <cell r="D62">
            <v>0.15130434782608693</v>
          </cell>
          <cell r="Q62">
            <v>0.25</v>
          </cell>
          <cell r="R62">
            <v>-0.25</v>
          </cell>
          <cell r="Z62">
            <v>-0.85203342826365736</v>
          </cell>
          <cell r="AA62">
            <v>5.4490772746904837E-5</v>
          </cell>
          <cell r="AB62">
            <v>5.4490772746904837E-5</v>
          </cell>
        </row>
        <row r="63">
          <cell r="A63">
            <v>37498</v>
          </cell>
          <cell r="B63">
            <v>6.12</v>
          </cell>
          <cell r="C63">
            <v>-7.5528700906344448E-2</v>
          </cell>
          <cell r="D63">
            <v>4.6153846153846212E-2</v>
          </cell>
          <cell r="Q63">
            <v>0.25</v>
          </cell>
          <cell r="R63">
            <v>-0.25</v>
          </cell>
          <cell r="Z63">
            <v>-0.83342320940589176</v>
          </cell>
          <cell r="AA63">
            <v>8.5886905624625419E-5</v>
          </cell>
          <cell r="AB63">
            <v>8.5886905624625419E-5</v>
          </cell>
        </row>
        <row r="64">
          <cell r="A64">
            <v>37505</v>
          </cell>
          <cell r="B64">
            <v>4.99</v>
          </cell>
          <cell r="C64">
            <v>-0.184640522875817</v>
          </cell>
          <cell r="D64">
            <v>-0.192556634304207</v>
          </cell>
          <cell r="Q64">
            <v>0.25</v>
          </cell>
          <cell r="R64">
            <v>-0.25</v>
          </cell>
          <cell r="Z64">
            <v>-0.81481299054812617</v>
          </cell>
          <cell r="AA64">
            <v>1.3402567417763304E-4</v>
          </cell>
          <cell r="AB64">
            <v>1.3402567417763304E-4</v>
          </cell>
        </row>
        <row r="65">
          <cell r="A65">
            <v>37512</v>
          </cell>
          <cell r="B65">
            <v>4.92</v>
          </cell>
          <cell r="C65">
            <v>-1.4028056112224463E-2</v>
          </cell>
          <cell r="D65">
            <v>-0.26236881559220393</v>
          </cell>
          <cell r="Q65">
            <v>0.25</v>
          </cell>
          <cell r="R65">
            <v>-0.25</v>
          </cell>
          <cell r="Z65">
            <v>-0.79620277169036058</v>
          </cell>
          <cell r="AA65">
            <v>2.0706471555549143E-4</v>
          </cell>
          <cell r="AB65">
            <v>2.0706471555549143E-4</v>
          </cell>
        </row>
        <row r="66">
          <cell r="A66">
            <v>37519</v>
          </cell>
          <cell r="B66">
            <v>4.03</v>
          </cell>
          <cell r="C66">
            <v>-0.18089430894308933</v>
          </cell>
          <cell r="D66">
            <v>-0.39123867069486407</v>
          </cell>
          <cell r="Q66">
            <v>0.25</v>
          </cell>
          <cell r="R66">
            <v>-0.25</v>
          </cell>
          <cell r="Z66">
            <v>-0.77759255283259499</v>
          </cell>
          <cell r="AA66">
            <v>3.1672420516400194E-4</v>
          </cell>
          <cell r="AB66">
            <v>3.1672420516400194E-4</v>
          </cell>
        </row>
        <row r="67">
          <cell r="A67">
            <v>37526</v>
          </cell>
          <cell r="B67">
            <v>3.85</v>
          </cell>
          <cell r="C67">
            <v>-4.4665012406947979E-2</v>
          </cell>
          <cell r="D67">
            <v>-0.37091503267973858</v>
          </cell>
          <cell r="Q67">
            <v>0.25</v>
          </cell>
          <cell r="R67">
            <v>-0.25</v>
          </cell>
          <cell r="Z67">
            <v>-0.75898233397482939</v>
          </cell>
          <cell r="AA67">
            <v>4.7963786916930948E-4</v>
          </cell>
          <cell r="AB67">
            <v>4.7963786916930948E-4</v>
          </cell>
        </row>
        <row r="68">
          <cell r="A68">
            <v>37533</v>
          </cell>
          <cell r="B68">
            <v>3.61</v>
          </cell>
          <cell r="C68">
            <v>-6.2337662337662358E-2</v>
          </cell>
          <cell r="D68">
            <v>-0.2765531062124249</v>
          </cell>
          <cell r="Q68">
            <v>0.25</v>
          </cell>
          <cell r="R68">
            <v>-0.25</v>
          </cell>
          <cell r="Z68">
            <v>-0.7403721151170638</v>
          </cell>
          <cell r="AA68">
            <v>7.1912225636744582E-4</v>
          </cell>
          <cell r="AB68">
            <v>7.1912225636744582E-4</v>
          </cell>
        </row>
        <row r="69">
          <cell r="A69">
            <v>37540</v>
          </cell>
          <cell r="B69">
            <v>3.1509999999999998</v>
          </cell>
          <cell r="C69">
            <v>-0.12714681440443221</v>
          </cell>
          <cell r="D69">
            <v>-0.35955284552845534</v>
          </cell>
          <cell r="Q69">
            <v>0.25</v>
          </cell>
          <cell r="R69">
            <v>-0.25</v>
          </cell>
          <cell r="Z69">
            <v>-0.72176189625929821</v>
          </cell>
          <cell r="AA69">
            <v>1.0674537086912109E-3</v>
          </cell>
          <cell r="AB69">
            <v>1.0674537086912109E-3</v>
          </cell>
        </row>
        <row r="70">
          <cell r="A70">
            <v>37547</v>
          </cell>
          <cell r="B70">
            <v>3.7389999999999999</v>
          </cell>
          <cell r="C70">
            <v>0.18660742621390036</v>
          </cell>
          <cell r="D70">
            <v>-7.2208436724565894E-2</v>
          </cell>
          <cell r="Q70">
            <v>0.25</v>
          </cell>
          <cell r="R70">
            <v>-0.25</v>
          </cell>
          <cell r="Z70">
            <v>-0.70315167740153262</v>
          </cell>
          <cell r="AA70">
            <v>1.5687452577680676E-3</v>
          </cell>
          <cell r="AB70">
            <v>1.5687452577680676E-3</v>
          </cell>
        </row>
        <row r="71">
          <cell r="A71">
            <v>37554</v>
          </cell>
          <cell r="B71">
            <v>4.2699999999999996</v>
          </cell>
          <cell r="C71">
            <v>0.14201658197378975</v>
          </cell>
          <cell r="D71">
            <v>0.10909090909090891</v>
          </cell>
          <cell r="Q71">
            <v>0.25</v>
          </cell>
          <cell r="R71">
            <v>-0.25</v>
          </cell>
          <cell r="Z71">
            <v>-0.68454145854376702</v>
          </cell>
          <cell r="AA71">
            <v>2.2825108817755534E-3</v>
          </cell>
          <cell r="AB71">
            <v>2.2825108817755534E-3</v>
          </cell>
        </row>
        <row r="72">
          <cell r="A72">
            <v>37561</v>
          </cell>
          <cell r="B72">
            <v>5.4</v>
          </cell>
          <cell r="C72">
            <v>0.26463700234192067</v>
          </cell>
          <cell r="D72">
            <v>0.49584487534626054</v>
          </cell>
          <cell r="Q72">
            <v>0.25</v>
          </cell>
          <cell r="R72">
            <v>-0.25</v>
          </cell>
          <cell r="Z72">
            <v>-0.66593123968600143</v>
          </cell>
          <cell r="AA72">
            <v>3.2879888989507042E-3</v>
          </cell>
          <cell r="AB72">
            <v>3.2879888989507042E-3</v>
          </cell>
        </row>
        <row r="73">
          <cell r="A73">
            <v>37568</v>
          </cell>
          <cell r="B73">
            <v>5.81</v>
          </cell>
          <cell r="C73">
            <v>7.592592592592573E-2</v>
          </cell>
          <cell r="D73">
            <v>0.84385909235163448</v>
          </cell>
          <cell r="Q73">
            <v>0.25</v>
          </cell>
          <cell r="R73">
            <v>-0.25</v>
          </cell>
          <cell r="Z73">
            <v>-0.64732102082823584</v>
          </cell>
          <cell r="AA73">
            <v>4.689266159175756E-3</v>
          </cell>
          <cell r="AB73">
            <v>4.689266159175756E-3</v>
          </cell>
        </row>
        <row r="74">
          <cell r="A74">
            <v>37575</v>
          </cell>
          <cell r="B74">
            <v>5.05</v>
          </cell>
          <cell r="C74">
            <v>-0.13080895008605853</v>
          </cell>
          <cell r="D74">
            <v>0.35062851029687092</v>
          </cell>
          <cell r="Q74">
            <v>0.25</v>
          </cell>
          <cell r="R74">
            <v>-0.25</v>
          </cell>
          <cell r="Z74">
            <v>-0.62871080197047025</v>
          </cell>
          <cell r="AA74">
            <v>6.6211965473948475E-3</v>
          </cell>
          <cell r="AB74">
            <v>6.6211965473948475E-3</v>
          </cell>
        </row>
        <row r="75">
          <cell r="A75">
            <v>37582</v>
          </cell>
          <cell r="B75">
            <v>5.4</v>
          </cell>
          <cell r="C75">
            <v>6.9306930693069368E-2</v>
          </cell>
          <cell r="D75">
            <v>0.26463700234192067</v>
          </cell>
          <cell r="Q75">
            <v>0.25</v>
          </cell>
          <cell r="R75">
            <v>-0.25</v>
          </cell>
          <cell r="Z75">
            <v>-0.61010058311270465</v>
          </cell>
          <cell r="AA75">
            <v>9.2560380520988125E-3</v>
          </cell>
          <cell r="AB75">
            <v>9.2560380520988125E-3</v>
          </cell>
        </row>
        <row r="76">
          <cell r="A76">
            <v>37589</v>
          </cell>
          <cell r="B76">
            <v>5.35</v>
          </cell>
          <cell r="C76">
            <v>-9.2592592592594114E-3</v>
          </cell>
          <cell r="D76">
            <v>-9.2592592592594114E-3</v>
          </cell>
          <cell r="Q76">
            <v>0.25</v>
          </cell>
          <cell r="R76">
            <v>-0.25</v>
          </cell>
          <cell r="Z76">
            <v>-0.59149036425493906</v>
          </cell>
          <cell r="AA76">
            <v>1.2810640324468726E-2</v>
          </cell>
          <cell r="AB76">
            <v>1.2810640324468726E-2</v>
          </cell>
        </row>
        <row r="77">
          <cell r="A77">
            <v>37596</v>
          </cell>
          <cell r="B77">
            <v>5.57</v>
          </cell>
          <cell r="C77">
            <v>4.1121495327102853E-2</v>
          </cell>
          <cell r="D77">
            <v>-4.1308089500860512E-2</v>
          </cell>
          <cell r="Q77">
            <v>0.25</v>
          </cell>
          <cell r="R77">
            <v>-0.25</v>
          </cell>
          <cell r="Z77">
            <v>-0.57288014539717347</v>
          </cell>
          <cell r="AA77">
            <v>1.7553899183924422E-2</v>
          </cell>
          <cell r="AB77">
            <v>1.7553899183924422E-2</v>
          </cell>
        </row>
        <row r="78">
          <cell r="A78">
            <v>37603</v>
          </cell>
          <cell r="B78">
            <v>4.96</v>
          </cell>
          <cell r="C78">
            <v>-0.10951526032315984</v>
          </cell>
          <cell r="D78">
            <v>-1.7821782178217838E-2</v>
          </cell>
          <cell r="Q78">
            <v>0.25</v>
          </cell>
          <cell r="R78">
            <v>-0.25</v>
          </cell>
          <cell r="Z78">
            <v>-0.55426992653940788</v>
          </cell>
          <cell r="AA78">
            <v>2.3814058533162437E-2</v>
          </cell>
          <cell r="AB78">
            <v>2.3814058533162437E-2</v>
          </cell>
        </row>
        <row r="79">
          <cell r="A79">
            <v>37610</v>
          </cell>
          <cell r="B79">
            <v>4.9800000000000004</v>
          </cell>
          <cell r="C79">
            <v>4.0322580645162365E-3</v>
          </cell>
          <cell r="D79">
            <v>-7.7777777777777724E-2</v>
          </cell>
          <cell r="Q79">
            <v>0.25</v>
          </cell>
          <cell r="R79">
            <v>-0.25</v>
          </cell>
          <cell r="Z79">
            <v>-0.53565970768164228</v>
          </cell>
          <cell r="AA79">
            <v>3.1985289723188294E-2</v>
          </cell>
          <cell r="AB79">
            <v>3.1985289723188294E-2</v>
          </cell>
        </row>
        <row r="80">
          <cell r="A80">
            <v>37617</v>
          </cell>
          <cell r="B80">
            <v>4.5999999999999996</v>
          </cell>
          <cell r="C80">
            <v>-7.6305220883534308E-2</v>
          </cell>
          <cell r="D80">
            <v>-0.14018691588785048</v>
          </cell>
          <cell r="Q80">
            <v>0.25</v>
          </cell>
          <cell r="R80">
            <v>-0.25</v>
          </cell>
          <cell r="Z80">
            <v>-0.51704948882387669</v>
          </cell>
          <cell r="AA80">
            <v>4.2532823732359802E-2</v>
          </cell>
          <cell r="AB80">
            <v>4.2532823732359802E-2</v>
          </cell>
        </row>
        <row r="81">
          <cell r="A81">
            <v>37624</v>
          </cell>
          <cell r="B81">
            <v>4.8789999999999996</v>
          </cell>
          <cell r="C81">
            <v>6.065217391304345E-2</v>
          </cell>
          <cell r="D81">
            <v>-0.12405745062836637</v>
          </cell>
          <cell r="Q81">
            <v>0.25</v>
          </cell>
          <cell r="R81">
            <v>-0.25</v>
          </cell>
          <cell r="Z81">
            <v>-0.49843926996611104</v>
          </cell>
          <cell r="AA81">
            <v>5.5995767132389213E-2</v>
          </cell>
          <cell r="AB81">
            <v>5.5995767132389213E-2</v>
          </cell>
        </row>
        <row r="82">
          <cell r="A82">
            <v>37631</v>
          </cell>
          <cell r="B82">
            <v>4.74</v>
          </cell>
          <cell r="C82">
            <v>-2.8489444558311039E-2</v>
          </cell>
          <cell r="D82">
            <v>-4.435483870967738E-2</v>
          </cell>
          <cell r="Q82">
            <v>0.25</v>
          </cell>
          <cell r="R82">
            <v>-0.25</v>
          </cell>
          <cell r="Z82">
            <v>-0.47982905110834539</v>
          </cell>
          <cell r="AA82">
            <v>7.2986617392828537E-2</v>
          </cell>
          <cell r="AB82">
            <v>7.2986617392828537E-2</v>
          </cell>
        </row>
        <row r="83">
          <cell r="A83">
            <v>37638</v>
          </cell>
          <cell r="B83">
            <v>4.95</v>
          </cell>
          <cell r="C83">
            <v>4.4303797468354444E-2</v>
          </cell>
          <cell r="D83">
            <v>-6.0240963855422436E-3</v>
          </cell>
          <cell r="Q83">
            <v>0.25</v>
          </cell>
          <cell r="R83">
            <v>-0.25</v>
          </cell>
          <cell r="Z83">
            <v>-0.46121883225057975</v>
          </cell>
          <cell r="AA83">
            <v>9.418642858277898E-2</v>
          </cell>
          <cell r="AB83">
            <v>9.418642858277898E-2</v>
          </cell>
        </row>
        <row r="84">
          <cell r="A84">
            <v>37645</v>
          </cell>
          <cell r="B84">
            <v>4.5599999999999996</v>
          </cell>
          <cell r="C84">
            <v>-7.8787878787878851E-2</v>
          </cell>
          <cell r="D84">
            <v>-8.6956521739131043E-3</v>
          </cell>
          <cell r="Q84">
            <v>0.25</v>
          </cell>
          <cell r="R84">
            <v>-0.25</v>
          </cell>
          <cell r="Z84">
            <v>-0.4426086133928141</v>
          </cell>
          <cell r="AA84">
            <v>0.1203345885720085</v>
          </cell>
          <cell r="AB84">
            <v>0.1203345885720085</v>
          </cell>
        </row>
        <row r="85">
          <cell r="A85">
            <v>37652</v>
          </cell>
          <cell r="B85">
            <v>4.3600000000000003</v>
          </cell>
          <cell r="C85">
            <v>-4.3859649122806821E-2</v>
          </cell>
          <cell r="D85">
            <v>-0.10637425701988101</v>
          </cell>
          <cell r="Q85">
            <v>0.25</v>
          </cell>
          <cell r="R85">
            <v>-0.25</v>
          </cell>
          <cell r="Z85">
            <v>-0.42399839453504845</v>
          </cell>
          <cell r="AA85">
            <v>0.15221227626659845</v>
          </cell>
          <cell r="AB85">
            <v>0.15221227626659845</v>
          </cell>
        </row>
        <row r="86">
          <cell r="A86">
            <v>37659</v>
          </cell>
          <cell r="B86">
            <v>3.83</v>
          </cell>
          <cell r="C86">
            <v>-0.12155963302752293</v>
          </cell>
          <cell r="D86">
            <v>-0.19198312236286919</v>
          </cell>
          <cell r="Q86">
            <v>0.25</v>
          </cell>
          <cell r="R86">
            <v>-0.25</v>
          </cell>
          <cell r="Z86">
            <v>-0.4053881756772828</v>
          </cell>
          <cell r="AA86">
            <v>0.19061889125193315</v>
          </cell>
          <cell r="AB86">
            <v>0.19061889125193315</v>
          </cell>
        </row>
        <row r="87">
          <cell r="A87">
            <v>37666</v>
          </cell>
          <cell r="B87">
            <v>3.8</v>
          </cell>
          <cell r="C87">
            <v>-7.8328981723237989E-3</v>
          </cell>
          <cell r="D87">
            <v>-0.23232323232323238</v>
          </cell>
          <cell r="Q87">
            <v>0.25</v>
          </cell>
          <cell r="R87">
            <v>-0.25</v>
          </cell>
          <cell r="Z87">
            <v>-0.38677795681951715</v>
          </cell>
          <cell r="AA87">
            <v>0.23634110010518933</v>
          </cell>
          <cell r="AB87">
            <v>0.23634110010518933</v>
          </cell>
        </row>
        <row r="88">
          <cell r="A88">
            <v>37673</v>
          </cell>
          <cell r="B88">
            <v>3.75</v>
          </cell>
          <cell r="C88">
            <v>-1.3157894736842035E-2</v>
          </cell>
          <cell r="D88">
            <v>-0.17763157894736836</v>
          </cell>
          <cell r="Q88">
            <v>0.25</v>
          </cell>
          <cell r="R88">
            <v>-0.25</v>
          </cell>
          <cell r="Z88">
            <v>-0.36816773796175151</v>
          </cell>
          <cell r="AA88">
            <v>0.2901146242600916</v>
          </cell>
          <cell r="AB88">
            <v>0.2901146242600916</v>
          </cell>
        </row>
        <row r="89">
          <cell r="A89">
            <v>37680</v>
          </cell>
          <cell r="B89">
            <v>3.38</v>
          </cell>
          <cell r="C89">
            <v>-9.866666666666668E-2</v>
          </cell>
          <cell r="D89">
            <v>-0.22477064220183496</v>
          </cell>
          <cell r="Q89">
            <v>0.25</v>
          </cell>
          <cell r="R89">
            <v>-0.25</v>
          </cell>
          <cell r="Z89">
            <v>-0.34955751910398586</v>
          </cell>
          <cell r="AA89">
            <v>0.35257949020462981</v>
          </cell>
          <cell r="AB89">
            <v>0.35257949020462981</v>
          </cell>
        </row>
        <row r="90">
          <cell r="A90">
            <v>37687</v>
          </cell>
          <cell r="B90">
            <v>2.93</v>
          </cell>
          <cell r="C90">
            <v>-0.13313609467455612</v>
          </cell>
          <cell r="D90">
            <v>-0.23498694516971275</v>
          </cell>
          <cell r="Q90">
            <v>0.25</v>
          </cell>
          <cell r="R90">
            <v>-0.25</v>
          </cell>
          <cell r="Z90">
            <v>-0.33094730024622021</v>
          </cell>
          <cell r="AA90">
            <v>0.42423014422503291</v>
          </cell>
          <cell r="AB90">
            <v>0.42423014422503291</v>
          </cell>
        </row>
        <row r="91">
          <cell r="A91">
            <v>37694</v>
          </cell>
          <cell r="B91">
            <v>3.31</v>
          </cell>
          <cell r="C91">
            <v>0.12969283276450505</v>
          </cell>
          <cell r="D91">
            <v>-0.12894736842105259</v>
          </cell>
          <cell r="Q91">
            <v>0.25</v>
          </cell>
          <cell r="R91">
            <v>-0.25</v>
          </cell>
          <cell r="Z91">
            <v>-0.31233708138845456</v>
          </cell>
          <cell r="AA91">
            <v>0.50536255428098575</v>
          </cell>
          <cell r="AB91">
            <v>0.50536255428098575</v>
          </cell>
        </row>
        <row r="92">
          <cell r="A92">
            <v>37701</v>
          </cell>
          <cell r="B92">
            <v>3.08</v>
          </cell>
          <cell r="C92">
            <v>-6.9486404833836835E-2</v>
          </cell>
          <cell r="D92">
            <v>-0.17866666666666664</v>
          </cell>
          <cell r="Q92">
            <v>0.25</v>
          </cell>
          <cell r="R92">
            <v>-0.25</v>
          </cell>
          <cell r="Z92">
            <v>-0.29372686253068891</v>
          </cell>
          <cell r="AA92">
            <v>0.59602111897340659</v>
          </cell>
          <cell r="AB92">
            <v>0.59602111897340659</v>
          </cell>
        </row>
        <row r="93">
          <cell r="A93">
            <v>37708</v>
          </cell>
          <cell r="B93">
            <v>3</v>
          </cell>
          <cell r="C93">
            <v>-2.5974025974025983E-2</v>
          </cell>
          <cell r="D93">
            <v>-0.1124260355029586</v>
          </cell>
          <cell r="Q93">
            <v>0.25</v>
          </cell>
          <cell r="R93">
            <v>-0.25</v>
          </cell>
          <cell r="Z93">
            <v>-0.27511664367292327</v>
          </cell>
          <cell r="AA93">
            <v>0.69594880455608343</v>
          </cell>
          <cell r="AB93">
            <v>0.69594880455608343</v>
          </cell>
        </row>
        <row r="94">
          <cell r="A94">
            <v>37715</v>
          </cell>
          <cell r="B94">
            <v>3.14</v>
          </cell>
          <cell r="C94">
            <v>4.6666666666666634E-2</v>
          </cell>
          <cell r="D94">
            <v>7.1672354948805417E-2</v>
          </cell>
          <cell r="Q94">
            <v>0.25</v>
          </cell>
          <cell r="R94">
            <v>-0.25</v>
          </cell>
          <cell r="Z94">
            <v>-0.25650642481515762</v>
          </cell>
          <cell r="AA94">
            <v>0.80454435694755855</v>
          </cell>
          <cell r="AB94">
            <v>0.80454435694755855</v>
          </cell>
        </row>
        <row r="95">
          <cell r="A95">
            <v>37722</v>
          </cell>
          <cell r="B95">
            <v>2.67</v>
          </cell>
          <cell r="C95">
            <v>-0.14968152866242046</v>
          </cell>
          <cell r="D95">
            <v>-0.19335347432024175</v>
          </cell>
          <cell r="Q95">
            <v>0.25</v>
          </cell>
          <cell r="R95">
            <v>-0.25</v>
          </cell>
          <cell r="Z95">
            <v>-0.23789620595739197</v>
          </cell>
          <cell r="AA95">
            <v>0.92083061116875531</v>
          </cell>
          <cell r="AB95" t="str">
            <v/>
          </cell>
        </row>
        <row r="96">
          <cell r="A96">
            <v>37729</v>
          </cell>
          <cell r="B96">
            <v>2.72</v>
          </cell>
          <cell r="C96">
            <v>1.8726591760299671E-2</v>
          </cell>
          <cell r="D96">
            <v>-0.11688311688311681</v>
          </cell>
          <cell r="Q96">
            <v>0.25</v>
          </cell>
          <cell r="R96">
            <v>-0.25</v>
          </cell>
          <cell r="Z96">
            <v>-0.21928598709962632</v>
          </cell>
          <cell r="AA96">
            <v>1.0434377825824559</v>
          </cell>
          <cell r="AB96" t="str">
            <v/>
          </cell>
        </row>
        <row r="97">
          <cell r="A97">
            <v>37736</v>
          </cell>
          <cell r="B97">
            <v>3.2</v>
          </cell>
          <cell r="C97">
            <v>0.17647058823529416</v>
          </cell>
          <cell r="D97">
            <v>6.6666666666666652E-2</v>
          </cell>
          <cell r="Q97">
            <v>0.25</v>
          </cell>
          <cell r="R97">
            <v>-0.25</v>
          </cell>
          <cell r="Z97">
            <v>-0.20067576824186067</v>
          </cell>
          <cell r="AA97">
            <v>1.1706051320382211</v>
          </cell>
          <cell r="AB97" t="str">
            <v/>
          </cell>
        </row>
        <row r="98">
          <cell r="A98">
            <v>37743</v>
          </cell>
          <cell r="B98">
            <v>3.6</v>
          </cell>
          <cell r="C98">
            <v>0.125</v>
          </cell>
          <cell r="D98">
            <v>0.14649681528662417</v>
          </cell>
          <cell r="Q98">
            <v>0.25</v>
          </cell>
          <cell r="R98">
            <v>-0.25</v>
          </cell>
          <cell r="Z98">
            <v>-0.18206554938409503</v>
          </cell>
          <cell r="AA98">
            <v>1.3002035406916943</v>
          </cell>
          <cell r="AB98" t="str">
            <v/>
          </cell>
        </row>
        <row r="99">
          <cell r="A99">
            <v>37750</v>
          </cell>
          <cell r="B99">
            <v>3.44</v>
          </cell>
          <cell r="C99">
            <v>-4.4444444444444509E-2</v>
          </cell>
          <cell r="D99">
            <v>0.28838951310861427</v>
          </cell>
          <cell r="Q99">
            <v>0.25</v>
          </cell>
          <cell r="R99">
            <v>-0.25</v>
          </cell>
          <cell r="Z99">
            <v>-0.16345533052632938</v>
          </cell>
          <cell r="AA99">
            <v>1.4297803369879347</v>
          </cell>
          <cell r="AB99" t="str">
            <v/>
          </cell>
        </row>
        <row r="100">
          <cell r="A100">
            <v>37757</v>
          </cell>
          <cell r="B100">
            <v>3.96</v>
          </cell>
          <cell r="C100">
            <v>0.15116279069767447</v>
          </cell>
          <cell r="D100">
            <v>0.45588235294117641</v>
          </cell>
          <cell r="Q100">
            <v>0.25</v>
          </cell>
          <cell r="R100">
            <v>-0.25</v>
          </cell>
          <cell r="Z100">
            <v>-0.14484511166856373</v>
          </cell>
          <cell r="AA100">
            <v>1.556626254508553</v>
          </cell>
          <cell r="AB100" t="str">
            <v/>
          </cell>
        </row>
        <row r="101">
          <cell r="A101">
            <v>37764</v>
          </cell>
          <cell r="B101">
            <v>4.5999999999999996</v>
          </cell>
          <cell r="C101">
            <v>0.16161616161616155</v>
          </cell>
          <cell r="D101">
            <v>0.43749999999999978</v>
          </cell>
          <cell r="Q101">
            <v>0.25</v>
          </cell>
          <cell r="R101">
            <v>-0.25</v>
          </cell>
          <cell r="Z101">
            <v>-0.12623489281079808</v>
          </cell>
          <cell r="AA101">
            <v>1.6778627685856768</v>
          </cell>
          <cell r="AB101" t="str">
            <v/>
          </cell>
        </row>
        <row r="102">
          <cell r="A102">
            <v>37771</v>
          </cell>
          <cell r="B102">
            <v>5.0199999999999996</v>
          </cell>
          <cell r="C102">
            <v>9.1304347826086873E-2</v>
          </cell>
          <cell r="D102">
            <v>0.39444444444444438</v>
          </cell>
          <cell r="Q102">
            <v>0.25</v>
          </cell>
          <cell r="R102">
            <v>-0.25</v>
          </cell>
          <cell r="Z102">
            <v>-0.10762467395303243</v>
          </cell>
          <cell r="AA102">
            <v>1.790546395174452</v>
          </cell>
          <cell r="AB102" t="str">
            <v/>
          </cell>
        </row>
        <row r="103">
          <cell r="A103">
            <v>37778</v>
          </cell>
          <cell r="B103">
            <v>5.89</v>
          </cell>
          <cell r="C103">
            <v>0.1733067729083666</v>
          </cell>
          <cell r="D103">
            <v>0.71220930232558133</v>
          </cell>
          <cell r="Q103">
            <v>0.25</v>
          </cell>
          <cell r="R103">
            <v>-0.25</v>
          </cell>
          <cell r="Z103">
            <v>-8.9014455095266787E-2</v>
          </cell>
          <cell r="AA103">
            <v>1.8917849889626068</v>
          </cell>
          <cell r="AB103" t="str">
            <v/>
          </cell>
        </row>
        <row r="104">
          <cell r="A104">
            <v>37785</v>
          </cell>
          <cell r="B104">
            <v>5.7</v>
          </cell>
          <cell r="C104">
            <v>-3.2258064516129004E-2</v>
          </cell>
          <cell r="D104">
            <v>0.43939393939393945</v>
          </cell>
          <cell r="Q104">
            <v>0.25</v>
          </cell>
          <cell r="R104">
            <v>-0.25</v>
          </cell>
          <cell r="Z104">
            <v>-7.0404236237501139E-2</v>
          </cell>
          <cell r="AA104">
            <v>1.9788598034119922</v>
          </cell>
          <cell r="AB104" t="str">
            <v/>
          </cell>
        </row>
        <row r="105">
          <cell r="A105">
            <v>37792</v>
          </cell>
          <cell r="B105">
            <v>4.7300000000000004</v>
          </cell>
          <cell r="C105">
            <v>-0.1701754385964912</v>
          </cell>
          <cell r="D105">
            <v>2.8260869565217561E-2</v>
          </cell>
          <cell r="Q105">
            <v>0.25</v>
          </cell>
          <cell r="R105">
            <v>-0.25</v>
          </cell>
          <cell r="Z105">
            <v>-5.1794017379735498E-2</v>
          </cell>
          <cell r="AA105">
            <v>2.0493462133648079</v>
          </cell>
          <cell r="AB105" t="str">
            <v/>
          </cell>
        </row>
        <row r="106">
          <cell r="A106">
            <v>37799</v>
          </cell>
          <cell r="B106">
            <v>4.7300000000000004</v>
          </cell>
          <cell r="C106">
            <v>0</v>
          </cell>
          <cell r="D106">
            <v>-5.7768924302788682E-2</v>
          </cell>
          <cell r="Q106">
            <v>0.25</v>
          </cell>
          <cell r="R106">
            <v>-0.25</v>
          </cell>
          <cell r="Z106">
            <v>-3.3183798521969857E-2</v>
          </cell>
          <cell r="AA106">
            <v>2.101225659752421</v>
          </cell>
          <cell r="AB106" t="str">
            <v/>
          </cell>
        </row>
        <row r="107">
          <cell r="A107">
            <v>37806</v>
          </cell>
          <cell r="B107">
            <v>5.24</v>
          </cell>
          <cell r="C107">
            <v>0.10782241014799143</v>
          </cell>
          <cell r="D107">
            <v>-0.11035653650254662</v>
          </cell>
          <cell r="Q107">
            <v>0.25</v>
          </cell>
          <cell r="R107">
            <v>-0.25</v>
          </cell>
          <cell r="Z107">
            <v>-1.4573579664204216E-2</v>
          </cell>
          <cell r="AA107">
            <v>2.1329816189204669</v>
          </cell>
          <cell r="AB107" t="str">
            <v/>
          </cell>
        </row>
        <row r="108">
          <cell r="A108">
            <v>37813</v>
          </cell>
          <cell r="B108">
            <v>6.05</v>
          </cell>
          <cell r="C108">
            <v>0.15458015267175562</v>
          </cell>
          <cell r="D108">
            <v>6.1403508771929793E-2</v>
          </cell>
          <cell r="Q108">
            <v>0.25</v>
          </cell>
          <cell r="R108">
            <v>-0.25</v>
          </cell>
          <cell r="Z108">
            <v>4.0366391935614254E-3</v>
          </cell>
          <cell r="AA108">
            <v>2.143673233778026</v>
          </cell>
          <cell r="AB108" t="str">
            <v/>
          </cell>
        </row>
        <row r="109">
          <cell r="A109">
            <v>37820</v>
          </cell>
          <cell r="B109">
            <v>5.95</v>
          </cell>
          <cell r="C109">
            <v>-1.6528925619834656E-2</v>
          </cell>
          <cell r="D109">
            <v>0.25792811839323471</v>
          </cell>
          <cell r="Q109">
            <v>0.25</v>
          </cell>
          <cell r="R109">
            <v>-0.25</v>
          </cell>
          <cell r="Z109">
            <v>2.2646858051327066E-2</v>
          </cell>
          <cell r="AA109">
            <v>2.1329816189204687</v>
          </cell>
          <cell r="AB109" t="str">
            <v/>
          </cell>
        </row>
        <row r="110">
          <cell r="A110">
            <v>37827</v>
          </cell>
          <cell r="B110">
            <v>5.54</v>
          </cell>
          <cell r="C110">
            <v>-6.8907563025210061E-2</v>
          </cell>
          <cell r="D110">
            <v>0.17124735729386886</v>
          </cell>
          <cell r="Q110">
            <v>0.25</v>
          </cell>
          <cell r="R110">
            <v>-0.25</v>
          </cell>
          <cell r="Z110">
            <v>4.1257076909092708E-2</v>
          </cell>
          <cell r="AA110">
            <v>2.1012256597524246</v>
          </cell>
          <cell r="AB110" t="str">
            <v/>
          </cell>
        </row>
        <row r="111">
          <cell r="A111">
            <v>37834</v>
          </cell>
          <cell r="B111">
            <v>4.97</v>
          </cell>
          <cell r="C111">
            <v>-0.1028880866425993</v>
          </cell>
          <cell r="D111">
            <v>-5.1526717557252022E-2</v>
          </cell>
          <cell r="Q111">
            <v>0.25</v>
          </cell>
          <cell r="R111">
            <v>-0.25</v>
          </cell>
          <cell r="Z111">
            <v>5.9867295766858349E-2</v>
          </cell>
          <cell r="AA111">
            <v>2.0493462133648137</v>
          </cell>
          <cell r="AB111" t="str">
            <v/>
          </cell>
        </row>
        <row r="112">
          <cell r="A112">
            <v>37841</v>
          </cell>
          <cell r="B112">
            <v>3.89</v>
          </cell>
          <cell r="C112">
            <v>-0.21730382293762573</v>
          </cell>
          <cell r="D112">
            <v>-0.35702479338842974</v>
          </cell>
          <cell r="Q112">
            <v>0.25</v>
          </cell>
          <cell r="R112">
            <v>-0.25</v>
          </cell>
          <cell r="Z112">
            <v>7.847751462462399E-2</v>
          </cell>
          <cell r="AA112">
            <v>1.9788598034119991</v>
          </cell>
          <cell r="AB112" t="str">
            <v/>
          </cell>
        </row>
        <row r="113">
          <cell r="A113">
            <v>37848</v>
          </cell>
          <cell r="B113">
            <v>3.8</v>
          </cell>
          <cell r="C113">
            <v>-2.3136246786632508E-2</v>
          </cell>
          <cell r="D113">
            <v>-0.3613445378151261</v>
          </cell>
          <cell r="Q113">
            <v>0.25</v>
          </cell>
          <cell r="R113">
            <v>-0.25</v>
          </cell>
          <cell r="Z113">
            <v>9.7087733482389638E-2</v>
          </cell>
          <cell r="AA113">
            <v>1.891784988962615</v>
          </cell>
          <cell r="AB113" t="str">
            <v/>
          </cell>
        </row>
        <row r="114">
          <cell r="A114">
            <v>37855</v>
          </cell>
          <cell r="B114">
            <v>4.3600000000000003</v>
          </cell>
          <cell r="C114">
            <v>0.14736842105263182</v>
          </cell>
          <cell r="D114">
            <v>-0.21299638989169667</v>
          </cell>
          <cell r="Q114">
            <v>0.25</v>
          </cell>
          <cell r="R114">
            <v>-0.25</v>
          </cell>
          <cell r="Z114">
            <v>0.11569795234015529</v>
          </cell>
          <cell r="AA114">
            <v>1.7905463951744611</v>
          </cell>
          <cell r="AB114" t="str">
            <v/>
          </cell>
        </row>
        <row r="115">
          <cell r="A115">
            <v>37862</v>
          </cell>
          <cell r="B115">
            <v>3.96</v>
          </cell>
          <cell r="C115">
            <v>-9.1743119266055162E-2</v>
          </cell>
          <cell r="D115">
            <v>-0.20321931589537223</v>
          </cell>
          <cell r="Q115">
            <v>0.25</v>
          </cell>
          <cell r="R115">
            <v>-0.25</v>
          </cell>
          <cell r="Z115">
            <v>0.13430817119792093</v>
          </cell>
          <cell r="AA115">
            <v>1.6778627685856868</v>
          </cell>
          <cell r="AB115" t="str">
            <v/>
          </cell>
        </row>
        <row r="116">
          <cell r="A116">
            <v>37869</v>
          </cell>
          <cell r="B116">
            <v>4.0199999999999996</v>
          </cell>
          <cell r="C116">
            <v>1.5151515151515138E-2</v>
          </cell>
          <cell r="D116">
            <v>3.3419023136246562E-2</v>
          </cell>
          <cell r="Q116">
            <v>0.25</v>
          </cell>
          <cell r="R116">
            <v>-0.25</v>
          </cell>
          <cell r="Z116">
            <v>0.15291839005568658</v>
          </cell>
          <cell r="AA116">
            <v>1.5566262545085634</v>
          </cell>
          <cell r="AB116" t="str">
            <v/>
          </cell>
        </row>
        <row r="117">
          <cell r="A117">
            <v>37876</v>
          </cell>
          <cell r="B117">
            <v>5.05</v>
          </cell>
          <cell r="C117">
            <v>0.25621890547263693</v>
          </cell>
          <cell r="D117">
            <v>0.32894736842105265</v>
          </cell>
          <cell r="Q117">
            <v>0.25</v>
          </cell>
          <cell r="R117">
            <v>-0.25</v>
          </cell>
          <cell r="Z117">
            <v>0.17152860891345223</v>
          </cell>
          <cell r="AA117">
            <v>1.4297803369879456</v>
          </cell>
          <cell r="AB117" t="str">
            <v/>
          </cell>
        </row>
        <row r="118">
          <cell r="A118">
            <v>37883</v>
          </cell>
          <cell r="B118">
            <v>5.15</v>
          </cell>
          <cell r="C118">
            <v>1.980198019801982E-2</v>
          </cell>
          <cell r="D118">
            <v>0.1811926605504588</v>
          </cell>
          <cell r="Q118">
            <v>0.25</v>
          </cell>
          <cell r="R118">
            <v>-0.25</v>
          </cell>
          <cell r="Z118">
            <v>0.19013882777121788</v>
          </cell>
          <cell r="AA118">
            <v>1.3002035406917054</v>
          </cell>
          <cell r="AB118" t="str">
            <v/>
          </cell>
        </row>
        <row r="119">
          <cell r="A119">
            <v>37890</v>
          </cell>
          <cell r="B119">
            <v>4.54</v>
          </cell>
          <cell r="C119">
            <v>-0.11844660194174761</v>
          </cell>
          <cell r="D119">
            <v>0.14646464646464641</v>
          </cell>
          <cell r="Q119">
            <v>0.25</v>
          </cell>
          <cell r="R119">
            <v>-0.25</v>
          </cell>
          <cell r="Z119">
            <v>0.20874904662898353</v>
          </cell>
          <cell r="AA119">
            <v>1.1706051320382322</v>
          </cell>
          <cell r="AB119" t="str">
            <v/>
          </cell>
        </row>
        <row r="120">
          <cell r="A120">
            <v>37897</v>
          </cell>
          <cell r="B120">
            <v>4.2</v>
          </cell>
          <cell r="C120">
            <v>-7.4889867841409608E-2</v>
          </cell>
          <cell r="D120">
            <v>4.4776119402985204E-2</v>
          </cell>
          <cell r="Q120">
            <v>0.25</v>
          </cell>
          <cell r="R120">
            <v>-0.25</v>
          </cell>
          <cell r="Z120">
            <v>0.22735926548674917</v>
          </cell>
          <cell r="AA120">
            <v>1.0434377825824668</v>
          </cell>
          <cell r="AB120" t="str">
            <v/>
          </cell>
        </row>
        <row r="121">
          <cell r="A121">
            <v>37904</v>
          </cell>
          <cell r="B121">
            <v>5.01</v>
          </cell>
          <cell r="C121">
            <v>0.19285714285714284</v>
          </cell>
          <cell r="D121">
            <v>-7.9207920792079278E-3</v>
          </cell>
          <cell r="Q121">
            <v>0.25</v>
          </cell>
          <cell r="R121">
            <v>-0.25</v>
          </cell>
          <cell r="Z121">
            <v>0.24596948434451482</v>
          </cell>
          <cell r="AA121">
            <v>0.92083061116876552</v>
          </cell>
          <cell r="AB121" t="str">
            <v/>
          </cell>
        </row>
        <row r="122">
          <cell r="A122">
            <v>37911</v>
          </cell>
          <cell r="B122">
            <v>5.36</v>
          </cell>
          <cell r="C122">
            <v>6.9860279441117834E-2</v>
          </cell>
          <cell r="D122">
            <v>4.0776699029126284E-2</v>
          </cell>
          <cell r="Q122">
            <v>0.25</v>
          </cell>
          <cell r="R122">
            <v>-0.25</v>
          </cell>
          <cell r="Z122">
            <v>0.26457970320228047</v>
          </cell>
          <cell r="AA122">
            <v>0.80454435694756832</v>
          </cell>
          <cell r="AB122">
            <v>0.80454435694756832</v>
          </cell>
        </row>
        <row r="123">
          <cell r="A123">
            <v>37918</v>
          </cell>
          <cell r="B123">
            <v>5.31</v>
          </cell>
          <cell r="C123">
            <v>-9.3283582089553896E-3</v>
          </cell>
          <cell r="D123">
            <v>0.16960352422907476</v>
          </cell>
          <cell r="Q123">
            <v>0.25</v>
          </cell>
          <cell r="R123">
            <v>-0.25</v>
          </cell>
          <cell r="Z123">
            <v>0.28318992206004612</v>
          </cell>
          <cell r="AA123">
            <v>0.69594880455609265</v>
          </cell>
          <cell r="AB123">
            <v>0.69594880455609265</v>
          </cell>
        </row>
        <row r="124">
          <cell r="A124">
            <v>37925</v>
          </cell>
          <cell r="B124">
            <v>5.28</v>
          </cell>
          <cell r="C124">
            <v>-5.6497175141241307E-3</v>
          </cell>
          <cell r="D124">
            <v>0.25714285714285712</v>
          </cell>
          <cell r="Q124">
            <v>0.25</v>
          </cell>
          <cell r="R124">
            <v>-0.25</v>
          </cell>
          <cell r="Z124">
            <v>0.30180014091781177</v>
          </cell>
          <cell r="AA124">
            <v>0.59602111897341492</v>
          </cell>
          <cell r="AB124">
            <v>0.59602111897341492</v>
          </cell>
        </row>
        <row r="125">
          <cell r="A125">
            <v>37932</v>
          </cell>
          <cell r="B125">
            <v>6</v>
          </cell>
          <cell r="C125">
            <v>0.13636363636363624</v>
          </cell>
          <cell r="D125">
            <v>0.19760479041916179</v>
          </cell>
          <cell r="Q125">
            <v>0.25</v>
          </cell>
          <cell r="R125">
            <v>-0.25</v>
          </cell>
          <cell r="Z125">
            <v>0.32041035977557741</v>
          </cell>
          <cell r="AA125">
            <v>0.50536255428099319</v>
          </cell>
          <cell r="AB125">
            <v>0.50536255428099319</v>
          </cell>
        </row>
        <row r="126">
          <cell r="A126">
            <v>37939</v>
          </cell>
          <cell r="B126">
            <v>5.36</v>
          </cell>
          <cell r="C126">
            <v>-0.10666666666666658</v>
          </cell>
          <cell r="D126">
            <v>0</v>
          </cell>
          <cell r="Q126">
            <v>0.25</v>
          </cell>
          <cell r="R126">
            <v>-0.25</v>
          </cell>
          <cell r="Z126">
            <v>0.33902057863334306</v>
          </cell>
          <cell r="AA126">
            <v>0.42423014422503946</v>
          </cell>
          <cell r="AB126">
            <v>0.42423014422503946</v>
          </cell>
        </row>
        <row r="127">
          <cell r="A127">
            <v>37946</v>
          </cell>
          <cell r="B127">
            <v>5.18</v>
          </cell>
          <cell r="C127">
            <v>-3.3582089552238958E-2</v>
          </cell>
          <cell r="D127">
            <v>-2.4482109227871973E-2</v>
          </cell>
          <cell r="Q127">
            <v>0.25</v>
          </cell>
          <cell r="R127">
            <v>-0.25</v>
          </cell>
          <cell r="Z127">
            <v>0.35763079749110871</v>
          </cell>
          <cell r="AA127">
            <v>0.35257949020463553</v>
          </cell>
          <cell r="AB127">
            <v>0.35257949020463553</v>
          </cell>
        </row>
        <row r="128">
          <cell r="A128">
            <v>37953</v>
          </cell>
          <cell r="B128">
            <v>6.05</v>
          </cell>
          <cell r="C128">
            <v>0.16795366795366795</v>
          </cell>
          <cell r="D128">
            <v>0.14583333333333326</v>
          </cell>
          <cell r="Q128">
            <v>0.25</v>
          </cell>
          <cell r="R128">
            <v>-0.25</v>
          </cell>
          <cell r="Z128">
            <v>0.37624101634887436</v>
          </cell>
          <cell r="AA128">
            <v>0.2901146242600966</v>
          </cell>
          <cell r="AB128">
            <v>0.2901146242600966</v>
          </cell>
        </row>
        <row r="129">
          <cell r="A129">
            <v>37960</v>
          </cell>
          <cell r="B129">
            <v>6.25</v>
          </cell>
          <cell r="C129">
            <v>3.3057851239669533E-2</v>
          </cell>
          <cell r="D129">
            <v>4.1666666666666741E-2</v>
          </cell>
          <cell r="Q129">
            <v>0.25</v>
          </cell>
          <cell r="R129">
            <v>-0.25</v>
          </cell>
          <cell r="Z129">
            <v>0.39485123520664001</v>
          </cell>
          <cell r="AA129">
            <v>0.23634110010519369</v>
          </cell>
          <cell r="AB129">
            <v>0.23634110010519369</v>
          </cell>
        </row>
        <row r="130">
          <cell r="A130">
            <v>37967</v>
          </cell>
          <cell r="B130">
            <v>6.59</v>
          </cell>
          <cell r="C130">
            <v>5.4400000000000004E-2</v>
          </cell>
          <cell r="D130">
            <v>0.22947761194029836</v>
          </cell>
          <cell r="Q130">
            <v>0.25</v>
          </cell>
          <cell r="R130">
            <v>-0.25</v>
          </cell>
          <cell r="Z130">
            <v>0.41346145406440565</v>
          </cell>
          <cell r="AA130">
            <v>0.19061889125193671</v>
          </cell>
          <cell r="AB130">
            <v>0.19061889125193671</v>
          </cell>
        </row>
        <row r="131">
          <cell r="A131">
            <v>37974</v>
          </cell>
          <cell r="B131">
            <v>6.14</v>
          </cell>
          <cell r="C131">
            <v>-6.8285280728376363E-2</v>
          </cell>
          <cell r="D131">
            <v>0.1853281853281854</v>
          </cell>
          <cell r="Q131">
            <v>0.25</v>
          </cell>
          <cell r="R131">
            <v>-0.25</v>
          </cell>
          <cell r="Z131">
            <v>0.4320716729221713</v>
          </cell>
          <cell r="AA131">
            <v>0.15221227626660142</v>
          </cell>
          <cell r="AB131">
            <v>0.15221227626660142</v>
          </cell>
        </row>
        <row r="132">
          <cell r="A132">
            <v>37981</v>
          </cell>
          <cell r="B132">
            <v>6.61</v>
          </cell>
          <cell r="C132">
            <v>7.654723127035834E-2</v>
          </cell>
          <cell r="D132">
            <v>9.2561983471074472E-2</v>
          </cell>
          <cell r="Q132">
            <v>0.25</v>
          </cell>
          <cell r="R132">
            <v>-0.25</v>
          </cell>
          <cell r="Z132">
            <v>0.45068189177993695</v>
          </cell>
          <cell r="AA132">
            <v>0.120334588572011</v>
          </cell>
          <cell r="AB132">
            <v>0.120334588572011</v>
          </cell>
        </row>
        <row r="133">
          <cell r="A133">
            <v>37988</v>
          </cell>
          <cell r="B133">
            <v>6.82</v>
          </cell>
          <cell r="C133">
            <v>3.1770045385779211E-2</v>
          </cell>
          <cell r="D133">
            <v>9.1199999999999948E-2</v>
          </cell>
          <cell r="Q133">
            <v>0.25</v>
          </cell>
          <cell r="R133">
            <v>-0.25</v>
          </cell>
          <cell r="Z133">
            <v>0.4692921106377026</v>
          </cell>
          <cell r="AA133">
            <v>9.4186428582781048E-2</v>
          </cell>
          <cell r="AB133">
            <v>9.4186428582781048E-2</v>
          </cell>
        </row>
        <row r="134">
          <cell r="A134">
            <v>37995</v>
          </cell>
          <cell r="B134">
            <v>8.58</v>
          </cell>
          <cell r="C134">
            <v>0.25806451612903225</v>
          </cell>
          <cell r="D134">
            <v>0.30197268588770876</v>
          </cell>
          <cell r="Q134">
            <v>0.25</v>
          </cell>
          <cell r="R134">
            <v>-0.25</v>
          </cell>
          <cell r="Z134">
            <v>0.48790232949546825</v>
          </cell>
          <cell r="AA134">
            <v>7.2986617392830161E-2</v>
          </cell>
          <cell r="AB134">
            <v>7.2986617392830161E-2</v>
          </cell>
        </row>
        <row r="135">
          <cell r="A135">
            <v>38002</v>
          </cell>
          <cell r="B135">
            <v>9.39</v>
          </cell>
          <cell r="C135">
            <v>9.4405594405594373E-2</v>
          </cell>
          <cell r="D135">
            <v>0.52931596091205235</v>
          </cell>
          <cell r="Q135">
            <v>0.25</v>
          </cell>
          <cell r="R135">
            <v>-0.25</v>
          </cell>
          <cell r="Z135">
            <v>0.50651254835323389</v>
          </cell>
          <cell r="AA135">
            <v>5.5995767132390586E-2</v>
          </cell>
          <cell r="AB135">
            <v>5.5995767132390586E-2</v>
          </cell>
        </row>
        <row r="136">
          <cell r="A136">
            <v>38009</v>
          </cell>
          <cell r="B136">
            <v>9.35</v>
          </cell>
          <cell r="C136">
            <v>-4.2598509052184097E-3</v>
          </cell>
          <cell r="D136">
            <v>0.41452344931921314</v>
          </cell>
          <cell r="Q136">
            <v>0.25</v>
          </cell>
          <cell r="R136">
            <v>-0.25</v>
          </cell>
          <cell r="Z136">
            <v>0.52512276721099949</v>
          </cell>
          <cell r="AA136">
            <v>4.2532823732360864E-2</v>
          </cell>
          <cell r="AB136">
            <v>4.2532823732360864E-2</v>
          </cell>
        </row>
        <row r="137">
          <cell r="A137">
            <v>38016</v>
          </cell>
          <cell r="B137">
            <v>8.92</v>
          </cell>
          <cell r="C137">
            <v>-4.5989304812834142E-2</v>
          </cell>
          <cell r="D137">
            <v>0.3079178885630498</v>
          </cell>
          <cell r="Q137">
            <v>0.25</v>
          </cell>
          <cell r="R137">
            <v>-0.25</v>
          </cell>
          <cell r="Z137">
            <v>0.54373298606876508</v>
          </cell>
          <cell r="AA137">
            <v>3.198528972318912E-2</v>
          </cell>
          <cell r="AB137">
            <v>3.198528972318912E-2</v>
          </cell>
        </row>
        <row r="138">
          <cell r="A138">
            <v>38023</v>
          </cell>
          <cell r="B138">
            <v>8.8699999999999992</v>
          </cell>
          <cell r="C138">
            <v>-5.6053811659193542E-3</v>
          </cell>
          <cell r="D138">
            <v>3.3799533799533599E-2</v>
          </cell>
          <cell r="Q138">
            <v>0.25</v>
          </cell>
          <cell r="R138">
            <v>-0.25</v>
          </cell>
          <cell r="Z138">
            <v>0.56234320492653067</v>
          </cell>
          <cell r="AA138">
            <v>2.3814058533163051E-2</v>
          </cell>
          <cell r="AB138">
            <v>2.3814058533163051E-2</v>
          </cell>
        </row>
        <row r="139">
          <cell r="A139">
            <v>38030</v>
          </cell>
          <cell r="B139">
            <v>8.19</v>
          </cell>
          <cell r="C139">
            <v>-7.666290868094694E-2</v>
          </cell>
          <cell r="D139">
            <v>-0.12779552715654963</v>
          </cell>
          <cell r="Q139">
            <v>0.25</v>
          </cell>
          <cell r="R139">
            <v>-0.25</v>
          </cell>
          <cell r="Z139">
            <v>0.58095342378429626</v>
          </cell>
          <cell r="AA139">
            <v>1.7553899183924922E-2</v>
          </cell>
          <cell r="AB139">
            <v>1.7553899183924922E-2</v>
          </cell>
        </row>
        <row r="140">
          <cell r="A140">
            <v>38037</v>
          </cell>
          <cell r="B140">
            <v>8.26</v>
          </cell>
          <cell r="C140">
            <v>8.5470085470085166E-3</v>
          </cell>
          <cell r="D140">
            <v>-0.11657754010695187</v>
          </cell>
          <cell r="Q140">
            <v>0.25</v>
          </cell>
          <cell r="R140">
            <v>-0.25</v>
          </cell>
          <cell r="Z140">
            <v>0.59956364264206186</v>
          </cell>
          <cell r="AA140">
            <v>1.2810640324469103E-2</v>
          </cell>
          <cell r="AB140">
            <v>1.2810640324469103E-2</v>
          </cell>
        </row>
        <row r="141">
          <cell r="A141">
            <v>38044</v>
          </cell>
          <cell r="B141">
            <v>8.64</v>
          </cell>
          <cell r="C141">
            <v>4.6004842615012143E-2</v>
          </cell>
          <cell r="D141">
            <v>-3.1390134529147962E-2</v>
          </cell>
          <cell r="Q141">
            <v>0.25</v>
          </cell>
          <cell r="R141">
            <v>-0.25</v>
          </cell>
          <cell r="Z141">
            <v>0.61817386149982745</v>
          </cell>
          <cell r="AA141">
            <v>9.2560380520990918E-3</v>
          </cell>
          <cell r="AB141">
            <v>9.2560380520990918E-3</v>
          </cell>
        </row>
        <row r="142">
          <cell r="A142">
            <v>38051</v>
          </cell>
          <cell r="B142">
            <v>9.4600000000000009</v>
          </cell>
          <cell r="C142">
            <v>9.490740740740744E-2</v>
          </cell>
          <cell r="D142">
            <v>6.6516347237880691E-2</v>
          </cell>
          <cell r="Q142">
            <v>0.25</v>
          </cell>
          <cell r="R142">
            <v>-0.25</v>
          </cell>
          <cell r="Z142">
            <v>0.63678408035759304</v>
          </cell>
          <cell r="AA142">
            <v>6.621196547395047E-3</v>
          </cell>
          <cell r="AB142">
            <v>6.621196547395047E-3</v>
          </cell>
        </row>
        <row r="143">
          <cell r="A143">
            <v>38058</v>
          </cell>
          <cell r="B143">
            <v>8.69</v>
          </cell>
          <cell r="C143">
            <v>-8.1395348837209447E-2</v>
          </cell>
          <cell r="D143">
            <v>6.1050061050061055E-2</v>
          </cell>
          <cell r="Q143">
            <v>0.25</v>
          </cell>
          <cell r="R143">
            <v>-0.25</v>
          </cell>
          <cell r="Z143">
            <v>0.65539429921535863</v>
          </cell>
          <cell r="AA143">
            <v>4.6892661591759026E-3</v>
          </cell>
          <cell r="AB143">
            <v>4.6892661591759026E-3</v>
          </cell>
        </row>
        <row r="144">
          <cell r="A144">
            <v>38065</v>
          </cell>
          <cell r="B144">
            <v>8.3699999999999992</v>
          </cell>
          <cell r="C144">
            <v>-3.6823935558112808E-2</v>
          </cell>
          <cell r="D144">
            <v>1.3317191283293006E-2</v>
          </cell>
          <cell r="Q144">
            <v>0.25</v>
          </cell>
          <cell r="R144">
            <v>-0.25</v>
          </cell>
          <cell r="Z144">
            <v>0.67400451807312423</v>
          </cell>
          <cell r="AA144">
            <v>3.2879888989508096E-3</v>
          </cell>
          <cell r="AB144">
            <v>3.2879888989508096E-3</v>
          </cell>
        </row>
        <row r="145">
          <cell r="A145">
            <v>38072</v>
          </cell>
          <cell r="B145">
            <v>7.93</v>
          </cell>
          <cell r="C145">
            <v>-5.2568697729987957E-2</v>
          </cell>
          <cell r="D145">
            <v>-8.2175925925926041E-2</v>
          </cell>
          <cell r="Q145">
            <v>0.25</v>
          </cell>
          <cell r="R145">
            <v>-0.25</v>
          </cell>
          <cell r="Z145">
            <v>0.69261473693088982</v>
          </cell>
          <cell r="AA145">
            <v>2.2825108817756288E-3</v>
          </cell>
          <cell r="AB145">
            <v>2.2825108817756288E-3</v>
          </cell>
        </row>
        <row r="146">
          <cell r="A146">
            <v>38079</v>
          </cell>
          <cell r="B146">
            <v>8.57</v>
          </cell>
          <cell r="C146">
            <v>8.070617906683486E-2</v>
          </cell>
          <cell r="D146">
            <v>-9.4080338266384844E-2</v>
          </cell>
          <cell r="Q146">
            <v>0.25</v>
          </cell>
          <cell r="R146">
            <v>-0.25</v>
          </cell>
          <cell r="Z146">
            <v>0.71122495578865541</v>
          </cell>
          <cell r="AA146">
            <v>1.5687452577681205E-3</v>
          </cell>
          <cell r="AB146">
            <v>1.5687452577681205E-3</v>
          </cell>
        </row>
        <row r="147">
          <cell r="A147">
            <v>38086</v>
          </cell>
          <cell r="B147">
            <v>8.09</v>
          </cell>
          <cell r="C147">
            <v>-5.6009334889148277E-2</v>
          </cell>
          <cell r="D147">
            <v>-6.9044879171461404E-2</v>
          </cell>
          <cell r="Q147">
            <v>0.25</v>
          </cell>
          <cell r="R147">
            <v>-0.25</v>
          </cell>
          <cell r="Z147">
            <v>0.729835174646421</v>
          </cell>
          <cell r="AA147">
            <v>1.0674537086912486E-3</v>
          </cell>
          <cell r="AB147">
            <v>1.0674537086912486E-3</v>
          </cell>
        </row>
        <row r="148">
          <cell r="A148">
            <v>38093</v>
          </cell>
          <cell r="B148">
            <v>8.0299999999999994</v>
          </cell>
          <cell r="C148">
            <v>-7.4165636588381378E-3</v>
          </cell>
          <cell r="D148">
            <v>-4.0621266427718017E-2</v>
          </cell>
          <cell r="Q148">
            <v>0.25</v>
          </cell>
          <cell r="R148">
            <v>-0.25</v>
          </cell>
          <cell r="Z148">
            <v>0.7484453935041866</v>
          </cell>
          <cell r="AA148">
            <v>7.1912225636747054E-4</v>
          </cell>
          <cell r="AB148">
            <v>7.1912225636747054E-4</v>
          </cell>
        </row>
        <row r="149">
          <cell r="A149">
            <v>38100</v>
          </cell>
          <cell r="B149">
            <v>8</v>
          </cell>
          <cell r="C149">
            <v>-3.7359900373598043E-3</v>
          </cell>
          <cell r="D149">
            <v>8.8272383354350836E-3</v>
          </cell>
          <cell r="Q149">
            <v>0.25</v>
          </cell>
          <cell r="R149">
            <v>-0.25</v>
          </cell>
          <cell r="Z149">
            <v>0.76705561236195219</v>
          </cell>
          <cell r="AA149">
            <v>4.7963786916932737E-4</v>
          </cell>
          <cell r="AB149">
            <v>4.7963786916932737E-4</v>
          </cell>
        </row>
        <row r="150">
          <cell r="A150">
            <v>38107</v>
          </cell>
          <cell r="B150">
            <v>7.95</v>
          </cell>
          <cell r="C150">
            <v>-6.2499999999999778E-3</v>
          </cell>
          <cell r="D150">
            <v>-7.2345390898483131E-2</v>
          </cell>
          <cell r="Q150">
            <v>0.25</v>
          </cell>
          <cell r="R150">
            <v>-0.25</v>
          </cell>
          <cell r="Z150">
            <v>0.78566583121971778</v>
          </cell>
          <cell r="AA150">
            <v>3.1672420516401381E-4</v>
          </cell>
          <cell r="AB150">
            <v>3.1672420516401381E-4</v>
          </cell>
        </row>
        <row r="151">
          <cell r="A151">
            <v>38114</v>
          </cell>
          <cell r="B151">
            <v>7.3</v>
          </cell>
          <cell r="C151">
            <v>-8.1761006289308269E-2</v>
          </cell>
          <cell r="D151">
            <v>-9.765142150803463E-2</v>
          </cell>
          <cell r="Q151">
            <v>0.25</v>
          </cell>
          <cell r="R151">
            <v>-0.25</v>
          </cell>
          <cell r="Z151">
            <v>0.80427605007748337</v>
          </cell>
          <cell r="AA151">
            <v>2.0706471555549918E-4</v>
          </cell>
          <cell r="AB151">
            <v>2.0706471555549918E-4</v>
          </cell>
        </row>
        <row r="152">
          <cell r="A152">
            <v>38121</v>
          </cell>
          <cell r="B152">
            <v>7.07</v>
          </cell>
          <cell r="C152">
            <v>-3.1506849315068419E-2</v>
          </cell>
          <cell r="D152">
            <v>-0.11955168119551673</v>
          </cell>
          <cell r="Q152">
            <v>0.25</v>
          </cell>
          <cell r="R152">
            <v>-0.25</v>
          </cell>
          <cell r="Z152">
            <v>0.82288626893524897</v>
          </cell>
          <cell r="AA152">
            <v>1.3402567417763851E-4</v>
          </cell>
          <cell r="AB152">
            <v>1.3402567417763851E-4</v>
          </cell>
        </row>
        <row r="153">
          <cell r="A153">
            <v>38128</v>
          </cell>
          <cell r="B153">
            <v>6.77</v>
          </cell>
          <cell r="C153">
            <v>-4.2432814710042566E-2</v>
          </cell>
          <cell r="D153">
            <v>-0.15375000000000005</v>
          </cell>
          <cell r="Q153">
            <v>0.25</v>
          </cell>
          <cell r="R153">
            <v>-0.25</v>
          </cell>
          <cell r="Z153">
            <v>0.84149648779301456</v>
          </cell>
          <cell r="AA153">
            <v>8.588690562462878E-5</v>
          </cell>
          <cell r="AB153">
            <v>8.588690562462878E-5</v>
          </cell>
        </row>
        <row r="154">
          <cell r="A154">
            <v>38135</v>
          </cell>
          <cell r="B154">
            <v>7.17</v>
          </cell>
          <cell r="C154">
            <v>5.9084194977843563E-2</v>
          </cell>
          <cell r="D154">
            <v>-9.811320754716979E-2</v>
          </cell>
          <cell r="Q154">
            <v>0.25</v>
          </cell>
          <cell r="R154">
            <v>-0.25</v>
          </cell>
          <cell r="Z154">
            <v>0.86010670665078015</v>
          </cell>
          <cell r="AA154">
            <v>5.449077274690706E-5</v>
          </cell>
          <cell r="AB154">
            <v>5.449077274690706E-5</v>
          </cell>
        </row>
        <row r="155">
          <cell r="A155">
            <v>38142</v>
          </cell>
          <cell r="B155">
            <v>7.2</v>
          </cell>
          <cell r="C155">
            <v>4.1841004184099972E-3</v>
          </cell>
          <cell r="D155">
            <v>-1.3698630136986245E-2</v>
          </cell>
          <cell r="Q155">
            <v>0.25</v>
          </cell>
          <cell r="R155">
            <v>-0.25</v>
          </cell>
          <cell r="Z155">
            <v>0.87871692550854574</v>
          </cell>
          <cell r="AA155">
            <v>3.4227567271243349E-5</v>
          </cell>
          <cell r="AB155">
            <v>3.4227567271243349E-5</v>
          </cell>
        </row>
        <row r="156">
          <cell r="A156">
            <v>38149</v>
          </cell>
          <cell r="B156">
            <v>6.93</v>
          </cell>
          <cell r="C156">
            <v>-3.7500000000000089E-2</v>
          </cell>
          <cell r="D156">
            <v>-1.9801980198019931E-2</v>
          </cell>
          <cell r="Q156">
            <v>0.25</v>
          </cell>
          <cell r="R156">
            <v>-0.25</v>
          </cell>
          <cell r="Z156">
            <v>0.89732714436631134</v>
          </cell>
          <cell r="AA156">
            <v>2.1285612605137489E-5</v>
          </cell>
          <cell r="AB156">
            <v>2.1285612605137489E-5</v>
          </cell>
        </row>
        <row r="157">
          <cell r="A157">
            <v>38156</v>
          </cell>
          <cell r="B157">
            <v>6.71</v>
          </cell>
          <cell r="C157">
            <v>-3.1746031746031744E-2</v>
          </cell>
          <cell r="D157">
            <v>-8.8626292466764678E-3</v>
          </cell>
          <cell r="Q157">
            <v>0.25</v>
          </cell>
          <cell r="R157">
            <v>-0.25</v>
          </cell>
          <cell r="Z157">
            <v>0.91593736322407693</v>
          </cell>
          <cell r="AA157">
            <v>1.3105492012393711E-5</v>
          </cell>
          <cell r="AB157">
            <v>1.3105492012393711E-5</v>
          </cell>
        </row>
        <row r="158">
          <cell r="A158">
            <v>38163</v>
          </cell>
          <cell r="B158">
            <v>7.46</v>
          </cell>
          <cell r="C158">
            <v>0.1117734724292101</v>
          </cell>
          <cell r="D158">
            <v>4.0446304044630343E-2</v>
          </cell>
          <cell r="Q158">
            <v>0.25</v>
          </cell>
          <cell r="R158">
            <v>-0.25</v>
          </cell>
          <cell r="Z158">
            <v>0.93454758208184252</v>
          </cell>
          <cell r="AA158">
            <v>7.9887266565593911E-6</v>
          </cell>
          <cell r="AB158">
            <v>7.9887266565593911E-6</v>
          </cell>
        </row>
        <row r="159">
          <cell r="A159">
            <v>38170</v>
          </cell>
          <cell r="B159">
            <v>7.62</v>
          </cell>
          <cell r="C159">
            <v>2.1447721179624679E-2</v>
          </cell>
          <cell r="D159">
            <v>5.8333333333333348E-2</v>
          </cell>
          <cell r="Q159">
            <v>0.25</v>
          </cell>
          <cell r="R159">
            <v>-0.25</v>
          </cell>
        </row>
        <row r="160">
          <cell r="A160">
            <v>38177</v>
          </cell>
          <cell r="B160">
            <v>6.8</v>
          </cell>
          <cell r="C160">
            <v>-0.10761154855643051</v>
          </cell>
          <cell r="D160">
            <v>-1.8759018759018753E-2</v>
          </cell>
          <cell r="Q160">
            <v>0.25</v>
          </cell>
          <cell r="R160">
            <v>-0.25</v>
          </cell>
        </row>
        <row r="161">
          <cell r="A161">
            <v>38184</v>
          </cell>
          <cell r="B161">
            <v>6.35</v>
          </cell>
          <cell r="C161">
            <v>-6.6176470588235281E-2</v>
          </cell>
          <cell r="D161">
            <v>-5.3651266766020944E-2</v>
          </cell>
          <cell r="Q161">
            <v>0.25</v>
          </cell>
          <cell r="R161">
            <v>-0.25</v>
          </cell>
        </row>
        <row r="162">
          <cell r="A162">
            <v>38191</v>
          </cell>
          <cell r="B162">
            <v>5.82</v>
          </cell>
          <cell r="C162">
            <v>-8.3464566929133732E-2</v>
          </cell>
          <cell r="D162">
            <v>-0.21983914209115274</v>
          </cell>
          <cell r="Q162">
            <v>0.25</v>
          </cell>
          <cell r="R162">
            <v>-0.25</v>
          </cell>
        </row>
        <row r="163">
          <cell r="A163">
            <v>38198</v>
          </cell>
          <cell r="B163">
            <v>6.13</v>
          </cell>
          <cell r="C163">
            <v>5.3264604810996596E-2</v>
          </cell>
          <cell r="D163">
            <v>-0.19553805774278221</v>
          </cell>
          <cell r="Q163">
            <v>0.25</v>
          </cell>
          <cell r="R163">
            <v>-0.25</v>
          </cell>
        </row>
        <row r="164">
          <cell r="A164">
            <v>38205</v>
          </cell>
          <cell r="B164">
            <v>5.6</v>
          </cell>
          <cell r="C164">
            <v>-8.646003262642743E-2</v>
          </cell>
          <cell r="D164">
            <v>-0.17647058823529416</v>
          </cell>
          <cell r="Q164">
            <v>0.25</v>
          </cell>
          <cell r="R164">
            <v>-0.25</v>
          </cell>
        </row>
        <row r="165">
          <cell r="A165">
            <v>38212</v>
          </cell>
          <cell r="B165">
            <v>5.49</v>
          </cell>
          <cell r="C165">
            <v>-1.9642857142857073E-2</v>
          </cell>
          <cell r="D165">
            <v>-0.13543307086614165</v>
          </cell>
          <cell r="Q165">
            <v>0.25</v>
          </cell>
          <cell r="R165">
            <v>-0.25</v>
          </cell>
        </row>
        <row r="166">
          <cell r="A166">
            <v>38219</v>
          </cell>
          <cell r="B166">
            <v>6.69</v>
          </cell>
          <cell r="C166">
            <v>0.21857923497267762</v>
          </cell>
          <cell r="D166">
            <v>0.14948453608247414</v>
          </cell>
          <cell r="Q166">
            <v>0.25</v>
          </cell>
          <cell r="R166">
            <v>-0.25</v>
          </cell>
        </row>
        <row r="167">
          <cell r="A167">
            <v>38226</v>
          </cell>
          <cell r="B167">
            <v>7.1</v>
          </cell>
          <cell r="C167">
            <v>6.1285500747384036E-2</v>
          </cell>
          <cell r="D167">
            <v>0.15823817292006526</v>
          </cell>
          <cell r="Q167">
            <v>0.25</v>
          </cell>
          <cell r="R167">
            <v>-0.25</v>
          </cell>
        </row>
        <row r="168">
          <cell r="A168">
            <v>38233</v>
          </cell>
          <cell r="B168">
            <v>7.1</v>
          </cell>
          <cell r="C168">
            <v>0</v>
          </cell>
          <cell r="D168">
            <v>0.26785714285714279</v>
          </cell>
          <cell r="Q168">
            <v>0.25</v>
          </cell>
          <cell r="R168">
            <v>-0.25</v>
          </cell>
        </row>
        <row r="169">
          <cell r="A169">
            <v>38240</v>
          </cell>
          <cell r="B169">
            <v>8.18</v>
          </cell>
          <cell r="C169">
            <v>0.15211267605633805</v>
          </cell>
          <cell r="D169">
            <v>0.48998178506375223</v>
          </cell>
          <cell r="Q169">
            <v>0.25</v>
          </cell>
          <cell r="R169">
            <v>-0.25</v>
          </cell>
        </row>
        <row r="170">
          <cell r="A170">
            <v>38247</v>
          </cell>
          <cell r="B170">
            <v>8.6300000000000008</v>
          </cell>
          <cell r="C170">
            <v>5.5012224938875365E-2</v>
          </cell>
          <cell r="D170">
            <v>0.28998505231689098</v>
          </cell>
          <cell r="Q170">
            <v>0.25</v>
          </cell>
          <cell r="R170">
            <v>-0.25</v>
          </cell>
        </row>
        <row r="171">
          <cell r="A171">
            <v>38254</v>
          </cell>
          <cell r="B171">
            <v>9.0500000000000007</v>
          </cell>
          <cell r="C171">
            <v>4.8667439165700932E-2</v>
          </cell>
          <cell r="D171">
            <v>0.27464788732394374</v>
          </cell>
          <cell r="Q171">
            <v>0.25</v>
          </cell>
          <cell r="R171">
            <v>-0.25</v>
          </cell>
        </row>
        <row r="172">
          <cell r="A172">
            <v>38261</v>
          </cell>
          <cell r="B172">
            <v>9.92</v>
          </cell>
          <cell r="C172">
            <v>9.6132596685082783E-2</v>
          </cell>
          <cell r="D172">
            <v>0.39718309859154943</v>
          </cell>
          <cell r="Q172">
            <v>0.25</v>
          </cell>
          <cell r="R172">
            <v>-0.25</v>
          </cell>
        </row>
        <row r="173">
          <cell r="A173">
            <v>38268</v>
          </cell>
          <cell r="B173">
            <v>10.29</v>
          </cell>
          <cell r="C173">
            <v>3.7298387096774022E-2</v>
          </cell>
          <cell r="D173">
            <v>0.25794621026894848</v>
          </cell>
          <cell r="Q173">
            <v>0.25</v>
          </cell>
          <cell r="R173">
            <v>-0.25</v>
          </cell>
        </row>
        <row r="174">
          <cell r="A174">
            <v>38275</v>
          </cell>
          <cell r="B174">
            <v>9.9</v>
          </cell>
          <cell r="C174">
            <v>-3.7900874635568349E-2</v>
          </cell>
          <cell r="D174">
            <v>0.1471610660486673</v>
          </cell>
          <cell r="Q174">
            <v>0.25</v>
          </cell>
          <cell r="R174">
            <v>-0.25</v>
          </cell>
        </row>
        <row r="175">
          <cell r="A175">
            <v>38282</v>
          </cell>
          <cell r="B175">
            <v>10.26</v>
          </cell>
          <cell r="C175">
            <v>3.6363636363636376E-2</v>
          </cell>
          <cell r="D175">
            <v>0.13370165745856344</v>
          </cell>
          <cell r="Q175">
            <v>0.25</v>
          </cell>
          <cell r="R175">
            <v>-0.25</v>
          </cell>
        </row>
        <row r="176">
          <cell r="A176">
            <v>38289</v>
          </cell>
          <cell r="B176">
            <v>10.4</v>
          </cell>
          <cell r="C176">
            <v>1.3645224171540127E-2</v>
          </cell>
          <cell r="D176">
            <v>4.8387096774193505E-2</v>
          </cell>
          <cell r="Q176">
            <v>0.25</v>
          </cell>
          <cell r="R176">
            <v>-0.25</v>
          </cell>
        </row>
        <row r="177">
          <cell r="A177">
            <v>38296</v>
          </cell>
          <cell r="B177">
            <v>9.59</v>
          </cell>
          <cell r="C177">
            <v>-7.7884615384615441E-2</v>
          </cell>
          <cell r="D177">
            <v>-6.8027210884353706E-2</v>
          </cell>
          <cell r="Q177">
            <v>0.25</v>
          </cell>
          <cell r="R177">
            <v>-0.25</v>
          </cell>
        </row>
        <row r="178">
          <cell r="A178">
            <v>38303</v>
          </cell>
          <cell r="B178">
            <v>10.18</v>
          </cell>
          <cell r="C178">
            <v>6.1522419186652799E-2</v>
          </cell>
          <cell r="D178">
            <v>2.8282828282828243E-2</v>
          </cell>
          <cell r="Q178">
            <v>0.25</v>
          </cell>
          <cell r="R178">
            <v>-0.25</v>
          </cell>
        </row>
        <row r="179">
          <cell r="A179">
            <v>38310</v>
          </cell>
          <cell r="B179">
            <v>10</v>
          </cell>
          <cell r="C179">
            <v>-1.7681728880157177E-2</v>
          </cell>
          <cell r="D179">
            <v>-2.5341130604288442E-2</v>
          </cell>
          <cell r="Q179">
            <v>0.25</v>
          </cell>
          <cell r="R179">
            <v>-0.25</v>
          </cell>
        </row>
        <row r="180">
          <cell r="A180">
            <v>38317</v>
          </cell>
          <cell r="B180">
            <v>10.16</v>
          </cell>
          <cell r="C180">
            <v>1.6000000000000014E-2</v>
          </cell>
          <cell r="D180">
            <v>-2.3076923076923106E-2</v>
          </cell>
          <cell r="Q180">
            <v>0.25</v>
          </cell>
          <cell r="R180">
            <v>-0.25</v>
          </cell>
        </row>
        <row r="181">
          <cell r="A181">
            <v>38324</v>
          </cell>
          <cell r="B181">
            <v>10.9</v>
          </cell>
          <cell r="C181">
            <v>7.2834645669291431E-2</v>
          </cell>
          <cell r="D181">
            <v>0.13660062565172049</v>
          </cell>
          <cell r="Q181">
            <v>0.25</v>
          </cell>
          <cell r="R181">
            <v>-0.25</v>
          </cell>
        </row>
        <row r="182">
          <cell r="A182">
            <v>38331</v>
          </cell>
          <cell r="B182">
            <v>10.27</v>
          </cell>
          <cell r="C182">
            <v>-5.779816513761471E-2</v>
          </cell>
          <cell r="D182">
            <v>8.8408644400785885E-3</v>
          </cell>
          <cell r="Q182">
            <v>0.25</v>
          </cell>
          <cell r="R182">
            <v>-0.25</v>
          </cell>
        </row>
        <row r="183">
          <cell r="A183">
            <v>38338</v>
          </cell>
          <cell r="B183">
            <v>10.29</v>
          </cell>
          <cell r="C183">
            <v>1.9474196689386325E-3</v>
          </cell>
          <cell r="D183">
            <v>2.8999999999999915E-2</v>
          </cell>
          <cell r="Q183">
            <v>0.25</v>
          </cell>
          <cell r="R183">
            <v>-0.25</v>
          </cell>
        </row>
        <row r="184">
          <cell r="A184">
            <v>38345</v>
          </cell>
          <cell r="B184">
            <v>9.8800000000000008</v>
          </cell>
          <cell r="C184">
            <v>-3.9844509232264125E-2</v>
          </cell>
          <cell r="D184">
            <v>-2.7559055118110187E-2</v>
          </cell>
          <cell r="Q184">
            <v>0.25</v>
          </cell>
          <cell r="R184">
            <v>-0.25</v>
          </cell>
        </row>
        <row r="185">
          <cell r="A185">
            <v>38352</v>
          </cell>
          <cell r="B185">
            <v>9.99</v>
          </cell>
          <cell r="C185">
            <v>1.1133603238866252E-2</v>
          </cell>
          <cell r="D185">
            <v>-8.3486238532110124E-2</v>
          </cell>
          <cell r="Q185">
            <v>0.25</v>
          </cell>
          <cell r="R185">
            <v>-0.25</v>
          </cell>
        </row>
        <row r="186">
          <cell r="A186">
            <v>38359</v>
          </cell>
          <cell r="B186">
            <v>9.11</v>
          </cell>
          <cell r="C186">
            <v>-8.8088088088088212E-2</v>
          </cell>
          <cell r="D186">
            <v>-0.11295034079844213</v>
          </cell>
          <cell r="Q186">
            <v>0.25</v>
          </cell>
          <cell r="R186">
            <v>-0.25</v>
          </cell>
        </row>
        <row r="187">
          <cell r="A187">
            <v>38366</v>
          </cell>
          <cell r="B187">
            <v>8.98</v>
          </cell>
          <cell r="C187">
            <v>-1.4270032930845167E-2</v>
          </cell>
          <cell r="D187">
            <v>-0.12730806608357614</v>
          </cell>
          <cell r="Q187">
            <v>0.25</v>
          </cell>
          <cell r="R187">
            <v>-0.25</v>
          </cell>
        </row>
        <row r="188">
          <cell r="A188">
            <v>38373</v>
          </cell>
          <cell r="B188">
            <v>8.9700000000000006</v>
          </cell>
          <cell r="C188">
            <v>-1.1135857461024301E-3</v>
          </cell>
          <cell r="D188">
            <v>-9.210526315789469E-2</v>
          </cell>
          <cell r="Q188">
            <v>0.25</v>
          </cell>
          <cell r="R188">
            <v>-0.25</v>
          </cell>
        </row>
        <row r="189">
          <cell r="A189">
            <v>38380</v>
          </cell>
          <cell r="B189">
            <v>8.8000000000000007</v>
          </cell>
          <cell r="C189">
            <v>-1.8952062430323324E-2</v>
          </cell>
          <cell r="D189">
            <v>-0.1191191191191191</v>
          </cell>
          <cell r="Q189">
            <v>0.25</v>
          </cell>
          <cell r="R189">
            <v>-0.25</v>
          </cell>
        </row>
        <row r="190">
          <cell r="A190">
            <v>38387</v>
          </cell>
          <cell r="B190">
            <v>9.39</v>
          </cell>
          <cell r="C190">
            <v>6.704545454545463E-2</v>
          </cell>
          <cell r="D190">
            <v>3.0735455543358992E-2</v>
          </cell>
          <cell r="Q190">
            <v>0.25</v>
          </cell>
          <cell r="R190">
            <v>-0.25</v>
          </cell>
        </row>
        <row r="191">
          <cell r="A191">
            <v>38394</v>
          </cell>
          <cell r="B191">
            <v>8.6199999999999992</v>
          </cell>
          <cell r="C191">
            <v>-8.2002129925452749E-2</v>
          </cell>
          <cell r="D191">
            <v>-4.0089086859688372E-2</v>
          </cell>
          <cell r="Q191">
            <v>0.25</v>
          </cell>
          <cell r="R191">
            <v>-0.25</v>
          </cell>
        </row>
        <row r="192">
          <cell r="A192">
            <v>38401</v>
          </cell>
          <cell r="B192">
            <v>8.23</v>
          </cell>
          <cell r="C192">
            <v>-4.5243619489559017E-2</v>
          </cell>
          <cell r="D192">
            <v>-8.2497212931995523E-2</v>
          </cell>
          <cell r="Q192">
            <v>0.25</v>
          </cell>
          <cell r="R192">
            <v>-0.25</v>
          </cell>
        </row>
        <row r="193">
          <cell r="A193">
            <v>38408</v>
          </cell>
          <cell r="B193">
            <v>8.82</v>
          </cell>
          <cell r="C193">
            <v>7.1688942891859009E-2</v>
          </cell>
          <cell r="D193">
            <v>2.2727272727272041E-3</v>
          </cell>
          <cell r="Q193">
            <v>0.25</v>
          </cell>
          <cell r="R193">
            <v>-0.25</v>
          </cell>
        </row>
        <row r="194">
          <cell r="A194">
            <v>38415</v>
          </cell>
          <cell r="B194">
            <v>7.43</v>
          </cell>
          <cell r="C194">
            <v>-0.15759637188208619</v>
          </cell>
          <cell r="D194">
            <v>-0.20873269435569763</v>
          </cell>
          <cell r="Q194">
            <v>0.25</v>
          </cell>
          <cell r="R194">
            <v>-0.25</v>
          </cell>
        </row>
      </sheetData>
      <sheetData sheetId="12">
        <row r="2">
          <cell r="B2" t="str">
            <v>Earnings Snapshot</v>
          </cell>
        </row>
        <row r="3">
          <cell r="C3" t="str">
            <v>4Q06</v>
          </cell>
          <cell r="D3" t="str">
            <v>4Q07</v>
          </cell>
          <cell r="E3" t="str">
            <v>4Q07</v>
          </cell>
          <cell r="F3" t="str">
            <v>Variance</v>
          </cell>
          <cell r="G3" t="str">
            <v>Y/Y</v>
          </cell>
        </row>
        <row r="4">
          <cell r="C4" t="str">
            <v>Actual</v>
          </cell>
          <cell r="D4" t="str">
            <v>MS Est</v>
          </cell>
          <cell r="E4" t="str">
            <v>Actual</v>
          </cell>
          <cell r="F4" t="str">
            <v>% chg</v>
          </cell>
          <cell r="G4" t="str">
            <v>% chg</v>
          </cell>
          <cell r="H4" t="str">
            <v>Comments</v>
          </cell>
        </row>
        <row r="5">
          <cell r="B5" t="str">
            <v>Revenues:</v>
          </cell>
        </row>
        <row r="6">
          <cell r="B6" t="str">
            <v>Total Revenues</v>
          </cell>
          <cell r="C6">
            <v>7.056</v>
          </cell>
          <cell r="D6">
            <v>8</v>
          </cell>
          <cell r="E6">
            <v>9.7519999999999989</v>
          </cell>
          <cell r="F6">
            <v>0.21899999999999986</v>
          </cell>
          <cell r="G6">
            <v>0.13378684807256236</v>
          </cell>
        </row>
        <row r="7">
          <cell r="B7" t="str">
            <v>Operating Expenses:</v>
          </cell>
        </row>
        <row r="8">
          <cell r="B8" t="str">
            <v>COGS</v>
          </cell>
          <cell r="C8">
            <v>0</v>
          </cell>
          <cell r="D8">
            <v>0</v>
          </cell>
          <cell r="E8">
            <v>0</v>
          </cell>
          <cell r="G8" t="str">
            <v>NM</v>
          </cell>
        </row>
        <row r="9">
          <cell r="B9" t="str">
            <v>R&amp;D</v>
          </cell>
          <cell r="C9">
            <v>22.058</v>
          </cell>
          <cell r="D9">
            <v>24</v>
          </cell>
          <cell r="E9">
            <v>30.837999999999997</v>
          </cell>
          <cell r="F9">
            <v>0.28491666666666648</v>
          </cell>
          <cell r="G9">
            <v>8.8040620183153617E-2</v>
          </cell>
        </row>
        <row r="10">
          <cell r="B10" t="str">
            <v>SG&amp;A</v>
          </cell>
          <cell r="C10">
            <v>2.476</v>
          </cell>
          <cell r="D10">
            <v>3</v>
          </cell>
          <cell r="E10">
            <v>3.5240000000000005</v>
          </cell>
          <cell r="F10">
            <v>0.17466666666666675</v>
          </cell>
          <cell r="G10">
            <v>0.21163166397415178</v>
          </cell>
        </row>
        <row r="11">
          <cell r="B11" t="str">
            <v>Total Operating Expenses</v>
          </cell>
          <cell r="C11">
            <v>24.314</v>
          </cell>
          <cell r="D11">
            <v>27.1</v>
          </cell>
          <cell r="E11">
            <v>34.236999999999995</v>
          </cell>
          <cell r="F11">
            <v>0.26335793357933546</v>
          </cell>
          <cell r="G11">
            <v>0.11458419017849808</v>
          </cell>
        </row>
        <row r="12">
          <cell r="B12" t="str">
            <v>Operating Income (Loss)</v>
          </cell>
          <cell r="C12">
            <v>-17.257999999999999</v>
          </cell>
          <cell r="D12">
            <v>-19.100000000000001</v>
          </cell>
          <cell r="E12">
            <v>-24.484999999999996</v>
          </cell>
          <cell r="F12">
            <v>0.28193717277486874</v>
          </cell>
          <cell r="G12">
            <v>0.10673310928265156</v>
          </cell>
        </row>
        <row r="13">
          <cell r="B13" t="str">
            <v>Net Other Income</v>
          </cell>
          <cell r="C13">
            <v>-0.95300000000000007</v>
          </cell>
          <cell r="D13">
            <v>-1.3016768196969739</v>
          </cell>
          <cell r="E13">
            <v>-2.8659999999999997</v>
          </cell>
          <cell r="F13">
            <v>1.2017753997241765</v>
          </cell>
          <cell r="G13" t="str">
            <v>NM</v>
          </cell>
        </row>
        <row r="14">
          <cell r="B14" t="str">
            <v>Pretax Income (Loss)</v>
          </cell>
          <cell r="C14">
            <v>-18.210999999999999</v>
          </cell>
          <cell r="D14">
            <v>-20.401676819696974</v>
          </cell>
          <cell r="E14">
            <v>-27.350999999999996</v>
          </cell>
          <cell r="F14">
            <v>0.34062509869746282</v>
          </cell>
          <cell r="G14">
            <v>0.12029415296782031</v>
          </cell>
        </row>
        <row r="15">
          <cell r="B15" t="str">
            <v xml:space="preserve">   Tax Rate</v>
          </cell>
          <cell r="C15">
            <v>0</v>
          </cell>
          <cell r="D15">
            <v>0</v>
          </cell>
          <cell r="E15">
            <v>0</v>
          </cell>
          <cell r="G15" t="str">
            <v>NM</v>
          </cell>
        </row>
        <row r="16">
          <cell r="B16" t="str">
            <v xml:space="preserve">Net Income (Loss) </v>
          </cell>
          <cell r="C16">
            <v>-18.210999999999999</v>
          </cell>
          <cell r="D16">
            <v>-20.401676819696974</v>
          </cell>
          <cell r="E16">
            <v>-27.350999999999996</v>
          </cell>
          <cell r="F16">
            <v>0.34062509869746282</v>
          </cell>
          <cell r="G16">
            <v>0.12029415296782031</v>
          </cell>
        </row>
        <row r="17">
          <cell r="B17" t="str">
            <v>EPS, Non-GAAP Diluted (includes Stock Comp)</v>
          </cell>
          <cell r="C17">
            <v>-0.24437931157736711</v>
          </cell>
          <cell r="D17">
            <v>-0.27120461273268226</v>
          </cell>
          <cell r="E17">
            <v>-0.35661394467152413</v>
          </cell>
          <cell r="F17">
            <v>0.31492580851870366</v>
          </cell>
          <cell r="G17">
            <v>0.10976911663335565</v>
          </cell>
          <cell r="H17" t="str">
            <v>Includes stock compensation expense</v>
          </cell>
        </row>
        <row r="18">
          <cell r="B18" t="str">
            <v>Consensus EPS</v>
          </cell>
          <cell r="E18">
            <v>-0.27</v>
          </cell>
        </row>
        <row r="19">
          <cell r="B19" t="str">
            <v>Shares Outstanding - Basic</v>
          </cell>
          <cell r="C19">
            <v>83.930999999999997</v>
          </cell>
          <cell r="D19">
            <v>84.812999999999988</v>
          </cell>
          <cell r="E19">
            <v>84.405000000000001</v>
          </cell>
          <cell r="F19">
            <v>-4.8105832832229245E-3</v>
          </cell>
          <cell r="G19">
            <v>1.0508632090645786E-2</v>
          </cell>
        </row>
        <row r="20">
          <cell r="B20" t="str">
            <v>Shares Outstanding - Diluted</v>
          </cell>
          <cell r="C20">
            <v>83.930999999999997</v>
          </cell>
          <cell r="D20">
            <v>84.812999999999988</v>
          </cell>
          <cell r="E20">
            <v>84.405000000000001</v>
          </cell>
          <cell r="F20">
            <v>-4.8105832832229245E-3</v>
          </cell>
          <cell r="G20">
            <v>1.0508632090645786E-2</v>
          </cell>
        </row>
        <row r="22">
          <cell r="B22" t="str">
            <v>Source: Company data and Morgan Stanley Research</v>
          </cell>
        </row>
      </sheetData>
      <sheetData sheetId="13">
        <row r="2">
          <cell r="B2" t="str">
            <v>Changes To Model</v>
          </cell>
        </row>
        <row r="3">
          <cell r="C3">
            <v>2003</v>
          </cell>
          <cell r="E3">
            <v>2004</v>
          </cell>
          <cell r="G3">
            <v>2005</v>
          </cell>
          <cell r="I3">
            <v>2006</v>
          </cell>
          <cell r="K3">
            <v>2007</v>
          </cell>
          <cell r="M3">
            <v>2008</v>
          </cell>
          <cell r="O3">
            <v>2009</v>
          </cell>
          <cell r="Q3">
            <v>2010</v>
          </cell>
          <cell r="S3">
            <v>2011</v>
          </cell>
          <cell r="U3">
            <v>2012</v>
          </cell>
          <cell r="W3">
            <v>2013</v>
          </cell>
        </row>
        <row r="4">
          <cell r="B4" t="str">
            <v>JAK Inhibitor (MF)</v>
          </cell>
        </row>
        <row r="5">
          <cell r="B5" t="str">
            <v xml:space="preserve">   Current</v>
          </cell>
          <cell r="C5">
            <v>0</v>
          </cell>
          <cell r="E5">
            <v>0</v>
          </cell>
          <cell r="G5">
            <v>0</v>
          </cell>
          <cell r="I5">
            <v>0</v>
          </cell>
          <cell r="K5">
            <v>0</v>
          </cell>
          <cell r="M5">
            <v>0</v>
          </cell>
          <cell r="O5">
            <v>0</v>
          </cell>
          <cell r="Q5">
            <v>0</v>
          </cell>
          <cell r="S5">
            <v>76.875</v>
          </cell>
          <cell r="U5">
            <v>153.75</v>
          </cell>
          <cell r="W5">
            <v>230.625</v>
          </cell>
        </row>
        <row r="6">
          <cell r="B6" t="str">
            <v xml:space="preserve">   Prior</v>
          </cell>
          <cell r="C6">
            <v>0</v>
          </cell>
          <cell r="E6">
            <v>0</v>
          </cell>
          <cell r="G6">
            <v>0</v>
          </cell>
          <cell r="I6">
            <v>0</v>
          </cell>
          <cell r="K6">
            <v>0</v>
          </cell>
          <cell r="M6">
            <v>0</v>
          </cell>
          <cell r="O6">
            <v>0</v>
          </cell>
          <cell r="Q6">
            <v>0</v>
          </cell>
          <cell r="S6">
            <v>0</v>
          </cell>
          <cell r="U6">
            <v>31.237500000000001</v>
          </cell>
          <cell r="W6">
            <v>83.3</v>
          </cell>
        </row>
        <row r="7">
          <cell r="B7" t="str">
            <v>JAK Inhibitor (RA)</v>
          </cell>
        </row>
        <row r="8">
          <cell r="B8" t="str">
            <v xml:space="preserve">   Current</v>
          </cell>
          <cell r="C8">
            <v>0</v>
          </cell>
          <cell r="E8">
            <v>0</v>
          </cell>
          <cell r="G8">
            <v>0</v>
          </cell>
          <cell r="I8">
            <v>0</v>
          </cell>
          <cell r="K8">
            <v>0</v>
          </cell>
          <cell r="M8">
            <v>0</v>
          </cell>
          <cell r="O8">
            <v>0</v>
          </cell>
          <cell r="Q8">
            <v>0</v>
          </cell>
          <cell r="S8">
            <v>0</v>
          </cell>
          <cell r="U8">
            <v>0</v>
          </cell>
          <cell r="W8">
            <v>168.75</v>
          </cell>
        </row>
        <row r="9">
          <cell r="B9" t="str">
            <v xml:space="preserve">   Prior</v>
          </cell>
          <cell r="C9">
            <v>0</v>
          </cell>
          <cell r="E9">
            <v>0</v>
          </cell>
          <cell r="G9">
            <v>0</v>
          </cell>
          <cell r="I9">
            <v>0</v>
          </cell>
          <cell r="K9">
            <v>0</v>
          </cell>
          <cell r="M9">
            <v>0</v>
          </cell>
          <cell r="O9">
            <v>0</v>
          </cell>
          <cell r="Q9">
            <v>0</v>
          </cell>
          <cell r="S9">
            <v>0</v>
          </cell>
          <cell r="U9">
            <v>0</v>
          </cell>
          <cell r="W9">
            <v>32.632031249999997</v>
          </cell>
        </row>
        <row r="10">
          <cell r="B10" t="str">
            <v>Total Product Sales</v>
          </cell>
        </row>
        <row r="11">
          <cell r="B11" t="str">
            <v xml:space="preserve">   Current</v>
          </cell>
          <cell r="C11">
            <v>0</v>
          </cell>
          <cell r="E11">
            <v>0</v>
          </cell>
          <cell r="G11">
            <v>0</v>
          </cell>
          <cell r="I11">
            <v>0</v>
          </cell>
          <cell r="K11">
            <v>0</v>
          </cell>
          <cell r="M11">
            <v>0</v>
          </cell>
          <cell r="O11">
            <v>0</v>
          </cell>
          <cell r="Q11">
            <v>0</v>
          </cell>
          <cell r="S11">
            <v>76.875</v>
          </cell>
          <cell r="U11">
            <v>153.75</v>
          </cell>
          <cell r="W11">
            <v>399.375</v>
          </cell>
        </row>
        <row r="12">
          <cell r="B12" t="str">
            <v xml:space="preserve">   Prior</v>
          </cell>
          <cell r="C12">
            <v>0</v>
          </cell>
          <cell r="E12">
            <v>0</v>
          </cell>
          <cell r="G12">
            <v>0</v>
          </cell>
          <cell r="I12">
            <v>0</v>
          </cell>
          <cell r="K12">
            <v>0</v>
          </cell>
          <cell r="M12">
            <v>0</v>
          </cell>
          <cell r="O12">
            <v>0</v>
          </cell>
          <cell r="Q12">
            <v>0</v>
          </cell>
          <cell r="S12">
            <v>0</v>
          </cell>
          <cell r="U12">
            <v>31.237500000000001</v>
          </cell>
          <cell r="W12">
            <v>115.93203124999998</v>
          </cell>
        </row>
        <row r="13">
          <cell r="B13" t="str">
            <v>Contract revenues</v>
          </cell>
        </row>
        <row r="14">
          <cell r="B14" t="str">
            <v xml:space="preserve">   Current</v>
          </cell>
          <cell r="C14">
            <v>41.197000000000003</v>
          </cell>
          <cell r="E14">
            <v>14.146000000000001</v>
          </cell>
          <cell r="G14">
            <v>7.8460000000000001</v>
          </cell>
          <cell r="I14">
            <v>24.225999999999999</v>
          </cell>
          <cell r="K14">
            <v>29.853000000000002</v>
          </cell>
          <cell r="M14">
            <v>0</v>
          </cell>
          <cell r="O14">
            <v>27</v>
          </cell>
          <cell r="Q14">
            <v>27</v>
          </cell>
          <cell r="S14">
            <v>25</v>
          </cell>
          <cell r="U14">
            <v>25</v>
          </cell>
          <cell r="W14">
            <v>25</v>
          </cell>
        </row>
        <row r="15">
          <cell r="B15" t="str">
            <v xml:space="preserve">   Prior</v>
          </cell>
          <cell r="C15">
            <v>41.197000000000003</v>
          </cell>
          <cell r="E15">
            <v>14.146000000000001</v>
          </cell>
          <cell r="G15">
            <v>7.8460000000000001</v>
          </cell>
          <cell r="I15">
            <v>24.225999999999999</v>
          </cell>
          <cell r="K15">
            <v>28.915999999999997</v>
          </cell>
          <cell r="M15">
            <v>27</v>
          </cell>
          <cell r="O15">
            <v>27</v>
          </cell>
          <cell r="Q15">
            <v>27</v>
          </cell>
          <cell r="S15">
            <v>25</v>
          </cell>
          <cell r="U15">
            <v>25</v>
          </cell>
          <cell r="W15">
            <v>25</v>
          </cell>
        </row>
        <row r="16">
          <cell r="B16" t="str">
            <v>Total Revenues</v>
          </cell>
        </row>
        <row r="17">
          <cell r="B17" t="str">
            <v xml:space="preserve">   Current</v>
          </cell>
          <cell r="C17">
            <v>41.197000000000003</v>
          </cell>
          <cell r="E17">
            <v>14.146000000000001</v>
          </cell>
          <cell r="G17">
            <v>7.8460000000000001</v>
          </cell>
          <cell r="I17">
            <v>27.643999999999998</v>
          </cell>
          <cell r="K17">
            <v>34.44</v>
          </cell>
          <cell r="M17">
            <v>3.25</v>
          </cell>
          <cell r="O17">
            <v>27</v>
          </cell>
          <cell r="Q17">
            <v>27</v>
          </cell>
          <cell r="S17">
            <v>101.875</v>
          </cell>
          <cell r="U17">
            <v>178.75</v>
          </cell>
          <cell r="W17">
            <v>424.375</v>
          </cell>
        </row>
        <row r="18">
          <cell r="B18" t="str">
            <v xml:space="preserve">   Prior</v>
          </cell>
          <cell r="C18">
            <v>41.197000000000003</v>
          </cell>
          <cell r="E18">
            <v>14.146000000000001</v>
          </cell>
          <cell r="G18">
            <v>7.8460000000000001</v>
          </cell>
          <cell r="I18">
            <v>27.643999999999998</v>
          </cell>
          <cell r="K18">
            <v>32.687999999999995</v>
          </cell>
          <cell r="M18">
            <v>27</v>
          </cell>
          <cell r="O18">
            <v>27</v>
          </cell>
          <cell r="Q18">
            <v>27</v>
          </cell>
          <cell r="S18">
            <v>25</v>
          </cell>
          <cell r="U18">
            <v>56.237499999999997</v>
          </cell>
          <cell r="W18">
            <v>140.93203124999997</v>
          </cell>
        </row>
        <row r="19">
          <cell r="B19" t="str">
            <v xml:space="preserve">   Cost of Sales</v>
          </cell>
        </row>
        <row r="20">
          <cell r="B20" t="str">
            <v xml:space="preserve">   Current</v>
          </cell>
          <cell r="C20">
            <v>0</v>
          </cell>
          <cell r="E20">
            <v>0</v>
          </cell>
          <cell r="G20">
            <v>0</v>
          </cell>
          <cell r="I20">
            <v>0</v>
          </cell>
          <cell r="K20">
            <v>0</v>
          </cell>
          <cell r="M20">
            <v>0</v>
          </cell>
          <cell r="O20">
            <v>0</v>
          </cell>
          <cell r="Q20">
            <v>0</v>
          </cell>
          <cell r="S20">
            <v>11.53125</v>
          </cell>
          <cell r="U20">
            <v>23.0625</v>
          </cell>
          <cell r="W20">
            <v>34.59375</v>
          </cell>
        </row>
        <row r="21">
          <cell r="B21" t="str">
            <v xml:space="preserve">   Prior</v>
          </cell>
          <cell r="C21">
            <v>0</v>
          </cell>
          <cell r="E21">
            <v>0</v>
          </cell>
          <cell r="G21">
            <v>0</v>
          </cell>
          <cell r="I21">
            <v>0</v>
          </cell>
          <cell r="K21">
            <v>0</v>
          </cell>
          <cell r="M21">
            <v>0</v>
          </cell>
          <cell r="O21">
            <v>0</v>
          </cell>
          <cell r="Q21">
            <v>0</v>
          </cell>
          <cell r="S21">
            <v>0</v>
          </cell>
          <cell r="U21">
            <v>3.1237499999999998</v>
          </cell>
          <cell r="W21">
            <v>11.593203125</v>
          </cell>
        </row>
        <row r="22">
          <cell r="B22" t="str">
            <v xml:space="preserve">   R&amp;D</v>
          </cell>
        </row>
        <row r="23">
          <cell r="B23" t="str">
            <v xml:space="preserve">   Current</v>
          </cell>
          <cell r="C23">
            <v>111.40400000000001</v>
          </cell>
          <cell r="E23">
            <v>88.271000000000015</v>
          </cell>
          <cell r="G23">
            <v>95.617999999999995</v>
          </cell>
          <cell r="I23">
            <v>81.796999999999997</v>
          </cell>
          <cell r="K23">
            <v>97.989000000000004</v>
          </cell>
          <cell r="M23">
            <v>130</v>
          </cell>
          <cell r="O23">
            <v>135</v>
          </cell>
          <cell r="Q23">
            <v>140.4</v>
          </cell>
          <cell r="S23">
            <v>145.68125000000001</v>
          </cell>
          <cell r="U23">
            <v>160.875</v>
          </cell>
          <cell r="W23">
            <v>165.50624999999999</v>
          </cell>
        </row>
        <row r="24">
          <cell r="B24" t="str">
            <v xml:space="preserve">   Prior</v>
          </cell>
          <cell r="C24">
            <v>111.40400000000001</v>
          </cell>
          <cell r="E24">
            <v>88.271000000000015</v>
          </cell>
          <cell r="G24">
            <v>95.617999999999995</v>
          </cell>
          <cell r="I24">
            <v>81.796999999999997</v>
          </cell>
          <cell r="K24">
            <v>91.15100000000001</v>
          </cell>
          <cell r="M24">
            <v>97.531570000000016</v>
          </cell>
          <cell r="O24">
            <v>103.38346420000002</v>
          </cell>
          <cell r="Q24">
            <v>108.55263741000003</v>
          </cell>
          <cell r="S24">
            <v>113.98026928050004</v>
          </cell>
          <cell r="U24">
            <v>119.67928274452504</v>
          </cell>
          <cell r="W24">
            <v>125.66324688175129</v>
          </cell>
        </row>
        <row r="25">
          <cell r="B25" t="str">
            <v xml:space="preserve">   SG&amp;A</v>
          </cell>
        </row>
        <row r="26">
          <cell r="B26" t="str">
            <v xml:space="preserve">   Current</v>
          </cell>
          <cell r="C26">
            <v>29.37</v>
          </cell>
          <cell r="E26">
            <v>20.550999999999998</v>
          </cell>
          <cell r="G26">
            <v>11.657</v>
          </cell>
          <cell r="I26">
            <v>10.826999999999998</v>
          </cell>
          <cell r="K26">
            <v>12.038</v>
          </cell>
          <cell r="M26">
            <v>12</v>
          </cell>
          <cell r="O26">
            <v>11.9791656</v>
          </cell>
          <cell r="Q26">
            <v>12.218748912000001</v>
          </cell>
          <cell r="S26">
            <v>15.28125</v>
          </cell>
          <cell r="U26">
            <v>35.75</v>
          </cell>
          <cell r="W26">
            <v>77.236249999999998</v>
          </cell>
        </row>
        <row r="27">
          <cell r="B27" t="str">
            <v xml:space="preserve">   Prior</v>
          </cell>
          <cell r="C27">
            <v>29.37</v>
          </cell>
          <cell r="E27">
            <v>20.550999999999998</v>
          </cell>
          <cell r="G27">
            <v>11.657</v>
          </cell>
          <cell r="I27">
            <v>10.826999999999998</v>
          </cell>
          <cell r="K27">
            <v>11.513999999999999</v>
          </cell>
          <cell r="M27">
            <v>11.74428</v>
          </cell>
          <cell r="O27">
            <v>11.9791656</v>
          </cell>
          <cell r="Q27">
            <v>12.218748912000001</v>
          </cell>
          <cell r="S27">
            <v>15.273436140000001</v>
          </cell>
          <cell r="U27">
            <v>33.601559508000008</v>
          </cell>
          <cell r="W27">
            <v>73.923430917600029</v>
          </cell>
        </row>
        <row r="28">
          <cell r="B28" t="str">
            <v>Total Operating Expenses</v>
          </cell>
        </row>
        <row r="29">
          <cell r="B29" t="str">
            <v xml:space="preserve">   Current</v>
          </cell>
          <cell r="C29">
            <v>140.774</v>
          </cell>
          <cell r="E29">
            <v>108.82200000000002</v>
          </cell>
          <cell r="G29">
            <v>108.631</v>
          </cell>
          <cell r="I29">
            <v>95.507999999999996</v>
          </cell>
          <cell r="K29">
            <v>109.37</v>
          </cell>
          <cell r="M29">
            <v>142</v>
          </cell>
          <cell r="O29">
            <v>146.97916559999999</v>
          </cell>
          <cell r="Q29">
            <v>152.618748912</v>
          </cell>
          <cell r="S29">
            <v>172.49375000000001</v>
          </cell>
          <cell r="U29">
            <v>219.6875</v>
          </cell>
          <cell r="W29">
            <v>277.33625000000001</v>
          </cell>
        </row>
        <row r="30">
          <cell r="B30" t="str">
            <v xml:space="preserve">   Prior</v>
          </cell>
          <cell r="C30">
            <v>140.774</v>
          </cell>
          <cell r="E30">
            <v>108.82200000000002</v>
          </cell>
          <cell r="G30">
            <v>108.631</v>
          </cell>
          <cell r="I30">
            <v>95.507999999999996</v>
          </cell>
          <cell r="K30">
            <v>102.233</v>
          </cell>
          <cell r="M30">
            <v>109.27585000000002</v>
          </cell>
          <cell r="O30">
            <v>115.36262980000002</v>
          </cell>
          <cell r="Q30">
            <v>120.77138632200003</v>
          </cell>
          <cell r="S30">
            <v>129.25370542050004</v>
          </cell>
          <cell r="U30">
            <v>156.40459225252505</v>
          </cell>
          <cell r="W30">
            <v>211.17988092435132</v>
          </cell>
        </row>
        <row r="31">
          <cell r="B31" t="str">
            <v>Interest and Other Income, Net</v>
          </cell>
        </row>
        <row r="32">
          <cell r="B32" t="str">
            <v xml:space="preserve">   Current</v>
          </cell>
          <cell r="C32">
            <v>-3.1489999999999991</v>
          </cell>
          <cell r="E32">
            <v>-13.678000000000003</v>
          </cell>
          <cell r="G32">
            <v>-3.5229999999999997</v>
          </cell>
          <cell r="I32">
            <v>2.7680000000000007</v>
          </cell>
          <cell r="K32">
            <v>-10.100999999999999</v>
          </cell>
          <cell r="M32">
            <v>-15.195099272137002</v>
          </cell>
          <cell r="O32">
            <v>-19.116910993040658</v>
          </cell>
          <cell r="Q32">
            <v>-17.758825275372516</v>
          </cell>
          <cell r="S32">
            <v>6.1371131146522941</v>
          </cell>
          <cell r="U32">
            <v>8.015832257527606</v>
          </cell>
          <cell r="W32">
            <v>16.01586596919142</v>
          </cell>
        </row>
        <row r="33">
          <cell r="B33" t="str">
            <v xml:space="preserve">   Prior</v>
          </cell>
          <cell r="C33">
            <v>-3.1489999999999991</v>
          </cell>
          <cell r="E33">
            <v>-13.678000000000003</v>
          </cell>
          <cell r="G33">
            <v>-3.5229999999999997</v>
          </cell>
          <cell r="I33">
            <v>2.7680000000000007</v>
          </cell>
          <cell r="K33">
            <v>-8.5366768196969733</v>
          </cell>
          <cell r="M33">
            <v>-15.146283295819075</v>
          </cell>
          <cell r="O33">
            <v>-15.376152928932784</v>
          </cell>
          <cell r="Q33">
            <v>-13.389868830248465</v>
          </cell>
          <cell r="S33">
            <v>8.427689316274579</v>
          </cell>
          <cell r="U33">
            <v>7.7901755627928289</v>
          </cell>
          <cell r="W33">
            <v>4.2663311796714947</v>
          </cell>
        </row>
        <row r="34">
          <cell r="B34" t="str">
            <v xml:space="preserve">Operating Income (Loss) </v>
          </cell>
        </row>
        <row r="35">
          <cell r="B35" t="str">
            <v xml:space="preserve">   Current</v>
          </cell>
          <cell r="C35">
            <v>-99.576999999999998</v>
          </cell>
          <cell r="E35">
            <v>-94.676000000000016</v>
          </cell>
          <cell r="G35">
            <v>-100.785</v>
          </cell>
          <cell r="I35">
            <v>-67.864000000000004</v>
          </cell>
          <cell r="K35">
            <v>-74.930000000000007</v>
          </cell>
          <cell r="M35">
            <v>-138.75</v>
          </cell>
          <cell r="O35">
            <v>-119.97916559999999</v>
          </cell>
          <cell r="Q35">
            <v>-125.618748912</v>
          </cell>
          <cell r="S35">
            <v>-70.618750000000006</v>
          </cell>
          <cell r="U35">
            <v>-40.9375</v>
          </cell>
          <cell r="W35">
            <v>147.03874999999999</v>
          </cell>
        </row>
        <row r="36">
          <cell r="B36" t="str">
            <v xml:space="preserve">   Prior</v>
          </cell>
          <cell r="C36">
            <v>-99.576999999999998</v>
          </cell>
          <cell r="E36">
            <v>-94.676000000000016</v>
          </cell>
          <cell r="G36">
            <v>-100.785</v>
          </cell>
          <cell r="I36">
            <v>-67.864000000000004</v>
          </cell>
          <cell r="K36">
            <v>-69.545000000000002</v>
          </cell>
          <cell r="M36">
            <v>-82.27585000000002</v>
          </cell>
          <cell r="O36">
            <v>-88.362629800000022</v>
          </cell>
          <cell r="Q36">
            <v>-93.771386322000026</v>
          </cell>
          <cell r="S36">
            <v>-104.25370542050004</v>
          </cell>
          <cell r="U36">
            <v>-100.16709225252505</v>
          </cell>
          <cell r="W36">
            <v>-70.247849674351357</v>
          </cell>
        </row>
        <row r="37">
          <cell r="B37" t="str">
            <v xml:space="preserve">   Effective Tax Rate</v>
          </cell>
        </row>
        <row r="38">
          <cell r="B38" t="str">
            <v xml:space="preserve">   Current</v>
          </cell>
          <cell r="C38">
            <v>0</v>
          </cell>
          <cell r="E38">
            <v>0</v>
          </cell>
          <cell r="G38">
            <v>5.318840859509239E-3</v>
          </cell>
          <cell r="I38">
            <v>0</v>
          </cell>
          <cell r="K38">
            <v>0</v>
          </cell>
          <cell r="M38">
            <v>0</v>
          </cell>
          <cell r="O38">
            <v>0</v>
          </cell>
          <cell r="Q38">
            <v>0</v>
          </cell>
          <cell r="S38">
            <v>0</v>
          </cell>
          <cell r="U38">
            <v>0</v>
          </cell>
          <cell r="W38">
            <v>3.4999999999999983E-2</v>
          </cell>
        </row>
        <row r="39">
          <cell r="B39" t="str">
            <v xml:space="preserve">   Prior</v>
          </cell>
          <cell r="C39">
            <v>0</v>
          </cell>
          <cell r="E39">
            <v>0</v>
          </cell>
          <cell r="G39">
            <v>5.318840859509239E-3</v>
          </cell>
          <cell r="I39">
            <v>0</v>
          </cell>
          <cell r="K39">
            <v>0</v>
          </cell>
          <cell r="M39">
            <v>0</v>
          </cell>
          <cell r="O39">
            <v>0</v>
          </cell>
          <cell r="Q39">
            <v>0</v>
          </cell>
          <cell r="S39">
            <v>0</v>
          </cell>
          <cell r="U39">
            <v>0</v>
          </cell>
          <cell r="W39">
            <v>0</v>
          </cell>
        </row>
        <row r="40">
          <cell r="B40" t="str">
            <v>Net Income (Loss) (Non-GAAP)</v>
          </cell>
        </row>
        <row r="41">
          <cell r="B41" t="str">
            <v xml:space="preserve">   Current</v>
          </cell>
          <cell r="C41">
            <v>-116.611</v>
          </cell>
          <cell r="E41">
            <v>-109.48700000000002</v>
          </cell>
          <cell r="G41">
            <v>-103.04299999999999</v>
          </cell>
          <cell r="I41">
            <v>-65.165999999999997</v>
          </cell>
          <cell r="K41">
            <v>-85.031000000000006</v>
          </cell>
          <cell r="M41">
            <v>-153.94509927213699</v>
          </cell>
          <cell r="O41">
            <v>-139.09607659304064</v>
          </cell>
          <cell r="Q41">
            <v>-143.37757418737252</v>
          </cell>
          <cell r="S41">
            <v>-64.481636885347712</v>
          </cell>
          <cell r="U41">
            <v>-32.921667742472394</v>
          </cell>
          <cell r="W41">
            <v>157.34770441026973</v>
          </cell>
        </row>
        <row r="42">
          <cell r="B42" t="str">
            <v xml:space="preserve">   Prior</v>
          </cell>
          <cell r="C42">
            <v>-116.611</v>
          </cell>
          <cell r="E42">
            <v>-109.48700000000002</v>
          </cell>
          <cell r="G42">
            <v>-103.04299999999999</v>
          </cell>
          <cell r="I42">
            <v>-65.165999999999997</v>
          </cell>
          <cell r="K42">
            <v>-78.08167681969698</v>
          </cell>
          <cell r="M42">
            <v>-97.422133295819094</v>
          </cell>
          <cell r="O42">
            <v>-103.7387827289328</v>
          </cell>
          <cell r="Q42">
            <v>-107.16125515224849</v>
          </cell>
          <cell r="S42">
            <v>-95.826016104225459</v>
          </cell>
          <cell r="U42">
            <v>-92.376916689732226</v>
          </cell>
          <cell r="W42">
            <v>-65.981518494679861</v>
          </cell>
        </row>
        <row r="43">
          <cell r="B43" t="str">
            <v>EPS, Diluted ('As If Converted') (includes Stock Comp)</v>
          </cell>
          <cell r="X43" t="str">
            <v>Includes Stock Compensation Expense</v>
          </cell>
        </row>
        <row r="44">
          <cell r="B44" t="str">
            <v xml:space="preserve">   Current</v>
          </cell>
          <cell r="C44">
            <v>-1.4594456436941139</v>
          </cell>
          <cell r="E44">
            <v>-1.3312549024419005</v>
          </cell>
          <cell r="G44">
            <v>-1.2224618644881158</v>
          </cell>
          <cell r="I44">
            <v>-0.88504636093509459</v>
          </cell>
          <cell r="K44">
            <v>-1.0296401664196901</v>
          </cell>
          <cell r="M44">
            <v>-2.0126851166555482</v>
          </cell>
          <cell r="O44">
            <v>-1.7834493144374484</v>
          </cell>
          <cell r="Q44">
            <v>-1.7332808403043694</v>
          </cell>
          <cell r="S44">
            <v>-0.74793724510673842</v>
          </cell>
          <cell r="U44">
            <v>-0.41463523338708613</v>
          </cell>
          <cell r="W44">
            <v>0.85359965430818252</v>
          </cell>
        </row>
        <row r="45">
          <cell r="B45" t="str">
            <v>Prior</v>
          </cell>
          <cell r="C45">
            <v>-1.4594456436941139</v>
          </cell>
          <cell r="E45">
            <v>-1.3312549024419005</v>
          </cell>
          <cell r="G45">
            <v>-1.2224618644881158</v>
          </cell>
          <cell r="I45">
            <v>-0.88504636093509459</v>
          </cell>
          <cell r="K45">
            <v>-0.9429913577127722</v>
          </cell>
          <cell r="M45">
            <v>-1.2534424326311109</v>
          </cell>
          <cell r="O45">
            <v>-1.2541430495775512</v>
          </cell>
          <cell r="Q45">
            <v>-1.2254421447235506</v>
          </cell>
          <cell r="S45">
            <v>-1.1032831825768024</v>
          </cell>
          <cell r="U45">
            <v>-1.0565476284275408</v>
          </cell>
          <cell r="W45">
            <v>-0.81521781270872984</v>
          </cell>
        </row>
        <row r="46">
          <cell r="B46" t="str">
            <v>EPS, GAAP, Diluted (includes stock comp)</v>
          </cell>
          <cell r="X46" t="str">
            <v>Includes Stock Compensation Expense</v>
          </cell>
        </row>
        <row r="47">
          <cell r="B47" t="str">
            <v xml:space="preserve">   Current</v>
          </cell>
          <cell r="C47">
            <v>-2.0833686374892011</v>
          </cell>
          <cell r="E47">
            <v>-2.2109435784616212</v>
          </cell>
          <cell r="G47">
            <v>-1.2366990314566555</v>
          </cell>
          <cell r="I47">
            <v>-0.88504636093509459</v>
          </cell>
          <cell r="K47">
            <v>-1.0296401664196901</v>
          </cell>
          <cell r="M47">
            <v>-2.0126851166555482</v>
          </cell>
          <cell r="O47">
            <v>-1.7834493144374484</v>
          </cell>
          <cell r="Q47">
            <v>-1.7332808403043694</v>
          </cell>
          <cell r="S47">
            <v>-0.74793724510673842</v>
          </cell>
          <cell r="U47">
            <v>-0.41463523338708613</v>
          </cell>
          <cell r="W47">
            <v>0.85359965430818252</v>
          </cell>
        </row>
        <row r="48">
          <cell r="B48" t="str">
            <v xml:space="preserve">   Prior</v>
          </cell>
          <cell r="C48">
            <v>-2.0833686374892011</v>
          </cell>
          <cell r="E48">
            <v>-2.2109435784616212</v>
          </cell>
          <cell r="G48">
            <v>-1.2366990314566555</v>
          </cell>
          <cell r="I48">
            <v>-0.88504636093509459</v>
          </cell>
          <cell r="K48">
            <v>-0.9429913577127722</v>
          </cell>
          <cell r="M48">
            <v>-1.2534424326311109</v>
          </cell>
          <cell r="O48">
            <v>-1.2541430495775512</v>
          </cell>
          <cell r="Q48">
            <v>-1.2254421447235506</v>
          </cell>
          <cell r="S48">
            <v>-1.1032831825768024</v>
          </cell>
          <cell r="U48">
            <v>-1.0565476284275408</v>
          </cell>
          <cell r="W48">
            <v>-0.81521781270872984</v>
          </cell>
        </row>
        <row r="49">
          <cell r="B49" t="str">
            <v xml:space="preserve">Basic Shares Outstanding </v>
          </cell>
        </row>
        <row r="50">
          <cell r="B50" t="str">
            <v xml:space="preserve">   Current</v>
          </cell>
          <cell r="C50">
            <v>67.403000000000006</v>
          </cell>
          <cell r="E50">
            <v>71.369</v>
          </cell>
          <cell r="G50">
            <v>74.545999999999992</v>
          </cell>
          <cell r="I50">
            <v>83.320999999999998</v>
          </cell>
          <cell r="K50">
            <v>83.799000000000007</v>
          </cell>
          <cell r="M50">
            <v>84.184749999999994</v>
          </cell>
          <cell r="O50">
            <v>84.933851727484409</v>
          </cell>
          <cell r="Q50">
            <v>88.646240357499991</v>
          </cell>
          <cell r="S50">
            <v>94.836087935124993</v>
          </cell>
          <cell r="U50">
            <v>116.963872915385</v>
          </cell>
          <cell r="W50">
            <v>139.69306773406578</v>
          </cell>
        </row>
        <row r="51">
          <cell r="B51" t="str">
            <v xml:space="preserve">   Prior</v>
          </cell>
          <cell r="C51">
            <v>67.403000000000006</v>
          </cell>
          <cell r="E51">
            <v>71.369</v>
          </cell>
          <cell r="G51">
            <v>74.545999999999992</v>
          </cell>
          <cell r="I51">
            <v>83.320999999999998</v>
          </cell>
          <cell r="K51">
            <v>83.799000000000007</v>
          </cell>
          <cell r="M51">
            <v>84.286749999999984</v>
          </cell>
          <cell r="O51">
            <v>86.441718801861015</v>
          </cell>
          <cell r="Q51">
            <v>91.915388557758504</v>
          </cell>
          <cell r="S51">
            <v>97.302344543852513</v>
          </cell>
          <cell r="U51">
            <v>98.570691880101236</v>
          </cell>
          <cell r="W51">
            <v>101.94050700324985</v>
          </cell>
        </row>
        <row r="52">
          <cell r="B52" t="str">
            <v>Diluted Shares Outstanding</v>
          </cell>
        </row>
        <row r="53">
          <cell r="B53" t="str">
            <v xml:space="preserve">   Current</v>
          </cell>
          <cell r="C53">
            <v>78.559773000000007</v>
          </cell>
          <cell r="E53">
            <v>79.900886</v>
          </cell>
          <cell r="G53">
            <v>82.243453000000002</v>
          </cell>
          <cell r="I53">
            <v>84.291381999999999</v>
          </cell>
          <cell r="K53">
            <v>83.799000000000007</v>
          </cell>
          <cell r="M53">
            <v>84.184749999999994</v>
          </cell>
          <cell r="O53">
            <v>84.933851727484409</v>
          </cell>
          <cell r="Q53">
            <v>88.646240357499991</v>
          </cell>
          <cell r="S53">
            <v>94.836087935124993</v>
          </cell>
          <cell r="U53">
            <v>116.963872915385</v>
          </cell>
          <cell r="W53">
            <v>139.69306773406578</v>
          </cell>
        </row>
        <row r="54">
          <cell r="B54" t="str">
            <v xml:space="preserve">   Prior</v>
          </cell>
          <cell r="C54">
            <v>78.559773000000007</v>
          </cell>
          <cell r="E54">
            <v>79.900886</v>
          </cell>
          <cell r="G54">
            <v>82.243453000000002</v>
          </cell>
          <cell r="I54">
            <v>84.291381999999999</v>
          </cell>
          <cell r="K54">
            <v>83.799000000000007</v>
          </cell>
          <cell r="M54">
            <v>84.286749999999984</v>
          </cell>
          <cell r="O54">
            <v>86.441718801861015</v>
          </cell>
          <cell r="Q54">
            <v>91.915388557758504</v>
          </cell>
          <cell r="S54">
            <v>97.302344543852513</v>
          </cell>
          <cell r="U54">
            <v>98.570691880101236</v>
          </cell>
          <cell r="W54">
            <v>101.94050700324985</v>
          </cell>
        </row>
      </sheetData>
      <sheetData sheetId="14"/>
      <sheetData sheetId="15"/>
      <sheetData sheetId="16">
        <row r="4">
          <cell r="C4" t="str">
            <v>Drug</v>
          </cell>
          <cell r="D4" t="str">
            <v>WW Peak Sales ($MM)</v>
          </cell>
          <cell r="E4" t="str">
            <v>Phase</v>
          </cell>
          <cell r="F4" t="str">
            <v>Estimated  Launch</v>
          </cell>
          <cell r="H4" t="str">
            <v>Probability of Reaching Market</v>
          </cell>
          <cell r="I4" t="str">
            <v>Probability Adjusted NPV</v>
          </cell>
          <cell r="J4" t="str">
            <v>% of Total Value</v>
          </cell>
        </row>
        <row r="5">
          <cell r="C5" t="str">
            <v>Pipeline</v>
          </cell>
        </row>
        <row r="6">
          <cell r="C6" t="str">
            <v>JAK inhibitor (MF)</v>
          </cell>
          <cell r="D6">
            <v>512.5</v>
          </cell>
          <cell r="E6" t="str">
            <v>IIa</v>
          </cell>
          <cell r="F6">
            <v>2012</v>
          </cell>
          <cell r="H6">
            <v>0.44063999999999998</v>
          </cell>
          <cell r="I6">
            <v>453.65405778680218</v>
          </cell>
          <cell r="J6">
            <v>0.23230068333352555</v>
          </cell>
        </row>
        <row r="7">
          <cell r="C7" t="str">
            <v>JAK inhibitor (RA)</v>
          </cell>
          <cell r="D7">
            <v>1125</v>
          </cell>
          <cell r="E7" t="str">
            <v>IIa</v>
          </cell>
          <cell r="F7">
            <v>2013</v>
          </cell>
          <cell r="H7">
            <v>0.38674999999999998</v>
          </cell>
          <cell r="I7">
            <v>358.60546017584608</v>
          </cell>
          <cell r="J7">
            <v>0.18362955652241042</v>
          </cell>
        </row>
        <row r="8">
          <cell r="C8" t="str">
            <v>JAK inhibitor (Psoriasis)</v>
          </cell>
          <cell r="D8">
            <v>275</v>
          </cell>
          <cell r="E8" t="str">
            <v>II</v>
          </cell>
          <cell r="F8">
            <v>2013</v>
          </cell>
          <cell r="H8">
            <v>0.38674999999999998</v>
          </cell>
          <cell r="I8">
            <v>129.31361478965684</v>
          </cell>
          <cell r="J8">
            <v>6.6217066869228611E-2</v>
          </cell>
        </row>
        <row r="9">
          <cell r="C9" t="str">
            <v>11β HSD1 (Type II Diabetes)</v>
          </cell>
          <cell r="D9">
            <v>1125</v>
          </cell>
          <cell r="E9" t="str">
            <v>II</v>
          </cell>
          <cell r="F9">
            <v>2012</v>
          </cell>
          <cell r="H9">
            <v>0.28050000000000003</v>
          </cell>
          <cell r="I9">
            <v>291.21917859527497</v>
          </cell>
          <cell r="J9">
            <v>0.14912335297418008</v>
          </cell>
        </row>
        <row r="10">
          <cell r="C10" t="str">
            <v>CCR5 Antagonist (HIV)</v>
          </cell>
          <cell r="D10">
            <v>146</v>
          </cell>
          <cell r="E10" t="str">
            <v>II</v>
          </cell>
          <cell r="F10">
            <v>2012</v>
          </cell>
          <cell r="H10">
            <v>0.38674999999999998</v>
          </cell>
          <cell r="I10">
            <v>18.83911197082508</v>
          </cell>
          <cell r="J10">
            <v>9.6468630867535578E-3</v>
          </cell>
        </row>
        <row r="11">
          <cell r="C11" t="str">
            <v>Sheddase (Oncology)</v>
          </cell>
          <cell r="D11">
            <v>1062.5</v>
          </cell>
          <cell r="E11" t="str">
            <v>II</v>
          </cell>
          <cell r="F11">
            <v>2012</v>
          </cell>
          <cell r="H11">
            <v>0.28799999999999998</v>
          </cell>
          <cell r="I11">
            <v>271.23321717729681</v>
          </cell>
          <cell r="J11">
            <v>0.13888922762076886</v>
          </cell>
        </row>
        <row r="12">
          <cell r="C12" t="str">
            <v>CCR2 Antagonist w/PFE</v>
          </cell>
          <cell r="D12">
            <v>1387.5</v>
          </cell>
          <cell r="E12" t="str">
            <v>I</v>
          </cell>
          <cell r="F12">
            <v>2013</v>
          </cell>
          <cell r="H12">
            <v>0.23887499999999998</v>
          </cell>
          <cell r="I12">
            <v>62.059656015357454</v>
          </cell>
          <cell r="J12">
            <v>3.1778621291614698E-2</v>
          </cell>
        </row>
        <row r="13">
          <cell r="C13" t="str">
            <v>HM74A (Type II Diabetes)</v>
          </cell>
          <cell r="D13">
            <v>525</v>
          </cell>
          <cell r="E13" t="str">
            <v>I</v>
          </cell>
          <cell r="F13">
            <v>2015</v>
          </cell>
          <cell r="H13">
            <v>0.21037500000000001</v>
          </cell>
          <cell r="I13">
            <v>75.590988756512147</v>
          </cell>
          <cell r="J13">
            <v>3.8707552683783078E-2</v>
          </cell>
        </row>
        <row r="14">
          <cell r="C14" t="str">
            <v>CCR2 (MS)</v>
          </cell>
          <cell r="D14">
            <v>750</v>
          </cell>
          <cell r="E14" t="str">
            <v>I</v>
          </cell>
          <cell r="F14">
            <v>2013</v>
          </cell>
          <cell r="H14">
            <v>0.27072499999999999</v>
          </cell>
          <cell r="I14">
            <v>292.3591156030821</v>
          </cell>
          <cell r="J14">
            <v>0.14970707561773511</v>
          </cell>
        </row>
        <row r="15">
          <cell r="I15">
            <v>1952.8744008706537</v>
          </cell>
          <cell r="J15">
            <v>1</v>
          </cell>
        </row>
        <row r="16">
          <cell r="I16">
            <v>22.992886359805908</v>
          </cell>
          <cell r="J16" t="str">
            <v>per share</v>
          </cell>
        </row>
        <row r="18">
          <cell r="C18" t="str">
            <v>IND Technology Discovery Engine</v>
          </cell>
        </row>
        <row r="19">
          <cell r="C19" t="str">
            <v>IND #1</v>
          </cell>
          <cell r="D19">
            <v>593.75</v>
          </cell>
          <cell r="E19" t="str">
            <v>Preclinical</v>
          </cell>
          <cell r="F19">
            <v>2013</v>
          </cell>
          <cell r="H19">
            <v>0.1925</v>
          </cell>
          <cell r="I19">
            <v>135.08361555722229</v>
          </cell>
          <cell r="J19">
            <v>0.89713509724369267</v>
          </cell>
        </row>
        <row r="20">
          <cell r="C20" t="str">
            <v>IND #2</v>
          </cell>
          <cell r="D20">
            <v>531.25</v>
          </cell>
          <cell r="E20" t="str">
            <v>Preclinical</v>
          </cell>
          <cell r="F20">
            <v>2013</v>
          </cell>
          <cell r="H20">
            <v>0.1925</v>
          </cell>
          <cell r="I20">
            <v>15.488595888128113</v>
          </cell>
          <cell r="J20">
            <v>0.10286490275630732</v>
          </cell>
        </row>
        <row r="21">
          <cell r="I21">
            <v>150.5722114453504</v>
          </cell>
        </row>
        <row r="22">
          <cell r="I22">
            <v>1.7728174147626177</v>
          </cell>
          <cell r="J22" t="str">
            <v>per share</v>
          </cell>
        </row>
        <row r="24">
          <cell r="C24" t="str">
            <v>Corporate / Capital Costs</v>
          </cell>
        </row>
        <row r="25">
          <cell r="I25">
            <v>-433.25967808793183</v>
          </cell>
        </row>
        <row r="26">
          <cell r="I26">
            <v>-433.25967808793183</v>
          </cell>
        </row>
        <row r="27">
          <cell r="I27">
            <v>-5.1011424688247118</v>
          </cell>
          <cell r="J27" t="str">
            <v>per share</v>
          </cell>
        </row>
        <row r="29">
          <cell r="C29" t="str">
            <v>Cash &amp; Marketable Securities</v>
          </cell>
        </row>
        <row r="30">
          <cell r="I30">
            <v>-258.19600572179729</v>
          </cell>
        </row>
        <row r="31">
          <cell r="I31">
            <v>-258.19600572179729</v>
          </cell>
        </row>
        <row r="32">
          <cell r="I32">
            <v>-3.0399658142225241</v>
          </cell>
          <cell r="J32" t="str">
            <v>per share</v>
          </cell>
        </row>
        <row r="35">
          <cell r="C35" t="str">
            <v>Total INCY</v>
          </cell>
        </row>
        <row r="36">
          <cell r="H36" t="str">
            <v xml:space="preserve">Total </v>
          </cell>
          <cell r="I36">
            <v>1411.9909285062752</v>
          </cell>
          <cell r="J36">
            <v>1</v>
          </cell>
        </row>
        <row r="37">
          <cell r="H37" t="str">
            <v>Shares Out. (Diluted)</v>
          </cell>
          <cell r="I37">
            <v>84.933851727484409</v>
          </cell>
        </row>
        <row r="38">
          <cell r="H38" t="str">
            <v>Per Share</v>
          </cell>
          <cell r="I38">
            <v>16.624595491521291</v>
          </cell>
        </row>
        <row r="41">
          <cell r="C41" t="str">
            <v>WACC</v>
          </cell>
          <cell r="D41">
            <v>0.11</v>
          </cell>
        </row>
        <row r="42">
          <cell r="G42">
            <v>1.3</v>
          </cell>
        </row>
        <row r="43">
          <cell r="G43">
            <v>4.2500000000000003E-2</v>
          </cell>
        </row>
        <row r="44">
          <cell r="G44">
            <v>3.6499999999999998E-2</v>
          </cell>
        </row>
        <row r="45">
          <cell r="G45">
            <v>8.9950000000000002E-2</v>
          </cell>
        </row>
        <row r="48">
          <cell r="C48" t="str">
            <v>Time of Valuation</v>
          </cell>
          <cell r="D48">
            <v>2008</v>
          </cell>
        </row>
        <row r="52">
          <cell r="C52" t="str">
            <v>Revenues</v>
          </cell>
          <cell r="D52">
            <v>2005</v>
          </cell>
          <cell r="E52">
            <v>2006</v>
          </cell>
          <cell r="F52">
            <v>2007</v>
          </cell>
          <cell r="G52">
            <v>2008</v>
          </cell>
          <cell r="H52">
            <v>2009</v>
          </cell>
          <cell r="I52">
            <v>2010</v>
          </cell>
          <cell r="J52">
            <v>2011</v>
          </cell>
          <cell r="K52">
            <v>2012</v>
          </cell>
          <cell r="L52">
            <v>2013</v>
          </cell>
          <cell r="M52">
            <v>2014</v>
          </cell>
          <cell r="N52">
            <v>2015</v>
          </cell>
          <cell r="O52">
            <v>2016</v>
          </cell>
          <cell r="P52">
            <v>2017</v>
          </cell>
          <cell r="Q52">
            <v>2018</v>
          </cell>
          <cell r="R52">
            <v>2019</v>
          </cell>
          <cell r="S52">
            <v>2020</v>
          </cell>
          <cell r="T52">
            <v>2021</v>
          </cell>
          <cell r="U52">
            <v>2022</v>
          </cell>
          <cell r="V52">
            <v>2023</v>
          </cell>
          <cell r="W52">
            <v>2024</v>
          </cell>
        </row>
        <row r="54">
          <cell r="C54" t="str">
            <v>CCR5 1st Generation</v>
          </cell>
          <cell r="D54">
            <v>0</v>
          </cell>
          <cell r="E54">
            <v>0</v>
          </cell>
          <cell r="F54">
            <v>0</v>
          </cell>
          <cell r="G54">
            <v>0</v>
          </cell>
          <cell r="H54">
            <v>0</v>
          </cell>
          <cell r="I54">
            <v>0</v>
          </cell>
          <cell r="J54">
            <v>0</v>
          </cell>
          <cell r="K54">
            <v>21.9</v>
          </cell>
          <cell r="L54">
            <v>58.400000000000006</v>
          </cell>
          <cell r="M54">
            <v>87.6</v>
          </cell>
          <cell r="N54">
            <v>109.5</v>
          </cell>
          <cell r="O54">
            <v>124.1</v>
          </cell>
          <cell r="P54">
            <v>131.4</v>
          </cell>
          <cell r="Q54">
            <v>146</v>
          </cell>
          <cell r="R54">
            <v>146</v>
          </cell>
          <cell r="S54">
            <v>131.4</v>
          </cell>
          <cell r="T54">
            <v>98.550000000000011</v>
          </cell>
          <cell r="U54">
            <v>49.275000000000006</v>
          </cell>
          <cell r="V54">
            <v>24.637500000000003</v>
          </cell>
          <cell r="W54">
            <v>12.318750000000001</v>
          </cell>
        </row>
        <row r="55">
          <cell r="C55" t="str">
            <v>INCB13739</v>
          </cell>
          <cell r="D55">
            <v>0</v>
          </cell>
          <cell r="E55">
            <v>0</v>
          </cell>
          <cell r="F55">
            <v>0</v>
          </cell>
          <cell r="G55">
            <v>0</v>
          </cell>
          <cell r="H55">
            <v>0</v>
          </cell>
          <cell r="I55">
            <v>0</v>
          </cell>
          <cell r="J55">
            <v>0</v>
          </cell>
          <cell r="K55">
            <v>168.75</v>
          </cell>
          <cell r="L55">
            <v>450</v>
          </cell>
          <cell r="M55">
            <v>675</v>
          </cell>
          <cell r="N55">
            <v>843.75</v>
          </cell>
          <cell r="O55">
            <v>956.25</v>
          </cell>
          <cell r="P55">
            <v>1012.5</v>
          </cell>
          <cell r="Q55">
            <v>1125</v>
          </cell>
          <cell r="R55">
            <v>1125</v>
          </cell>
          <cell r="S55">
            <v>1012.5</v>
          </cell>
          <cell r="T55">
            <v>759.375</v>
          </cell>
          <cell r="U55">
            <v>379.6875</v>
          </cell>
          <cell r="V55">
            <v>189.84375</v>
          </cell>
          <cell r="W55">
            <v>94.921875</v>
          </cell>
        </row>
        <row r="56">
          <cell r="C56" t="str">
            <v>MS CCR2</v>
          </cell>
          <cell r="D56">
            <v>0</v>
          </cell>
          <cell r="E56">
            <v>0</v>
          </cell>
          <cell r="F56">
            <v>0</v>
          </cell>
          <cell r="G56">
            <v>0</v>
          </cell>
          <cell r="H56">
            <v>0</v>
          </cell>
          <cell r="I56">
            <v>0</v>
          </cell>
          <cell r="J56">
            <v>0</v>
          </cell>
          <cell r="K56">
            <v>0</v>
          </cell>
          <cell r="L56">
            <v>112.5</v>
          </cell>
          <cell r="M56">
            <v>300</v>
          </cell>
          <cell r="N56">
            <v>450</v>
          </cell>
          <cell r="O56">
            <v>562.5</v>
          </cell>
          <cell r="P56">
            <v>637.5</v>
          </cell>
          <cell r="Q56">
            <v>675</v>
          </cell>
          <cell r="R56">
            <v>750</v>
          </cell>
          <cell r="S56">
            <v>675</v>
          </cell>
          <cell r="T56">
            <v>506.25</v>
          </cell>
          <cell r="U56">
            <v>253.125</v>
          </cell>
          <cell r="V56">
            <v>126.5625</v>
          </cell>
          <cell r="W56">
            <v>63.28125</v>
          </cell>
        </row>
        <row r="57">
          <cell r="C57" t="str">
            <v>INCB7839 (Sheddase)</v>
          </cell>
          <cell r="D57">
            <v>0</v>
          </cell>
          <cell r="E57">
            <v>0</v>
          </cell>
          <cell r="F57">
            <v>0</v>
          </cell>
          <cell r="G57">
            <v>0</v>
          </cell>
          <cell r="H57">
            <v>0</v>
          </cell>
          <cell r="I57">
            <v>0</v>
          </cell>
          <cell r="J57">
            <v>0</v>
          </cell>
          <cell r="K57">
            <v>159.375</v>
          </cell>
          <cell r="L57">
            <v>425</v>
          </cell>
          <cell r="M57">
            <v>637.5</v>
          </cell>
          <cell r="N57">
            <v>796.875</v>
          </cell>
          <cell r="O57">
            <v>903.125</v>
          </cell>
          <cell r="P57">
            <v>956.25</v>
          </cell>
          <cell r="Q57">
            <v>1062.5</v>
          </cell>
          <cell r="R57">
            <v>1062.5</v>
          </cell>
          <cell r="S57">
            <v>956.25</v>
          </cell>
          <cell r="T57">
            <v>717.1875</v>
          </cell>
          <cell r="U57">
            <v>358.59375</v>
          </cell>
          <cell r="V57">
            <v>179.296875</v>
          </cell>
          <cell r="W57">
            <v>89.6484375</v>
          </cell>
        </row>
        <row r="58">
          <cell r="C58" t="str">
            <v>CCR5 2nd Generation</v>
          </cell>
          <cell r="D58">
            <v>0</v>
          </cell>
          <cell r="E58">
            <v>0</v>
          </cell>
          <cell r="F58">
            <v>0</v>
          </cell>
          <cell r="G58">
            <v>0</v>
          </cell>
          <cell r="H58">
            <v>0</v>
          </cell>
          <cell r="I58">
            <v>0</v>
          </cell>
          <cell r="J58">
            <v>0</v>
          </cell>
          <cell r="K58">
            <v>0</v>
          </cell>
          <cell r="L58">
            <v>89.0625</v>
          </cell>
          <cell r="M58">
            <v>237.5</v>
          </cell>
          <cell r="N58">
            <v>356.25</v>
          </cell>
          <cell r="O58">
            <v>445.3125</v>
          </cell>
          <cell r="P58">
            <v>504.6875</v>
          </cell>
          <cell r="Q58">
            <v>534.375</v>
          </cell>
          <cell r="R58">
            <v>593.75</v>
          </cell>
          <cell r="S58">
            <v>593.75</v>
          </cell>
          <cell r="T58">
            <v>593.75</v>
          </cell>
          <cell r="U58">
            <v>445.3125</v>
          </cell>
          <cell r="V58">
            <v>333.984375</v>
          </cell>
          <cell r="W58">
            <v>250.48828125</v>
          </cell>
        </row>
        <row r="59">
          <cell r="C59" t="str">
            <v>CCR2 2nd Generation</v>
          </cell>
          <cell r="D59">
            <v>0</v>
          </cell>
          <cell r="E59">
            <v>0</v>
          </cell>
          <cell r="F59">
            <v>0</v>
          </cell>
          <cell r="G59">
            <v>0</v>
          </cell>
          <cell r="H59">
            <v>0</v>
          </cell>
          <cell r="I59">
            <v>0</v>
          </cell>
          <cell r="J59">
            <v>0</v>
          </cell>
          <cell r="K59">
            <v>0</v>
          </cell>
          <cell r="L59">
            <v>208.125</v>
          </cell>
          <cell r="M59">
            <v>555</v>
          </cell>
          <cell r="N59">
            <v>832.5</v>
          </cell>
          <cell r="O59">
            <v>1040.625</v>
          </cell>
          <cell r="P59">
            <v>1179.375</v>
          </cell>
          <cell r="Q59">
            <v>1248.75</v>
          </cell>
          <cell r="R59">
            <v>1387.5</v>
          </cell>
          <cell r="S59">
            <v>1387.5</v>
          </cell>
          <cell r="T59">
            <v>1387.5</v>
          </cell>
          <cell r="U59">
            <v>971.24999999999989</v>
          </cell>
          <cell r="V59">
            <v>679.87499999999989</v>
          </cell>
          <cell r="W59">
            <v>475.91249999999991</v>
          </cell>
        </row>
        <row r="60">
          <cell r="C60" t="str">
            <v>Sheddase 2nd Generation</v>
          </cell>
          <cell r="D60">
            <v>0</v>
          </cell>
          <cell r="E60">
            <v>0</v>
          </cell>
          <cell r="F60">
            <v>0</v>
          </cell>
          <cell r="G60">
            <v>0</v>
          </cell>
          <cell r="H60">
            <v>0</v>
          </cell>
          <cell r="I60">
            <v>0</v>
          </cell>
          <cell r="J60">
            <v>0</v>
          </cell>
          <cell r="K60">
            <v>0</v>
          </cell>
          <cell r="L60">
            <v>79.6875</v>
          </cell>
          <cell r="M60">
            <v>212.5</v>
          </cell>
          <cell r="N60">
            <v>318.75</v>
          </cell>
          <cell r="O60">
            <v>398.4375</v>
          </cell>
          <cell r="P60">
            <v>451.5625</v>
          </cell>
          <cell r="Q60">
            <v>478.125</v>
          </cell>
          <cell r="R60">
            <v>531.25</v>
          </cell>
          <cell r="S60">
            <v>531.25</v>
          </cell>
          <cell r="T60">
            <v>531.25</v>
          </cell>
          <cell r="U60">
            <v>265.625</v>
          </cell>
          <cell r="V60">
            <v>132.8125</v>
          </cell>
          <cell r="W60">
            <v>66.40625</v>
          </cell>
        </row>
        <row r="62">
          <cell r="C62" t="str">
            <v xml:space="preserve">Total </v>
          </cell>
          <cell r="D62">
            <v>0</v>
          </cell>
          <cell r="E62">
            <v>0</v>
          </cell>
          <cell r="F62">
            <v>0</v>
          </cell>
          <cell r="G62">
            <v>0</v>
          </cell>
          <cell r="H62">
            <v>0</v>
          </cell>
          <cell r="I62">
            <v>0</v>
          </cell>
          <cell r="J62">
            <v>0</v>
          </cell>
          <cell r="K62">
            <v>350.02499999999998</v>
          </cell>
          <cell r="L62">
            <v>1422.7750000000001</v>
          </cell>
          <cell r="M62">
            <v>2705.1</v>
          </cell>
          <cell r="N62">
            <v>3707.625</v>
          </cell>
          <cell r="O62">
            <v>4430.3500000000004</v>
          </cell>
          <cell r="P62">
            <v>4873.2749999999996</v>
          </cell>
          <cell r="Q62">
            <v>5269.75</v>
          </cell>
          <cell r="R62">
            <v>5596</v>
          </cell>
          <cell r="S62">
            <v>5287.65</v>
          </cell>
          <cell r="T62">
            <v>4593.8625000000002</v>
          </cell>
          <cell r="U62">
            <v>2722.8687500000001</v>
          </cell>
          <cell r="V62">
            <v>1667.0124999999998</v>
          </cell>
          <cell r="W62">
            <v>1052.9773437499998</v>
          </cell>
        </row>
        <row r="65">
          <cell r="C65" t="str">
            <v>Research and Development</v>
          </cell>
          <cell r="D65">
            <v>2005</v>
          </cell>
          <cell r="E65">
            <v>2006</v>
          </cell>
          <cell r="F65">
            <v>2007</v>
          </cell>
          <cell r="G65">
            <v>2008</v>
          </cell>
          <cell r="H65">
            <v>2009</v>
          </cell>
          <cell r="I65">
            <v>2010</v>
          </cell>
          <cell r="J65">
            <v>2011</v>
          </cell>
          <cell r="K65">
            <v>2012</v>
          </cell>
          <cell r="L65">
            <v>2013</v>
          </cell>
          <cell r="M65">
            <v>2014</v>
          </cell>
          <cell r="N65">
            <v>2015</v>
          </cell>
          <cell r="O65">
            <v>2016</v>
          </cell>
          <cell r="P65">
            <v>2017</v>
          </cell>
          <cell r="Q65">
            <v>2018</v>
          </cell>
          <cell r="R65">
            <v>2019</v>
          </cell>
          <cell r="S65">
            <v>2020</v>
          </cell>
          <cell r="T65">
            <v>2021</v>
          </cell>
          <cell r="U65">
            <v>2022</v>
          </cell>
          <cell r="V65">
            <v>2023</v>
          </cell>
          <cell r="W65">
            <v>2024</v>
          </cell>
        </row>
        <row r="67">
          <cell r="C67" t="str">
            <v>CCR5 1st Generation</v>
          </cell>
          <cell r="D67">
            <v>0</v>
          </cell>
          <cell r="E67">
            <v>8</v>
          </cell>
          <cell r="F67">
            <v>12</v>
          </cell>
          <cell r="G67">
            <v>12</v>
          </cell>
          <cell r="H67">
            <v>15</v>
          </cell>
          <cell r="I67">
            <v>15</v>
          </cell>
          <cell r="J67">
            <v>10</v>
          </cell>
          <cell r="K67">
            <v>8</v>
          </cell>
          <cell r="L67">
            <v>5</v>
          </cell>
          <cell r="M67">
            <v>5</v>
          </cell>
          <cell r="N67">
            <v>5</v>
          </cell>
          <cell r="O67">
            <v>5</v>
          </cell>
          <cell r="P67">
            <v>5</v>
          </cell>
          <cell r="Q67">
            <v>5</v>
          </cell>
          <cell r="R67">
            <v>5</v>
          </cell>
          <cell r="S67">
            <v>5</v>
          </cell>
          <cell r="T67">
            <v>5</v>
          </cell>
          <cell r="U67">
            <v>5</v>
          </cell>
          <cell r="V67">
            <v>5</v>
          </cell>
          <cell r="W67">
            <v>5</v>
          </cell>
        </row>
        <row r="68">
          <cell r="C68" t="str">
            <v>INCB13739</v>
          </cell>
          <cell r="D68">
            <v>0</v>
          </cell>
          <cell r="E68">
            <v>8</v>
          </cell>
          <cell r="F68">
            <v>15</v>
          </cell>
          <cell r="G68">
            <v>15</v>
          </cell>
          <cell r="H68">
            <v>20</v>
          </cell>
          <cell r="I68">
            <v>20</v>
          </cell>
          <cell r="J68">
            <v>10</v>
          </cell>
          <cell r="K68">
            <v>8</v>
          </cell>
          <cell r="L68">
            <v>5</v>
          </cell>
          <cell r="M68">
            <v>5</v>
          </cell>
          <cell r="N68">
            <v>5</v>
          </cell>
          <cell r="O68">
            <v>5</v>
          </cell>
          <cell r="P68">
            <v>5</v>
          </cell>
          <cell r="Q68">
            <v>5</v>
          </cell>
          <cell r="R68">
            <v>5</v>
          </cell>
          <cell r="S68">
            <v>5</v>
          </cell>
          <cell r="T68">
            <v>5</v>
          </cell>
          <cell r="U68">
            <v>5</v>
          </cell>
          <cell r="V68">
            <v>5</v>
          </cell>
          <cell r="W68">
            <v>5</v>
          </cell>
        </row>
        <row r="69">
          <cell r="C69" t="str">
            <v>MS CCR2</v>
          </cell>
          <cell r="D69">
            <v>0</v>
          </cell>
          <cell r="E69">
            <v>2</v>
          </cell>
          <cell r="F69">
            <v>8</v>
          </cell>
          <cell r="G69">
            <v>15</v>
          </cell>
          <cell r="H69">
            <v>15</v>
          </cell>
          <cell r="I69">
            <v>20</v>
          </cell>
          <cell r="J69">
            <v>20</v>
          </cell>
          <cell r="K69">
            <v>15</v>
          </cell>
          <cell r="L69">
            <v>10</v>
          </cell>
          <cell r="M69">
            <v>5</v>
          </cell>
          <cell r="N69">
            <v>5</v>
          </cell>
          <cell r="O69">
            <v>5</v>
          </cell>
          <cell r="P69">
            <v>5</v>
          </cell>
          <cell r="Q69">
            <v>5</v>
          </cell>
          <cell r="R69">
            <v>5</v>
          </cell>
          <cell r="S69">
            <v>5</v>
          </cell>
          <cell r="T69">
            <v>5</v>
          </cell>
          <cell r="U69">
            <v>5</v>
          </cell>
          <cell r="V69">
            <v>5</v>
          </cell>
          <cell r="W69">
            <v>5</v>
          </cell>
        </row>
        <row r="70">
          <cell r="C70" t="str">
            <v>INCB7839 (Sheddase)</v>
          </cell>
          <cell r="D70">
            <v>0</v>
          </cell>
          <cell r="E70">
            <v>18</v>
          </cell>
          <cell r="F70">
            <v>18</v>
          </cell>
          <cell r="G70">
            <v>18</v>
          </cell>
          <cell r="H70">
            <v>22</v>
          </cell>
          <cell r="I70">
            <v>22</v>
          </cell>
          <cell r="J70">
            <v>15</v>
          </cell>
          <cell r="K70">
            <v>10</v>
          </cell>
          <cell r="L70">
            <v>5</v>
          </cell>
          <cell r="M70">
            <v>5</v>
          </cell>
          <cell r="N70">
            <v>5</v>
          </cell>
          <cell r="O70">
            <v>5</v>
          </cell>
          <cell r="P70">
            <v>5</v>
          </cell>
          <cell r="Q70">
            <v>5</v>
          </cell>
          <cell r="R70">
            <v>5</v>
          </cell>
          <cell r="S70">
            <v>5</v>
          </cell>
          <cell r="T70">
            <v>5</v>
          </cell>
          <cell r="U70">
            <v>5</v>
          </cell>
          <cell r="V70">
            <v>5</v>
          </cell>
          <cell r="W70">
            <v>5</v>
          </cell>
        </row>
        <row r="71">
          <cell r="C71" t="str">
            <v>CCR5 2nd Generation</v>
          </cell>
          <cell r="D71">
            <v>0</v>
          </cell>
          <cell r="E71">
            <v>2</v>
          </cell>
          <cell r="F71">
            <v>5</v>
          </cell>
          <cell r="G71">
            <v>8</v>
          </cell>
          <cell r="H71">
            <v>8</v>
          </cell>
          <cell r="I71">
            <v>20</v>
          </cell>
          <cell r="J71">
            <v>20</v>
          </cell>
          <cell r="K71">
            <v>15</v>
          </cell>
          <cell r="L71">
            <v>8</v>
          </cell>
          <cell r="M71">
            <v>5</v>
          </cell>
          <cell r="N71">
            <v>5</v>
          </cell>
          <cell r="O71">
            <v>5</v>
          </cell>
          <cell r="P71">
            <v>5</v>
          </cell>
          <cell r="Q71">
            <v>5</v>
          </cell>
          <cell r="R71">
            <v>5</v>
          </cell>
          <cell r="S71">
            <v>5</v>
          </cell>
          <cell r="T71">
            <v>5</v>
          </cell>
          <cell r="U71">
            <v>5</v>
          </cell>
          <cell r="V71">
            <v>5</v>
          </cell>
          <cell r="W71">
            <v>5</v>
          </cell>
        </row>
        <row r="72">
          <cell r="C72" t="str">
            <v>CCR2 2nd Generation</v>
          </cell>
          <cell r="D72">
            <v>0</v>
          </cell>
          <cell r="E72">
            <v>2</v>
          </cell>
          <cell r="F72">
            <v>5</v>
          </cell>
          <cell r="G72">
            <v>5</v>
          </cell>
          <cell r="H72">
            <v>8</v>
          </cell>
          <cell r="I72">
            <v>20</v>
          </cell>
          <cell r="J72">
            <v>20</v>
          </cell>
          <cell r="K72">
            <v>15</v>
          </cell>
          <cell r="L72">
            <v>8</v>
          </cell>
          <cell r="M72">
            <v>5</v>
          </cell>
          <cell r="N72">
            <v>5</v>
          </cell>
          <cell r="O72">
            <v>5</v>
          </cell>
          <cell r="P72">
            <v>5</v>
          </cell>
          <cell r="Q72">
            <v>5</v>
          </cell>
          <cell r="R72">
            <v>5</v>
          </cell>
          <cell r="S72">
            <v>5</v>
          </cell>
          <cell r="T72">
            <v>5</v>
          </cell>
          <cell r="U72">
            <v>5</v>
          </cell>
          <cell r="V72">
            <v>5</v>
          </cell>
          <cell r="W72">
            <v>5</v>
          </cell>
        </row>
        <row r="73">
          <cell r="C73" t="str">
            <v>Sheddase 2nd Generation</v>
          </cell>
          <cell r="D73">
            <v>0</v>
          </cell>
          <cell r="E73">
            <v>2</v>
          </cell>
          <cell r="F73">
            <v>15</v>
          </cell>
          <cell r="G73">
            <v>18</v>
          </cell>
          <cell r="H73">
            <v>18</v>
          </cell>
          <cell r="I73">
            <v>25</v>
          </cell>
          <cell r="J73">
            <v>25</v>
          </cell>
          <cell r="K73">
            <v>18</v>
          </cell>
          <cell r="L73">
            <v>10</v>
          </cell>
          <cell r="M73">
            <v>5</v>
          </cell>
          <cell r="N73">
            <v>5</v>
          </cell>
          <cell r="O73">
            <v>5</v>
          </cell>
          <cell r="P73">
            <v>5</v>
          </cell>
          <cell r="Q73">
            <v>5</v>
          </cell>
          <cell r="R73">
            <v>5</v>
          </cell>
          <cell r="S73">
            <v>5</v>
          </cell>
          <cell r="T73">
            <v>5</v>
          </cell>
          <cell r="U73">
            <v>5</v>
          </cell>
          <cell r="V73">
            <v>5</v>
          </cell>
          <cell r="W73">
            <v>5</v>
          </cell>
        </row>
        <row r="75">
          <cell r="C75" t="str">
            <v>Total - D</v>
          </cell>
          <cell r="D75">
            <v>0</v>
          </cell>
          <cell r="E75">
            <v>42</v>
          </cell>
          <cell r="F75">
            <v>78</v>
          </cell>
          <cell r="G75">
            <v>91</v>
          </cell>
          <cell r="H75">
            <v>106</v>
          </cell>
          <cell r="I75">
            <v>142</v>
          </cell>
          <cell r="J75">
            <v>120</v>
          </cell>
          <cell r="K75">
            <v>89</v>
          </cell>
          <cell r="L75">
            <v>51</v>
          </cell>
          <cell r="M75">
            <v>35</v>
          </cell>
          <cell r="N75">
            <v>35</v>
          </cell>
          <cell r="O75">
            <v>35</v>
          </cell>
          <cell r="P75">
            <v>35</v>
          </cell>
          <cell r="Q75">
            <v>35</v>
          </cell>
          <cell r="R75">
            <v>35</v>
          </cell>
          <cell r="S75">
            <v>35</v>
          </cell>
          <cell r="T75">
            <v>35</v>
          </cell>
          <cell r="U75">
            <v>35</v>
          </cell>
          <cell r="V75">
            <v>35</v>
          </cell>
          <cell r="W75">
            <v>35</v>
          </cell>
        </row>
        <row r="76">
          <cell r="C76" t="str">
            <v>Total D Implied from INCY</v>
          </cell>
          <cell r="D76">
            <v>23.904499999999999</v>
          </cell>
          <cell r="E76">
            <v>20.449249999999999</v>
          </cell>
          <cell r="F76">
            <v>24.497250000000008</v>
          </cell>
          <cell r="G76">
            <v>39</v>
          </cell>
          <cell r="H76">
            <v>54</v>
          </cell>
          <cell r="I76">
            <v>56.160000000000011</v>
          </cell>
          <cell r="J76">
            <v>72.840625000000003</v>
          </cell>
          <cell r="K76">
            <v>89.593968749999988</v>
          </cell>
          <cell r="L76">
            <v>99.486636132812478</v>
          </cell>
          <cell r="M76">
            <v>101.97380203613278</v>
          </cell>
          <cell r="N76">
            <v>112.56338917065425</v>
          </cell>
          <cell r="O76">
            <v>118.67397315420403</v>
          </cell>
          <cell r="P76">
            <v>121.64082248305913</v>
          </cell>
          <cell r="Q76">
            <v>124.68184304513558</v>
          </cell>
          <cell r="R76">
            <v>127.79888912126395</v>
          </cell>
          <cell r="S76">
            <v>130.99386134929557</v>
          </cell>
          <cell r="T76">
            <v>134.26870788302796</v>
          </cell>
          <cell r="U76">
            <v>137.62542558010361</v>
          </cell>
          <cell r="V76">
            <v>141.06606121960618</v>
          </cell>
          <cell r="W76">
            <v>144.59271275009633</v>
          </cell>
        </row>
        <row r="78">
          <cell r="C78" t="str">
            <v>Total R&amp;D (from Incyte Model)</v>
          </cell>
          <cell r="D78">
            <v>95.617999999999995</v>
          </cell>
          <cell r="E78">
            <v>81.796999999999997</v>
          </cell>
          <cell r="F78">
            <v>97.989000000000004</v>
          </cell>
          <cell r="G78">
            <v>130</v>
          </cell>
          <cell r="H78">
            <v>135</v>
          </cell>
          <cell r="I78">
            <v>140.4</v>
          </cell>
          <cell r="J78">
            <v>145.68125000000001</v>
          </cell>
          <cell r="K78">
            <v>149.32328124999998</v>
          </cell>
          <cell r="L78">
            <v>153.05636328124996</v>
          </cell>
          <cell r="M78">
            <v>156.88277236328119</v>
          </cell>
          <cell r="N78">
            <v>160.80484167236321</v>
          </cell>
          <cell r="O78">
            <v>164.82496271417227</v>
          </cell>
          <cell r="P78">
            <v>168.94558678202657</v>
          </cell>
          <cell r="Q78">
            <v>173.1692264515772</v>
          </cell>
          <cell r="R78">
            <v>177.49845711286662</v>
          </cell>
          <cell r="S78">
            <v>181.93591854068828</v>
          </cell>
          <cell r="T78">
            <v>186.48431650420548</v>
          </cell>
          <cell r="U78">
            <v>191.14642441681059</v>
          </cell>
          <cell r="V78">
            <v>195.92508502723084</v>
          </cell>
          <cell r="W78">
            <v>200.82321215291159</v>
          </cell>
        </row>
        <row r="79">
          <cell r="C79" t="str">
            <v xml:space="preserve">   % Growth</v>
          </cell>
          <cell r="E79">
            <v>-0.14454391432575453</v>
          </cell>
          <cell r="F79">
            <v>0.19795347017616782</v>
          </cell>
          <cell r="G79">
            <v>0.3266795252528345</v>
          </cell>
          <cell r="H79">
            <v>3.8461538461538547E-2</v>
          </cell>
          <cell r="I79">
            <v>4.0000000000000036E-2</v>
          </cell>
          <cell r="J79">
            <v>3.76157407407407E-2</v>
          </cell>
          <cell r="K79">
            <v>2.5000000000000001E-2</v>
          </cell>
          <cell r="L79">
            <v>2.5000000000000001E-2</v>
          </cell>
          <cell r="M79">
            <v>2.5000000000000001E-2</v>
          </cell>
          <cell r="N79">
            <v>2.5000000000000001E-2</v>
          </cell>
          <cell r="O79">
            <v>2.5000000000000001E-2</v>
          </cell>
          <cell r="P79">
            <v>2.5000000000000001E-2</v>
          </cell>
          <cell r="Q79">
            <v>2.5000000000000001E-2</v>
          </cell>
          <cell r="R79">
            <v>2.5000000000000001E-2</v>
          </cell>
          <cell r="S79">
            <v>2.5000000000000001E-2</v>
          </cell>
          <cell r="T79">
            <v>2.5000000000000001E-2</v>
          </cell>
          <cell r="U79">
            <v>2.5000000000000001E-2</v>
          </cell>
          <cell r="V79">
            <v>2.5000000000000001E-2</v>
          </cell>
          <cell r="W79">
            <v>2.5000000000000001E-2</v>
          </cell>
        </row>
        <row r="81">
          <cell r="C81" t="str">
            <v>R As a % of R&amp;D</v>
          </cell>
          <cell r="D81">
            <v>0.75</v>
          </cell>
          <cell r="E81">
            <v>0.75</v>
          </cell>
          <cell r="F81">
            <v>0.75</v>
          </cell>
          <cell r="G81">
            <v>0.7</v>
          </cell>
          <cell r="H81">
            <v>0.6</v>
          </cell>
          <cell r="I81">
            <v>0.6</v>
          </cell>
          <cell r="J81">
            <v>0.5</v>
          </cell>
          <cell r="K81">
            <v>0.4</v>
          </cell>
          <cell r="L81">
            <v>0.35</v>
          </cell>
          <cell r="M81">
            <v>0.35</v>
          </cell>
          <cell r="N81">
            <v>0.3</v>
          </cell>
          <cell r="O81">
            <v>0.28000000000000003</v>
          </cell>
          <cell r="P81">
            <v>0.28000000000000003</v>
          </cell>
          <cell r="Q81">
            <v>0.28000000000000003</v>
          </cell>
          <cell r="R81">
            <v>0.28000000000000003</v>
          </cell>
          <cell r="S81">
            <v>0.28000000000000003</v>
          </cell>
          <cell r="T81">
            <v>0.28000000000000003</v>
          </cell>
          <cell r="U81">
            <v>0.28000000000000003</v>
          </cell>
          <cell r="V81">
            <v>0.28000000000000003</v>
          </cell>
          <cell r="W81">
            <v>0.28000000000000003</v>
          </cell>
        </row>
        <row r="82">
          <cell r="C82" t="str">
            <v>Total - R</v>
          </cell>
          <cell r="D82">
            <v>71.713499999999996</v>
          </cell>
          <cell r="E82">
            <v>61.347749999999998</v>
          </cell>
          <cell r="F82">
            <v>73.491749999999996</v>
          </cell>
          <cell r="G82">
            <v>91</v>
          </cell>
          <cell r="H82">
            <v>81</v>
          </cell>
          <cell r="I82">
            <v>84.24</v>
          </cell>
          <cell r="J82">
            <v>72.840625000000003</v>
          </cell>
          <cell r="K82">
            <v>59.729312499999992</v>
          </cell>
          <cell r="L82">
            <v>53.56972714843748</v>
          </cell>
          <cell r="M82">
            <v>54.908970327148417</v>
          </cell>
          <cell r="N82">
            <v>48.241452501708963</v>
          </cell>
          <cell r="O82">
            <v>46.150989559968238</v>
          </cell>
          <cell r="P82">
            <v>47.304764298967442</v>
          </cell>
          <cell r="Q82">
            <v>48.487383406441623</v>
          </cell>
          <cell r="R82">
            <v>49.699567991602656</v>
          </cell>
          <cell r="S82">
            <v>50.94205719139272</v>
          </cell>
          <cell r="T82">
            <v>52.215608621177537</v>
          </cell>
          <cell r="U82">
            <v>53.520998836706973</v>
          </cell>
          <cell r="V82">
            <v>54.859023807624638</v>
          </cell>
          <cell r="W82">
            <v>56.230499402815255</v>
          </cell>
        </row>
        <row r="84">
          <cell r="C84" t="str">
            <v>SG&amp;A</v>
          </cell>
          <cell r="D84">
            <v>2005</v>
          </cell>
          <cell r="E84">
            <v>2006</v>
          </cell>
          <cell r="F84">
            <v>2007</v>
          </cell>
          <cell r="G84">
            <v>2008</v>
          </cell>
          <cell r="H84">
            <v>2009</v>
          </cell>
          <cell r="I84">
            <v>2010</v>
          </cell>
          <cell r="J84">
            <v>2011</v>
          </cell>
          <cell r="K84">
            <v>2012</v>
          </cell>
          <cell r="L84">
            <v>2013</v>
          </cell>
          <cell r="M84">
            <v>2014</v>
          </cell>
          <cell r="N84">
            <v>2015</v>
          </cell>
          <cell r="O84">
            <v>2016</v>
          </cell>
          <cell r="P84">
            <v>2017</v>
          </cell>
          <cell r="Q84">
            <v>2018</v>
          </cell>
          <cell r="R84">
            <v>2019</v>
          </cell>
          <cell r="S84">
            <v>2020</v>
          </cell>
          <cell r="T84">
            <v>2021</v>
          </cell>
          <cell r="U84">
            <v>2022</v>
          </cell>
          <cell r="V84">
            <v>2023</v>
          </cell>
          <cell r="W84">
            <v>2024</v>
          </cell>
        </row>
        <row r="86">
          <cell r="C86" t="str">
            <v>CCR5 1st Generation</v>
          </cell>
          <cell r="D86">
            <v>0</v>
          </cell>
          <cell r="E86">
            <v>1</v>
          </cell>
          <cell r="F86">
            <v>1</v>
          </cell>
          <cell r="G86">
            <v>1</v>
          </cell>
          <cell r="H86">
            <v>5</v>
          </cell>
          <cell r="I86">
            <v>5</v>
          </cell>
          <cell r="J86">
            <v>8</v>
          </cell>
          <cell r="K86">
            <v>8.76</v>
          </cell>
          <cell r="L86">
            <v>11.680000000000001</v>
          </cell>
          <cell r="M86">
            <v>8.76</v>
          </cell>
          <cell r="N86">
            <v>10.950000000000001</v>
          </cell>
          <cell r="O86">
            <v>12.41</v>
          </cell>
          <cell r="P86">
            <v>13.14</v>
          </cell>
          <cell r="Q86">
            <v>14.600000000000001</v>
          </cell>
          <cell r="R86">
            <v>14.600000000000001</v>
          </cell>
          <cell r="S86">
            <v>13.14</v>
          </cell>
          <cell r="T86">
            <v>9.8550000000000022</v>
          </cell>
          <cell r="U86">
            <v>4.9275000000000011</v>
          </cell>
          <cell r="V86">
            <v>2.4637500000000006</v>
          </cell>
          <cell r="W86">
            <v>1.2318750000000003</v>
          </cell>
        </row>
        <row r="87">
          <cell r="C87" t="str">
            <v>INCB13739</v>
          </cell>
          <cell r="D87">
            <v>0</v>
          </cell>
          <cell r="E87">
            <v>1</v>
          </cell>
          <cell r="F87">
            <v>1</v>
          </cell>
          <cell r="G87">
            <v>1</v>
          </cell>
          <cell r="H87">
            <v>5</v>
          </cell>
          <cell r="I87">
            <v>5</v>
          </cell>
          <cell r="J87">
            <v>10</v>
          </cell>
          <cell r="K87">
            <v>67.5</v>
          </cell>
          <cell r="L87">
            <v>90</v>
          </cell>
          <cell r="M87">
            <v>67.5</v>
          </cell>
          <cell r="N87">
            <v>84.375</v>
          </cell>
          <cell r="O87">
            <v>95.625</v>
          </cell>
          <cell r="P87">
            <v>101.25</v>
          </cell>
          <cell r="Q87">
            <v>112.5</v>
          </cell>
          <cell r="R87">
            <v>112.5</v>
          </cell>
          <cell r="S87">
            <v>101.25</v>
          </cell>
          <cell r="T87">
            <v>75.9375</v>
          </cell>
          <cell r="U87">
            <v>37.96875</v>
          </cell>
          <cell r="V87">
            <v>18.984375</v>
          </cell>
          <cell r="W87">
            <v>9.4921875</v>
          </cell>
        </row>
        <row r="88">
          <cell r="C88" t="str">
            <v>MS CCR2</v>
          </cell>
          <cell r="D88">
            <v>0</v>
          </cell>
          <cell r="E88">
            <v>1</v>
          </cell>
          <cell r="F88">
            <v>1</v>
          </cell>
          <cell r="G88">
            <v>1</v>
          </cell>
          <cell r="H88">
            <v>1</v>
          </cell>
          <cell r="I88">
            <v>5</v>
          </cell>
          <cell r="J88">
            <v>5</v>
          </cell>
          <cell r="K88">
            <v>10</v>
          </cell>
          <cell r="L88">
            <v>45</v>
          </cell>
          <cell r="M88">
            <v>60</v>
          </cell>
          <cell r="N88">
            <v>45</v>
          </cell>
          <cell r="O88">
            <v>56.25</v>
          </cell>
          <cell r="P88">
            <v>63.75</v>
          </cell>
          <cell r="Q88">
            <v>67.5</v>
          </cell>
          <cell r="R88">
            <v>75</v>
          </cell>
          <cell r="S88">
            <v>67.5</v>
          </cell>
          <cell r="T88">
            <v>50.625</v>
          </cell>
          <cell r="U88">
            <v>25.3125</v>
          </cell>
          <cell r="V88">
            <v>12.65625</v>
          </cell>
          <cell r="W88">
            <v>6.328125</v>
          </cell>
        </row>
        <row r="89">
          <cell r="C89" t="str">
            <v>INCB7839 (Sheddase)</v>
          </cell>
          <cell r="D89">
            <v>0</v>
          </cell>
          <cell r="E89">
            <v>1</v>
          </cell>
          <cell r="F89">
            <v>1</v>
          </cell>
          <cell r="G89">
            <v>1</v>
          </cell>
          <cell r="H89">
            <v>5</v>
          </cell>
          <cell r="I89">
            <v>5</v>
          </cell>
          <cell r="J89">
            <v>10</v>
          </cell>
          <cell r="K89">
            <v>67.5</v>
          </cell>
          <cell r="L89">
            <v>90</v>
          </cell>
          <cell r="M89">
            <v>67.5</v>
          </cell>
          <cell r="N89">
            <v>84.375</v>
          </cell>
          <cell r="O89">
            <v>95.625</v>
          </cell>
          <cell r="P89">
            <v>101.25</v>
          </cell>
          <cell r="Q89">
            <v>112.5</v>
          </cell>
          <cell r="R89">
            <v>112.5</v>
          </cell>
          <cell r="S89">
            <v>101.25</v>
          </cell>
          <cell r="T89">
            <v>75.9375</v>
          </cell>
          <cell r="U89">
            <v>37.96875</v>
          </cell>
          <cell r="V89">
            <v>18.984375</v>
          </cell>
          <cell r="W89">
            <v>9.4921875</v>
          </cell>
        </row>
        <row r="90">
          <cell r="C90" t="str">
            <v>CCR5 2nd Generation</v>
          </cell>
          <cell r="D90">
            <v>0</v>
          </cell>
          <cell r="E90">
            <v>1</v>
          </cell>
          <cell r="F90">
            <v>1</v>
          </cell>
          <cell r="G90">
            <v>1</v>
          </cell>
          <cell r="H90">
            <v>1</v>
          </cell>
          <cell r="I90">
            <v>5</v>
          </cell>
          <cell r="J90">
            <v>5</v>
          </cell>
          <cell r="K90">
            <v>10</v>
          </cell>
          <cell r="L90">
            <v>35.625</v>
          </cell>
          <cell r="M90">
            <v>47.5</v>
          </cell>
          <cell r="N90">
            <v>35.625</v>
          </cell>
          <cell r="O90">
            <v>44.53125</v>
          </cell>
          <cell r="P90">
            <v>50.46875</v>
          </cell>
          <cell r="Q90">
            <v>53.4375</v>
          </cell>
          <cell r="R90">
            <v>59.375</v>
          </cell>
          <cell r="S90">
            <v>59.375</v>
          </cell>
          <cell r="T90">
            <v>59.375</v>
          </cell>
          <cell r="U90">
            <v>44.53125</v>
          </cell>
          <cell r="V90">
            <v>33.3984375</v>
          </cell>
          <cell r="W90">
            <v>25.048828125</v>
          </cell>
        </row>
        <row r="91">
          <cell r="C91" t="str">
            <v>CCR2 2nd Generation</v>
          </cell>
          <cell r="D91">
            <v>0</v>
          </cell>
          <cell r="E91">
            <v>1</v>
          </cell>
          <cell r="F91">
            <v>1</v>
          </cell>
          <cell r="G91">
            <v>1</v>
          </cell>
          <cell r="H91">
            <v>1</v>
          </cell>
          <cell r="I91">
            <v>5</v>
          </cell>
          <cell r="J91">
            <v>5</v>
          </cell>
          <cell r="K91">
            <v>10</v>
          </cell>
          <cell r="L91">
            <v>83.25</v>
          </cell>
          <cell r="M91">
            <v>111</v>
          </cell>
          <cell r="N91">
            <v>83.25</v>
          </cell>
          <cell r="O91">
            <v>104.0625</v>
          </cell>
          <cell r="P91">
            <v>117.9375</v>
          </cell>
          <cell r="Q91">
            <v>124.875</v>
          </cell>
          <cell r="R91">
            <v>138.75</v>
          </cell>
          <cell r="S91">
            <v>138.75</v>
          </cell>
          <cell r="T91">
            <v>138.75</v>
          </cell>
          <cell r="U91">
            <v>97.125</v>
          </cell>
          <cell r="V91">
            <v>67.987499999999997</v>
          </cell>
          <cell r="W91">
            <v>47.591249999999995</v>
          </cell>
        </row>
        <row r="92">
          <cell r="C92" t="str">
            <v>Sheddase 2nd Generation</v>
          </cell>
          <cell r="D92">
            <v>0</v>
          </cell>
          <cell r="E92">
            <v>1</v>
          </cell>
          <cell r="F92">
            <v>1</v>
          </cell>
          <cell r="G92">
            <v>1</v>
          </cell>
          <cell r="H92">
            <v>1</v>
          </cell>
          <cell r="I92">
            <v>5</v>
          </cell>
          <cell r="J92">
            <v>5</v>
          </cell>
          <cell r="K92">
            <v>10</v>
          </cell>
          <cell r="L92">
            <v>31.875</v>
          </cell>
          <cell r="M92">
            <v>42.5</v>
          </cell>
          <cell r="N92">
            <v>31.875</v>
          </cell>
          <cell r="O92">
            <v>39.84375</v>
          </cell>
          <cell r="P92">
            <v>45.15625</v>
          </cell>
          <cell r="Q92">
            <v>47.8125</v>
          </cell>
          <cell r="R92">
            <v>53.125</v>
          </cell>
          <cell r="S92">
            <v>53.125</v>
          </cell>
          <cell r="T92">
            <v>53.125</v>
          </cell>
          <cell r="U92">
            <v>26.5625</v>
          </cell>
          <cell r="V92">
            <v>13.28125</v>
          </cell>
          <cell r="W92">
            <v>6.640625</v>
          </cell>
        </row>
        <row r="94">
          <cell r="C94" t="str">
            <v>Total</v>
          </cell>
          <cell r="D94">
            <v>0</v>
          </cell>
          <cell r="E94">
            <v>7</v>
          </cell>
          <cell r="F94">
            <v>7</v>
          </cell>
          <cell r="G94">
            <v>7</v>
          </cell>
          <cell r="H94">
            <v>19</v>
          </cell>
          <cell r="I94">
            <v>35</v>
          </cell>
          <cell r="J94">
            <v>48</v>
          </cell>
          <cell r="K94">
            <v>183.76</v>
          </cell>
          <cell r="L94">
            <v>387.43</v>
          </cell>
          <cell r="M94">
            <v>404.76</v>
          </cell>
          <cell r="N94">
            <v>375.45</v>
          </cell>
          <cell r="O94">
            <v>448.34749999999997</v>
          </cell>
          <cell r="P94">
            <v>492.95249999999999</v>
          </cell>
          <cell r="Q94">
            <v>533.22500000000002</v>
          </cell>
          <cell r="R94">
            <v>565.85</v>
          </cell>
          <cell r="S94">
            <v>534.39</v>
          </cell>
          <cell r="T94">
            <v>463.60500000000002</v>
          </cell>
          <cell r="U94">
            <v>274.39625000000001</v>
          </cell>
          <cell r="V94">
            <v>167.75593750000002</v>
          </cell>
          <cell r="W94">
            <v>105.825078125</v>
          </cell>
        </row>
        <row r="96">
          <cell r="C96" t="str">
            <v>Total SG&amp;A (from Incyte Model)</v>
          </cell>
          <cell r="D96">
            <v>11.657</v>
          </cell>
          <cell r="E96">
            <v>10.826999999999998</v>
          </cell>
          <cell r="F96">
            <v>12.038</v>
          </cell>
          <cell r="G96">
            <v>12</v>
          </cell>
          <cell r="H96">
            <v>11.9791656</v>
          </cell>
          <cell r="I96">
            <v>12.218748912000001</v>
          </cell>
          <cell r="J96">
            <v>15.28125</v>
          </cell>
          <cell r="K96">
            <v>15.663281249999999</v>
          </cell>
          <cell r="L96">
            <v>16.054863281249997</v>
          </cell>
          <cell r="M96">
            <v>16.456234863281246</v>
          </cell>
          <cell r="N96">
            <v>16.867640734863276</v>
          </cell>
          <cell r="O96">
            <v>17.289331753234855</v>
          </cell>
          <cell r="P96">
            <v>17.721565047065724</v>
          </cell>
          <cell r="Q96">
            <v>18.164604173242367</v>
          </cell>
          <cell r="R96">
            <v>18.618719277573426</v>
          </cell>
          <cell r="S96">
            <v>19.08418725951276</v>
          </cell>
          <cell r="T96">
            <v>19.561291941000576</v>
          </cell>
          <cell r="U96">
            <v>20.05032423952559</v>
          </cell>
          <cell r="V96">
            <v>20.551582345513729</v>
          </cell>
          <cell r="W96">
            <v>21.065371904151572</v>
          </cell>
        </row>
        <row r="97">
          <cell r="C97" t="str">
            <v xml:space="preserve">  % Growth</v>
          </cell>
          <cell r="E97">
            <v>-7.1201852963884482E-2</v>
          </cell>
          <cell r="F97">
            <v>0.11185000461808459</v>
          </cell>
          <cell r="G97">
            <v>-3.156670543279616E-3</v>
          </cell>
          <cell r="H97">
            <v>-1.7361999999999655E-3</v>
          </cell>
          <cell r="I97">
            <v>2.0000000000000018E-2</v>
          </cell>
          <cell r="J97">
            <v>0.25063949755054926</v>
          </cell>
          <cell r="K97">
            <v>2.5000000000000001E-2</v>
          </cell>
          <cell r="L97">
            <v>2.5000000000000001E-2</v>
          </cell>
          <cell r="M97">
            <v>2.5000000000000001E-2</v>
          </cell>
          <cell r="N97">
            <v>2.5000000000000001E-2</v>
          </cell>
          <cell r="O97">
            <v>2.5000000000000001E-2</v>
          </cell>
          <cell r="P97">
            <v>2.5000000000000001E-2</v>
          </cell>
          <cell r="Q97">
            <v>2.5000000000000001E-2</v>
          </cell>
          <cell r="R97">
            <v>2.5000000000000001E-2</v>
          </cell>
          <cell r="S97">
            <v>2.5000000000000001E-2</v>
          </cell>
          <cell r="T97">
            <v>2.5000000000000001E-2</v>
          </cell>
          <cell r="U97">
            <v>2.5000000000000001E-2</v>
          </cell>
          <cell r="V97">
            <v>2.5000000000000001E-2</v>
          </cell>
          <cell r="W97">
            <v>2.5000000000000001E-2</v>
          </cell>
        </row>
        <row r="99">
          <cell r="C99" t="str">
            <v>G&amp;A As a % of SG&amp;A</v>
          </cell>
          <cell r="D99">
            <v>0.85</v>
          </cell>
          <cell r="E99">
            <v>0.85</v>
          </cell>
          <cell r="F99">
            <v>0.8</v>
          </cell>
          <cell r="G99">
            <v>0.8</v>
          </cell>
          <cell r="H99">
            <v>0.75</v>
          </cell>
          <cell r="I99">
            <v>0.7</v>
          </cell>
          <cell r="J99">
            <v>0.65</v>
          </cell>
          <cell r="K99">
            <v>0.6</v>
          </cell>
          <cell r="L99">
            <v>0.5</v>
          </cell>
          <cell r="M99">
            <v>0.45</v>
          </cell>
          <cell r="N99">
            <v>0.4</v>
          </cell>
          <cell r="O99">
            <v>0.4</v>
          </cell>
          <cell r="P99">
            <v>0.4</v>
          </cell>
          <cell r="Q99">
            <v>0.4</v>
          </cell>
          <cell r="R99">
            <v>0.4</v>
          </cell>
          <cell r="S99">
            <v>0.4</v>
          </cell>
          <cell r="T99">
            <v>0.4</v>
          </cell>
          <cell r="U99">
            <v>0.4</v>
          </cell>
          <cell r="V99">
            <v>0.4</v>
          </cell>
          <cell r="W99">
            <v>0.4</v>
          </cell>
        </row>
        <row r="100">
          <cell r="C100" t="str">
            <v>Total G&amp;A</v>
          </cell>
          <cell r="D100">
            <v>9.9084500000000002</v>
          </cell>
          <cell r="E100">
            <v>9.2029499999999977</v>
          </cell>
          <cell r="F100">
            <v>9.6304000000000016</v>
          </cell>
          <cell r="G100">
            <v>9.6000000000000014</v>
          </cell>
          <cell r="H100">
            <v>8.9843741999999995</v>
          </cell>
          <cell r="I100">
            <v>8.5531242384000006</v>
          </cell>
          <cell r="J100">
            <v>9.9328125000000007</v>
          </cell>
          <cell r="K100">
            <v>9.3979687499999986</v>
          </cell>
          <cell r="L100">
            <v>8.0274316406249984</v>
          </cell>
          <cell r="M100">
            <v>7.4053056884765605</v>
          </cell>
          <cell r="N100">
            <v>6.7470562939453105</v>
          </cell>
          <cell r="O100">
            <v>6.9157327012939422</v>
          </cell>
          <cell r="P100">
            <v>7.0886260188262895</v>
          </cell>
          <cell r="Q100">
            <v>7.2658416692969467</v>
          </cell>
          <cell r="R100">
            <v>7.4474877110293711</v>
          </cell>
          <cell r="S100">
            <v>7.6336749038051046</v>
          </cell>
          <cell r="T100">
            <v>7.8245167764002304</v>
          </cell>
          <cell r="U100">
            <v>8.0201296958102368</v>
          </cell>
          <cell r="V100">
            <v>8.2206329382054921</v>
          </cell>
          <cell r="W100">
            <v>8.4261487616606292</v>
          </cell>
        </row>
        <row r="102">
          <cell r="C102" t="str">
            <v>COGS</v>
          </cell>
          <cell r="D102">
            <v>2005</v>
          </cell>
          <cell r="E102">
            <v>2006</v>
          </cell>
          <cell r="F102">
            <v>2007</v>
          </cell>
          <cell r="G102">
            <v>2008</v>
          </cell>
          <cell r="H102">
            <v>2009</v>
          </cell>
          <cell r="I102">
            <v>2010</v>
          </cell>
          <cell r="J102">
            <v>2011</v>
          </cell>
          <cell r="K102">
            <v>2012</v>
          </cell>
          <cell r="L102">
            <v>2013</v>
          </cell>
          <cell r="M102">
            <v>2014</v>
          </cell>
          <cell r="N102">
            <v>2015</v>
          </cell>
          <cell r="O102">
            <v>2016</v>
          </cell>
          <cell r="P102">
            <v>2017</v>
          </cell>
          <cell r="Q102">
            <v>2018</v>
          </cell>
          <cell r="R102">
            <v>2019</v>
          </cell>
          <cell r="S102">
            <v>2020</v>
          </cell>
          <cell r="T102">
            <v>2021</v>
          </cell>
          <cell r="U102">
            <v>2022</v>
          </cell>
          <cell r="V102">
            <v>2023</v>
          </cell>
          <cell r="W102">
            <v>2024</v>
          </cell>
        </row>
        <row r="104">
          <cell r="C104" t="str">
            <v>CCR5 1st Generation</v>
          </cell>
          <cell r="D104">
            <v>0</v>
          </cell>
          <cell r="E104">
            <v>0</v>
          </cell>
          <cell r="F104">
            <v>0</v>
          </cell>
          <cell r="G104">
            <v>0</v>
          </cell>
          <cell r="H104">
            <v>0</v>
          </cell>
          <cell r="I104">
            <v>0</v>
          </cell>
          <cell r="J104">
            <v>0</v>
          </cell>
          <cell r="K104">
            <v>2.19</v>
          </cell>
          <cell r="L104">
            <v>5.8400000000000007</v>
          </cell>
          <cell r="M104">
            <v>8.76</v>
          </cell>
          <cell r="N104">
            <v>10.950000000000001</v>
          </cell>
          <cell r="O104">
            <v>12.41</v>
          </cell>
          <cell r="P104">
            <v>13.14</v>
          </cell>
          <cell r="Q104">
            <v>14.600000000000001</v>
          </cell>
          <cell r="R104">
            <v>14.600000000000001</v>
          </cell>
          <cell r="S104">
            <v>13.14</v>
          </cell>
          <cell r="T104">
            <v>9.8550000000000022</v>
          </cell>
          <cell r="U104">
            <v>4.9275000000000011</v>
          </cell>
          <cell r="V104">
            <v>2.4637500000000006</v>
          </cell>
          <cell r="W104">
            <v>1.2318750000000003</v>
          </cell>
        </row>
        <row r="105">
          <cell r="C105" t="str">
            <v>INCB13739</v>
          </cell>
          <cell r="D105">
            <v>0</v>
          </cell>
          <cell r="E105">
            <v>0</v>
          </cell>
          <cell r="F105">
            <v>0</v>
          </cell>
          <cell r="G105">
            <v>0</v>
          </cell>
          <cell r="H105">
            <v>0</v>
          </cell>
          <cell r="I105">
            <v>0</v>
          </cell>
          <cell r="J105">
            <v>0</v>
          </cell>
          <cell r="K105">
            <v>25.3125</v>
          </cell>
          <cell r="L105">
            <v>67.5</v>
          </cell>
          <cell r="M105">
            <v>101.25</v>
          </cell>
          <cell r="N105">
            <v>126.5625</v>
          </cell>
          <cell r="O105">
            <v>143.4375</v>
          </cell>
          <cell r="P105">
            <v>151.875</v>
          </cell>
          <cell r="Q105">
            <v>168.75</v>
          </cell>
          <cell r="R105">
            <v>168.75</v>
          </cell>
          <cell r="S105">
            <v>151.875</v>
          </cell>
          <cell r="T105">
            <v>113.90625</v>
          </cell>
          <cell r="U105">
            <v>56.953125</v>
          </cell>
          <cell r="V105">
            <v>28.4765625</v>
          </cell>
          <cell r="W105">
            <v>14.23828125</v>
          </cell>
        </row>
        <row r="106">
          <cell r="C106" t="str">
            <v>MS CCR2</v>
          </cell>
          <cell r="D106">
            <v>0</v>
          </cell>
          <cell r="E106">
            <v>0</v>
          </cell>
          <cell r="F106">
            <v>0</v>
          </cell>
          <cell r="G106">
            <v>0</v>
          </cell>
          <cell r="H106">
            <v>0</v>
          </cell>
          <cell r="I106">
            <v>0</v>
          </cell>
          <cell r="J106">
            <v>0</v>
          </cell>
          <cell r="K106">
            <v>0</v>
          </cell>
          <cell r="L106">
            <v>16.875</v>
          </cell>
          <cell r="M106">
            <v>45</v>
          </cell>
          <cell r="N106">
            <v>67.5</v>
          </cell>
          <cell r="O106">
            <v>84.375</v>
          </cell>
          <cell r="P106">
            <v>95.625</v>
          </cell>
          <cell r="Q106">
            <v>101.25</v>
          </cell>
          <cell r="R106">
            <v>112.5</v>
          </cell>
          <cell r="S106">
            <v>101.25</v>
          </cell>
          <cell r="T106">
            <v>75.9375</v>
          </cell>
          <cell r="U106">
            <v>37.96875</v>
          </cell>
          <cell r="V106">
            <v>18.984375</v>
          </cell>
          <cell r="W106">
            <v>9.4921875</v>
          </cell>
        </row>
        <row r="107">
          <cell r="C107" t="str">
            <v>INCB7839 (Sheddase)</v>
          </cell>
          <cell r="D107">
            <v>0</v>
          </cell>
          <cell r="E107">
            <v>0</v>
          </cell>
          <cell r="F107">
            <v>0</v>
          </cell>
          <cell r="G107">
            <v>0</v>
          </cell>
          <cell r="H107">
            <v>0</v>
          </cell>
          <cell r="I107">
            <v>0</v>
          </cell>
          <cell r="J107">
            <v>0</v>
          </cell>
          <cell r="K107">
            <v>23.90625</v>
          </cell>
          <cell r="L107">
            <v>63.75</v>
          </cell>
          <cell r="M107">
            <v>95.625</v>
          </cell>
          <cell r="N107">
            <v>119.53125</v>
          </cell>
          <cell r="O107">
            <v>135.46875</v>
          </cell>
          <cell r="P107">
            <v>143.4375</v>
          </cell>
          <cell r="Q107">
            <v>159.375</v>
          </cell>
          <cell r="R107">
            <v>159.375</v>
          </cell>
          <cell r="S107">
            <v>143.4375</v>
          </cell>
          <cell r="T107">
            <v>107.578125</v>
          </cell>
          <cell r="U107">
            <v>53.7890625</v>
          </cell>
          <cell r="V107">
            <v>26.89453125</v>
          </cell>
          <cell r="W107">
            <v>13.447265625</v>
          </cell>
        </row>
        <row r="108">
          <cell r="C108" t="str">
            <v>CCR5 2nd Generation</v>
          </cell>
          <cell r="D108">
            <v>0</v>
          </cell>
          <cell r="E108">
            <v>0</v>
          </cell>
          <cell r="F108">
            <v>0</v>
          </cell>
          <cell r="G108">
            <v>0</v>
          </cell>
          <cell r="H108">
            <v>0</v>
          </cell>
          <cell r="I108">
            <v>0</v>
          </cell>
          <cell r="J108">
            <v>0</v>
          </cell>
          <cell r="K108">
            <v>0</v>
          </cell>
          <cell r="L108">
            <v>13.359375</v>
          </cell>
          <cell r="M108">
            <v>35.625</v>
          </cell>
          <cell r="N108">
            <v>53.4375</v>
          </cell>
          <cell r="O108">
            <v>66.796875</v>
          </cell>
          <cell r="P108">
            <v>75.703125</v>
          </cell>
          <cell r="Q108">
            <v>80.15625</v>
          </cell>
          <cell r="R108">
            <v>89.0625</v>
          </cell>
          <cell r="S108">
            <v>89.0625</v>
          </cell>
          <cell r="T108">
            <v>89.0625</v>
          </cell>
          <cell r="U108">
            <v>66.796875</v>
          </cell>
          <cell r="V108">
            <v>50.09765625</v>
          </cell>
          <cell r="W108">
            <v>37.5732421875</v>
          </cell>
        </row>
        <row r="109">
          <cell r="C109" t="str">
            <v>CCR2 2nd Generation</v>
          </cell>
          <cell r="D109">
            <v>0</v>
          </cell>
          <cell r="E109">
            <v>0</v>
          </cell>
          <cell r="F109">
            <v>0</v>
          </cell>
          <cell r="G109">
            <v>0</v>
          </cell>
          <cell r="H109">
            <v>0</v>
          </cell>
          <cell r="I109">
            <v>0</v>
          </cell>
          <cell r="J109">
            <v>0</v>
          </cell>
          <cell r="K109">
            <v>0</v>
          </cell>
          <cell r="L109">
            <v>31.21875</v>
          </cell>
          <cell r="M109">
            <v>83.25</v>
          </cell>
          <cell r="N109">
            <v>124.875</v>
          </cell>
          <cell r="O109">
            <v>156.09375</v>
          </cell>
          <cell r="P109">
            <v>176.90625</v>
          </cell>
          <cell r="Q109">
            <v>187.3125</v>
          </cell>
          <cell r="R109">
            <v>208.125</v>
          </cell>
          <cell r="S109">
            <v>208.125</v>
          </cell>
          <cell r="T109">
            <v>208.125</v>
          </cell>
          <cell r="U109">
            <v>145.68749999999997</v>
          </cell>
          <cell r="V109">
            <v>101.98124999999997</v>
          </cell>
          <cell r="W109">
            <v>71.386874999999989</v>
          </cell>
        </row>
        <row r="110">
          <cell r="C110" t="str">
            <v>Sheddase 2nd Generation</v>
          </cell>
          <cell r="D110">
            <v>0</v>
          </cell>
          <cell r="E110">
            <v>0</v>
          </cell>
          <cell r="F110">
            <v>0</v>
          </cell>
          <cell r="G110">
            <v>0</v>
          </cell>
          <cell r="H110">
            <v>0</v>
          </cell>
          <cell r="I110">
            <v>0</v>
          </cell>
          <cell r="J110">
            <v>0</v>
          </cell>
          <cell r="K110">
            <v>0</v>
          </cell>
          <cell r="L110">
            <v>11.953125</v>
          </cell>
          <cell r="M110">
            <v>31.875</v>
          </cell>
          <cell r="N110">
            <v>47.8125</v>
          </cell>
          <cell r="O110">
            <v>59.765625</v>
          </cell>
          <cell r="P110">
            <v>67.734375</v>
          </cell>
          <cell r="Q110">
            <v>71.71875</v>
          </cell>
          <cell r="R110">
            <v>79.6875</v>
          </cell>
          <cell r="S110">
            <v>79.6875</v>
          </cell>
          <cell r="T110">
            <v>79.6875</v>
          </cell>
          <cell r="U110">
            <v>39.84375</v>
          </cell>
          <cell r="V110">
            <v>19.921875</v>
          </cell>
          <cell r="W110">
            <v>9.9609375</v>
          </cell>
        </row>
        <row r="112">
          <cell r="C112" t="str">
            <v>Total</v>
          </cell>
          <cell r="D112">
            <v>0</v>
          </cell>
          <cell r="E112">
            <v>0</v>
          </cell>
          <cell r="F112">
            <v>0</v>
          </cell>
          <cell r="G112">
            <v>0</v>
          </cell>
          <cell r="H112">
            <v>0</v>
          </cell>
          <cell r="I112">
            <v>0</v>
          </cell>
          <cell r="J112">
            <v>0</v>
          </cell>
          <cell r="K112">
            <v>51.408749999999998</v>
          </cell>
          <cell r="L112">
            <v>210.49625</v>
          </cell>
          <cell r="M112">
            <v>401.38499999999999</v>
          </cell>
          <cell r="N112">
            <v>550.66875000000005</v>
          </cell>
          <cell r="O112">
            <v>658.34749999999997</v>
          </cell>
          <cell r="P112">
            <v>724.42124999999999</v>
          </cell>
          <cell r="Q112">
            <v>783.16250000000002</v>
          </cell>
          <cell r="R112">
            <v>832.1</v>
          </cell>
          <cell r="S112">
            <v>786.57749999999999</v>
          </cell>
          <cell r="T112">
            <v>684.15187500000002</v>
          </cell>
          <cell r="U112">
            <v>405.96656250000001</v>
          </cell>
          <cell r="V112">
            <v>248.82</v>
          </cell>
          <cell r="W112">
            <v>157.33066406249998</v>
          </cell>
        </row>
        <row r="114">
          <cell r="C114" t="str">
            <v>Operating Income</v>
          </cell>
          <cell r="D114">
            <v>2005</v>
          </cell>
          <cell r="E114">
            <v>2006</v>
          </cell>
          <cell r="F114">
            <v>2007</v>
          </cell>
          <cell r="G114">
            <v>2008</v>
          </cell>
          <cell r="H114">
            <v>2009</v>
          </cell>
          <cell r="I114">
            <v>2010</v>
          </cell>
          <cell r="J114">
            <v>2011</v>
          </cell>
          <cell r="K114">
            <v>2012</v>
          </cell>
          <cell r="L114">
            <v>2013</v>
          </cell>
          <cell r="M114">
            <v>2014</v>
          </cell>
          <cell r="N114">
            <v>2015</v>
          </cell>
          <cell r="O114">
            <v>2016</v>
          </cell>
          <cell r="P114">
            <v>2017</v>
          </cell>
          <cell r="Q114">
            <v>2018</v>
          </cell>
          <cell r="R114">
            <v>2019</v>
          </cell>
          <cell r="S114">
            <v>2020</v>
          </cell>
          <cell r="T114">
            <v>2021</v>
          </cell>
          <cell r="U114">
            <v>2022</v>
          </cell>
          <cell r="V114">
            <v>2023</v>
          </cell>
          <cell r="W114">
            <v>2024</v>
          </cell>
        </row>
        <row r="116">
          <cell r="C116" t="str">
            <v>Revenues</v>
          </cell>
          <cell r="D116">
            <v>0</v>
          </cell>
          <cell r="E116">
            <v>0</v>
          </cell>
          <cell r="F116">
            <v>0</v>
          </cell>
          <cell r="G116">
            <v>0</v>
          </cell>
          <cell r="H116">
            <v>0</v>
          </cell>
          <cell r="I116">
            <v>0</v>
          </cell>
          <cell r="J116">
            <v>0</v>
          </cell>
          <cell r="K116">
            <v>350.02499999999998</v>
          </cell>
          <cell r="L116">
            <v>1422.7750000000001</v>
          </cell>
          <cell r="M116">
            <v>2705.1</v>
          </cell>
          <cell r="N116">
            <v>3707.625</v>
          </cell>
          <cell r="O116">
            <v>4430.3500000000004</v>
          </cell>
          <cell r="P116">
            <v>4873.2749999999996</v>
          </cell>
          <cell r="Q116">
            <v>5269.75</v>
          </cell>
          <cell r="R116">
            <v>5596</v>
          </cell>
          <cell r="S116">
            <v>5287.65</v>
          </cell>
          <cell r="T116">
            <v>4593.8625000000002</v>
          </cell>
          <cell r="U116">
            <v>2722.8687500000001</v>
          </cell>
          <cell r="V116">
            <v>1667.0124999999998</v>
          </cell>
          <cell r="W116">
            <v>1052.9773437499998</v>
          </cell>
        </row>
        <row r="117">
          <cell r="C117" t="str">
            <v>Operating Expenses</v>
          </cell>
          <cell r="D117">
            <v>0</v>
          </cell>
          <cell r="E117">
            <v>49</v>
          </cell>
          <cell r="F117">
            <v>85</v>
          </cell>
          <cell r="G117">
            <v>98</v>
          </cell>
          <cell r="H117">
            <v>125</v>
          </cell>
          <cell r="I117">
            <v>177</v>
          </cell>
          <cell r="J117">
            <v>168</v>
          </cell>
          <cell r="K117">
            <v>324.16874999999999</v>
          </cell>
          <cell r="L117">
            <v>648.92624999999998</v>
          </cell>
          <cell r="M117">
            <v>841.14499999999998</v>
          </cell>
          <cell r="N117">
            <v>961.11875000000009</v>
          </cell>
          <cell r="O117">
            <v>1141.6949999999999</v>
          </cell>
          <cell r="P117">
            <v>1252.37375</v>
          </cell>
          <cell r="Q117">
            <v>1351.3875</v>
          </cell>
          <cell r="R117">
            <v>1432.95</v>
          </cell>
          <cell r="S117">
            <v>1355.9675</v>
          </cell>
          <cell r="T117">
            <v>1182.756875</v>
          </cell>
          <cell r="U117">
            <v>715.36281250000002</v>
          </cell>
          <cell r="V117">
            <v>451.57593750000001</v>
          </cell>
          <cell r="W117">
            <v>298.15574218749998</v>
          </cell>
        </row>
        <row r="119">
          <cell r="C119" t="str">
            <v>Operating Income</v>
          </cell>
          <cell r="D119">
            <v>0</v>
          </cell>
          <cell r="E119">
            <v>-49</v>
          </cell>
          <cell r="F119">
            <v>-85</v>
          </cell>
          <cell r="G119">
            <v>-98</v>
          </cell>
          <cell r="H119">
            <v>-125</v>
          </cell>
          <cell r="I119">
            <v>-177</v>
          </cell>
          <cell r="J119">
            <v>-168</v>
          </cell>
          <cell r="K119">
            <v>25.856249999999989</v>
          </cell>
          <cell r="L119">
            <v>773.84875000000011</v>
          </cell>
          <cell r="M119">
            <v>1863.9549999999999</v>
          </cell>
          <cell r="N119">
            <v>2746.5062499999999</v>
          </cell>
          <cell r="O119">
            <v>3288.6550000000007</v>
          </cell>
          <cell r="P119">
            <v>3620.9012499999999</v>
          </cell>
          <cell r="Q119">
            <v>3918.3625000000002</v>
          </cell>
          <cell r="R119">
            <v>4163.05</v>
          </cell>
          <cell r="S119">
            <v>3931.6824999999999</v>
          </cell>
          <cell r="T119">
            <v>3411.1056250000001</v>
          </cell>
          <cell r="U119">
            <v>2007.5059375000001</v>
          </cell>
          <cell r="V119">
            <v>1215.4365624999998</v>
          </cell>
          <cell r="W119">
            <v>754.82160156249984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TaxoPres"/>
      <sheetName val="LOG"/>
      <sheetName val="MS Est vs. Rpt"/>
      <sheetName val="Changes to the Model"/>
      <sheetName val="Quarterly"/>
      <sheetName val="mwareValPrintout"/>
      <sheetName val="Annual"/>
      <sheetName val="Balance Sheet "/>
      <sheetName val="Cashflow"/>
      <sheetName val="Avastin"/>
      <sheetName val="Herceptin"/>
      <sheetName val="Rituxan"/>
      <sheetName val="Raptiva"/>
      <sheetName val="Xolair"/>
      <sheetName val="Avastin-Patient Ramp"/>
      <sheetName val="DCF Valuation"/>
      <sheetName val="Model_Template"/>
      <sheetName val="Clinical data"/>
      <sheetName val="Sheet1"/>
      <sheetName val="Sheet1 (2)"/>
      <sheetName val="Marketing"/>
      <sheetName val="mwareDates"/>
      <sheetName val="MWare_Cached"/>
      <sheetName val="Manufacturing"/>
      <sheetName val="NY UPLOAD shadow"/>
      <sheetName val="mwareSettings"/>
      <sheetName val="mStartup"/>
      <sheetName val="MainCode"/>
      <sheetName val="Figures"/>
      <sheetName val="MS Est. Vs Actual"/>
      <sheetName val="ProcritAranesp"/>
      <sheetName val="Changes to Model"/>
    </sheetNames>
    <sheetDataSet>
      <sheetData sheetId="0" refreshError="1"/>
      <sheetData sheetId="1" refreshError="1"/>
      <sheetData sheetId="2" refreshError="1"/>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Rituxan US</v>
          </cell>
          <cell r="C6">
            <v>440.55</v>
          </cell>
          <cell r="D6">
            <v>505</v>
          </cell>
          <cell r="E6">
            <v>477</v>
          </cell>
          <cell r="F6">
            <v>-5.5445544554455495E-2</v>
          </cell>
          <cell r="G6">
            <v>0.14629440472137101</v>
          </cell>
          <cell r="H6" t="str">
            <v>Rituxan sales meaningfully weaker than indicated by IMS sales trends.</v>
          </cell>
        </row>
        <row r="7">
          <cell r="B7" t="str">
            <v>Avastin US</v>
          </cell>
          <cell r="C7">
            <v>202.85499999999999</v>
          </cell>
          <cell r="D7">
            <v>405</v>
          </cell>
          <cell r="E7">
            <v>398</v>
          </cell>
          <cell r="F7">
            <v>-1.7283950617283939E-2</v>
          </cell>
          <cell r="G7">
            <v>0.99649996302777866</v>
          </cell>
          <cell r="H7" t="str">
            <v xml:space="preserve">US sales were $10M short of our estimate after adjusting for $3M add back for destroyed shipment. </v>
          </cell>
        </row>
        <row r="8">
          <cell r="B8" t="str">
            <v>Herceptin US</v>
          </cell>
          <cell r="C8">
            <v>129.63</v>
          </cell>
          <cell r="D8">
            <v>273</v>
          </cell>
          <cell r="E8">
            <v>290</v>
          </cell>
          <cell r="F8">
            <v>6.2271062271062272E-2</v>
          </cell>
          <cell r="G8">
            <v>1.1059939828743346</v>
          </cell>
          <cell r="H8" t="str">
            <v>Herceptin strength in line with IMS sales data ($2M added back for destroyed shipment).</v>
          </cell>
        </row>
        <row r="9">
          <cell r="B9" t="str">
            <v>Xolair</v>
          </cell>
          <cell r="C9">
            <v>68.597000000000008</v>
          </cell>
          <cell r="D9">
            <v>98</v>
          </cell>
          <cell r="E9">
            <v>95</v>
          </cell>
          <cell r="F9">
            <v>-3.0612244897959218E-2</v>
          </cell>
          <cell r="G9">
            <v>0.42863390527282519</v>
          </cell>
        </row>
        <row r="10">
          <cell r="B10" t="str">
            <v>Tarceva - US</v>
          </cell>
          <cell r="C10">
            <v>47.585000000000001</v>
          </cell>
          <cell r="D10">
            <v>97</v>
          </cell>
          <cell r="E10">
            <v>93</v>
          </cell>
          <cell r="F10">
            <v>-4.123711340206182E-2</v>
          </cell>
          <cell r="G10" t="str">
            <v>NM</v>
          </cell>
          <cell r="H10" t="str">
            <v>US Tarceva sales below expectations based on IMS prescription trends and the November price increase.</v>
          </cell>
        </row>
        <row r="11">
          <cell r="B11" t="str">
            <v>Raptiva</v>
          </cell>
          <cell r="C11">
            <v>24.114999999999998</v>
          </cell>
          <cell r="D11">
            <v>22</v>
          </cell>
          <cell r="E11">
            <v>21</v>
          </cell>
          <cell r="F11">
            <v>-4.5454545454545414E-2</v>
          </cell>
          <cell r="G11">
            <v>-8.7704748082106487E-2</v>
          </cell>
        </row>
        <row r="12">
          <cell r="B12" t="str">
            <v>Growth Hormone Products</v>
          </cell>
          <cell r="C12">
            <v>92.087999999999994</v>
          </cell>
          <cell r="D12">
            <v>94</v>
          </cell>
          <cell r="E12">
            <v>87</v>
          </cell>
          <cell r="F12">
            <v>-7.4468085106383031E-2</v>
          </cell>
          <cell r="G12">
            <v>2.0762748675180243E-2</v>
          </cell>
        </row>
        <row r="13">
          <cell r="B13" t="str">
            <v>Thrombolytics</v>
          </cell>
          <cell r="C13">
            <v>53.57</v>
          </cell>
          <cell r="D13">
            <v>59</v>
          </cell>
          <cell r="E13">
            <v>59</v>
          </cell>
          <cell r="F13">
            <v>0</v>
          </cell>
          <cell r="G13">
            <v>0.10136270300541339</v>
          </cell>
        </row>
        <row r="14">
          <cell r="B14" t="str">
            <v>Pulmozyme</v>
          </cell>
          <cell r="C14">
            <v>51.745999999999995</v>
          </cell>
          <cell r="D14">
            <v>51</v>
          </cell>
          <cell r="E14">
            <v>49</v>
          </cell>
          <cell r="F14">
            <v>-3.9215686274509776E-2</v>
          </cell>
          <cell r="G14">
            <v>-1.4416573261701315E-2</v>
          </cell>
        </row>
        <row r="15">
          <cell r="B15" t="str">
            <v>Royalties, Contracts and Other</v>
          </cell>
          <cell r="C15">
            <v>275.60000000000002</v>
          </cell>
          <cell r="D15">
            <v>316.2</v>
          </cell>
          <cell r="E15">
            <v>342</v>
          </cell>
          <cell r="F15">
            <v>8.1593927893738094E-2</v>
          </cell>
          <cell r="G15">
            <v>0.1473149492017416</v>
          </cell>
        </row>
        <row r="16">
          <cell r="B16" t="str">
            <v>Total Revenues</v>
          </cell>
          <cell r="C16">
            <v>1461.6020000000003</v>
          </cell>
          <cell r="D16">
            <v>2013.12</v>
          </cell>
          <cell r="E16">
            <v>1986</v>
          </cell>
          <cell r="F16">
            <v>-1.3471626132570247E-2</v>
          </cell>
          <cell r="G16">
            <v>0.37733801677884915</v>
          </cell>
        </row>
        <row r="17">
          <cell r="B17" t="str">
            <v>Operating Expenses:</v>
          </cell>
        </row>
        <row r="18">
          <cell r="B18" t="str">
            <v>Cost of Sales</v>
          </cell>
          <cell r="C18">
            <v>251.041</v>
          </cell>
          <cell r="D18">
            <v>268.11336</v>
          </cell>
          <cell r="E18">
            <v>262</v>
          </cell>
          <cell r="F18">
            <v>-2.28014001241863E-2</v>
          </cell>
          <cell r="G18">
            <v>6.8006261925342981E-2</v>
          </cell>
        </row>
        <row r="19">
          <cell r="B19" t="str">
            <v>R&amp;D</v>
          </cell>
          <cell r="C19">
            <v>243.24</v>
          </cell>
          <cell r="D19">
            <v>367.39440000000002</v>
          </cell>
          <cell r="E19">
            <v>341</v>
          </cell>
          <cell r="F19">
            <v>-7.1842140217706185E-2</v>
          </cell>
          <cell r="G19">
            <v>0.51041933892451907</v>
          </cell>
        </row>
        <row r="20">
          <cell r="B20" t="str">
            <v>SG&amp;A</v>
          </cell>
          <cell r="C20">
            <v>315.214</v>
          </cell>
          <cell r="D20">
            <v>417.72239999999999</v>
          </cell>
          <cell r="E20">
            <v>400</v>
          </cell>
          <cell r="F20">
            <v>-4.2426262034307882E-2</v>
          </cell>
          <cell r="G20">
            <v>0.32520256079996446</v>
          </cell>
        </row>
        <row r="21">
          <cell r="B21" t="str">
            <v>Collaborative Profit Split</v>
          </cell>
          <cell r="C21">
            <v>176.27699999999999</v>
          </cell>
          <cell r="D21">
            <v>240</v>
          </cell>
          <cell r="E21">
            <v>226</v>
          </cell>
          <cell r="F21">
            <v>-5.8333333333333348E-2</v>
          </cell>
          <cell r="G21">
            <v>0.36149355843360187</v>
          </cell>
        </row>
        <row r="22">
          <cell r="B22" t="str">
            <v>Total Op.Expenses</v>
          </cell>
          <cell r="C22">
            <v>985.77199999999993</v>
          </cell>
          <cell r="D22">
            <v>1293.2301600000001</v>
          </cell>
          <cell r="E22">
            <v>1229</v>
          </cell>
          <cell r="F22">
            <v>-4.9666456897355382E-2</v>
          </cell>
          <cell r="G22">
            <v>0.31189581363641916</v>
          </cell>
        </row>
        <row r="23">
          <cell r="B23" t="str">
            <v>Operating Income (Loss)</v>
          </cell>
          <cell r="C23">
            <v>475.83000000000027</v>
          </cell>
          <cell r="D23">
            <v>719.88984000000005</v>
          </cell>
          <cell r="E23">
            <v>757</v>
          </cell>
          <cell r="F23">
            <v>5.154977600461752E-2</v>
          </cell>
          <cell r="G23">
            <v>0.51291393985246758</v>
          </cell>
        </row>
        <row r="24">
          <cell r="B24" t="str">
            <v xml:space="preserve">   Net Other Income</v>
          </cell>
          <cell r="C24">
            <v>16.396000000000001</v>
          </cell>
          <cell r="D24">
            <v>16</v>
          </cell>
          <cell r="E24">
            <v>34</v>
          </cell>
          <cell r="F24">
            <v>1.125</v>
          </cell>
          <cell r="G24">
            <v>-2.4152232251768768E-2</v>
          </cell>
        </row>
        <row r="25">
          <cell r="B25" t="str">
            <v xml:space="preserve">   Tax Expense</v>
          </cell>
          <cell r="C25">
            <v>180.58500000000001</v>
          </cell>
          <cell r="D25">
            <v>272.27924080000003</v>
          </cell>
          <cell r="E25">
            <v>300</v>
          </cell>
          <cell r="F25">
            <v>0.10181003560371304</v>
          </cell>
          <cell r="G25">
            <v>0.50776222166846652</v>
          </cell>
        </row>
        <row r="26">
          <cell r="B26" t="str">
            <v>Net Income (Loss)</v>
          </cell>
          <cell r="C26">
            <v>311.6410000000003</v>
          </cell>
          <cell r="D26">
            <v>463.61059920000002</v>
          </cell>
          <cell r="E26">
            <v>491</v>
          </cell>
          <cell r="F26">
            <v>5.9078461207018762E-2</v>
          </cell>
          <cell r="G26">
            <v>0.48764315093328414</v>
          </cell>
        </row>
        <row r="27">
          <cell r="B27" t="str">
            <v>EPS, Diluted</v>
          </cell>
          <cell r="C27">
            <v>0.29205273126155645</v>
          </cell>
          <cell r="D27">
            <v>0.42985344635725764</v>
          </cell>
          <cell r="E27">
            <v>0.45674418604651162</v>
          </cell>
          <cell r="F27">
            <v>6.2557925072222575E-2</v>
          </cell>
          <cell r="G27">
            <v>0.47183505013103155</v>
          </cell>
        </row>
        <row r="28">
          <cell r="B28" t="str">
            <v>Consensus EPS</v>
          </cell>
          <cell r="D28">
            <v>0.41</v>
          </cell>
        </row>
        <row r="29">
          <cell r="B29" t="str">
            <v xml:space="preserve">Diluted Shares Outstanding </v>
          </cell>
          <cell r="C29">
            <v>1067.0709999999999</v>
          </cell>
          <cell r="D29">
            <v>1078.531772</v>
          </cell>
          <cell r="E29">
            <v>1075</v>
          </cell>
          <cell r="F29">
            <v>-3.2746109958826652E-3</v>
          </cell>
          <cell r="G29">
            <v>1.0740402466190346E-2</v>
          </cell>
        </row>
      </sheetData>
      <sheetData sheetId="4" refreshError="1">
        <row r="2">
          <cell r="B2" t="str">
            <v>Changes To Model</v>
          </cell>
        </row>
        <row r="3">
          <cell r="C3">
            <v>2003</v>
          </cell>
          <cell r="E3">
            <v>2004</v>
          </cell>
          <cell r="G3">
            <v>2005</v>
          </cell>
          <cell r="I3">
            <v>2006</v>
          </cell>
          <cell r="K3">
            <v>2007</v>
          </cell>
          <cell r="M3">
            <v>2008</v>
          </cell>
          <cell r="O3">
            <v>2009</v>
          </cell>
          <cell r="Q3">
            <v>2010</v>
          </cell>
          <cell r="R3" t="str">
            <v>Comments</v>
          </cell>
        </row>
        <row r="4">
          <cell r="B4" t="str">
            <v>Avastin US Sales</v>
          </cell>
          <cell r="R4" t="str">
            <v>Lowered near term (2006-09) estimates based on current usage trends.  Long term, sales projections become more dependent upon additional indications.</v>
          </cell>
        </row>
        <row r="5">
          <cell r="B5" t="str">
            <v xml:space="preserve">   Current</v>
          </cell>
          <cell r="C5">
            <v>0</v>
          </cell>
          <cell r="E5">
            <v>552.34</v>
          </cell>
          <cell r="G5">
            <v>1132.721</v>
          </cell>
          <cell r="I5">
            <v>1876</v>
          </cell>
          <cell r="K5">
            <v>2817.9611602894643</v>
          </cell>
          <cell r="M5">
            <v>3802.1294573955038</v>
          </cell>
          <cell r="O5">
            <v>4624.6783247655285</v>
          </cell>
          <cell r="Q5">
            <v>5307.1770570587933</v>
          </cell>
        </row>
        <row r="6">
          <cell r="B6" t="str">
            <v xml:space="preserve">   Prior</v>
          </cell>
          <cell r="C6">
            <v>0</v>
          </cell>
          <cell r="E6">
            <v>545.5</v>
          </cell>
          <cell r="G6">
            <v>1132.721</v>
          </cell>
          <cell r="I6">
            <v>1991</v>
          </cell>
          <cell r="K6">
            <v>3237.062488981529</v>
          </cell>
          <cell r="M6">
            <v>4383.5907709546664</v>
          </cell>
          <cell r="O6">
            <v>4968.255300105604</v>
          </cell>
          <cell r="Q6">
            <v>5357.3388751605999</v>
          </cell>
        </row>
        <row r="7">
          <cell r="B7" t="str">
            <v>Rituxan US Sales</v>
          </cell>
        </row>
        <row r="8">
          <cell r="B8" t="str">
            <v xml:space="preserve">   Current</v>
          </cell>
          <cell r="C8">
            <v>1360.2</v>
          </cell>
          <cell r="E8">
            <v>1574</v>
          </cell>
          <cell r="G8">
            <v>1831.481</v>
          </cell>
          <cell r="I8">
            <v>2097</v>
          </cell>
          <cell r="K8">
            <v>2430.2807564833265</v>
          </cell>
          <cell r="M8">
            <v>2695.0166005063993</v>
          </cell>
          <cell r="O8">
            <v>2950.119381396431</v>
          </cell>
          <cell r="Q8">
            <v>3220</v>
          </cell>
        </row>
        <row r="9">
          <cell r="B9" t="str">
            <v xml:space="preserve">   Prior</v>
          </cell>
          <cell r="C9">
            <v>1360.2</v>
          </cell>
          <cell r="E9">
            <v>1574</v>
          </cell>
          <cell r="G9">
            <v>1831.481</v>
          </cell>
          <cell r="I9">
            <v>2160</v>
          </cell>
          <cell r="K9">
            <v>2437.3514265485192</v>
          </cell>
          <cell r="M9">
            <v>2692.5171673115556</v>
          </cell>
          <cell r="O9">
            <v>2933.0759826633407</v>
          </cell>
          <cell r="Q9">
            <v>3195</v>
          </cell>
        </row>
        <row r="10">
          <cell r="B10" t="str">
            <v>Herceptin US Sales</v>
          </cell>
        </row>
        <row r="11">
          <cell r="B11" t="str">
            <v xml:space="preserve">   Current</v>
          </cell>
          <cell r="C11">
            <v>424.8</v>
          </cell>
          <cell r="E11">
            <v>482.27499999999998</v>
          </cell>
          <cell r="G11">
            <v>747.24699999999996</v>
          </cell>
          <cell r="I11">
            <v>1375</v>
          </cell>
          <cell r="K11">
            <v>1566.9607618585742</v>
          </cell>
          <cell r="M11">
            <v>1676.8953104490511</v>
          </cell>
          <cell r="O11">
            <v>1772.633441089682</v>
          </cell>
          <cell r="Q11">
            <v>1873.880898727371</v>
          </cell>
        </row>
        <row r="12">
          <cell r="B12" t="str">
            <v xml:space="preserve">   Prior</v>
          </cell>
          <cell r="C12">
            <v>424.8</v>
          </cell>
          <cell r="E12">
            <v>482.27499999999998</v>
          </cell>
          <cell r="G12">
            <v>747.24699999999996</v>
          </cell>
          <cell r="I12">
            <v>1236</v>
          </cell>
          <cell r="K12">
            <v>1467.230824775874</v>
          </cell>
          <cell r="M12">
            <v>1572.4179521860037</v>
          </cell>
          <cell r="O12">
            <v>1676.1602207869551</v>
          </cell>
          <cell r="Q12">
            <v>1802.0633882939715</v>
          </cell>
        </row>
        <row r="13">
          <cell r="B13" t="str">
            <v>Xolair</v>
          </cell>
        </row>
        <row r="14">
          <cell r="B14" t="str">
            <v xml:space="preserve">   Current</v>
          </cell>
          <cell r="C14">
            <v>25.3</v>
          </cell>
          <cell r="E14">
            <v>188.5</v>
          </cell>
          <cell r="G14">
            <v>323.79700000000003</v>
          </cell>
          <cell r="I14">
            <v>423</v>
          </cell>
          <cell r="K14">
            <v>496.67639851943272</v>
          </cell>
          <cell r="M14">
            <v>549.18117450569844</v>
          </cell>
          <cell r="O14">
            <v>609.0179751523707</v>
          </cell>
          <cell r="Q14">
            <v>656.42413544863268</v>
          </cell>
        </row>
        <row r="15">
          <cell r="B15" t="str">
            <v xml:space="preserve">   Prior</v>
          </cell>
          <cell r="C15">
            <v>25.3</v>
          </cell>
          <cell r="E15">
            <v>188.5</v>
          </cell>
          <cell r="G15">
            <v>332.99700000000001</v>
          </cell>
          <cell r="I15">
            <v>443.81706468549254</v>
          </cell>
          <cell r="K15">
            <v>496.67639851943272</v>
          </cell>
          <cell r="M15">
            <v>583.43592955279041</v>
          </cell>
          <cell r="O15">
            <v>583.43592955279041</v>
          </cell>
          <cell r="Q15">
            <v>583.43592955279041</v>
          </cell>
        </row>
        <row r="16">
          <cell r="B16" t="str">
            <v>Raptiva</v>
          </cell>
        </row>
        <row r="17">
          <cell r="B17" t="str">
            <v xml:space="preserve">   Current</v>
          </cell>
          <cell r="C17">
            <v>1.4</v>
          </cell>
          <cell r="E17">
            <v>56.300000000000004</v>
          </cell>
          <cell r="G17">
            <v>86.754999999999995</v>
          </cell>
          <cell r="I17">
            <v>93</v>
          </cell>
          <cell r="K17">
            <v>114.74883545485645</v>
          </cell>
          <cell r="M17">
            <v>111.02507700089812</v>
          </cell>
          <cell r="O17">
            <v>116.64294589714356</v>
          </cell>
          <cell r="Q17">
            <v>122.54507895953904</v>
          </cell>
        </row>
        <row r="18">
          <cell r="B18" t="str">
            <v xml:space="preserve">   Prior</v>
          </cell>
          <cell r="C18">
            <v>1.4</v>
          </cell>
          <cell r="E18">
            <v>56.3</v>
          </cell>
          <cell r="G18">
            <v>96.415000000000006</v>
          </cell>
          <cell r="I18">
            <v>128.34202046044302</v>
          </cell>
          <cell r="K18">
            <v>154.41809851788798</v>
          </cell>
          <cell r="M18">
            <v>190.17374516347169</v>
          </cell>
          <cell r="O18">
            <v>190.17374516347169</v>
          </cell>
          <cell r="Q18">
            <v>190.17374516347169</v>
          </cell>
        </row>
        <row r="19">
          <cell r="B19" t="str">
            <v>Lucentis</v>
          </cell>
        </row>
        <row r="20">
          <cell r="B20" t="str">
            <v xml:space="preserve">   Current</v>
          </cell>
          <cell r="C20">
            <v>0</v>
          </cell>
          <cell r="E20">
            <v>0</v>
          </cell>
          <cell r="G20">
            <v>0</v>
          </cell>
          <cell r="I20">
            <v>135</v>
          </cell>
          <cell r="K20">
            <v>550</v>
          </cell>
          <cell r="M20">
            <v>850</v>
          </cell>
          <cell r="O20">
            <v>1050</v>
          </cell>
          <cell r="Q20">
            <v>1200</v>
          </cell>
        </row>
        <row r="21">
          <cell r="B21" t="str">
            <v xml:space="preserve">   Prior</v>
          </cell>
          <cell r="C21">
            <v>1.4</v>
          </cell>
          <cell r="E21">
            <v>0</v>
          </cell>
          <cell r="G21">
            <v>0</v>
          </cell>
          <cell r="I21">
            <v>150</v>
          </cell>
          <cell r="K21">
            <v>700</v>
          </cell>
          <cell r="M21">
            <v>1150</v>
          </cell>
          <cell r="O21">
            <v>1150</v>
          </cell>
          <cell r="Q21">
            <v>1150</v>
          </cell>
        </row>
        <row r="22">
          <cell r="B22" t="str">
            <v>Total Revenue</v>
          </cell>
          <cell r="R22" t="str">
            <v>2006 Guidance: Sales to Collaborators= YoY growth of 30%; Royalties = YoY growth of 30%; Net Interest Income = YoY growth of 30%</v>
          </cell>
        </row>
        <row r="23">
          <cell r="B23" t="str">
            <v xml:space="preserve">   Current</v>
          </cell>
          <cell r="C23">
            <v>3300.2629999999999</v>
          </cell>
          <cell r="E23">
            <v>4621.2</v>
          </cell>
          <cell r="G23">
            <v>6633.4230000000007</v>
          </cell>
          <cell r="I23">
            <v>9120.36</v>
          </cell>
          <cell r="K23">
            <v>11279.125121683228</v>
          </cell>
          <cell r="M23">
            <v>13104.186311101828</v>
          </cell>
          <cell r="O23">
            <v>14586.038977915103</v>
          </cell>
          <cell r="Q23">
            <v>15778.109649377711</v>
          </cell>
        </row>
        <row r="24">
          <cell r="B24" t="str">
            <v xml:space="preserve">   Prior</v>
          </cell>
          <cell r="C24">
            <v>3300.2629999999999</v>
          </cell>
          <cell r="E24">
            <v>4614.3599999999997</v>
          </cell>
          <cell r="G24">
            <v>6633.4230000000007</v>
          </cell>
          <cell r="I24">
            <v>9060.77</v>
          </cell>
          <cell r="K24">
            <v>11649.799183357783</v>
          </cell>
          <cell r="M24">
            <v>13530.991983203103</v>
          </cell>
          <cell r="O24">
            <v>14825.172049719364</v>
          </cell>
          <cell r="Q24">
            <v>15802.880857526117</v>
          </cell>
        </row>
        <row r="25">
          <cell r="B25" t="str">
            <v>COGS ($MM)</v>
          </cell>
          <cell r="R25" t="str">
            <v xml:space="preserve">2006 Guidance: 16% of sales (from 15-16%);  </v>
          </cell>
        </row>
        <row r="26">
          <cell r="B26" t="str">
            <v xml:space="preserve">   Current</v>
          </cell>
          <cell r="C26">
            <v>480.15100000000001</v>
          </cell>
          <cell r="E26">
            <v>672.5</v>
          </cell>
          <cell r="G26">
            <v>1011.0629999999999</v>
          </cell>
          <cell r="I26">
            <v>1222.5376000000001</v>
          </cell>
          <cell r="K26">
            <v>1506.7599287814626</v>
          </cell>
          <cell r="M26">
            <v>1619.0699996815897</v>
          </cell>
          <cell r="O26">
            <v>1702.8029601920346</v>
          </cell>
          <cell r="Q26">
            <v>1774.5598005138277</v>
          </cell>
        </row>
        <row r="27">
          <cell r="B27" t="str">
            <v xml:space="preserve">   Prior</v>
          </cell>
          <cell r="C27">
            <v>480.15100000000001</v>
          </cell>
          <cell r="E27">
            <v>672.5</v>
          </cell>
          <cell r="G27">
            <v>1011.0629999999999</v>
          </cell>
          <cell r="I27">
            <v>1202.9025999999999</v>
          </cell>
          <cell r="K27">
            <v>1565.9989624404361</v>
          </cell>
          <cell r="M27">
            <v>1695.7885048324765</v>
          </cell>
          <cell r="O27">
            <v>1751.9607945750547</v>
          </cell>
          <cell r="Q27">
            <v>1797.2421266516367</v>
          </cell>
        </row>
        <row r="28">
          <cell r="B28" t="str">
            <v>R&amp;D ($MM)</v>
          </cell>
          <cell r="R28" t="str">
            <v>2006 Guidance: 18-19% of operating revenue.</v>
          </cell>
        </row>
        <row r="29">
          <cell r="B29" t="str">
            <v xml:space="preserve">   Current</v>
          </cell>
          <cell r="C29">
            <v>721.96299999999997</v>
          </cell>
          <cell r="D29">
            <v>0.15795323682159235</v>
          </cell>
          <cell r="E29">
            <v>947.5</v>
          </cell>
          <cell r="F29">
            <v>0.3123941254607232</v>
          </cell>
          <cell r="G29">
            <v>1261.8240000000001</v>
          </cell>
          <cell r="H29">
            <v>0.33174036939314</v>
          </cell>
          <cell r="I29">
            <v>1677.1420800000001</v>
          </cell>
          <cell r="J29">
            <v>0.3291410529519172</v>
          </cell>
          <cell r="K29">
            <v>2058.4403347071889</v>
          </cell>
          <cell r="M29">
            <v>2384.9619086205325</v>
          </cell>
          <cell r="O29">
            <v>2654.6590939805487</v>
          </cell>
          <cell r="Q29">
            <v>2871.6159561867435</v>
          </cell>
        </row>
        <row r="30">
          <cell r="B30" t="str">
            <v xml:space="preserve">   Prior</v>
          </cell>
          <cell r="C30">
            <v>721.96299999999997</v>
          </cell>
          <cell r="E30">
            <v>947.5</v>
          </cell>
          <cell r="F30">
            <v>0.3123941254607232</v>
          </cell>
          <cell r="G30">
            <v>1261.8240000000001</v>
          </cell>
          <cell r="H30">
            <v>0.33174036939314</v>
          </cell>
          <cell r="I30">
            <v>1677.54035</v>
          </cell>
          <cell r="J30">
            <v>0.32945668334094136</v>
          </cell>
          <cell r="K30">
            <v>2126.0883509627956</v>
          </cell>
          <cell r="M30">
            <v>2462.6405409429644</v>
          </cell>
          <cell r="O30">
            <v>2698.181313048924</v>
          </cell>
          <cell r="Q30">
            <v>2876.1243160697531</v>
          </cell>
        </row>
        <row r="31">
          <cell r="B31" t="str">
            <v>SG&amp;A ($MM)</v>
          </cell>
          <cell r="R31" t="str">
            <v>2006 Guidance: 21% of operating revenue (from 21-22%)</v>
          </cell>
        </row>
        <row r="32">
          <cell r="B32" t="str">
            <v xml:space="preserve">   Current</v>
          </cell>
          <cell r="C32">
            <v>794.88499999999999</v>
          </cell>
          <cell r="D32">
            <v>0.45509778939583656</v>
          </cell>
          <cell r="E32">
            <v>1088.2</v>
          </cell>
          <cell r="F32">
            <v>0.36900306333620603</v>
          </cell>
          <cell r="G32">
            <v>1435.0319999999999</v>
          </cell>
          <cell r="H32">
            <v>0.31872082337805541</v>
          </cell>
          <cell r="I32">
            <v>1928.0563000000002</v>
          </cell>
          <cell r="J32">
            <v>0.34356327942512799</v>
          </cell>
          <cell r="K32">
            <v>2114.835960315605</v>
          </cell>
          <cell r="M32">
            <v>2293.2326044428196</v>
          </cell>
          <cell r="O32">
            <v>2406.696431355992</v>
          </cell>
          <cell r="Q32">
            <v>2406.1617215301007</v>
          </cell>
        </row>
        <row r="33">
          <cell r="B33" t="str">
            <v xml:space="preserve">   Prior</v>
          </cell>
          <cell r="C33">
            <v>794.88499999999999</v>
          </cell>
          <cell r="D33">
            <v>0.45509778939583656</v>
          </cell>
          <cell r="E33">
            <v>1088.2</v>
          </cell>
          <cell r="F33">
            <v>0.36900306333620603</v>
          </cell>
          <cell r="G33">
            <v>1435.0319999999999</v>
          </cell>
          <cell r="H33">
            <v>0.31872082337805541</v>
          </cell>
          <cell r="I33">
            <v>1955.315885</v>
          </cell>
          <cell r="J33">
            <v>0.36255908230617861</v>
          </cell>
          <cell r="K33">
            <v>2184.3373468795844</v>
          </cell>
          <cell r="M33">
            <v>2367.9235970605428</v>
          </cell>
          <cell r="O33">
            <v>2446.1533882036952</v>
          </cell>
          <cell r="Q33">
            <v>2409.9393307727328</v>
          </cell>
        </row>
        <row r="34">
          <cell r="B34" t="str">
            <v>Interest, Other Income</v>
          </cell>
        </row>
        <row r="35">
          <cell r="B35" t="str">
            <v xml:space="preserve">   Current</v>
          </cell>
          <cell r="C35">
            <v>92.807000000000002</v>
          </cell>
          <cell r="D35">
            <v>0</v>
          </cell>
          <cell r="E35">
            <v>82.597000000000008</v>
          </cell>
          <cell r="F35">
            <v>0</v>
          </cell>
          <cell r="G35">
            <v>140.9</v>
          </cell>
          <cell r="H35">
            <v>0</v>
          </cell>
          <cell r="I35">
            <v>228</v>
          </cell>
          <cell r="J35">
            <v>0</v>
          </cell>
          <cell r="K35">
            <v>158.27981570681379</v>
          </cell>
          <cell r="M35">
            <v>214.14721389467866</v>
          </cell>
          <cell r="O35">
            <v>298.9218808473185</v>
          </cell>
          <cell r="Q35">
            <v>424.04459975088002</v>
          </cell>
        </row>
        <row r="36">
          <cell r="B36" t="str">
            <v xml:space="preserve">   Prior</v>
          </cell>
          <cell r="C36">
            <v>92.8</v>
          </cell>
          <cell r="E36">
            <v>82.597000000000008</v>
          </cell>
          <cell r="F36">
            <v>0</v>
          </cell>
          <cell r="G36">
            <v>140.9</v>
          </cell>
          <cell r="H36">
            <v>0</v>
          </cell>
          <cell r="I36">
            <v>175</v>
          </cell>
          <cell r="J36">
            <v>0</v>
          </cell>
          <cell r="K36">
            <v>144.98120766629103</v>
          </cell>
          <cell r="M36">
            <v>198.6848384525747</v>
          </cell>
          <cell r="O36">
            <v>299.84795970525033</v>
          </cell>
          <cell r="Q36">
            <v>427.16721415138414</v>
          </cell>
        </row>
        <row r="37">
          <cell r="B37" t="str">
            <v xml:space="preserve">Net Income ($MM) </v>
          </cell>
        </row>
        <row r="38">
          <cell r="B38" t="str">
            <v xml:space="preserve">   Current</v>
          </cell>
          <cell r="C38">
            <v>634.65584265857763</v>
          </cell>
          <cell r="D38">
            <v>0.31253732024758918</v>
          </cell>
          <cell r="E38">
            <v>894.36599999999964</v>
          </cell>
          <cell r="F38">
            <v>0.4092141596829777</v>
          </cell>
          <cell r="G38">
            <v>1387.3240000000012</v>
          </cell>
          <cell r="H38">
            <v>0.55118150734710603</v>
          </cell>
          <cell r="I38">
            <v>2124.9055085800001</v>
          </cell>
          <cell r="J38">
            <v>0.53165771555887331</v>
          </cell>
          <cell r="K38">
            <v>2800.6211029553579</v>
          </cell>
          <cell r="M38">
            <v>3493.9576522401981</v>
          </cell>
          <cell r="O38">
            <v>4096.4026406736639</v>
          </cell>
          <cell r="Q38">
            <v>4671.2691888702175</v>
          </cell>
        </row>
        <row r="39">
          <cell r="B39" t="str">
            <v xml:space="preserve">   Prior</v>
          </cell>
          <cell r="C39">
            <v>634.65584265857763</v>
          </cell>
          <cell r="E39">
            <v>887.5259999999995</v>
          </cell>
          <cell r="F39">
            <v>0.3984366649523734</v>
          </cell>
          <cell r="G39">
            <v>1387.3240000000012</v>
          </cell>
          <cell r="H39">
            <v>0.55118150734710603</v>
          </cell>
          <cell r="I39">
            <v>2034.2770339500007</v>
          </cell>
          <cell r="J39">
            <v>0.4663316095951624</v>
          </cell>
          <cell r="K39">
            <v>2904.7667281963868</v>
          </cell>
          <cell r="M39">
            <v>3614.4886831826261</v>
          </cell>
          <cell r="O39">
            <v>4174.1361237760229</v>
          </cell>
          <cell r="Q39">
            <v>4681.8126100993795</v>
          </cell>
        </row>
        <row r="40">
          <cell r="B40" t="str">
            <v>Non-GAAP EPS, Diluted</v>
          </cell>
          <cell r="R40" t="str">
            <v>2006 Guidance: 45-55% YoY growth.  Raised guidance again (company raised guidance from 35-45% to 40%-50% at its analyst day three weeks ago).  Horizon 2010 guidance of 5-year CAGR of 25% (our model assumes 28%).  We are lowering 2007-09 EPS estimates.</v>
          </cell>
        </row>
        <row r="41">
          <cell r="B41" t="str">
            <v xml:space="preserve">   Current</v>
          </cell>
          <cell r="C41">
            <v>0.60195636879300407</v>
          </cell>
          <cell r="D41">
            <v>0.30585864252004424</v>
          </cell>
          <cell r="E41">
            <v>0.82872362999196592</v>
          </cell>
          <cell r="F41">
            <v>0.37671710601493902</v>
          </cell>
          <cell r="G41">
            <v>1.2834315032439099</v>
          </cell>
          <cell r="H41">
            <v>0.54868457564840067</v>
          </cell>
          <cell r="I41">
            <v>1.9766562870511628</v>
          </cell>
          <cell r="J41">
            <v>0.54013383811688231</v>
          </cell>
          <cell r="K41">
            <v>2.6131703146035923</v>
          </cell>
          <cell r="M41">
            <v>3.2657035401917991</v>
          </cell>
          <cell r="O41">
            <v>3.8441841959191563</v>
          </cell>
          <cell r="Q41">
            <v>4.4101388095141756</v>
          </cell>
        </row>
        <row r="42">
          <cell r="B42" t="str">
            <v xml:space="preserve">       Prior</v>
          </cell>
          <cell r="C42">
            <v>0.60195636879300407</v>
          </cell>
          <cell r="E42">
            <v>0.82238565467856495</v>
          </cell>
          <cell r="F42">
            <v>0.36618814471146544</v>
          </cell>
          <cell r="G42">
            <v>1.2834315032439099</v>
          </cell>
          <cell r="H42">
            <v>0.54868457564840067</v>
          </cell>
          <cell r="I42">
            <v>1.8875696940202418</v>
          </cell>
          <cell r="J42">
            <v>0.47072102348224698</v>
          </cell>
          <cell r="K42">
            <v>2.7103452791100371</v>
          </cell>
          <cell r="M42">
            <v>3.3783604907416378</v>
          </cell>
          <cell r="O42">
            <v>3.9171315727880218</v>
          </cell>
          <cell r="Q42">
            <v>4.4200928389797802</v>
          </cell>
        </row>
        <row r="43">
          <cell r="B43" t="str">
            <v>Non-GAAP EPS, Diluted (incl options expense)</v>
          </cell>
        </row>
        <row r="44">
          <cell r="B44" t="str">
            <v xml:space="preserve">   Current</v>
          </cell>
          <cell r="C44">
            <v>0</v>
          </cell>
          <cell r="D44">
            <v>0</v>
          </cell>
          <cell r="E44">
            <v>0</v>
          </cell>
          <cell r="F44">
            <v>0</v>
          </cell>
          <cell r="H44">
            <v>0</v>
          </cell>
          <cell r="I44">
            <v>1.670437236911628</v>
          </cell>
          <cell r="J44">
            <v>0</v>
          </cell>
          <cell r="K44">
            <v>2.2605437247777207</v>
          </cell>
          <cell r="M44">
            <v>2.8726239093062675</v>
          </cell>
          <cell r="O44">
            <v>3.4182573129078739</v>
          </cell>
          <cell r="Q44">
            <v>3.9597085440583326</v>
          </cell>
        </row>
        <row r="45">
          <cell r="B45" t="str">
            <v xml:space="preserve">   Prior</v>
          </cell>
          <cell r="C45">
            <v>0.60195636879300407</v>
          </cell>
          <cell r="E45">
            <v>0.82238565467856495</v>
          </cell>
          <cell r="F45">
            <v>0.36618814471146544</v>
          </cell>
          <cell r="H45">
            <v>0</v>
          </cell>
          <cell r="I45">
            <v>1.7230350353762618</v>
          </cell>
          <cell r="J45">
            <v>0</v>
          </cell>
          <cell r="K45">
            <v>2.5124428538629009</v>
          </cell>
          <cell r="M45">
            <v>3.1575521802291613</v>
          </cell>
          <cell r="O45">
            <v>3.6217186312474188</v>
          </cell>
          <cell r="Q45">
            <v>4.1138707857302448</v>
          </cell>
        </row>
        <row r="46">
          <cell r="B46" t="str">
            <v>Capital Expenditures</v>
          </cell>
          <cell r="R46" t="str">
            <v>2006 Guidance: $1.5B; expect decrease to ~$800 by 2010</v>
          </cell>
        </row>
        <row r="47">
          <cell r="B47" t="str">
            <v xml:space="preserve">   Current</v>
          </cell>
          <cell r="C47">
            <v>321.95</v>
          </cell>
          <cell r="D47">
            <v>649.85799999999995</v>
          </cell>
          <cell r="E47">
            <v>649.85799999999995</v>
          </cell>
          <cell r="F47">
            <v>1482.0585000000001</v>
          </cell>
          <cell r="G47">
            <v>1399.8240000000001</v>
          </cell>
          <cell r="H47">
            <v>1179.3767679991645</v>
          </cell>
          <cell r="I47">
            <v>1482.0585000000001</v>
          </cell>
          <cell r="J47">
            <v>828.35075659232984</v>
          </cell>
          <cell r="K47">
            <v>1579.0775170356521</v>
          </cell>
          <cell r="M47">
            <v>1179.3767679991645</v>
          </cell>
          <cell r="O47">
            <v>875.1623386749061</v>
          </cell>
          <cell r="Q47">
            <v>828.35075659232984</v>
          </cell>
        </row>
        <row r="48">
          <cell r="B48" t="str">
            <v xml:space="preserve">   Prior</v>
          </cell>
          <cell r="C48">
            <v>322</v>
          </cell>
          <cell r="E48">
            <v>649.85799999999995</v>
          </cell>
          <cell r="F48">
            <v>1073.9414548082564</v>
          </cell>
          <cell r="G48">
            <v>1399.8240000000001</v>
          </cell>
          <cell r="H48">
            <v>1217.7892784882793</v>
          </cell>
          <cell r="I48">
            <v>1472.375125</v>
          </cell>
          <cell r="J48">
            <v>829.65124502012111</v>
          </cell>
          <cell r="K48">
            <v>1630.9718856700899</v>
          </cell>
          <cell r="M48">
            <v>1217.7892784882793</v>
          </cell>
          <cell r="O48">
            <v>889.51032298316204</v>
          </cell>
          <cell r="Q48">
            <v>829.651245020121</v>
          </cell>
        </row>
        <row r="49">
          <cell r="B49" t="str">
            <v>Basic Shares Outstanding</v>
          </cell>
        </row>
        <row r="50">
          <cell r="B50" t="str">
            <v xml:space="preserve">   Current</v>
          </cell>
          <cell r="C50">
            <v>1034.4565</v>
          </cell>
          <cell r="D50">
            <v>-3.901749480143768E-3</v>
          </cell>
          <cell r="E50">
            <v>1055.165</v>
          </cell>
          <cell r="F50">
            <v>2.0018724808631427E-2</v>
          </cell>
          <cell r="G50">
            <v>1054.952</v>
          </cell>
          <cell r="H50">
            <v>-2.0186416342460323E-4</v>
          </cell>
          <cell r="I50">
            <v>1054</v>
          </cell>
          <cell r="J50">
            <v>-9.0241072579599901E-4</v>
          </cell>
          <cell r="K50">
            <v>1053.713</v>
          </cell>
          <cell r="M50">
            <v>1053.713</v>
          </cell>
          <cell r="O50">
            <v>1053.713</v>
          </cell>
          <cell r="Q50">
            <v>1053.713</v>
          </cell>
        </row>
        <row r="51">
          <cell r="B51" t="str">
            <v xml:space="preserve">   Prior</v>
          </cell>
          <cell r="C51">
            <v>1034.46</v>
          </cell>
          <cell r="E51">
            <v>1055.165</v>
          </cell>
          <cell r="F51">
            <v>2.0018724808631427E-2</v>
          </cell>
          <cell r="G51">
            <v>1054.952</v>
          </cell>
          <cell r="H51">
            <v>-2.0186416342460323E-4</v>
          </cell>
          <cell r="I51">
            <v>1054.7239999999999</v>
          </cell>
          <cell r="J51">
            <v>-2.1612357718647779E-4</v>
          </cell>
          <cell r="K51">
            <v>1053.713</v>
          </cell>
          <cell r="M51">
            <v>1053.713</v>
          </cell>
          <cell r="O51">
            <v>1053.713</v>
          </cell>
          <cell r="Q51">
            <v>1053.713</v>
          </cell>
        </row>
        <row r="52">
          <cell r="B52" t="str">
            <v>Diluted Shares Outstanding</v>
          </cell>
          <cell r="R52" t="str">
            <v xml:space="preserve">2006 Guidance: Flat YoY growth. </v>
          </cell>
        </row>
        <row r="53">
          <cell r="B53" t="str">
            <v xml:space="preserve">   Current</v>
          </cell>
          <cell r="C53">
            <v>1054.3219999999999</v>
          </cell>
          <cell r="D53">
            <v>5.1538922087179806E-3</v>
          </cell>
          <cell r="E53">
            <v>1079.2090000000001</v>
          </cell>
          <cell r="F53">
            <v>2.3604743142986884E-2</v>
          </cell>
          <cell r="G53">
            <v>1080.9490000000001</v>
          </cell>
          <cell r="H53">
            <v>1.6122919656897938E-3</v>
          </cell>
          <cell r="I53">
            <v>1075</v>
          </cell>
          <cell r="J53">
            <v>-5.5034973897936101E-3</v>
          </cell>
          <cell r="K53">
            <v>1071.7330926745205</v>
          </cell>
          <cell r="M53">
            <v>1069.8943150347914</v>
          </cell>
          <cell r="O53">
            <v>1065.6103953141094</v>
          </cell>
          <cell r="Q53">
            <v>1059.2113742072459</v>
          </cell>
        </row>
        <row r="54">
          <cell r="B54" t="str">
            <v xml:space="preserve">   Prior</v>
          </cell>
          <cell r="C54">
            <v>1054.32</v>
          </cell>
          <cell r="E54">
            <v>1079.2090000000001</v>
          </cell>
          <cell r="F54">
            <v>2.3604743142986884E-2</v>
          </cell>
          <cell r="G54">
            <v>1080.9490000000001</v>
          </cell>
          <cell r="H54">
            <v>1.6122919656897938E-3</v>
          </cell>
          <cell r="I54">
            <v>1077.7228731710002</v>
          </cell>
          <cell r="J54">
            <v>-2.9845319520160896E-3</v>
          </cell>
          <cell r="K54">
            <v>1071.7330926745205</v>
          </cell>
          <cell r="M54">
            <v>1069.8943150347914</v>
          </cell>
          <cell r="O54">
            <v>1065.6103953141094</v>
          </cell>
          <cell r="Q54">
            <v>1059.2113742072459</v>
          </cell>
        </row>
      </sheetData>
      <sheetData sheetId="5" refreshError="1">
        <row r="1">
          <cell r="B1" t="str">
            <v>Genentech Quarterly Income Statement</v>
          </cell>
          <cell r="BC1">
            <v>6.0159760359460801E-2</v>
          </cell>
          <cell r="BE1">
            <v>3.0609842241582363E-2</v>
          </cell>
        </row>
        <row r="2">
          <cell r="B2" t="str">
            <v>(Dollars in thousands except per-share data)</v>
          </cell>
          <cell r="BW2">
            <v>55</v>
          </cell>
        </row>
        <row r="3">
          <cell r="BW3">
            <v>0.11121852970795569</v>
          </cell>
        </row>
        <row r="4">
          <cell r="C4" t="str">
            <v>1Q99A</v>
          </cell>
          <cell r="E4" t="str">
            <v>2Q99A</v>
          </cell>
          <cell r="G4" t="str">
            <v>3Q99A</v>
          </cell>
          <cell r="I4" t="str">
            <v>4Q99A</v>
          </cell>
          <cell r="K4" t="str">
            <v>1999A</v>
          </cell>
          <cell r="M4" t="str">
            <v>1Q00A</v>
          </cell>
          <cell r="O4" t="str">
            <v>2Q00A</v>
          </cell>
          <cell r="Q4" t="str">
            <v>3Q00A</v>
          </cell>
          <cell r="S4" t="str">
            <v>4Q00A</v>
          </cell>
          <cell r="U4" t="str">
            <v>2000A</v>
          </cell>
          <cell r="W4" t="str">
            <v>1Q01A</v>
          </cell>
          <cell r="Y4" t="str">
            <v>2Q01A</v>
          </cell>
          <cell r="AA4" t="str">
            <v>3Q01A</v>
          </cell>
          <cell r="AC4" t="str">
            <v>4Q01A</v>
          </cell>
          <cell r="AE4" t="str">
            <v>2001A</v>
          </cell>
          <cell r="AG4" t="str">
            <v>1Q02A</v>
          </cell>
          <cell r="AI4" t="str">
            <v>2Q02A</v>
          </cell>
          <cell r="AK4" t="str">
            <v>3Q02A</v>
          </cell>
          <cell r="AM4" t="str">
            <v>4Q02A</v>
          </cell>
          <cell r="AO4" t="str">
            <v>2002A</v>
          </cell>
          <cell r="AQ4" t="str">
            <v>1Q03A</v>
          </cell>
          <cell r="AS4" t="str">
            <v>2Q03A</v>
          </cell>
          <cell r="AU4" t="str">
            <v>3Q03A</v>
          </cell>
          <cell r="AW4" t="str">
            <v>4Q03A</v>
          </cell>
          <cell r="AY4" t="str">
            <v>2003A</v>
          </cell>
          <cell r="BA4" t="str">
            <v>1Q04A</v>
          </cell>
          <cell r="BB4" t="str">
            <v>% chg</v>
          </cell>
          <cell r="BC4" t="str">
            <v>2Q04A</v>
          </cell>
          <cell r="BD4" t="str">
            <v>% chg</v>
          </cell>
          <cell r="BE4" t="str">
            <v>3Q04A</v>
          </cell>
          <cell r="BF4" t="str">
            <v>% chg</v>
          </cell>
          <cell r="BG4" t="str">
            <v>4Q04A</v>
          </cell>
          <cell r="BH4" t="str">
            <v>% chg</v>
          </cell>
          <cell r="BI4" t="str">
            <v>2004A</v>
          </cell>
          <cell r="BJ4" t="str">
            <v>% chg</v>
          </cell>
          <cell r="BL4" t="str">
            <v>1Q05A</v>
          </cell>
          <cell r="BM4" t="str">
            <v>% chg</v>
          </cell>
          <cell r="BN4" t="str">
            <v>2Q05A</v>
          </cell>
          <cell r="BO4" t="str">
            <v>% chg</v>
          </cell>
          <cell r="BP4" t="str">
            <v>3Q05A</v>
          </cell>
          <cell r="BQ4" t="str">
            <v>% chg</v>
          </cell>
          <cell r="BR4" t="str">
            <v>4Q05A</v>
          </cell>
          <cell r="BS4" t="str">
            <v>% chg</v>
          </cell>
          <cell r="BT4" t="str">
            <v>2005A</v>
          </cell>
          <cell r="BU4" t="str">
            <v>% chg</v>
          </cell>
          <cell r="BW4" t="str">
            <v>1Q06A</v>
          </cell>
          <cell r="BX4" t="str">
            <v>% chg</v>
          </cell>
          <cell r="BY4" t="str">
            <v>2Q06E</v>
          </cell>
          <cell r="BZ4" t="str">
            <v>% chg</v>
          </cell>
          <cell r="CA4" t="str">
            <v>3Q06E</v>
          </cell>
          <cell r="CB4" t="str">
            <v>% chg</v>
          </cell>
          <cell r="CC4" t="str">
            <v>4Q06E</v>
          </cell>
          <cell r="CD4" t="str">
            <v>% chg</v>
          </cell>
          <cell r="CE4" t="str">
            <v>2006E</v>
          </cell>
          <cell r="CF4" t="str">
            <v>% chg</v>
          </cell>
        </row>
        <row r="5">
          <cell r="B5" t="str">
            <v>Rituxan -US</v>
          </cell>
          <cell r="C5" t="str">
            <v>52</v>
          </cell>
          <cell r="E5" t="str">
            <v>68.3</v>
          </cell>
          <cell r="G5" t="str">
            <v>70.2</v>
          </cell>
          <cell r="I5" t="str">
            <v>72.2</v>
          </cell>
          <cell r="K5" t="str">
            <v>262.7</v>
          </cell>
          <cell r="M5" t="str">
            <v>78</v>
          </cell>
          <cell r="O5" t="str">
            <v>96.7</v>
          </cell>
          <cell r="Q5" t="str">
            <v>115.5</v>
          </cell>
          <cell r="S5" t="str">
            <v>134</v>
          </cell>
          <cell r="U5" t="str">
            <v>424.2</v>
          </cell>
          <cell r="W5" t="str">
            <v>168</v>
          </cell>
          <cell r="Y5" t="str">
            <v>180</v>
          </cell>
          <cell r="AA5" t="str">
            <v>205</v>
          </cell>
          <cell r="AC5" t="str">
            <v>226</v>
          </cell>
          <cell r="AE5" t="str">
            <v>779</v>
          </cell>
          <cell r="AG5" t="str">
            <v>235</v>
          </cell>
          <cell r="AI5" t="str">
            <v>257.4</v>
          </cell>
          <cell r="AK5" t="str">
            <v>269.6</v>
          </cell>
          <cell r="AM5" t="str">
            <v>318.2</v>
          </cell>
          <cell r="AO5" t="str">
            <v>1080.2</v>
          </cell>
          <cell r="AQ5" t="str">
            <v>310</v>
          </cell>
          <cell r="AS5" t="str">
            <v>328</v>
          </cell>
          <cell r="AU5" t="str">
            <v>353.6</v>
          </cell>
          <cell r="AW5" t="str">
            <v>368.6</v>
          </cell>
          <cell r="AY5">
            <v>1360.2</v>
          </cell>
          <cell r="BA5">
            <v>361.8</v>
          </cell>
          <cell r="BC5">
            <v>390</v>
          </cell>
          <cell r="BE5">
            <v>393</v>
          </cell>
          <cell r="BG5">
            <v>429.2</v>
          </cell>
          <cell r="BI5">
            <v>1574</v>
          </cell>
          <cell r="BJ5">
            <v>0.15718276724011182</v>
          </cell>
          <cell r="BL5">
            <v>440.55</v>
          </cell>
          <cell r="BN5">
            <v>450.3</v>
          </cell>
          <cell r="BP5">
            <v>456.22699999999998</v>
          </cell>
          <cell r="BR5">
            <v>484.404</v>
          </cell>
          <cell r="BT5">
            <v>1831.481</v>
          </cell>
          <cell r="BU5">
            <v>0.1635838627700128</v>
          </cell>
          <cell r="BW5">
            <v>477</v>
          </cell>
          <cell r="BY5">
            <v>520</v>
          </cell>
          <cell r="CA5">
            <v>540</v>
          </cell>
          <cell r="CC5">
            <v>560</v>
          </cell>
          <cell r="CE5">
            <v>2097</v>
          </cell>
          <cell r="CF5">
            <v>0.14497502294591103</v>
          </cell>
        </row>
        <row r="6">
          <cell r="B6" t="str">
            <v>Rituxan- Ex-US</v>
          </cell>
          <cell r="C6">
            <v>17</v>
          </cell>
          <cell r="E6" t="str">
            <v>20.3</v>
          </cell>
          <cell r="G6">
            <v>8</v>
          </cell>
          <cell r="I6" t="str">
            <v>10.3</v>
          </cell>
          <cell r="K6">
            <v>55.800000000000011</v>
          </cell>
          <cell r="M6">
            <v>31.696428571428569</v>
          </cell>
          <cell r="O6">
            <v>27.232142857142854</v>
          </cell>
          <cell r="Q6">
            <v>10.714285714285714</v>
          </cell>
          <cell r="S6">
            <v>19.196428571428569</v>
          </cell>
          <cell r="U6">
            <v>88.800000000000011</v>
          </cell>
          <cell r="W6">
            <v>24.500000000000028</v>
          </cell>
          <cell r="Y6">
            <v>51.28</v>
          </cell>
          <cell r="AA6">
            <v>56.370000000000005</v>
          </cell>
          <cell r="AC6">
            <v>54.5</v>
          </cell>
          <cell r="AE6">
            <v>186.65000000000003</v>
          </cell>
          <cell r="AG6">
            <v>106.90000000000003</v>
          </cell>
          <cell r="AI6">
            <v>94.760000000000048</v>
          </cell>
          <cell r="AK6">
            <v>119</v>
          </cell>
          <cell r="AM6">
            <v>129.24000000000007</v>
          </cell>
          <cell r="AO6">
            <v>449.90000000000015</v>
          </cell>
          <cell r="AQ6">
            <v>111.58999999999997</v>
          </cell>
          <cell r="AS6">
            <v>161.09999999999997</v>
          </cell>
          <cell r="AU6">
            <v>159.76</v>
          </cell>
          <cell r="AW6">
            <v>217.14999999999998</v>
          </cell>
          <cell r="AY6">
            <v>649.59999999999991</v>
          </cell>
          <cell r="BA6">
            <v>261</v>
          </cell>
          <cell r="BC6">
            <v>270</v>
          </cell>
          <cell r="BE6">
            <v>305</v>
          </cell>
          <cell r="BG6">
            <v>313</v>
          </cell>
          <cell r="BI6">
            <v>1149</v>
          </cell>
          <cell r="BL6">
            <v>330</v>
          </cell>
          <cell r="BM6">
            <v>0.2</v>
          </cell>
          <cell r="BN6">
            <v>361</v>
          </cell>
          <cell r="BO6">
            <v>0.18</v>
          </cell>
          <cell r="BP6">
            <v>350</v>
          </cell>
          <cell r="BQ6">
            <v>0.17</v>
          </cell>
          <cell r="BR6">
            <v>370</v>
          </cell>
          <cell r="BS6">
            <v>0.15</v>
          </cell>
          <cell r="BT6">
            <v>1411</v>
          </cell>
          <cell r="BU6">
            <v>0.22802436901653622</v>
          </cell>
          <cell r="BW6">
            <v>440</v>
          </cell>
          <cell r="BY6">
            <v>460</v>
          </cell>
          <cell r="CA6">
            <v>475</v>
          </cell>
          <cell r="CC6">
            <v>490</v>
          </cell>
          <cell r="CE6">
            <v>1865</v>
          </cell>
          <cell r="CF6">
            <v>0.32175761871013475</v>
          </cell>
        </row>
        <row r="7">
          <cell r="B7" t="str">
            <v xml:space="preserve">Rituxan - Transfer to Roche </v>
          </cell>
          <cell r="C7" t="str">
            <v>5.1</v>
          </cell>
          <cell r="E7" t="str">
            <v>6.1</v>
          </cell>
          <cell r="G7" t="str">
            <v>2.4</v>
          </cell>
          <cell r="I7" t="str">
            <v>3.1</v>
          </cell>
          <cell r="K7" t="str">
            <v>16.7</v>
          </cell>
          <cell r="M7" t="str">
            <v>7.1</v>
          </cell>
          <cell r="O7" t="str">
            <v>6.1</v>
          </cell>
          <cell r="Q7" t="str">
            <v>2.4</v>
          </cell>
          <cell r="S7" t="str">
            <v>4.3</v>
          </cell>
          <cell r="U7">
            <v>19.899999999999977</v>
          </cell>
          <cell r="W7" t="str">
            <v>4.1</v>
          </cell>
          <cell r="Y7" t="str">
            <v>7.7</v>
          </cell>
          <cell r="AA7" t="str">
            <v>7.8</v>
          </cell>
          <cell r="AC7" t="str">
            <v>20</v>
          </cell>
          <cell r="AE7" t="str">
            <v>39.6</v>
          </cell>
          <cell r="AG7" t="str">
            <v>12.5</v>
          </cell>
          <cell r="AI7" t="str">
            <v>17.5</v>
          </cell>
          <cell r="AK7" t="str">
            <v>24.3</v>
          </cell>
          <cell r="AM7" t="str">
            <v>28.4</v>
          </cell>
          <cell r="AO7" t="str">
            <v>82.7</v>
          </cell>
          <cell r="AQ7" t="str">
            <v>31</v>
          </cell>
          <cell r="AS7" t="str">
            <v>35.4</v>
          </cell>
          <cell r="AU7" t="str">
            <v>18.1</v>
          </cell>
          <cell r="AW7" t="str">
            <v>44.4</v>
          </cell>
          <cell r="AY7">
            <v>128.9</v>
          </cell>
          <cell r="BA7">
            <v>38.799999999999997</v>
          </cell>
          <cell r="BC7">
            <v>34.700000000000003</v>
          </cell>
          <cell r="BE7">
            <v>44.7</v>
          </cell>
          <cell r="BG7">
            <v>19</v>
          </cell>
          <cell r="BI7">
            <v>137.19999999999999</v>
          </cell>
          <cell r="BJ7">
            <v>6.4391000775795071E-2</v>
          </cell>
          <cell r="BL7">
            <v>33.049999999999997</v>
          </cell>
          <cell r="BN7">
            <v>32</v>
          </cell>
          <cell r="BP7">
            <v>45.7</v>
          </cell>
          <cell r="BR7">
            <v>47.2</v>
          </cell>
          <cell r="BT7">
            <v>157.94999999999999</v>
          </cell>
          <cell r="BU7">
            <v>0.15123906705539358</v>
          </cell>
          <cell r="BW7">
            <v>32</v>
          </cell>
          <cell r="BY7">
            <v>73.600000000000009</v>
          </cell>
          <cell r="CA7">
            <v>76</v>
          </cell>
          <cell r="CC7">
            <v>78.400000000000006</v>
          </cell>
          <cell r="CE7">
            <v>260</v>
          </cell>
          <cell r="CF7">
            <v>0.64609053497942392</v>
          </cell>
        </row>
        <row r="8">
          <cell r="B8" t="str">
            <v>Rituxan - US &amp; Sales to Roche</v>
          </cell>
          <cell r="C8">
            <v>57.1</v>
          </cell>
          <cell r="E8">
            <v>74.400000000000006</v>
          </cell>
          <cell r="G8">
            <v>72.599999999999994</v>
          </cell>
          <cell r="I8">
            <v>75.3</v>
          </cell>
          <cell r="K8">
            <v>279.39999999999998</v>
          </cell>
          <cell r="M8">
            <v>85.1</v>
          </cell>
          <cell r="O8">
            <v>102.8</v>
          </cell>
          <cell r="Q8">
            <v>117.9</v>
          </cell>
          <cell r="S8">
            <v>138.30000000000001</v>
          </cell>
          <cell r="U8">
            <v>444.09999999999997</v>
          </cell>
          <cell r="W8">
            <v>172.1</v>
          </cell>
          <cell r="Y8">
            <v>187.7</v>
          </cell>
          <cell r="AA8">
            <v>212.8</v>
          </cell>
          <cell r="AC8">
            <v>246</v>
          </cell>
          <cell r="AE8">
            <v>818.59999999999991</v>
          </cell>
          <cell r="AG8">
            <v>247.5</v>
          </cell>
          <cell r="AI8">
            <v>274.89999999999998</v>
          </cell>
          <cell r="AK8">
            <v>293.90000000000003</v>
          </cell>
          <cell r="AM8">
            <v>346.59999999999997</v>
          </cell>
          <cell r="AO8">
            <v>1162.8999999999999</v>
          </cell>
          <cell r="AQ8">
            <v>341</v>
          </cell>
          <cell r="AS8">
            <v>363.4</v>
          </cell>
          <cell r="AU8">
            <v>371.70000000000005</v>
          </cell>
          <cell r="AW8">
            <v>413</v>
          </cell>
          <cell r="AY8">
            <v>1489.1</v>
          </cell>
          <cell r="BA8">
            <v>400.6</v>
          </cell>
          <cell r="BB8">
            <v>0.17478005865102642</v>
          </cell>
          <cell r="BC8">
            <v>424.7</v>
          </cell>
          <cell r="BD8">
            <v>0.1686846450192625</v>
          </cell>
          <cell r="BE8">
            <v>437.7</v>
          </cell>
          <cell r="BF8">
            <v>0.17756255044390623</v>
          </cell>
          <cell r="BG8">
            <v>448.2</v>
          </cell>
          <cell r="BH8">
            <v>8.5230024213075017E-2</v>
          </cell>
          <cell r="BI8">
            <v>1711.2</v>
          </cell>
          <cell r="BJ8">
            <v>0.14915049358673027</v>
          </cell>
          <cell r="BL8">
            <v>473.6</v>
          </cell>
          <cell r="BM8">
            <v>0.18222666000998511</v>
          </cell>
          <cell r="BN8">
            <v>482.3</v>
          </cell>
          <cell r="BO8">
            <v>0.13562514716270324</v>
          </cell>
          <cell r="BP8">
            <v>501.92699999999996</v>
          </cell>
          <cell r="BQ8">
            <v>0.14673749143248793</v>
          </cell>
          <cell r="BR8">
            <v>531.60400000000004</v>
          </cell>
          <cell r="BS8">
            <v>0.18608656849620719</v>
          </cell>
          <cell r="BT8">
            <v>1989.431</v>
          </cell>
          <cell r="BU8">
            <v>0.16259408602150538</v>
          </cell>
          <cell r="BW8">
            <v>509</v>
          </cell>
          <cell r="BX8">
            <v>7.474662162162149E-2</v>
          </cell>
          <cell r="BY8">
            <v>593.6</v>
          </cell>
          <cell r="BZ8">
            <v>0.23076923076923084</v>
          </cell>
          <cell r="CA8">
            <v>616</v>
          </cell>
          <cell r="CB8">
            <v>0.22727010103062795</v>
          </cell>
          <cell r="CC8">
            <v>638.4</v>
          </cell>
          <cell r="CD8">
            <v>0.2008938984657751</v>
          </cell>
          <cell r="CE8">
            <v>2357</v>
          </cell>
          <cell r="CF8">
            <v>0.18476086881123299</v>
          </cell>
        </row>
        <row r="9">
          <cell r="B9" t="str">
            <v>Avastin - US</v>
          </cell>
          <cell r="BA9">
            <v>38.1</v>
          </cell>
          <cell r="BC9">
            <v>133</v>
          </cell>
          <cell r="BE9">
            <v>183</v>
          </cell>
          <cell r="BG9">
            <v>198.24</v>
          </cell>
          <cell r="BI9">
            <v>552.34</v>
          </cell>
          <cell r="BL9">
            <v>202.85499999999999</v>
          </cell>
          <cell r="BN9">
            <v>245.6</v>
          </cell>
          <cell r="BP9">
            <v>325.15600000000001</v>
          </cell>
          <cell r="BR9">
            <v>359.11</v>
          </cell>
          <cell r="BT9">
            <v>1132.721</v>
          </cell>
          <cell r="BW9">
            <v>398</v>
          </cell>
          <cell r="BY9">
            <v>442</v>
          </cell>
          <cell r="CA9">
            <v>486</v>
          </cell>
          <cell r="CC9">
            <v>550</v>
          </cell>
          <cell r="CE9">
            <v>1876</v>
          </cell>
        </row>
        <row r="10">
          <cell r="B10" t="str">
            <v>Avastin - Ex-US</v>
          </cell>
          <cell r="BA10">
            <v>0</v>
          </cell>
          <cell r="BC10">
            <v>0</v>
          </cell>
          <cell r="BE10">
            <v>0</v>
          </cell>
          <cell r="BG10">
            <v>10</v>
          </cell>
          <cell r="BI10">
            <v>10</v>
          </cell>
          <cell r="BL10">
            <v>16.899999999999999</v>
          </cell>
          <cell r="BN10">
            <v>38.200000000000003</v>
          </cell>
          <cell r="BP10">
            <v>60.6</v>
          </cell>
          <cell r="BR10">
            <v>75</v>
          </cell>
          <cell r="BT10">
            <v>190.7</v>
          </cell>
          <cell r="BW10">
            <v>105</v>
          </cell>
          <cell r="BY10">
            <v>130</v>
          </cell>
          <cell r="CA10">
            <v>150</v>
          </cell>
          <cell r="CC10">
            <v>180</v>
          </cell>
          <cell r="CE10">
            <v>565</v>
          </cell>
        </row>
        <row r="11">
          <cell r="B11" t="str">
            <v>Avastin - Transfer to Roche</v>
          </cell>
          <cell r="BG11">
            <v>2.16</v>
          </cell>
          <cell r="BI11">
            <v>2.16</v>
          </cell>
          <cell r="BL11">
            <v>11.632</v>
          </cell>
          <cell r="BN11">
            <v>3.6</v>
          </cell>
          <cell r="BP11">
            <v>35</v>
          </cell>
          <cell r="BR11">
            <v>33.799999999999997</v>
          </cell>
          <cell r="BT11">
            <v>84.031999999999996</v>
          </cell>
          <cell r="BW11">
            <v>18</v>
          </cell>
          <cell r="BY11">
            <v>28.08</v>
          </cell>
          <cell r="CA11">
            <v>32.4</v>
          </cell>
          <cell r="CC11">
            <v>38.879999999999995</v>
          </cell>
          <cell r="CE11">
            <v>117.35999999999999</v>
          </cell>
        </row>
        <row r="12">
          <cell r="B12" t="str">
            <v>Avastin -  US &amp; Sales to Roche</v>
          </cell>
          <cell r="BA12">
            <v>38.1</v>
          </cell>
          <cell r="BB12" t="str">
            <v>NM</v>
          </cell>
          <cell r="BC12">
            <v>133</v>
          </cell>
          <cell r="BD12" t="str">
            <v>NM</v>
          </cell>
          <cell r="BE12">
            <v>183</v>
          </cell>
          <cell r="BF12" t="str">
            <v>NM</v>
          </cell>
          <cell r="BG12">
            <v>200.4</v>
          </cell>
          <cell r="BH12" t="str">
            <v>NM</v>
          </cell>
          <cell r="BI12">
            <v>554.5</v>
          </cell>
          <cell r="BJ12" t="str">
            <v>NM</v>
          </cell>
          <cell r="BL12">
            <v>214.48699999999999</v>
          </cell>
          <cell r="BM12">
            <v>4.6295800524934378</v>
          </cell>
          <cell r="BN12">
            <v>249.2</v>
          </cell>
          <cell r="BO12">
            <v>0.87368421052631562</v>
          </cell>
          <cell r="BP12">
            <v>360.15600000000001</v>
          </cell>
          <cell r="BQ12">
            <v>0.96806557377049174</v>
          </cell>
          <cell r="BR12">
            <v>392.91</v>
          </cell>
          <cell r="BS12">
            <v>0.96062874251497021</v>
          </cell>
          <cell r="BT12">
            <v>1216.7530000000002</v>
          </cell>
          <cell r="BU12">
            <v>1.1943246167718669</v>
          </cell>
          <cell r="BW12">
            <v>416</v>
          </cell>
          <cell r="BX12">
            <v>0.93951148554457853</v>
          </cell>
          <cell r="BY12">
            <v>470.08</v>
          </cell>
          <cell r="BZ12">
            <v>0.88635634028892452</v>
          </cell>
          <cell r="CA12">
            <v>518.4</v>
          </cell>
          <cell r="CB12">
            <v>0.4393762702828774</v>
          </cell>
          <cell r="CC12">
            <v>588.88</v>
          </cell>
          <cell r="CD12">
            <v>0.49876562062558838</v>
          </cell>
          <cell r="CE12">
            <v>1993.3600000000001</v>
          </cell>
          <cell r="CF12">
            <v>0.63826183292747163</v>
          </cell>
        </row>
        <row r="13">
          <cell r="B13" t="str">
            <v>Herceptin - US</v>
          </cell>
          <cell r="C13">
            <v>39.200000000000003</v>
          </cell>
          <cell r="E13">
            <v>42.6</v>
          </cell>
          <cell r="G13">
            <v>47.5</v>
          </cell>
          <cell r="I13">
            <v>54.4</v>
          </cell>
          <cell r="K13">
            <v>183.70000000000002</v>
          </cell>
          <cell r="M13">
            <v>56.7</v>
          </cell>
          <cell r="O13">
            <v>62.6</v>
          </cell>
          <cell r="Q13">
            <v>64.099999999999994</v>
          </cell>
          <cell r="S13">
            <v>66.3</v>
          </cell>
          <cell r="U13">
            <v>249.7</v>
          </cell>
          <cell r="W13">
            <v>70.099999999999994</v>
          </cell>
          <cell r="Y13">
            <v>74.099999999999994</v>
          </cell>
          <cell r="AA13">
            <v>75.900000000000006</v>
          </cell>
          <cell r="AC13">
            <v>95.3</v>
          </cell>
          <cell r="AE13">
            <v>315.39999999999998</v>
          </cell>
          <cell r="AG13">
            <v>77.3</v>
          </cell>
          <cell r="AI13">
            <v>82.5</v>
          </cell>
          <cell r="AK13">
            <v>88.3</v>
          </cell>
          <cell r="AM13">
            <v>96.8</v>
          </cell>
          <cell r="AO13">
            <v>344.9</v>
          </cell>
          <cell r="AQ13">
            <v>93.7</v>
          </cell>
          <cell r="AS13">
            <v>99</v>
          </cell>
          <cell r="AU13">
            <v>106.2</v>
          </cell>
          <cell r="AW13">
            <v>107.1</v>
          </cell>
          <cell r="AY13">
            <v>406</v>
          </cell>
          <cell r="BA13">
            <v>108.7</v>
          </cell>
          <cell r="BC13">
            <v>110</v>
          </cell>
          <cell r="BE13">
            <v>122.7</v>
          </cell>
          <cell r="BG13">
            <v>125</v>
          </cell>
          <cell r="BI13">
            <v>466.4</v>
          </cell>
          <cell r="BJ13">
            <v>0.14876847290640383</v>
          </cell>
          <cell r="BL13">
            <v>129.63</v>
          </cell>
          <cell r="BM13">
            <v>0.19254829806807727</v>
          </cell>
          <cell r="BN13">
            <v>152.4</v>
          </cell>
          <cell r="BO13">
            <v>0.38545454545454549</v>
          </cell>
          <cell r="BP13">
            <v>215.148</v>
          </cell>
          <cell r="BQ13">
            <v>0.75344743276283621</v>
          </cell>
          <cell r="BR13">
            <v>250.06899999999999</v>
          </cell>
          <cell r="BS13">
            <v>1.0005519999999999</v>
          </cell>
          <cell r="BT13">
            <v>747.24699999999996</v>
          </cell>
          <cell r="BU13">
            <v>0.60215909090909081</v>
          </cell>
          <cell r="BW13">
            <v>290</v>
          </cell>
          <cell r="BX13">
            <v>1.2371364653243848</v>
          </cell>
          <cell r="BY13">
            <v>330</v>
          </cell>
          <cell r="BZ13">
            <v>1.1653543307086611</v>
          </cell>
          <cell r="CA13">
            <v>365</v>
          </cell>
          <cell r="CB13">
            <v>0.69650659081190636</v>
          </cell>
          <cell r="CC13">
            <v>390</v>
          </cell>
          <cell r="CD13">
            <v>0.55956955880177084</v>
          </cell>
          <cell r="CE13">
            <v>1375</v>
          </cell>
          <cell r="CF13">
            <v>0.84008768185084737</v>
          </cell>
        </row>
        <row r="14">
          <cell r="B14" t="str">
            <v xml:space="preserve">Herceptin - Ex-US </v>
          </cell>
          <cell r="K14">
            <v>0</v>
          </cell>
          <cell r="M14">
            <v>26.490066225165563</v>
          </cell>
          <cell r="O14">
            <v>9.0507726269315665</v>
          </cell>
          <cell r="Q14">
            <v>18.763796909492275</v>
          </cell>
          <cell r="S14">
            <v>3.7527593818984544</v>
          </cell>
          <cell r="U14">
            <v>58.099999999999966</v>
          </cell>
          <cell r="W14">
            <v>26.799999999999997</v>
          </cell>
          <cell r="Y14">
            <v>31.92</v>
          </cell>
          <cell r="AA14">
            <v>40.379999999999981</v>
          </cell>
          <cell r="AC14">
            <v>44.92</v>
          </cell>
          <cell r="AE14">
            <v>144.01999999999998</v>
          </cell>
          <cell r="AG14">
            <v>67.65000000000002</v>
          </cell>
          <cell r="AI14">
            <v>70.02000000000001</v>
          </cell>
          <cell r="AK14">
            <v>83.89</v>
          </cell>
          <cell r="AM14">
            <v>94.280000000000015</v>
          </cell>
          <cell r="AO14">
            <v>315.84000000000003</v>
          </cell>
          <cell r="AQ14">
            <v>89.149999999999991</v>
          </cell>
          <cell r="AS14">
            <v>109.78</v>
          </cell>
          <cell r="AU14">
            <v>117.71999999999998</v>
          </cell>
          <cell r="AW14">
            <v>129.15</v>
          </cell>
          <cell r="AY14">
            <v>445.79999999999995</v>
          </cell>
          <cell r="BA14">
            <v>147.13999999999999</v>
          </cell>
          <cell r="BC14">
            <v>145</v>
          </cell>
          <cell r="BE14">
            <v>148</v>
          </cell>
          <cell r="BG14">
            <v>150</v>
          </cell>
          <cell r="BI14">
            <v>590.14</v>
          </cell>
          <cell r="BL14">
            <v>201</v>
          </cell>
          <cell r="BM14">
            <v>0.36604594263966295</v>
          </cell>
          <cell r="BN14">
            <v>223</v>
          </cell>
          <cell r="BO14">
            <v>0.53793103448275859</v>
          </cell>
          <cell r="BP14">
            <v>252</v>
          </cell>
          <cell r="BQ14">
            <v>0.70270270270270263</v>
          </cell>
          <cell r="BR14">
            <v>272</v>
          </cell>
          <cell r="BS14">
            <v>0.81333333333333324</v>
          </cell>
          <cell r="BT14">
            <v>948</v>
          </cell>
          <cell r="BU14">
            <v>0.60639848171620292</v>
          </cell>
          <cell r="BW14">
            <v>255</v>
          </cell>
          <cell r="BX14">
            <v>0.26865671641791056</v>
          </cell>
          <cell r="BY14">
            <v>275</v>
          </cell>
          <cell r="BZ14">
            <v>0.23318385650224216</v>
          </cell>
          <cell r="CA14">
            <v>315</v>
          </cell>
          <cell r="CB14">
            <v>0.25</v>
          </cell>
          <cell r="CC14">
            <v>330</v>
          </cell>
          <cell r="CD14">
            <v>0.21323529411764697</v>
          </cell>
          <cell r="CE14">
            <v>1175</v>
          </cell>
          <cell r="CF14">
            <v>0.23945147679324896</v>
          </cell>
        </row>
        <row r="15">
          <cell r="B15" t="str">
            <v>Herceptin - Transfer to Roche</v>
          </cell>
          <cell r="C15">
            <v>0.7</v>
          </cell>
          <cell r="E15">
            <v>3.6</v>
          </cell>
          <cell r="G15">
            <v>0.4</v>
          </cell>
          <cell r="I15">
            <v>0</v>
          </cell>
          <cell r="K15">
            <v>4.7</v>
          </cell>
          <cell r="M15">
            <v>12</v>
          </cell>
          <cell r="O15">
            <v>4.0999999999999996</v>
          </cell>
          <cell r="Q15">
            <v>8.5</v>
          </cell>
          <cell r="S15">
            <v>1.7</v>
          </cell>
          <cell r="U15">
            <v>26.3</v>
          </cell>
          <cell r="W15">
            <v>11.3</v>
          </cell>
          <cell r="Y15">
            <v>4.7</v>
          </cell>
          <cell r="AA15">
            <v>7.9</v>
          </cell>
          <cell r="AC15">
            <v>7.4</v>
          </cell>
          <cell r="AE15">
            <v>31.299999999999997</v>
          </cell>
          <cell r="AG15">
            <v>9.5</v>
          </cell>
          <cell r="AI15">
            <v>12.6</v>
          </cell>
          <cell r="AK15">
            <v>8.4</v>
          </cell>
          <cell r="AM15">
            <v>9.8000000000000007</v>
          </cell>
          <cell r="AO15">
            <v>40.299999999999997</v>
          </cell>
          <cell r="AQ15">
            <v>0</v>
          </cell>
          <cell r="AS15">
            <v>10.1</v>
          </cell>
          <cell r="AU15">
            <v>1.5</v>
          </cell>
          <cell r="AW15">
            <v>7.2</v>
          </cell>
          <cell r="AY15">
            <v>18.8</v>
          </cell>
          <cell r="BA15">
            <v>4.8</v>
          </cell>
          <cell r="BC15">
            <v>3.625</v>
          </cell>
          <cell r="BE15">
            <v>3.7</v>
          </cell>
          <cell r="BG15">
            <v>3.75</v>
          </cell>
          <cell r="BI15">
            <v>15.875</v>
          </cell>
          <cell r="BJ15">
            <v>-0.15558510638297873</v>
          </cell>
          <cell r="BL15">
            <v>10.888</v>
          </cell>
          <cell r="BM15">
            <v>1.2683333333333335</v>
          </cell>
          <cell r="BN15">
            <v>-1.7669999999999999</v>
          </cell>
          <cell r="BO15">
            <v>-1.4874482758620688</v>
          </cell>
          <cell r="BP15">
            <v>5</v>
          </cell>
          <cell r="BQ15">
            <v>0.35135135135135132</v>
          </cell>
          <cell r="BR15">
            <v>2.5</v>
          </cell>
          <cell r="BS15">
            <v>-0.33333333333333337</v>
          </cell>
          <cell r="BT15">
            <v>16.621000000000002</v>
          </cell>
          <cell r="BU15">
            <v>4.6992125984252064E-2</v>
          </cell>
          <cell r="BW15">
            <v>5</v>
          </cell>
          <cell r="BX15">
            <v>-0.54077883908890523</v>
          </cell>
          <cell r="BY15">
            <v>0</v>
          </cell>
          <cell r="CA15">
            <v>0</v>
          </cell>
          <cell r="CC15">
            <v>0</v>
          </cell>
          <cell r="CE15">
            <v>5</v>
          </cell>
          <cell r="CF15">
            <v>-0.69917574153179718</v>
          </cell>
        </row>
        <row r="16">
          <cell r="B16" t="str">
            <v>Herceptin- US &amp; Sales to Roche</v>
          </cell>
          <cell r="C16">
            <v>39.899999999000009</v>
          </cell>
          <cell r="E16">
            <v>46.2</v>
          </cell>
          <cell r="G16">
            <v>47.900000000999995</v>
          </cell>
          <cell r="I16">
            <v>54.4</v>
          </cell>
          <cell r="K16">
            <v>188.4</v>
          </cell>
          <cell r="M16">
            <v>68.700000000999992</v>
          </cell>
          <cell r="O16">
            <v>66.700000000999992</v>
          </cell>
          <cell r="Q16">
            <v>72.599999999999994</v>
          </cell>
          <cell r="S16">
            <v>67.900000000000006</v>
          </cell>
          <cell r="U16">
            <v>275.90000000199996</v>
          </cell>
          <cell r="W16">
            <v>81.400000000000006</v>
          </cell>
          <cell r="Y16">
            <v>78.799999999000008</v>
          </cell>
          <cell r="AA16">
            <v>83.9</v>
          </cell>
          <cell r="AC16">
            <v>102.52497556000002</v>
          </cell>
          <cell r="AE16">
            <v>346.62497555900001</v>
          </cell>
          <cell r="AG16">
            <v>86.835243488000017</v>
          </cell>
          <cell r="AI16">
            <v>95.107865390720022</v>
          </cell>
          <cell r="AK16">
            <v>96.7</v>
          </cell>
          <cell r="AM16">
            <v>106.62597458240003</v>
          </cell>
          <cell r="AO16">
            <v>385.26908346112009</v>
          </cell>
          <cell r="AQ16">
            <v>93.7</v>
          </cell>
          <cell r="AS16">
            <v>109.1</v>
          </cell>
          <cell r="AU16">
            <v>107.7</v>
          </cell>
          <cell r="AW16">
            <v>114.3</v>
          </cell>
          <cell r="AY16">
            <v>424.8</v>
          </cell>
          <cell r="BA16">
            <v>113.5</v>
          </cell>
          <cell r="BB16">
            <v>0.21131270010672365</v>
          </cell>
          <cell r="BC16">
            <v>117.7</v>
          </cell>
          <cell r="BD16">
            <v>7.8826764436296992E-2</v>
          </cell>
          <cell r="BE16">
            <v>126</v>
          </cell>
          <cell r="BF16">
            <v>0.16991643454038985</v>
          </cell>
          <cell r="BG16">
            <v>126</v>
          </cell>
          <cell r="BH16">
            <v>0.10236220472440949</v>
          </cell>
          <cell r="BI16">
            <v>483.2</v>
          </cell>
          <cell r="BJ16">
            <v>0.1374764595103577</v>
          </cell>
          <cell r="BL16">
            <v>140.518</v>
          </cell>
          <cell r="BM16">
            <v>0.23804405286343622</v>
          </cell>
          <cell r="BN16">
            <v>150.63300000000001</v>
          </cell>
          <cell r="BO16">
            <v>0.27980458793542917</v>
          </cell>
          <cell r="BP16">
            <v>220.148</v>
          </cell>
          <cell r="BQ16">
            <v>0.74720634920634921</v>
          </cell>
          <cell r="BR16">
            <v>252.56899999999999</v>
          </cell>
          <cell r="BS16">
            <v>1.004515873015873</v>
          </cell>
          <cell r="BT16">
            <v>763.86799999999994</v>
          </cell>
          <cell r="BU16">
            <v>0.58085264900662237</v>
          </cell>
          <cell r="BW16">
            <v>295</v>
          </cell>
          <cell r="BX16">
            <v>1.0993751690174922</v>
          </cell>
          <cell r="BY16">
            <v>330</v>
          </cell>
          <cell r="BZ16">
            <v>1.1907550138415885</v>
          </cell>
          <cell r="CA16">
            <v>365</v>
          </cell>
          <cell r="CB16">
            <v>0.65797554372513045</v>
          </cell>
          <cell r="CC16">
            <v>390</v>
          </cell>
          <cell r="CD16">
            <v>0.54413249448665524</v>
          </cell>
          <cell r="CE16">
            <v>1380</v>
          </cell>
          <cell r="CF16">
            <v>0.8065948567029908</v>
          </cell>
        </row>
        <row r="17">
          <cell r="B17" t="str">
            <v>Xolair</v>
          </cell>
          <cell r="C17">
            <v>0</v>
          </cell>
          <cell r="E17">
            <v>0</v>
          </cell>
          <cell r="G17">
            <v>0</v>
          </cell>
          <cell r="I17">
            <v>0</v>
          </cell>
          <cell r="K17">
            <v>0</v>
          </cell>
          <cell r="M17">
            <v>0</v>
          </cell>
          <cell r="O17">
            <v>0</v>
          </cell>
          <cell r="Q17">
            <v>0</v>
          </cell>
          <cell r="S17">
            <v>0</v>
          </cell>
          <cell r="U17">
            <v>0</v>
          </cell>
          <cell r="W17">
            <v>0</v>
          </cell>
          <cell r="Y17">
            <v>0</v>
          </cell>
          <cell r="AA17">
            <v>0</v>
          </cell>
          <cell r="AC17">
            <v>0</v>
          </cell>
          <cell r="AE17">
            <v>0</v>
          </cell>
          <cell r="AG17">
            <v>0</v>
          </cell>
          <cell r="AI17">
            <v>0</v>
          </cell>
          <cell r="AK17">
            <v>0</v>
          </cell>
          <cell r="AM17">
            <v>0</v>
          </cell>
          <cell r="AO17">
            <v>0</v>
          </cell>
          <cell r="AQ17">
            <v>0</v>
          </cell>
          <cell r="AS17">
            <v>0</v>
          </cell>
          <cell r="AU17">
            <v>6.8</v>
          </cell>
          <cell r="AW17">
            <v>18.5</v>
          </cell>
          <cell r="AY17">
            <v>25.3</v>
          </cell>
          <cell r="BA17">
            <v>30</v>
          </cell>
          <cell r="BB17" t="str">
            <v>NM</v>
          </cell>
          <cell r="BC17">
            <v>43.7</v>
          </cell>
          <cell r="BE17">
            <v>53.9</v>
          </cell>
          <cell r="BG17">
            <v>60.9</v>
          </cell>
          <cell r="BH17">
            <v>2.291891891891892</v>
          </cell>
          <cell r="BI17">
            <v>188.5</v>
          </cell>
          <cell r="BJ17">
            <v>6.4505928853754941</v>
          </cell>
          <cell r="BL17">
            <v>68.597000000000008</v>
          </cell>
          <cell r="BM17">
            <v>1.2865666666666669</v>
          </cell>
          <cell r="BN17">
            <v>80.400000000000006</v>
          </cell>
          <cell r="BO17">
            <v>0.83981693363844401</v>
          </cell>
          <cell r="BP17">
            <v>81.55</v>
          </cell>
          <cell r="BQ17">
            <v>0.51298701298701288</v>
          </cell>
          <cell r="BR17">
            <v>93.25</v>
          </cell>
          <cell r="BS17">
            <v>0.53119868637110024</v>
          </cell>
          <cell r="BT17">
            <v>323.79700000000003</v>
          </cell>
          <cell r="BU17">
            <v>0.71775596816976139</v>
          </cell>
          <cell r="BW17">
            <v>95</v>
          </cell>
          <cell r="BX17">
            <v>0.3849002142950857</v>
          </cell>
          <cell r="BY17">
            <v>106</v>
          </cell>
          <cell r="BZ17">
            <v>0.31840796019900486</v>
          </cell>
          <cell r="CA17">
            <v>108</v>
          </cell>
          <cell r="CB17">
            <v>0.32434089515634579</v>
          </cell>
          <cell r="CC17">
            <v>114</v>
          </cell>
          <cell r="CD17">
            <v>0.22252010723860582</v>
          </cell>
          <cell r="CE17">
            <v>423</v>
          </cell>
          <cell r="CF17">
            <v>0.30637405534949358</v>
          </cell>
        </row>
        <row r="18">
          <cell r="B18" t="str">
            <v>Raptiva</v>
          </cell>
          <cell r="C18">
            <v>0</v>
          </cell>
          <cell r="E18">
            <v>0</v>
          </cell>
          <cell r="G18">
            <v>0</v>
          </cell>
          <cell r="I18">
            <v>0</v>
          </cell>
          <cell r="K18">
            <v>0</v>
          </cell>
          <cell r="M18">
            <v>0</v>
          </cell>
          <cell r="O18">
            <v>0</v>
          </cell>
          <cell r="Q18">
            <v>0</v>
          </cell>
          <cell r="S18">
            <v>0</v>
          </cell>
          <cell r="U18">
            <v>0</v>
          </cell>
          <cell r="W18">
            <v>0</v>
          </cell>
          <cell r="Y18">
            <v>0</v>
          </cell>
          <cell r="AA18">
            <v>0</v>
          </cell>
          <cell r="AC18">
            <v>0</v>
          </cell>
          <cell r="AE18">
            <v>0</v>
          </cell>
          <cell r="AG18">
            <v>0</v>
          </cell>
          <cell r="AI18">
            <v>0</v>
          </cell>
          <cell r="AK18">
            <v>0</v>
          </cell>
          <cell r="AM18">
            <v>0</v>
          </cell>
          <cell r="AO18">
            <v>0</v>
          </cell>
          <cell r="AQ18">
            <v>0</v>
          </cell>
          <cell r="AS18">
            <v>0</v>
          </cell>
          <cell r="AU18">
            <v>0</v>
          </cell>
          <cell r="AW18">
            <v>1.4</v>
          </cell>
          <cell r="AY18">
            <v>1.4</v>
          </cell>
          <cell r="BA18">
            <v>6.3</v>
          </cell>
          <cell r="BB18" t="str">
            <v>NM</v>
          </cell>
          <cell r="BC18">
            <v>13.4</v>
          </cell>
          <cell r="BD18" t="str">
            <v>NM</v>
          </cell>
          <cell r="BE18">
            <v>18</v>
          </cell>
          <cell r="BF18" t="str">
            <v>NM</v>
          </cell>
          <cell r="BG18">
            <v>18.600000000000001</v>
          </cell>
          <cell r="BH18" t="str">
            <v>NM</v>
          </cell>
          <cell r="BI18">
            <v>56.300000000000004</v>
          </cell>
          <cell r="BJ18" t="str">
            <v>NM</v>
          </cell>
          <cell r="BL18">
            <v>24.114999999999998</v>
          </cell>
          <cell r="BM18">
            <v>2.8277777777777775</v>
          </cell>
          <cell r="BN18">
            <v>21.3</v>
          </cell>
          <cell r="BO18">
            <v>0.58955223880597019</v>
          </cell>
          <cell r="BP18">
            <v>20.887</v>
          </cell>
          <cell r="BQ18">
            <v>0.16038888888888891</v>
          </cell>
          <cell r="BR18">
            <v>20.452999999999999</v>
          </cell>
          <cell r="BS18">
            <v>9.9623655913978482E-2</v>
          </cell>
          <cell r="BT18">
            <v>86.754999999999995</v>
          </cell>
          <cell r="BU18">
            <v>0.54094138543516856</v>
          </cell>
          <cell r="BW18">
            <v>21</v>
          </cell>
          <cell r="BX18">
            <v>-0.12917271407837438</v>
          </cell>
          <cell r="BY18">
            <v>23</v>
          </cell>
          <cell r="BZ18">
            <v>7.9812206572769995E-2</v>
          </cell>
          <cell r="CA18">
            <v>24</v>
          </cell>
          <cell r="CB18">
            <v>0.14904007277253783</v>
          </cell>
          <cell r="CC18">
            <v>25</v>
          </cell>
          <cell r="CD18">
            <v>0.22231457487899098</v>
          </cell>
          <cell r="CE18">
            <v>93</v>
          </cell>
          <cell r="CF18">
            <v>7.1984323670105432E-2</v>
          </cell>
        </row>
        <row r="19">
          <cell r="B19" t="str">
            <v>Tarceva - US</v>
          </cell>
          <cell r="BA19">
            <v>0</v>
          </cell>
          <cell r="BC19">
            <v>0</v>
          </cell>
          <cell r="BE19">
            <v>0</v>
          </cell>
          <cell r="BG19">
            <v>13.3</v>
          </cell>
          <cell r="BI19">
            <v>13.3</v>
          </cell>
          <cell r="BL19">
            <v>47.585000000000001</v>
          </cell>
          <cell r="BN19">
            <v>70.2</v>
          </cell>
          <cell r="BP19">
            <v>73.22</v>
          </cell>
          <cell r="BR19">
            <v>83.891000000000005</v>
          </cell>
          <cell r="BT19">
            <v>274.89600000000002</v>
          </cell>
          <cell r="BU19" t="str">
            <v>NM</v>
          </cell>
          <cell r="BW19">
            <v>93</v>
          </cell>
          <cell r="BY19">
            <v>102</v>
          </cell>
          <cell r="CA19">
            <v>109</v>
          </cell>
          <cell r="CC19">
            <v>120</v>
          </cell>
          <cell r="CE19">
            <v>424</v>
          </cell>
          <cell r="CF19" t="str">
            <v>NM</v>
          </cell>
        </row>
        <row r="20">
          <cell r="B20" t="str">
            <v>Lucentis - US</v>
          </cell>
          <cell r="BW20">
            <v>0</v>
          </cell>
          <cell r="BY20">
            <v>0</v>
          </cell>
          <cell r="CA20">
            <v>40</v>
          </cell>
          <cell r="CC20">
            <v>95</v>
          </cell>
          <cell r="CE20">
            <v>135</v>
          </cell>
        </row>
        <row r="21">
          <cell r="B21" t="str">
            <v>Growth Hormone Products</v>
          </cell>
          <cell r="C21">
            <v>56.2</v>
          </cell>
          <cell r="E21">
            <v>59.3</v>
          </cell>
          <cell r="G21">
            <v>59.900000000999995</v>
          </cell>
          <cell r="I21">
            <v>45.8</v>
          </cell>
          <cell r="K21">
            <v>221.20000000099998</v>
          </cell>
          <cell r="M21">
            <v>55.1</v>
          </cell>
          <cell r="O21">
            <v>49.9</v>
          </cell>
          <cell r="Q21">
            <v>61.1</v>
          </cell>
          <cell r="S21">
            <v>60.5</v>
          </cell>
          <cell r="U21">
            <v>226.6</v>
          </cell>
          <cell r="W21">
            <v>55.499999999000018</v>
          </cell>
          <cell r="Y21">
            <v>62.5</v>
          </cell>
          <cell r="AA21">
            <v>67.7</v>
          </cell>
          <cell r="AC21">
            <v>64.53</v>
          </cell>
          <cell r="AE21">
            <v>250.229999999</v>
          </cell>
          <cell r="AG21">
            <v>67.680000000000007</v>
          </cell>
          <cell r="AI21">
            <v>75.33</v>
          </cell>
          <cell r="AK21">
            <v>77.400000000000006</v>
          </cell>
          <cell r="AM21">
            <v>76.814999999999998</v>
          </cell>
          <cell r="AO21">
            <v>297.22500000000002</v>
          </cell>
          <cell r="AQ21">
            <v>76.7</v>
          </cell>
          <cell r="AS21">
            <v>81.599999999999994</v>
          </cell>
          <cell r="AU21">
            <v>80.599999999999994</v>
          </cell>
          <cell r="AW21">
            <v>83</v>
          </cell>
          <cell r="AY21">
            <v>321.89999999999998</v>
          </cell>
          <cell r="BA21">
            <v>85.5</v>
          </cell>
          <cell r="BB21">
            <v>0.11473272490221631</v>
          </cell>
          <cell r="BC21">
            <v>88.4</v>
          </cell>
          <cell r="BD21">
            <v>8.3333333333333481E-2</v>
          </cell>
          <cell r="BE21">
            <v>87.2</v>
          </cell>
          <cell r="BF21">
            <v>8.1885856079404684E-2</v>
          </cell>
          <cell r="BG21">
            <v>92.5</v>
          </cell>
          <cell r="BH21">
            <v>0.1144578313253013</v>
          </cell>
          <cell r="BI21">
            <v>353.6</v>
          </cell>
          <cell r="BJ21">
            <v>9.8477788132960598E-2</v>
          </cell>
          <cell r="BL21">
            <v>92.087999999999994</v>
          </cell>
          <cell r="BM21">
            <v>7.7052631578947262E-2</v>
          </cell>
          <cell r="BN21">
            <v>97.116</v>
          </cell>
          <cell r="BO21">
            <v>9.8597285067873131E-2</v>
          </cell>
          <cell r="BP21">
            <v>88.584999999999994</v>
          </cell>
          <cell r="BQ21">
            <v>1.5883027522935578E-2</v>
          </cell>
          <cell r="BR21">
            <v>94.891000000000005</v>
          </cell>
          <cell r="BS21">
            <v>2.5848648648648664E-2</v>
          </cell>
          <cell r="BT21">
            <v>372.68</v>
          </cell>
          <cell r="BU21">
            <v>5.3959276018099578E-2</v>
          </cell>
          <cell r="BW21">
            <v>87</v>
          </cell>
          <cell r="BX21">
            <v>-5.5251498566588397E-2</v>
          </cell>
          <cell r="BY21">
            <v>97</v>
          </cell>
          <cell r="BZ21">
            <v>-1.194447876765925E-3</v>
          </cell>
          <cell r="CA21">
            <v>97</v>
          </cell>
          <cell r="CB21">
            <v>9.4993509059095871E-2</v>
          </cell>
          <cell r="CC21">
            <v>97</v>
          </cell>
          <cell r="CD21">
            <v>2.2225500837803391E-2</v>
          </cell>
          <cell r="CE21">
            <v>378</v>
          </cell>
          <cell r="CF21">
            <v>1.427498121712989E-2</v>
          </cell>
        </row>
        <row r="22">
          <cell r="B22" t="str">
            <v>Thrombolytics</v>
          </cell>
          <cell r="C22">
            <v>51.999999999000003</v>
          </cell>
          <cell r="E22">
            <v>58.100000000999991</v>
          </cell>
          <cell r="G22">
            <v>59.2</v>
          </cell>
          <cell r="I22">
            <v>66.700000000999992</v>
          </cell>
          <cell r="K22">
            <v>236.00000000099999</v>
          </cell>
          <cell r="M22">
            <v>47.5</v>
          </cell>
          <cell r="O22">
            <v>56.8</v>
          </cell>
          <cell r="Q22">
            <v>50.7</v>
          </cell>
          <cell r="S22">
            <v>51.2</v>
          </cell>
          <cell r="U22">
            <v>206.2</v>
          </cell>
          <cell r="W22">
            <v>52.099999999000005</v>
          </cell>
          <cell r="Y22">
            <v>51.6</v>
          </cell>
          <cell r="AA22">
            <v>48.6</v>
          </cell>
          <cell r="AC22">
            <v>44.805593250000001</v>
          </cell>
          <cell r="AE22">
            <v>197.10559324899998</v>
          </cell>
          <cell r="AG22">
            <v>42.834863389724994</v>
          </cell>
          <cell r="AI22">
            <v>43.103975852272498</v>
          </cell>
          <cell r="AK22">
            <v>45.6</v>
          </cell>
          <cell r="AM22">
            <v>48.655636966529997</v>
          </cell>
          <cell r="AO22">
            <v>180.19447620852748</v>
          </cell>
          <cell r="AQ22">
            <v>47.5</v>
          </cell>
          <cell r="AS22">
            <v>47.6</v>
          </cell>
          <cell r="AU22">
            <v>46</v>
          </cell>
          <cell r="AW22">
            <v>44.1</v>
          </cell>
          <cell r="AY22">
            <v>185.2</v>
          </cell>
          <cell r="BA22">
            <v>46.3</v>
          </cell>
          <cell r="BB22">
            <v>-2.5263157894736876E-2</v>
          </cell>
          <cell r="BC22">
            <v>51.5</v>
          </cell>
          <cell r="BD22">
            <v>8.1932773109243628E-2</v>
          </cell>
          <cell r="BE22">
            <v>54</v>
          </cell>
          <cell r="BF22">
            <v>0.17391304347826098</v>
          </cell>
          <cell r="BG22">
            <v>48.2</v>
          </cell>
          <cell r="BH22">
            <v>9.2970521541950069E-2</v>
          </cell>
          <cell r="BI22">
            <v>200</v>
          </cell>
          <cell r="BJ22">
            <v>7.9913606911447221E-2</v>
          </cell>
          <cell r="BL22">
            <v>53.57</v>
          </cell>
          <cell r="BM22">
            <v>0.15701943844492439</v>
          </cell>
          <cell r="BN22">
            <v>51.6</v>
          </cell>
          <cell r="BO22">
            <v>1.9417475728156219E-3</v>
          </cell>
          <cell r="BP22">
            <v>57.902999999999999</v>
          </cell>
          <cell r="BQ22">
            <v>7.2277777777777663E-2</v>
          </cell>
          <cell r="BR22">
            <v>58.389000000000003</v>
          </cell>
          <cell r="BS22">
            <v>0.21139004149377594</v>
          </cell>
          <cell r="BT22">
            <v>221.46200000000002</v>
          </cell>
          <cell r="BU22">
            <v>0.10731000000000002</v>
          </cell>
          <cell r="BW22">
            <v>59</v>
          </cell>
          <cell r="BX22">
            <v>0.10136270300541339</v>
          </cell>
          <cell r="BY22">
            <v>60</v>
          </cell>
          <cell r="BZ22">
            <v>0.16279069767441867</v>
          </cell>
          <cell r="CA22">
            <v>60</v>
          </cell>
          <cell r="CB22">
            <v>3.6215740117092388E-2</v>
          </cell>
          <cell r="CC22">
            <v>60</v>
          </cell>
          <cell r="CD22">
            <v>2.7590813338128628E-2</v>
          </cell>
          <cell r="CE22">
            <v>239</v>
          </cell>
          <cell r="CF22">
            <v>7.91919155430727E-2</v>
          </cell>
        </row>
        <row r="23">
          <cell r="B23" t="str">
            <v>Pulmozyme</v>
          </cell>
          <cell r="C23">
            <v>28.199999999000003</v>
          </cell>
          <cell r="E23">
            <v>30.600000000999994</v>
          </cell>
          <cell r="G23">
            <v>26.999999999000003</v>
          </cell>
          <cell r="I23">
            <v>25.599999999000005</v>
          </cell>
          <cell r="K23">
            <v>111.399999998</v>
          </cell>
          <cell r="M23">
            <v>26.8</v>
          </cell>
          <cell r="O23">
            <v>32.300000000999994</v>
          </cell>
          <cell r="Q23">
            <v>29.999999999000003</v>
          </cell>
          <cell r="S23">
            <v>32.700000000999992</v>
          </cell>
          <cell r="U23">
            <v>121.80000000099999</v>
          </cell>
          <cell r="W23">
            <v>29.899999999000006</v>
          </cell>
          <cell r="Y23">
            <v>28.1</v>
          </cell>
          <cell r="AA23">
            <v>32.799999999999997</v>
          </cell>
          <cell r="AC23">
            <v>32.077500000000001</v>
          </cell>
          <cell r="AE23">
            <v>122.87749999900001</v>
          </cell>
          <cell r="AG23">
            <v>31.6875</v>
          </cell>
          <cell r="AI23">
            <v>35.1</v>
          </cell>
          <cell r="AK23">
            <v>38.200000000000003</v>
          </cell>
          <cell r="AM23">
            <v>33.052500000000002</v>
          </cell>
          <cell r="AO23">
            <v>138.04</v>
          </cell>
          <cell r="AQ23">
            <v>39.6</v>
          </cell>
          <cell r="AS23">
            <v>42.6</v>
          </cell>
          <cell r="AU23">
            <v>40.4</v>
          </cell>
          <cell r="AW23">
            <v>44.6</v>
          </cell>
          <cell r="AY23">
            <v>167.2</v>
          </cell>
          <cell r="BA23">
            <v>43.4</v>
          </cell>
          <cell r="BB23">
            <v>9.59595959595958E-2</v>
          </cell>
          <cell r="BC23">
            <v>41</v>
          </cell>
          <cell r="BD23">
            <v>-3.7558685446009377E-2</v>
          </cell>
          <cell r="BE23">
            <v>45.7</v>
          </cell>
          <cell r="BF23">
            <v>0.1311881188118813</v>
          </cell>
          <cell r="BG23">
            <v>47.6</v>
          </cell>
          <cell r="BH23">
            <v>6.7264573991031362E-2</v>
          </cell>
          <cell r="BI23">
            <v>177.70000000000002</v>
          </cell>
          <cell r="BJ23">
            <v>6.2799043062201187E-2</v>
          </cell>
          <cell r="BL23">
            <v>51.745999999999995</v>
          </cell>
          <cell r="BM23">
            <v>0.19230414746543767</v>
          </cell>
          <cell r="BN23">
            <v>46.9</v>
          </cell>
          <cell r="BO23">
            <v>0.14390243902439015</v>
          </cell>
          <cell r="BP23">
            <v>46.593000000000004</v>
          </cell>
          <cell r="BQ23">
            <v>1.9540481400437626E-2</v>
          </cell>
          <cell r="BR23">
            <v>49.008000000000003</v>
          </cell>
          <cell r="BS23">
            <v>2.9579831932773137E-2</v>
          </cell>
          <cell r="BT23">
            <v>194.24699999999999</v>
          </cell>
          <cell r="BU23">
            <v>9.3117613956105627E-2</v>
          </cell>
          <cell r="BW23">
            <v>49</v>
          </cell>
          <cell r="BX23">
            <v>-5.3066903722026715E-2</v>
          </cell>
          <cell r="BY23">
            <v>52</v>
          </cell>
          <cell r="BZ23">
            <v>0.10874200426439229</v>
          </cell>
          <cell r="CA23">
            <v>52</v>
          </cell>
          <cell r="CB23">
            <v>0.11604747494258794</v>
          </cell>
          <cell r="CC23">
            <v>52</v>
          </cell>
          <cell r="CD23">
            <v>6.1051256937642684E-2</v>
          </cell>
          <cell r="CE23">
            <v>205</v>
          </cell>
          <cell r="CF23">
            <v>5.5357354296334149E-2</v>
          </cell>
        </row>
        <row r="24">
          <cell r="B24" t="str">
            <v>Actimmune</v>
          </cell>
          <cell r="C24">
            <v>0.7</v>
          </cell>
          <cell r="E24">
            <v>0.7</v>
          </cell>
          <cell r="G24">
            <v>0.4</v>
          </cell>
          <cell r="I24">
            <v>0.9</v>
          </cell>
          <cell r="K24">
            <v>2.6999999999999997</v>
          </cell>
          <cell r="M24">
            <v>0</v>
          </cell>
          <cell r="O24">
            <v>0.9</v>
          </cell>
          <cell r="Q24">
            <v>1.9</v>
          </cell>
          <cell r="S24">
            <v>0.9</v>
          </cell>
          <cell r="U24">
            <v>3.6999999999999997</v>
          </cell>
          <cell r="W24">
            <v>0.9</v>
          </cell>
          <cell r="Y24">
            <v>1.6</v>
          </cell>
          <cell r="AA24">
            <v>2.9</v>
          </cell>
          <cell r="AC24">
            <v>1.5</v>
          </cell>
          <cell r="AE24">
            <v>6.9</v>
          </cell>
          <cell r="AG24">
            <v>0</v>
          </cell>
          <cell r="AI24">
            <v>0</v>
          </cell>
          <cell r="AK24">
            <v>0</v>
          </cell>
          <cell r="AM24">
            <v>0</v>
          </cell>
          <cell r="AO24">
            <v>0</v>
          </cell>
          <cell r="AQ24">
            <v>0</v>
          </cell>
          <cell r="AS24">
            <v>0</v>
          </cell>
          <cell r="AU24">
            <v>0</v>
          </cell>
          <cell r="AW24">
            <v>0</v>
          </cell>
          <cell r="AY24">
            <v>0</v>
          </cell>
          <cell r="BA24">
            <v>0</v>
          </cell>
          <cell r="BC24">
            <v>0</v>
          </cell>
          <cell r="BE24">
            <v>0</v>
          </cell>
          <cell r="BG24">
            <v>0</v>
          </cell>
          <cell r="BI24">
            <v>0</v>
          </cell>
          <cell r="BL24">
            <v>0</v>
          </cell>
          <cell r="BN24">
            <v>0</v>
          </cell>
          <cell r="BP24">
            <v>0</v>
          </cell>
          <cell r="BR24">
            <v>0</v>
          </cell>
          <cell r="BT24">
            <v>0</v>
          </cell>
          <cell r="BW24">
            <v>0</v>
          </cell>
          <cell r="BY24">
            <v>0</v>
          </cell>
          <cell r="CA24">
            <v>0</v>
          </cell>
          <cell r="CC24">
            <v>0</v>
          </cell>
          <cell r="CE24">
            <v>0</v>
          </cell>
        </row>
        <row r="25">
          <cell r="B25" t="str">
            <v>Other</v>
          </cell>
          <cell r="AU25">
            <v>1.7220000000000937</v>
          </cell>
          <cell r="AW25">
            <v>4.9000000000000004</v>
          </cell>
          <cell r="AY25">
            <v>6.622000000000094</v>
          </cell>
          <cell r="BA25">
            <v>0</v>
          </cell>
          <cell r="BC25">
            <v>0</v>
          </cell>
          <cell r="BE25">
            <v>0</v>
          </cell>
          <cell r="BG25">
            <v>10.6</v>
          </cell>
          <cell r="BI25">
            <v>10.6</v>
          </cell>
          <cell r="BL25">
            <v>19.696000000000002</v>
          </cell>
          <cell r="BN25">
            <v>24.5</v>
          </cell>
          <cell r="BP25">
            <v>0</v>
          </cell>
          <cell r="BR25">
            <v>0</v>
          </cell>
          <cell r="BT25">
            <v>44.195999999999998</v>
          </cell>
          <cell r="BW25">
            <v>20</v>
          </cell>
          <cell r="BY25">
            <v>0</v>
          </cell>
          <cell r="CA25">
            <v>0</v>
          </cell>
          <cell r="CC25">
            <v>0</v>
          </cell>
          <cell r="CE25">
            <v>20</v>
          </cell>
        </row>
        <row r="26">
          <cell r="B26" t="str">
            <v>Product Sales</v>
          </cell>
          <cell r="C26">
            <v>273.99999999700003</v>
          </cell>
          <cell r="E26">
            <v>315.50000000200004</v>
          </cell>
          <cell r="G26">
            <v>314.90000000099997</v>
          </cell>
          <cell r="I26">
            <v>323.09999999999991</v>
          </cell>
          <cell r="K26">
            <v>1227.5000000000002</v>
          </cell>
          <cell r="M26">
            <v>378.39006622616557</v>
          </cell>
          <cell r="O26">
            <v>385.15077262893152</v>
          </cell>
          <cell r="Q26">
            <v>425.56379690849229</v>
          </cell>
          <cell r="S26">
            <v>423.25275938289838</v>
          </cell>
          <cell r="U26">
            <v>1612.3573951464878</v>
          </cell>
          <cell r="W26">
            <v>500.09999999700005</v>
          </cell>
          <cell r="Y26">
            <v>521.01999999899999</v>
          </cell>
          <cell r="AA26">
            <v>572.87999999999988</v>
          </cell>
          <cell r="AC26">
            <v>639.05806881000001</v>
          </cell>
          <cell r="AE26">
            <v>2233.0580688059999</v>
          </cell>
          <cell r="AG26">
            <v>476.53760687772501</v>
          </cell>
          <cell r="AI26">
            <v>523.54184124299252</v>
          </cell>
          <cell r="AK26">
            <v>551.80000000000007</v>
          </cell>
          <cell r="AM26">
            <v>611.74911154892993</v>
          </cell>
          <cell r="AO26">
            <v>2163.6285596696475</v>
          </cell>
          <cell r="AQ26">
            <v>598.5</v>
          </cell>
          <cell r="AS26">
            <v>644.29999999999995</v>
          </cell>
          <cell r="AU26">
            <v>654.92200000000014</v>
          </cell>
          <cell r="AW26">
            <v>723.8</v>
          </cell>
          <cell r="AY26">
            <v>2621.5219999999999</v>
          </cell>
          <cell r="BA26">
            <v>763.7</v>
          </cell>
          <cell r="BB26">
            <v>0.27602339181286561</v>
          </cell>
          <cell r="BC26">
            <v>913.36599999999999</v>
          </cell>
          <cell r="BD26">
            <v>0.41760980909514211</v>
          </cell>
          <cell r="BE26">
            <v>1005.5</v>
          </cell>
          <cell r="BF26">
            <v>0.53529733311753125</v>
          </cell>
          <cell r="BG26">
            <v>1066.3000000000002</v>
          </cell>
          <cell r="BH26">
            <v>0.47319701575020767</v>
          </cell>
          <cell r="BI26">
            <v>3748.9</v>
          </cell>
          <cell r="BJ26">
            <v>0.43004712529591593</v>
          </cell>
          <cell r="BL26">
            <v>1186.0020000000002</v>
          </cell>
          <cell r="BM26">
            <v>0.55296844310593185</v>
          </cell>
          <cell r="BN26">
            <v>1274.1490000000001</v>
          </cell>
          <cell r="BO26">
            <v>0.39500375534013754</v>
          </cell>
          <cell r="BP26">
            <v>1450.9689999999998</v>
          </cell>
          <cell r="BQ26">
            <v>0.44303232222774724</v>
          </cell>
          <cell r="BR26">
            <v>1576.9650000000001</v>
          </cell>
          <cell r="BS26">
            <v>0.47891306386570376</v>
          </cell>
          <cell r="BT26">
            <v>5488.085</v>
          </cell>
          <cell r="BU26">
            <v>0.46391874949985334</v>
          </cell>
          <cell r="BW26">
            <v>1644</v>
          </cell>
          <cell r="BX26">
            <v>0.38616966919111406</v>
          </cell>
          <cell r="BY26">
            <v>1833.6799999999998</v>
          </cell>
          <cell r="BZ26">
            <v>0.43914094819365679</v>
          </cell>
          <cell r="CA26">
            <v>1989.4</v>
          </cell>
          <cell r="CB26">
            <v>0.37108373783313109</v>
          </cell>
          <cell r="CC26">
            <v>2180.2800000000002</v>
          </cell>
          <cell r="CD26">
            <v>0.38257982897527842</v>
          </cell>
          <cell r="CE26">
            <v>7647.3600000000006</v>
          </cell>
          <cell r="CF26">
            <v>0.39344780556423609</v>
          </cell>
        </row>
        <row r="27">
          <cell r="B27" t="str">
            <v>Royalties</v>
          </cell>
          <cell r="C27">
            <v>46.618000000000002</v>
          </cell>
          <cell r="E27">
            <v>45.985999999999997</v>
          </cell>
          <cell r="G27">
            <v>46.128</v>
          </cell>
          <cell r="I27">
            <v>50.537999999999997</v>
          </cell>
          <cell r="K27">
            <v>189.26999999999998</v>
          </cell>
          <cell r="M27">
            <v>47.344000000000001</v>
          </cell>
          <cell r="O27">
            <v>49.643000000000001</v>
          </cell>
          <cell r="Q27">
            <v>51.817999999999998</v>
          </cell>
          <cell r="S27">
            <v>58.436</v>
          </cell>
          <cell r="U27">
            <v>207.24100000000001</v>
          </cell>
          <cell r="W27">
            <v>74.631</v>
          </cell>
          <cell r="Y27">
            <v>52.445999999999998</v>
          </cell>
          <cell r="AA27">
            <v>66.051000000000002</v>
          </cell>
          <cell r="AC27">
            <v>71.346000000000004</v>
          </cell>
          <cell r="AE27">
            <v>264.47399999999999</v>
          </cell>
          <cell r="AG27">
            <v>81.843000000000004</v>
          </cell>
          <cell r="AI27">
            <v>85.534999999999997</v>
          </cell>
          <cell r="AK27">
            <v>85.081999999999994</v>
          </cell>
          <cell r="AM27">
            <v>113.09</v>
          </cell>
          <cell r="AO27">
            <v>365.54999999999995</v>
          </cell>
          <cell r="AQ27">
            <v>113.27500000000001</v>
          </cell>
          <cell r="AS27">
            <v>122.786</v>
          </cell>
          <cell r="AU27">
            <v>116.5</v>
          </cell>
          <cell r="AW27">
            <v>148.30699999999999</v>
          </cell>
          <cell r="AY27">
            <v>500.86800000000005</v>
          </cell>
          <cell r="BA27">
            <v>154.09700000000001</v>
          </cell>
          <cell r="BB27">
            <v>0.36037960715073947</v>
          </cell>
          <cell r="BC27">
            <v>151.86000000000001</v>
          </cell>
          <cell r="BD27">
            <v>0.23678595279592152</v>
          </cell>
          <cell r="BE27">
            <v>153.9</v>
          </cell>
          <cell r="BF27">
            <v>0.32103004291845494</v>
          </cell>
          <cell r="BG27">
            <v>181.24300000000002</v>
          </cell>
          <cell r="BH27">
            <v>0.2220798748541879</v>
          </cell>
          <cell r="BI27">
            <v>641.1</v>
          </cell>
          <cell r="BJ27">
            <v>0.27997795826445282</v>
          </cell>
          <cell r="BL27">
            <v>231.9</v>
          </cell>
          <cell r="BM27">
            <v>0.50489626663724785</v>
          </cell>
          <cell r="BN27">
            <v>200.321</v>
          </cell>
          <cell r="BO27">
            <v>0.31911629132095332</v>
          </cell>
          <cell r="BP27">
            <v>237.77699999999999</v>
          </cell>
          <cell r="BQ27">
            <v>0.54500974658869383</v>
          </cell>
          <cell r="BR27">
            <v>265.09899999999999</v>
          </cell>
          <cell r="BS27">
            <v>0.46267166180211072</v>
          </cell>
          <cell r="BT27">
            <v>935.09699999999998</v>
          </cell>
          <cell r="BU27">
            <v>0.45858212447356106</v>
          </cell>
          <cell r="BW27">
            <v>286</v>
          </cell>
          <cell r="BX27">
            <v>0.23329021129797334</v>
          </cell>
          <cell r="BY27">
            <v>299.89999999999998</v>
          </cell>
          <cell r="BZ27">
            <v>0.49709715905970908</v>
          </cell>
          <cell r="CA27">
            <v>325.3</v>
          </cell>
          <cell r="CB27">
            <v>0.36808858720565918</v>
          </cell>
          <cell r="CC27">
            <v>346.8</v>
          </cell>
          <cell r="CD27">
            <v>0.30819052504913258</v>
          </cell>
          <cell r="CE27">
            <v>1258</v>
          </cell>
          <cell r="CF27">
            <v>0.34531497801832334</v>
          </cell>
        </row>
        <row r="28">
          <cell r="B28" t="str">
            <v>Contract and Other</v>
          </cell>
          <cell r="C28">
            <v>19.265999999999998</v>
          </cell>
          <cell r="E28">
            <v>37.578000000000003</v>
          </cell>
          <cell r="G28">
            <v>7.5030000000000001</v>
          </cell>
          <cell r="I28">
            <v>18.895</v>
          </cell>
          <cell r="K28">
            <v>83.242000000000004</v>
          </cell>
          <cell r="M28">
            <v>33.695999999999998</v>
          </cell>
          <cell r="O28">
            <v>32.348999999999997</v>
          </cell>
          <cell r="Q28">
            <v>33.478999999999999</v>
          </cell>
          <cell r="S28">
            <v>54.363999999999997</v>
          </cell>
          <cell r="U28">
            <v>151.72999999999999</v>
          </cell>
          <cell r="W28">
            <v>28.478999999999999</v>
          </cell>
          <cell r="Y28">
            <v>20.934999999999999</v>
          </cell>
          <cell r="AA28">
            <v>8.9410000000000007</v>
          </cell>
          <cell r="AC28">
            <v>6.0019999999999998</v>
          </cell>
          <cell r="AE28">
            <v>62.198999999999998</v>
          </cell>
          <cell r="AG28">
            <v>9.6999999999999993</v>
          </cell>
          <cell r="AI28">
            <v>13.2</v>
          </cell>
          <cell r="AK28">
            <v>13.22</v>
          </cell>
          <cell r="AM28">
            <v>18.3</v>
          </cell>
          <cell r="AO28">
            <v>54.42</v>
          </cell>
          <cell r="AQ28">
            <v>37.914999999999999</v>
          </cell>
          <cell r="AS28">
            <v>32.601999999999997</v>
          </cell>
          <cell r="AU28">
            <v>45.6</v>
          </cell>
          <cell r="AW28">
            <v>61.756</v>
          </cell>
          <cell r="AY28">
            <v>177.87299999999999</v>
          </cell>
          <cell r="BA28">
            <v>57.338000000000001</v>
          </cell>
          <cell r="BB28">
            <v>0.51227746274561525</v>
          </cell>
          <cell r="BC28">
            <v>62.851999999999997</v>
          </cell>
          <cell r="BD28">
            <v>0.92785718667566419</v>
          </cell>
          <cell r="BE28">
            <v>43.2</v>
          </cell>
          <cell r="BF28">
            <v>-5.2631578947368363E-2</v>
          </cell>
          <cell r="BG28">
            <v>67.809999999999988</v>
          </cell>
          <cell r="BH28">
            <v>9.8030960554439828E-2</v>
          </cell>
          <cell r="BI28">
            <v>231.2</v>
          </cell>
          <cell r="BJ28">
            <v>0.29980379259359213</v>
          </cell>
          <cell r="BL28">
            <v>43.7</v>
          </cell>
          <cell r="BM28">
            <v>-0.23785273291708808</v>
          </cell>
          <cell r="BN28">
            <v>52.442999999999998</v>
          </cell>
          <cell r="BO28">
            <v>-0.16561127728632341</v>
          </cell>
          <cell r="BP28">
            <v>63.066000000000003</v>
          </cell>
          <cell r="BQ28">
            <v>0.45986111111111105</v>
          </cell>
          <cell r="BR28">
            <v>51.031999999999996</v>
          </cell>
          <cell r="BS28">
            <v>-0.24742663323993508</v>
          </cell>
          <cell r="BT28">
            <v>210.24099999999999</v>
          </cell>
          <cell r="BU28">
            <v>-9.065311418685118E-2</v>
          </cell>
          <cell r="BW28">
            <v>56</v>
          </cell>
          <cell r="BX28">
            <v>0.28146453089244838</v>
          </cell>
          <cell r="BY28">
            <v>52</v>
          </cell>
          <cell r="BZ28">
            <v>-8.4472665560703097E-3</v>
          </cell>
          <cell r="CA28">
            <v>52</v>
          </cell>
          <cell r="CB28">
            <v>-0.17546697110963116</v>
          </cell>
          <cell r="CC28">
            <v>55</v>
          </cell>
          <cell r="CD28">
            <v>7.7755134033547613E-2</v>
          </cell>
          <cell r="CE28">
            <v>215</v>
          </cell>
          <cell r="CF28">
            <v>2.2635927340528328E-2</v>
          </cell>
        </row>
        <row r="29">
          <cell r="B29" t="str">
            <v>Total Operating Revenue</v>
          </cell>
          <cell r="C29">
            <v>339.88399999700005</v>
          </cell>
          <cell r="E29">
            <v>399.06400000200006</v>
          </cell>
          <cell r="G29">
            <v>368.53100000099994</v>
          </cell>
          <cell r="I29">
            <v>392.5329999999999</v>
          </cell>
          <cell r="K29">
            <v>1500.0120000000002</v>
          </cell>
          <cell r="M29">
            <v>459.43006622616554</v>
          </cell>
          <cell r="O29">
            <v>467.14277262893148</v>
          </cell>
          <cell r="Q29">
            <v>510.86079690849226</v>
          </cell>
          <cell r="S29">
            <v>536.05275938289833</v>
          </cell>
          <cell r="U29">
            <v>1973.4863951464877</v>
          </cell>
          <cell r="W29">
            <v>603.20999999700007</v>
          </cell>
          <cell r="Y29">
            <v>594.40099999899996</v>
          </cell>
          <cell r="AA29">
            <v>647.87199999999996</v>
          </cell>
          <cell r="AC29">
            <v>716.40606880999997</v>
          </cell>
          <cell r="AE29">
            <v>2561.8890688059996</v>
          </cell>
          <cell r="AG29">
            <v>568.08060687772502</v>
          </cell>
          <cell r="AI29">
            <v>622.27684124299253</v>
          </cell>
          <cell r="AK29">
            <v>650.10200000000009</v>
          </cell>
          <cell r="AM29">
            <v>743.13911154892992</v>
          </cell>
          <cell r="AO29">
            <v>2583.5985596696473</v>
          </cell>
          <cell r="AQ29">
            <v>749.68999999999994</v>
          </cell>
          <cell r="AS29">
            <v>799.68799999999999</v>
          </cell>
          <cell r="AU29">
            <v>817.02200000000016</v>
          </cell>
          <cell r="AW29">
            <v>933.86299999999994</v>
          </cell>
          <cell r="AY29">
            <v>3300.2629999999999</v>
          </cell>
          <cell r="BA29">
            <v>975.13499999999999</v>
          </cell>
          <cell r="BB29">
            <v>0.30071762995371421</v>
          </cell>
          <cell r="BC29">
            <v>1128.0780000000002</v>
          </cell>
          <cell r="BD29">
            <v>0.41064765258450819</v>
          </cell>
          <cell r="BE29">
            <v>1202.6000000000001</v>
          </cell>
          <cell r="BF29">
            <v>0.47193098839443715</v>
          </cell>
          <cell r="BG29">
            <v>1315.3530000000001</v>
          </cell>
          <cell r="BH29">
            <v>0.40850745773202291</v>
          </cell>
          <cell r="BI29">
            <v>4621.2</v>
          </cell>
          <cell r="BJ29">
            <v>0.40025204051919494</v>
          </cell>
          <cell r="BL29">
            <v>1461.6020000000003</v>
          </cell>
          <cell r="BM29">
            <v>0.49887143831366965</v>
          </cell>
          <cell r="BN29">
            <v>1526.913</v>
          </cell>
          <cell r="BO29">
            <v>0.35355267986788119</v>
          </cell>
          <cell r="BP29">
            <v>1751.8119999999999</v>
          </cell>
          <cell r="BQ29">
            <v>0.45668717778147316</v>
          </cell>
          <cell r="BR29">
            <v>1893.096</v>
          </cell>
          <cell r="BS29">
            <v>0.43923038150215188</v>
          </cell>
          <cell r="BT29">
            <v>6633.4230000000007</v>
          </cell>
          <cell r="BU29">
            <v>0.43543300441443811</v>
          </cell>
          <cell r="BW29">
            <v>1986</v>
          </cell>
          <cell r="BX29">
            <v>0.35878303395862865</v>
          </cell>
          <cell r="BY29">
            <v>2185.58</v>
          </cell>
          <cell r="BZ29">
            <v>0.43137166295656648</v>
          </cell>
          <cell r="CA29">
            <v>2366.7000000000003</v>
          </cell>
          <cell r="CB29">
            <v>0.35100113482496997</v>
          </cell>
          <cell r="CC29">
            <v>2582.0800000000004</v>
          </cell>
          <cell r="CD29">
            <v>0.36394562135253583</v>
          </cell>
          <cell r="CE29">
            <v>9120.36</v>
          </cell>
          <cell r="CF29">
            <v>0.37491005774846564</v>
          </cell>
        </row>
        <row r="30">
          <cell r="B30" t="str">
            <v>Cost of Sales</v>
          </cell>
          <cell r="C30">
            <v>45.722999999999999</v>
          </cell>
          <cell r="E30">
            <v>52.680999999999997</v>
          </cell>
          <cell r="G30">
            <v>45.936</v>
          </cell>
          <cell r="I30">
            <v>47.850999999999999</v>
          </cell>
          <cell r="K30">
            <v>192.191</v>
          </cell>
          <cell r="M30">
            <v>62.856999999999999</v>
          </cell>
          <cell r="O30">
            <v>66.283000000000001</v>
          </cell>
          <cell r="Q30">
            <v>75.584000000000003</v>
          </cell>
          <cell r="S30">
            <v>67.343999999999994</v>
          </cell>
          <cell r="U30">
            <v>272.06799999999998</v>
          </cell>
          <cell r="W30">
            <v>83.796000000000006</v>
          </cell>
          <cell r="Y30">
            <v>76.188000000000002</v>
          </cell>
          <cell r="AA30">
            <v>96.03</v>
          </cell>
          <cell r="AC30">
            <v>98.427999999999997</v>
          </cell>
          <cell r="AE30">
            <v>354.44200000000001</v>
          </cell>
          <cell r="AG30">
            <v>102.444</v>
          </cell>
          <cell r="AI30">
            <v>106.867</v>
          </cell>
          <cell r="AK30">
            <v>112.48099999999999</v>
          </cell>
          <cell r="AM30">
            <v>119.83799999999999</v>
          </cell>
          <cell r="AO30">
            <v>441.63</v>
          </cell>
          <cell r="AQ30">
            <v>114.842</v>
          </cell>
          <cell r="AS30">
            <v>123.407</v>
          </cell>
          <cell r="AU30">
            <v>115.7</v>
          </cell>
          <cell r="AW30">
            <v>126.202</v>
          </cell>
          <cell r="AY30">
            <v>480.15100000000001</v>
          </cell>
          <cell r="BA30">
            <v>114.48</v>
          </cell>
          <cell r="BB30">
            <v>-3.152156876404022E-3</v>
          </cell>
          <cell r="BC30">
            <v>186.68299999999999</v>
          </cell>
          <cell r="BD30">
            <v>0.51274238900548585</v>
          </cell>
          <cell r="BE30">
            <v>165.99</v>
          </cell>
          <cell r="BF30">
            <v>0.43465859982713928</v>
          </cell>
          <cell r="BG30">
            <v>205.34699999999998</v>
          </cell>
          <cell r="BH30">
            <v>0.62712952251152898</v>
          </cell>
          <cell r="BI30">
            <v>672.5</v>
          </cell>
          <cell r="BJ30">
            <v>0.40060106091625336</v>
          </cell>
          <cell r="BL30">
            <v>251.041</v>
          </cell>
          <cell r="BM30">
            <v>1.1928808525506636</v>
          </cell>
          <cell r="BN30">
            <v>269.48099999999999</v>
          </cell>
          <cell r="BO30">
            <v>0.44352190611892883</v>
          </cell>
          <cell r="BP30">
            <v>245.62700000000001</v>
          </cell>
          <cell r="BQ30">
            <v>0.47976986565455748</v>
          </cell>
          <cell r="BR30">
            <v>244.91399999999999</v>
          </cell>
          <cell r="BS30">
            <v>0.19268360385104244</v>
          </cell>
          <cell r="BT30">
            <v>1011.0629999999999</v>
          </cell>
          <cell r="BU30">
            <v>0.50343940520446084</v>
          </cell>
          <cell r="BW30">
            <v>262</v>
          </cell>
          <cell r="BX30">
            <v>4.3654223812046755E-2</v>
          </cell>
          <cell r="BY30">
            <v>293.3888</v>
          </cell>
          <cell r="BZ30">
            <v>8.8717943008969069E-2</v>
          </cell>
          <cell r="CA30">
            <v>318.30400000000003</v>
          </cell>
          <cell r="CB30">
            <v>0.29588359585876156</v>
          </cell>
          <cell r="CC30">
            <v>348.84480000000002</v>
          </cell>
          <cell r="CD30">
            <v>0.42435630466204488</v>
          </cell>
          <cell r="CE30">
            <v>1222.5376000000001</v>
          </cell>
          <cell r="CF30">
            <v>0.20916065566636322</v>
          </cell>
        </row>
        <row r="31">
          <cell r="B31" t="str">
            <v>% of Product Sales</v>
          </cell>
          <cell r="C31">
            <v>0.19589974293310924</v>
          </cell>
          <cell r="E31">
            <v>0.19613179448848747</v>
          </cell>
          <cell r="G31">
            <v>0.17230307576829593</v>
          </cell>
          <cell r="I31">
            <v>0.17868185212845411</v>
          </cell>
          <cell r="K31">
            <v>0.18544094944037051</v>
          </cell>
          <cell r="M31">
            <v>0.22195268361503551</v>
          </cell>
          <cell r="O31">
            <v>0.21485575364528459</v>
          </cell>
          <cell r="Q31">
            <v>0.22745711706357946</v>
          </cell>
          <cell r="S31">
            <v>0.19208214489391873</v>
          </cell>
          <cell r="U31">
            <v>0.21345363251165828</v>
          </cell>
          <cell r="W31">
            <v>0.2143120204620024</v>
          </cell>
          <cell r="Y31">
            <v>0.18641546366573625</v>
          </cell>
          <cell r="AA31">
            <v>0.21541049798115744</v>
          </cell>
          <cell r="AC31">
            <v>0.20089886103170068</v>
          </cell>
          <cell r="AE31">
            <v>0.20423776933962265</v>
          </cell>
          <cell r="AG31">
            <v>0.21497568821737537</v>
          </cell>
          <cell r="AI31">
            <v>0.20412313129792353</v>
          </cell>
          <cell r="AK31">
            <v>0.20384378397970276</v>
          </cell>
          <cell r="AM31">
            <v>0.1958940319448505</v>
          </cell>
          <cell r="AO31">
            <v>0.2041154421013143</v>
          </cell>
          <cell r="AQ31">
            <v>0.19188304093567252</v>
          </cell>
          <cell r="AS31">
            <v>0.19153655129598013</v>
          </cell>
          <cell r="AT31" t="e">
            <v>#DIV/0!</v>
          </cell>
          <cell r="AU31">
            <v>0.17666225901710431</v>
          </cell>
          <cell r="AW31">
            <v>0.1743603205305333</v>
          </cell>
          <cell r="AY31">
            <v>0.18315734142227302</v>
          </cell>
          <cell r="BA31">
            <v>0.14990179389812752</v>
          </cell>
          <cell r="BC31">
            <v>0.20439013495137764</v>
          </cell>
          <cell r="BE31">
            <v>0.16508204873197416</v>
          </cell>
          <cell r="BG31">
            <v>0.19257901153521517</v>
          </cell>
          <cell r="BI31">
            <v>0.17938595321294246</v>
          </cell>
          <cell r="BL31">
            <v>0.21166996345705991</v>
          </cell>
          <cell r="BN31">
            <v>0.21149881214834371</v>
          </cell>
          <cell r="BP31">
            <v>0.16928480208743263</v>
          </cell>
          <cell r="BR31">
            <v>0.15530718817475339</v>
          </cell>
          <cell r="BT31">
            <v>0.18422874281283907</v>
          </cell>
          <cell r="BW31">
            <v>0.15936739659367397</v>
          </cell>
          <cell r="BY31">
            <v>0.16</v>
          </cell>
          <cell r="CA31">
            <v>0.16</v>
          </cell>
          <cell r="CC31">
            <v>0.16</v>
          </cell>
          <cell r="CE31">
            <v>0.15986400535609674</v>
          </cell>
        </row>
        <row r="32">
          <cell r="B32" t="str">
            <v>Research and Development</v>
          </cell>
          <cell r="C32">
            <v>90.74</v>
          </cell>
          <cell r="E32">
            <v>94.210999999999999</v>
          </cell>
          <cell r="G32">
            <v>84.629000000000005</v>
          </cell>
          <cell r="I32">
            <v>96.572999999999993</v>
          </cell>
          <cell r="K32">
            <v>367.29099999999994</v>
          </cell>
          <cell r="M32">
            <v>111.40600000000001</v>
          </cell>
          <cell r="O32">
            <v>115.563</v>
          </cell>
          <cell r="Q32">
            <v>113.636</v>
          </cell>
          <cell r="S32">
            <v>149.274</v>
          </cell>
          <cell r="U32">
            <v>489.87900000000002</v>
          </cell>
          <cell r="W32">
            <v>136.34</v>
          </cell>
          <cell r="Y32">
            <v>123.44799999999999</v>
          </cell>
          <cell r="AA32">
            <v>128.19499999999999</v>
          </cell>
          <cell r="AC32">
            <v>138.24700000000001</v>
          </cell>
          <cell r="AE32">
            <v>526.23</v>
          </cell>
          <cell r="AG32">
            <v>146.691</v>
          </cell>
          <cell r="AI32">
            <v>147.922</v>
          </cell>
          <cell r="AK32">
            <v>143.65899999999999</v>
          </cell>
          <cell r="AM32">
            <v>185.21</v>
          </cell>
          <cell r="AO32">
            <v>623.48199999999997</v>
          </cell>
          <cell r="AQ32">
            <v>157.43299999999999</v>
          </cell>
          <cell r="AS32">
            <v>180.203</v>
          </cell>
          <cell r="AU32">
            <v>168.7</v>
          </cell>
          <cell r="AW32">
            <v>215.62700000000001</v>
          </cell>
          <cell r="AY32">
            <v>721.96299999999997</v>
          </cell>
          <cell r="BA32">
            <v>190.345</v>
          </cell>
          <cell r="BB32">
            <v>0.2090540102773879</v>
          </cell>
          <cell r="BC32">
            <v>212.886</v>
          </cell>
          <cell r="BD32">
            <v>0.18136767978335544</v>
          </cell>
          <cell r="BE32">
            <v>234.08600000000001</v>
          </cell>
          <cell r="BF32">
            <v>0.38758743331357448</v>
          </cell>
          <cell r="BG32">
            <v>310.18299999999999</v>
          </cell>
          <cell r="BH32">
            <v>0.43851651231061028</v>
          </cell>
          <cell r="BI32">
            <v>947.5</v>
          </cell>
          <cell r="BJ32">
            <v>0.3123941254607232</v>
          </cell>
          <cell r="BL32">
            <v>243.24</v>
          </cell>
          <cell r="BM32">
            <v>0.27789014683863522</v>
          </cell>
          <cell r="BN32">
            <v>278.12400000000002</v>
          </cell>
          <cell r="BO32">
            <v>0.30644570333417898</v>
          </cell>
          <cell r="BP32">
            <v>328.85</v>
          </cell>
          <cell r="BQ32">
            <v>0.40482557692471999</v>
          </cell>
          <cell r="BR32">
            <v>411.61</v>
          </cell>
          <cell r="BS32">
            <v>0.32699084089070007</v>
          </cell>
          <cell r="BT32">
            <v>1261.8240000000001</v>
          </cell>
          <cell r="BU32">
            <v>0.33174036939314</v>
          </cell>
          <cell r="BW32">
            <v>341</v>
          </cell>
          <cell r="BX32">
            <v>0.40190758098996859</v>
          </cell>
          <cell r="BY32">
            <v>399.96114</v>
          </cell>
          <cell r="BZ32">
            <v>0.438067696423178</v>
          </cell>
          <cell r="CA32">
            <v>437.83950000000004</v>
          </cell>
          <cell r="CB32">
            <v>0.33142618214991648</v>
          </cell>
          <cell r="CC32">
            <v>498.34144000000009</v>
          </cell>
          <cell r="CD32">
            <v>0.21071266490124163</v>
          </cell>
          <cell r="CE32">
            <v>1677.1420800000001</v>
          </cell>
          <cell r="CF32">
            <v>0.3291410529519172</v>
          </cell>
        </row>
        <row r="33">
          <cell r="BA33">
            <v>0.19519861352530676</v>
          </cell>
          <cell r="BC33">
            <v>0.215</v>
          </cell>
          <cell r="BE33">
            <v>0.22</v>
          </cell>
          <cell r="BG33">
            <v>0.24</v>
          </cell>
          <cell r="BI33">
            <v>0.20503332467757293</v>
          </cell>
          <cell r="BL33">
            <v>0.16642013352472149</v>
          </cell>
          <cell r="BN33">
            <v>0.18214790233628245</v>
          </cell>
          <cell r="BP33">
            <v>0.18771991515071254</v>
          </cell>
          <cell r="BR33">
            <v>0.21742690280894367</v>
          </cell>
          <cell r="BT33">
            <v>0.19022215227341902</v>
          </cell>
          <cell r="BW33">
            <v>0.17170191339375629</v>
          </cell>
          <cell r="BY33">
            <v>0.183</v>
          </cell>
          <cell r="CA33">
            <v>0.185</v>
          </cell>
          <cell r="CC33">
            <v>0.193</v>
          </cell>
          <cell r="CE33">
            <v>0.18388989908293094</v>
          </cell>
        </row>
        <row r="34">
          <cell r="B34" t="str">
            <v>Selling, General &amp; Administrative</v>
          </cell>
          <cell r="C34">
            <v>97.200999999999993</v>
          </cell>
          <cell r="E34">
            <v>117.372</v>
          </cell>
          <cell r="G34">
            <v>113.613</v>
          </cell>
          <cell r="I34">
            <v>140.928</v>
          </cell>
          <cell r="K34">
            <v>467.94299999999998</v>
          </cell>
          <cell r="M34">
            <v>101.946</v>
          </cell>
          <cell r="O34">
            <v>117.15600000000001</v>
          </cell>
          <cell r="Q34">
            <v>131.726</v>
          </cell>
          <cell r="S34">
            <v>146.208</v>
          </cell>
          <cell r="U34">
            <v>497.03599999999994</v>
          </cell>
          <cell r="W34">
            <v>127.92</v>
          </cell>
          <cell r="Y34">
            <v>107.8</v>
          </cell>
          <cell r="AA34">
            <v>109.36499999999999</v>
          </cell>
          <cell r="AC34">
            <v>129.32499999999999</v>
          </cell>
          <cell r="AE34">
            <v>474.40999999999997</v>
          </cell>
          <cell r="AG34">
            <v>115.4</v>
          </cell>
          <cell r="AI34">
            <v>125.7</v>
          </cell>
          <cell r="AK34">
            <v>135.55000000000001</v>
          </cell>
          <cell r="AM34">
            <v>169.6</v>
          </cell>
          <cell r="AO34">
            <v>546.25</v>
          </cell>
          <cell r="AQ34">
            <v>137.22200000000001</v>
          </cell>
          <cell r="AS34">
            <v>184.25800000000001</v>
          </cell>
          <cell r="AU34">
            <v>209.9</v>
          </cell>
          <cell r="AW34">
            <v>263.505</v>
          </cell>
          <cell r="AY34">
            <v>794.88499999999999</v>
          </cell>
          <cell r="BA34">
            <v>247.31399999999999</v>
          </cell>
          <cell r="BB34">
            <v>0.80229117779947812</v>
          </cell>
          <cell r="BC34">
            <v>276.654</v>
          </cell>
          <cell r="BD34">
            <v>0.50144905512922078</v>
          </cell>
          <cell r="BE34">
            <v>264.64800000000002</v>
          </cell>
          <cell r="BF34">
            <v>0.26082896617436879</v>
          </cell>
          <cell r="BG34">
            <v>299.58400000000006</v>
          </cell>
          <cell r="BH34">
            <v>0.13691960304358575</v>
          </cell>
          <cell r="BI34">
            <v>1088.2</v>
          </cell>
          <cell r="BJ34">
            <v>0.36900306333620603</v>
          </cell>
          <cell r="BL34">
            <v>315.214</v>
          </cell>
          <cell r="BM34">
            <v>0.27454976264991071</v>
          </cell>
          <cell r="BN34">
            <v>356.63799999999998</v>
          </cell>
          <cell r="BO34">
            <v>0.28911203163518318</v>
          </cell>
          <cell r="BP34">
            <v>333.82299999999998</v>
          </cell>
          <cell r="BQ34">
            <v>0.2613849339500014</v>
          </cell>
          <cell r="BR34">
            <v>429.35700000000003</v>
          </cell>
          <cell r="BS34">
            <v>0.43317733924375124</v>
          </cell>
          <cell r="BT34">
            <v>1435.0319999999999</v>
          </cell>
          <cell r="BU34">
            <v>0.31872082337805541</v>
          </cell>
          <cell r="BW34">
            <v>400</v>
          </cell>
          <cell r="BX34">
            <v>0.26897916970692926</v>
          </cell>
          <cell r="BY34">
            <v>475.36365000000001</v>
          </cell>
          <cell r="BZ34">
            <v>0.33290241084797478</v>
          </cell>
          <cell r="CA34">
            <v>491.09025000000003</v>
          </cell>
          <cell r="CB34">
            <v>0.47110968986558754</v>
          </cell>
          <cell r="CC34">
            <v>561.6024000000001</v>
          </cell>
          <cell r="CD34">
            <v>0.30800802129696292</v>
          </cell>
          <cell r="CE34">
            <v>1928.0563000000002</v>
          </cell>
          <cell r="CF34">
            <v>0.34356327942512799</v>
          </cell>
        </row>
        <row r="35">
          <cell r="BA35">
            <v>0.25362026796289744</v>
          </cell>
          <cell r="BC35">
            <v>0.24</v>
          </cell>
          <cell r="BE35">
            <v>0.23300000000000001</v>
          </cell>
          <cell r="BG35">
            <v>0.24</v>
          </cell>
          <cell r="BI35">
            <v>0.23547996191465423</v>
          </cell>
          <cell r="BL35">
            <v>0.21566336116124632</v>
          </cell>
          <cell r="BN35">
            <v>0.23356798979378654</v>
          </cell>
          <cell r="BP35">
            <v>0.19055869008774914</v>
          </cell>
          <cell r="BR35">
            <v>0.22680149342664083</v>
          </cell>
          <cell r="BT35">
            <v>0.2163335581041643</v>
          </cell>
          <cell r="BW35">
            <v>0.2014098690835851</v>
          </cell>
          <cell r="BY35">
            <v>0.2175</v>
          </cell>
          <cell r="CA35">
            <v>0.20749999999999999</v>
          </cell>
          <cell r="CC35">
            <v>0.2175</v>
          </cell>
          <cell r="CE35">
            <v>0.21140133722791646</v>
          </cell>
        </row>
        <row r="36">
          <cell r="B36" t="str">
            <v>Collaborative Profit Split</v>
          </cell>
          <cell r="C36">
            <v>0</v>
          </cell>
          <cell r="E36">
            <v>0</v>
          </cell>
          <cell r="G36">
            <v>0</v>
          </cell>
          <cell r="I36">
            <v>0</v>
          </cell>
          <cell r="K36">
            <v>0</v>
          </cell>
          <cell r="M36">
            <v>0</v>
          </cell>
          <cell r="O36">
            <v>0</v>
          </cell>
          <cell r="Q36">
            <v>0</v>
          </cell>
          <cell r="S36">
            <v>0</v>
          </cell>
          <cell r="U36">
            <v>0</v>
          </cell>
          <cell r="W36">
            <v>46.372999999999998</v>
          </cell>
          <cell r="Y36">
            <v>57.908000000000001</v>
          </cell>
          <cell r="AA36">
            <v>65.796000000000006</v>
          </cell>
          <cell r="AC36">
            <v>76.581000000000003</v>
          </cell>
          <cell r="AE36">
            <v>246.65800000000002</v>
          </cell>
          <cell r="AG36">
            <v>72.076999999999998</v>
          </cell>
          <cell r="AI36">
            <v>84.09</v>
          </cell>
          <cell r="AK36">
            <v>90.048000000000002</v>
          </cell>
          <cell r="AM36">
            <v>104.51</v>
          </cell>
          <cell r="AO36">
            <v>350.72500000000002</v>
          </cell>
          <cell r="AQ36">
            <v>96.6</v>
          </cell>
          <cell r="AS36">
            <v>107.307</v>
          </cell>
          <cell r="AU36">
            <v>119.7</v>
          </cell>
          <cell r="AW36">
            <v>133.92699999999999</v>
          </cell>
          <cell r="AY36">
            <v>457.53399999999999</v>
          </cell>
          <cell r="BA36">
            <v>126.43</v>
          </cell>
          <cell r="BB36">
            <v>0.30879917184265016</v>
          </cell>
          <cell r="BC36">
            <v>145.221</v>
          </cell>
          <cell r="BD36">
            <v>0.35332270960887913</v>
          </cell>
          <cell r="BE36">
            <v>151.89400000000001</v>
          </cell>
          <cell r="BF36">
            <v>0.26895572263993328</v>
          </cell>
          <cell r="BG36">
            <v>170.05500000000001</v>
          </cell>
          <cell r="BH36">
            <v>0.26975889850440926</v>
          </cell>
          <cell r="BI36">
            <v>593.6</v>
          </cell>
          <cell r="BJ36">
            <v>0.29738992074905912</v>
          </cell>
          <cell r="BL36">
            <v>176.27699999999999</v>
          </cell>
          <cell r="BM36">
            <v>0.39426560151862677</v>
          </cell>
          <cell r="BN36">
            <v>198.798</v>
          </cell>
          <cell r="BO36">
            <v>0.36893424504720396</v>
          </cell>
          <cell r="BP36">
            <v>219.59100000000001</v>
          </cell>
          <cell r="BQ36">
            <v>0.44568580720765794</v>
          </cell>
          <cell r="BR36">
            <v>228.417</v>
          </cell>
          <cell r="BS36">
            <v>0.34319484872541239</v>
          </cell>
          <cell r="BT36">
            <v>823.08299999999997</v>
          </cell>
          <cell r="BU36">
            <v>0.38659535040431248</v>
          </cell>
          <cell r="BW36">
            <v>226</v>
          </cell>
          <cell r="BX36">
            <v>0.28207310085830839</v>
          </cell>
          <cell r="BY36">
            <v>255</v>
          </cell>
          <cell r="BZ36">
            <v>0.28270908158029751</v>
          </cell>
          <cell r="CA36">
            <v>275</v>
          </cell>
          <cell r="CB36">
            <v>0.25232819195686518</v>
          </cell>
          <cell r="CC36">
            <v>285</v>
          </cell>
          <cell r="CD36">
            <v>0.24771798946663348</v>
          </cell>
          <cell r="CE36">
            <v>1041</v>
          </cell>
          <cell r="CF36">
            <v>0.26475701721454592</v>
          </cell>
        </row>
        <row r="37">
          <cell r="B37" t="str">
            <v>Total Operating Expenses</v>
          </cell>
          <cell r="C37">
            <v>233.66399999999999</v>
          </cell>
          <cell r="D37" t="e">
            <v>#REF!</v>
          </cell>
          <cell r="E37">
            <v>264.26400000000001</v>
          </cell>
          <cell r="F37" t="e">
            <v>#REF!</v>
          </cell>
          <cell r="G37">
            <v>244.17800000000003</v>
          </cell>
          <cell r="H37" t="e">
            <v>#REF!</v>
          </cell>
          <cell r="I37">
            <v>285.35199999999998</v>
          </cell>
          <cell r="J37" t="e">
            <v>#REF!</v>
          </cell>
          <cell r="K37">
            <v>1027.4580000000001</v>
          </cell>
          <cell r="M37">
            <v>276.209</v>
          </cell>
          <cell r="N37" t="e">
            <v>#REF!</v>
          </cell>
          <cell r="O37">
            <v>299.00200000000001</v>
          </cell>
          <cell r="P37" t="e">
            <v>#REF!</v>
          </cell>
          <cell r="Q37">
            <v>320.94600000000003</v>
          </cell>
          <cell r="R37" t="e">
            <v>#REF!</v>
          </cell>
          <cell r="S37">
            <v>362.82599999999996</v>
          </cell>
          <cell r="T37" t="e">
            <v>#REF!</v>
          </cell>
          <cell r="U37">
            <v>1258.9829999999999</v>
          </cell>
          <cell r="W37">
            <v>394.42900000000003</v>
          </cell>
          <cell r="X37" t="e">
            <v>#REF!</v>
          </cell>
          <cell r="Y37">
            <v>365.34399999999999</v>
          </cell>
          <cell r="Z37" t="e">
            <v>#REF!</v>
          </cell>
          <cell r="AA37">
            <v>399.38599999999997</v>
          </cell>
          <cell r="AB37" t="e">
            <v>#REF!</v>
          </cell>
          <cell r="AC37">
            <v>442.58100000000002</v>
          </cell>
          <cell r="AD37" t="e">
            <v>#REF!</v>
          </cell>
          <cell r="AE37">
            <v>1601.7400000000002</v>
          </cell>
          <cell r="AG37">
            <v>436.61200000000002</v>
          </cell>
          <cell r="AI37">
            <v>464.57900000000001</v>
          </cell>
          <cell r="AK37">
            <v>481.738</v>
          </cell>
          <cell r="AM37">
            <v>579.15800000000002</v>
          </cell>
          <cell r="AO37">
            <v>1962.087</v>
          </cell>
          <cell r="AQ37">
            <v>506.09699999999998</v>
          </cell>
          <cell r="AS37">
            <v>595.17500000000007</v>
          </cell>
          <cell r="AU37">
            <v>614</v>
          </cell>
          <cell r="AW37">
            <v>739.26099999999997</v>
          </cell>
          <cell r="AY37">
            <v>2454.7161573414223</v>
          </cell>
          <cell r="BA37">
            <v>678.56900000000007</v>
          </cell>
          <cell r="BB37">
            <v>0.34078842593415914</v>
          </cell>
          <cell r="BC37">
            <v>821.44399999999996</v>
          </cell>
          <cell r="BD37">
            <v>0.38017221825513481</v>
          </cell>
          <cell r="BE37">
            <v>816.61800000000005</v>
          </cell>
          <cell r="BF37">
            <v>0.32999674267100976</v>
          </cell>
          <cell r="BG37">
            <v>985.1690000000001</v>
          </cell>
          <cell r="BH37">
            <v>0.33264029889308389</v>
          </cell>
          <cell r="BI37">
            <v>3301.8</v>
          </cell>
          <cell r="BJ37">
            <v>0.34508423310987246</v>
          </cell>
          <cell r="BL37">
            <v>985.77200000000005</v>
          </cell>
          <cell r="BM37">
            <v>0.4527218307939207</v>
          </cell>
          <cell r="BN37">
            <v>1103.0409999999999</v>
          </cell>
          <cell r="BO37">
            <v>0.34280730031505491</v>
          </cell>
          <cell r="BP37">
            <v>1127.8910000000001</v>
          </cell>
          <cell r="BQ37">
            <v>0.38117332706357199</v>
          </cell>
          <cell r="BR37">
            <v>1314.298</v>
          </cell>
          <cell r="BS37">
            <v>0.33408379679019529</v>
          </cell>
          <cell r="BT37">
            <v>4531.0020000000004</v>
          </cell>
          <cell r="BU37">
            <v>0.37228239142286035</v>
          </cell>
          <cell r="BW37">
            <v>1229</v>
          </cell>
          <cell r="BX37">
            <v>0.24673859675462473</v>
          </cell>
          <cell r="BY37">
            <v>1423.7135900000001</v>
          </cell>
          <cell r="BZ37">
            <v>0.29071683645485535</v>
          </cell>
          <cell r="CA37">
            <v>1522.2337500000001</v>
          </cell>
          <cell r="CB37">
            <v>0.34962842154073392</v>
          </cell>
          <cell r="CC37">
            <v>1693.7886400000002</v>
          </cell>
          <cell r="CD37">
            <v>0.28874017916789052</v>
          </cell>
          <cell r="CE37">
            <v>5868.7359800000013</v>
          </cell>
          <cell r="CF37">
            <v>0.29524020956071095</v>
          </cell>
        </row>
        <row r="38">
          <cell r="B38" t="str">
            <v>Operating Income (Loss)</v>
          </cell>
          <cell r="C38">
            <v>106.21999999700006</v>
          </cell>
          <cell r="D38" t="e">
            <v>#REF!</v>
          </cell>
          <cell r="E38">
            <v>134.80000000200005</v>
          </cell>
          <cell r="F38" t="e">
            <v>#REF!</v>
          </cell>
          <cell r="G38">
            <v>124.35300000099991</v>
          </cell>
          <cell r="H38" t="e">
            <v>#REF!</v>
          </cell>
          <cell r="I38">
            <v>107.18099999999993</v>
          </cell>
          <cell r="J38" t="e">
            <v>#REF!</v>
          </cell>
          <cell r="K38">
            <v>472.55400000000009</v>
          </cell>
          <cell r="M38">
            <v>183.22106622616553</v>
          </cell>
          <cell r="N38" t="e">
            <v>#REF!</v>
          </cell>
          <cell r="O38">
            <v>168.14077262893147</v>
          </cell>
          <cell r="P38" t="e">
            <v>#REF!</v>
          </cell>
          <cell r="Q38">
            <v>189.91479690849224</v>
          </cell>
          <cell r="R38" t="e">
            <v>#REF!</v>
          </cell>
          <cell r="S38">
            <v>173.22675938289836</v>
          </cell>
          <cell r="T38" t="e">
            <v>#REF!</v>
          </cell>
          <cell r="U38">
            <v>714.50339514648749</v>
          </cell>
          <cell r="W38">
            <v>208.78099999700004</v>
          </cell>
          <cell r="X38" t="e">
            <v>#REF!</v>
          </cell>
          <cell r="Y38">
            <v>229.05699999899997</v>
          </cell>
          <cell r="Z38" t="e">
            <v>#REF!</v>
          </cell>
          <cell r="AA38">
            <v>248.48599999999999</v>
          </cell>
          <cell r="AB38" t="e">
            <v>#REF!</v>
          </cell>
          <cell r="AC38">
            <v>273.82506880999995</v>
          </cell>
          <cell r="AD38" t="e">
            <v>#REF!</v>
          </cell>
          <cell r="AE38">
            <v>960.14906880599995</v>
          </cell>
          <cell r="AG38">
            <v>131.46860687772499</v>
          </cell>
          <cell r="AI38">
            <v>157.69784124299252</v>
          </cell>
          <cell r="AK38">
            <v>168.36400000000009</v>
          </cell>
          <cell r="AM38">
            <v>163.9811115489299</v>
          </cell>
          <cell r="AO38">
            <v>621.51155966964757</v>
          </cell>
          <cell r="AQ38">
            <v>243.59299999999996</v>
          </cell>
          <cell r="AS38">
            <v>204.51299999999992</v>
          </cell>
          <cell r="AU38">
            <v>203.02200000000016</v>
          </cell>
          <cell r="AW38">
            <v>194.60199999999998</v>
          </cell>
          <cell r="AY38">
            <v>845.54684265857759</v>
          </cell>
          <cell r="BA38">
            <v>296.56599999999992</v>
          </cell>
          <cell r="BB38">
            <v>0.21746519809682541</v>
          </cell>
          <cell r="BC38">
            <v>306.63400000000024</v>
          </cell>
          <cell r="BD38">
            <v>0.49933745043102573</v>
          </cell>
          <cell r="BE38">
            <v>385.98200000000008</v>
          </cell>
          <cell r="BF38">
            <v>0.9011831230112981</v>
          </cell>
          <cell r="BG38">
            <v>330.18399999999997</v>
          </cell>
          <cell r="BH38">
            <v>0.69671431948284201</v>
          </cell>
          <cell r="BI38">
            <v>1319.3999999999996</v>
          </cell>
          <cell r="BJ38">
            <v>0.56041029714158452</v>
          </cell>
          <cell r="BL38">
            <v>475.83000000000027</v>
          </cell>
          <cell r="BM38">
            <v>0.60446578501918768</v>
          </cell>
          <cell r="BN38">
            <v>423.87200000000007</v>
          </cell>
          <cell r="BO38">
            <v>0.38233855345460621</v>
          </cell>
          <cell r="BP38">
            <v>623.92099999999982</v>
          </cell>
          <cell r="BQ38">
            <v>0.61645102621365688</v>
          </cell>
          <cell r="BR38">
            <v>578.798</v>
          </cell>
          <cell r="BS38">
            <v>0.75295592760400276</v>
          </cell>
          <cell r="BT38">
            <v>2102.4210000000003</v>
          </cell>
          <cell r="BU38">
            <v>0.59346748522055548</v>
          </cell>
          <cell r="BW38">
            <v>757</v>
          </cell>
          <cell r="BX38">
            <v>0.59090431456612569</v>
          </cell>
          <cell r="BY38">
            <v>761.86640999999986</v>
          </cell>
          <cell r="BZ38">
            <v>0.79739735108711995</v>
          </cell>
          <cell r="CA38">
            <v>844.46625000000017</v>
          </cell>
          <cell r="CB38">
            <v>0.35348265245119248</v>
          </cell>
          <cell r="CC38">
            <v>888.29136000000017</v>
          </cell>
          <cell r="CD38">
            <v>0.53471739708844912</v>
          </cell>
          <cell r="CE38">
            <v>3251.6240200000002</v>
          </cell>
          <cell r="CF38">
            <v>0.54660937081583549</v>
          </cell>
        </row>
        <row r="39">
          <cell r="B39" t="str">
            <v>Interest and other Income net</v>
          </cell>
          <cell r="C39">
            <v>22.399000000000001</v>
          </cell>
          <cell r="E39">
            <v>21.986000000000001</v>
          </cell>
          <cell r="G39">
            <v>24.728999999999999</v>
          </cell>
          <cell r="I39">
            <v>20.32</v>
          </cell>
          <cell r="K39">
            <v>89.433999999999997</v>
          </cell>
          <cell r="M39">
            <v>21.474</v>
          </cell>
          <cell r="O39">
            <v>22.262</v>
          </cell>
          <cell r="Q39">
            <v>25.712</v>
          </cell>
          <cell r="S39">
            <v>20.96</v>
          </cell>
          <cell r="U39">
            <v>90.408000000000015</v>
          </cell>
          <cell r="W39">
            <v>35.064</v>
          </cell>
          <cell r="Y39">
            <v>32.234999999999999</v>
          </cell>
          <cell r="AA39">
            <v>32.472999999999999</v>
          </cell>
          <cell r="AC39">
            <v>30.771999999999998</v>
          </cell>
          <cell r="AE39">
            <v>130.54400000000001</v>
          </cell>
          <cell r="AG39">
            <v>36.4</v>
          </cell>
          <cell r="AI39">
            <v>28.8</v>
          </cell>
          <cell r="AK39">
            <v>15.2</v>
          </cell>
          <cell r="AM39">
            <v>27.4</v>
          </cell>
          <cell r="AO39">
            <v>107.80000000000001</v>
          </cell>
          <cell r="AQ39">
            <v>15.702999999999999</v>
          </cell>
          <cell r="AS39">
            <v>40.869999999999997</v>
          </cell>
          <cell r="AU39">
            <v>15.9</v>
          </cell>
          <cell r="AW39">
            <v>20.334</v>
          </cell>
          <cell r="AY39">
            <v>92.807000000000002</v>
          </cell>
          <cell r="BA39">
            <v>22.32</v>
          </cell>
          <cell r="BB39">
            <v>0.42138444883143356</v>
          </cell>
          <cell r="BC39">
            <v>15.444000000000001</v>
          </cell>
          <cell r="BD39">
            <v>-0.6221189136285783</v>
          </cell>
          <cell r="BE39">
            <v>23.51</v>
          </cell>
          <cell r="BF39">
            <v>0.47861635220125787</v>
          </cell>
          <cell r="BG39">
            <v>21.323</v>
          </cell>
          <cell r="BH39">
            <v>4.8637749581980971E-2</v>
          </cell>
          <cell r="BI39">
            <v>82.597000000000008</v>
          </cell>
          <cell r="BJ39">
            <v>-0.11001325331063383</v>
          </cell>
          <cell r="BL39">
            <v>16.396000000000001</v>
          </cell>
          <cell r="BM39">
            <v>-0.26541218637992825</v>
          </cell>
          <cell r="BN39">
            <v>31.501999999999999</v>
          </cell>
          <cell r="BO39">
            <v>1.0397565397565396</v>
          </cell>
          <cell r="BP39">
            <v>47.390999999999998</v>
          </cell>
          <cell r="BQ39">
            <v>1.0157805189281155</v>
          </cell>
          <cell r="BR39">
            <v>43.743000000000002</v>
          </cell>
          <cell r="BS39">
            <v>1.0514467945411061</v>
          </cell>
          <cell r="BT39">
            <v>140.9</v>
          </cell>
          <cell r="BU39">
            <v>0.70587309466445491</v>
          </cell>
          <cell r="BW39">
            <v>53</v>
          </cell>
          <cell r="BX39">
            <v>2.2324957306660158</v>
          </cell>
          <cell r="BY39">
            <v>80</v>
          </cell>
          <cell r="BZ39">
            <v>1.539521300234906</v>
          </cell>
          <cell r="CA39">
            <v>50</v>
          </cell>
          <cell r="CB39">
            <v>5.5052647127091792E-2</v>
          </cell>
          <cell r="CC39">
            <v>45</v>
          </cell>
          <cell r="CD39">
            <v>2.8736026335642206E-2</v>
          </cell>
          <cell r="CE39">
            <v>228</v>
          </cell>
          <cell r="CF39">
            <v>0.61816891412349184</v>
          </cell>
        </row>
        <row r="40">
          <cell r="B40" t="str">
            <v>Interest Expense</v>
          </cell>
          <cell r="C40">
            <v>-1.363</v>
          </cell>
          <cell r="E40">
            <v>-1.3560000000000001</v>
          </cell>
          <cell r="G40">
            <v>-1.3260000000000001</v>
          </cell>
          <cell r="I40">
            <v>-1.3149999999999999</v>
          </cell>
          <cell r="K40">
            <v>-5.3599999999999994</v>
          </cell>
          <cell r="M40">
            <v>-1.2869999999999999</v>
          </cell>
          <cell r="O40">
            <v>-1.24</v>
          </cell>
          <cell r="Q40">
            <v>-1.175</v>
          </cell>
          <cell r="S40">
            <v>-1.5760000000000001</v>
          </cell>
          <cell r="U40">
            <v>-5.2780000000000005</v>
          </cell>
          <cell r="W40">
            <v>-1.4910000000000001</v>
          </cell>
          <cell r="Y40">
            <v>-1.345</v>
          </cell>
          <cell r="AA40">
            <v>-1.7190000000000001</v>
          </cell>
          <cell r="AC40">
            <v>-1.1819999999999999</v>
          </cell>
          <cell r="AE40">
            <v>-5.7370000000000001</v>
          </cell>
          <cell r="AG40">
            <v>0</v>
          </cell>
          <cell r="AI40">
            <v>0</v>
          </cell>
          <cell r="AK40">
            <v>0</v>
          </cell>
          <cell r="AM40">
            <v>0</v>
          </cell>
          <cell r="AO40">
            <v>0</v>
          </cell>
          <cell r="AQ40">
            <v>0</v>
          </cell>
          <cell r="AS40">
            <v>0</v>
          </cell>
          <cell r="AU40">
            <v>0</v>
          </cell>
          <cell r="AW40">
            <v>0</v>
          </cell>
          <cell r="AY40">
            <v>0</v>
          </cell>
          <cell r="BA40">
            <v>0</v>
          </cell>
          <cell r="BB40" t="str">
            <v>NM</v>
          </cell>
          <cell r="BC40">
            <v>0</v>
          </cell>
          <cell r="BD40" t="str">
            <v>NM</v>
          </cell>
          <cell r="BE40">
            <v>0</v>
          </cell>
          <cell r="BF40" t="str">
            <v>NM</v>
          </cell>
          <cell r="BG40">
            <v>0</v>
          </cell>
          <cell r="BH40" t="str">
            <v>NM</v>
          </cell>
          <cell r="BI40">
            <v>0</v>
          </cell>
          <cell r="BJ40" t="str">
            <v>NM</v>
          </cell>
          <cell r="BL40">
            <v>0</v>
          </cell>
          <cell r="BM40" t="str">
            <v>NM</v>
          </cell>
          <cell r="BN40">
            <v>0</v>
          </cell>
          <cell r="BO40" t="str">
            <v>NM</v>
          </cell>
          <cell r="BP40">
            <v>-25</v>
          </cell>
          <cell r="BQ40" t="str">
            <v>NM</v>
          </cell>
          <cell r="BR40">
            <v>-23.035</v>
          </cell>
          <cell r="BS40" t="str">
            <v>NM</v>
          </cell>
          <cell r="BT40">
            <v>-49.9</v>
          </cell>
          <cell r="BU40" t="str">
            <v>NM</v>
          </cell>
          <cell r="BW40">
            <v>-19</v>
          </cell>
          <cell r="BX40" t="str">
            <v>NM</v>
          </cell>
          <cell r="BY40">
            <v>-24</v>
          </cell>
          <cell r="BZ40" t="str">
            <v>NM</v>
          </cell>
          <cell r="CA40">
            <v>-24</v>
          </cell>
          <cell r="CB40" t="str">
            <v>NM</v>
          </cell>
          <cell r="CC40">
            <v>-24</v>
          </cell>
          <cell r="CD40" t="str">
            <v>NM</v>
          </cell>
          <cell r="CE40">
            <v>-91</v>
          </cell>
          <cell r="CF40" t="str">
            <v>NM</v>
          </cell>
        </row>
        <row r="41">
          <cell r="B41" t="str">
            <v>Other</v>
          </cell>
          <cell r="C41">
            <v>-50</v>
          </cell>
          <cell r="E41">
            <v>0</v>
          </cell>
          <cell r="G41">
            <v>0</v>
          </cell>
          <cell r="I41">
            <v>0</v>
          </cell>
          <cell r="K41">
            <v>-50</v>
          </cell>
          <cell r="M41">
            <v>0</v>
          </cell>
          <cell r="O41">
            <v>0</v>
          </cell>
          <cell r="Q41">
            <v>0</v>
          </cell>
          <cell r="S41">
            <v>0</v>
          </cell>
          <cell r="U41">
            <v>0</v>
          </cell>
          <cell r="W41">
            <v>0</v>
          </cell>
          <cell r="Y41">
            <v>0</v>
          </cell>
          <cell r="AA41">
            <v>0</v>
          </cell>
          <cell r="AC41">
            <v>0</v>
          </cell>
          <cell r="AE41">
            <v>0</v>
          </cell>
          <cell r="AG41">
            <v>0</v>
          </cell>
          <cell r="AI41">
            <v>0</v>
          </cell>
          <cell r="AK41">
            <v>0</v>
          </cell>
          <cell r="AM41">
            <v>0</v>
          </cell>
          <cell r="AO41">
            <v>0</v>
          </cell>
          <cell r="AQ41">
            <v>0</v>
          </cell>
          <cell r="AS41">
            <v>0</v>
          </cell>
          <cell r="AU41">
            <v>0</v>
          </cell>
          <cell r="AW41">
            <v>0</v>
          </cell>
          <cell r="AY41">
            <v>0</v>
          </cell>
          <cell r="BA41">
            <v>0</v>
          </cell>
          <cell r="BB41" t="str">
            <v>NM</v>
          </cell>
          <cell r="BC41">
            <v>0</v>
          </cell>
          <cell r="BD41" t="str">
            <v>NM</v>
          </cell>
          <cell r="BE41">
            <v>0</v>
          </cell>
          <cell r="BF41" t="str">
            <v>NM</v>
          </cell>
          <cell r="BG41">
            <v>0</v>
          </cell>
          <cell r="BH41" t="str">
            <v>NM</v>
          </cell>
          <cell r="BI41">
            <v>0</v>
          </cell>
          <cell r="BJ41" t="str">
            <v>NM</v>
          </cell>
          <cell r="BL41">
            <v>0</v>
          </cell>
          <cell r="BM41" t="str">
            <v>NM</v>
          </cell>
          <cell r="BN41">
            <v>0</v>
          </cell>
          <cell r="BO41" t="str">
            <v>NM</v>
          </cell>
          <cell r="BP41">
            <v>0</v>
          </cell>
          <cell r="BQ41" t="str">
            <v>NM</v>
          </cell>
          <cell r="BR41">
            <v>0</v>
          </cell>
          <cell r="BS41" t="str">
            <v>NM</v>
          </cell>
          <cell r="BT41">
            <v>0</v>
          </cell>
          <cell r="BU41" t="str">
            <v>NM</v>
          </cell>
          <cell r="BW41">
            <v>0</v>
          </cell>
          <cell r="BX41" t="str">
            <v>NM</v>
          </cell>
          <cell r="BY41">
            <v>0</v>
          </cell>
          <cell r="BZ41" t="str">
            <v>NM</v>
          </cell>
          <cell r="CA41">
            <v>0</v>
          </cell>
          <cell r="CB41" t="str">
            <v>NM</v>
          </cell>
          <cell r="CC41">
            <v>0</v>
          </cell>
          <cell r="CD41" t="str">
            <v>NM</v>
          </cell>
          <cell r="CE41">
            <v>0</v>
          </cell>
          <cell r="CF41" t="str">
            <v>NM</v>
          </cell>
        </row>
        <row r="42">
          <cell r="B42" t="str">
            <v>Income (Loss) Before Taxes</v>
          </cell>
          <cell r="C42">
            <v>77.25599999700006</v>
          </cell>
          <cell r="D42" t="e">
            <v>#REF!</v>
          </cell>
          <cell r="E42">
            <v>155.43000000200004</v>
          </cell>
          <cell r="F42" t="e">
            <v>#REF!</v>
          </cell>
          <cell r="G42">
            <v>147.75600000099993</v>
          </cell>
          <cell r="H42" t="e">
            <v>#REF!</v>
          </cell>
          <cell r="I42">
            <v>126.18599999999992</v>
          </cell>
          <cell r="J42" t="e">
            <v>#REF!</v>
          </cell>
          <cell r="K42">
            <v>556.62800000000004</v>
          </cell>
          <cell r="M42">
            <v>203.40806622616552</v>
          </cell>
          <cell r="N42" t="e">
            <v>#REF!</v>
          </cell>
          <cell r="O42">
            <v>189.16277262893146</v>
          </cell>
          <cell r="P42" t="e">
            <v>#REF!</v>
          </cell>
          <cell r="Q42">
            <v>214.45179690849221</v>
          </cell>
          <cell r="R42" t="e">
            <v>#REF!</v>
          </cell>
          <cell r="S42">
            <v>192.61075938289838</v>
          </cell>
          <cell r="T42" t="e">
            <v>#REF!</v>
          </cell>
          <cell r="U42">
            <v>799.6333951464876</v>
          </cell>
          <cell r="W42">
            <v>242.35399999700002</v>
          </cell>
          <cell r="X42" t="e">
            <v>#REF!</v>
          </cell>
          <cell r="Y42">
            <v>259.94699999899996</v>
          </cell>
          <cell r="Z42" t="e">
            <v>#REF!</v>
          </cell>
          <cell r="AA42">
            <v>279.24</v>
          </cell>
          <cell r="AB42" t="e">
            <v>#REF!</v>
          </cell>
          <cell r="AC42">
            <v>303.41506880999992</v>
          </cell>
          <cell r="AD42" t="e">
            <v>#REF!</v>
          </cell>
          <cell r="AE42">
            <v>1084.9560688059998</v>
          </cell>
          <cell r="AG42">
            <v>167.868606877725</v>
          </cell>
          <cell r="AI42">
            <v>186.49784124299254</v>
          </cell>
          <cell r="AK42">
            <v>183.56400000000008</v>
          </cell>
          <cell r="AM42">
            <v>191.38111154892991</v>
          </cell>
          <cell r="AO42">
            <v>729.31155966964752</v>
          </cell>
          <cell r="AQ42">
            <v>259.29599999999994</v>
          </cell>
          <cell r="AS42">
            <v>245.38299999999992</v>
          </cell>
          <cell r="AU42">
            <v>218.92200000000017</v>
          </cell>
          <cell r="AW42">
            <v>214.93599999999998</v>
          </cell>
          <cell r="AY42">
            <v>938.35384265857761</v>
          </cell>
          <cell r="BA42">
            <v>318.88599999999991</v>
          </cell>
          <cell r="BB42">
            <v>0.2298145748488214</v>
          </cell>
          <cell r="BC42">
            <v>322.07800000000026</v>
          </cell>
          <cell r="BD42">
            <v>0.31255221429357527</v>
          </cell>
          <cell r="BE42">
            <v>409.49200000000008</v>
          </cell>
          <cell r="BF42">
            <v>0.8704926868930476</v>
          </cell>
          <cell r="BG42">
            <v>351.50699999999995</v>
          </cell>
          <cell r="BH42">
            <v>0.63540309673577244</v>
          </cell>
          <cell r="BI42">
            <v>1401.9969999999996</v>
          </cell>
          <cell r="BJ42">
            <v>0.4941026894799212</v>
          </cell>
          <cell r="BL42">
            <v>492.22600000000028</v>
          </cell>
          <cell r="BM42">
            <v>0.54357983730863202</v>
          </cell>
          <cell r="BN42">
            <v>455.37400000000008</v>
          </cell>
          <cell r="BO42">
            <v>0.41386248051714092</v>
          </cell>
          <cell r="BP42">
            <v>646.31199999999978</v>
          </cell>
          <cell r="BQ42">
            <v>0.57832631650923494</v>
          </cell>
          <cell r="BR42">
            <v>599.50600000000009</v>
          </cell>
          <cell r="BS42">
            <v>0.70553075756670625</v>
          </cell>
          <cell r="BT42">
            <v>2193.4180000000006</v>
          </cell>
          <cell r="BU42">
            <v>0.56449550177354246</v>
          </cell>
          <cell r="BW42">
            <v>791</v>
          </cell>
          <cell r="BX42">
            <v>0.60698540914132848</v>
          </cell>
          <cell r="BY42">
            <v>817.86640999999986</v>
          </cell>
          <cell r="BZ42">
            <v>0.79603229433388756</v>
          </cell>
          <cell r="CA42">
            <v>870.46625000000017</v>
          </cell>
          <cell r="CB42">
            <v>0.34682049845894936</v>
          </cell>
          <cell r="CC42">
            <v>909.29136000000017</v>
          </cell>
          <cell r="CD42">
            <v>0.51673437797119637</v>
          </cell>
          <cell r="CE42">
            <v>3388.6240200000002</v>
          </cell>
          <cell r="CF42">
            <v>0.54490572248426861</v>
          </cell>
        </row>
        <row r="43">
          <cell r="B43" t="str">
            <v>Income Tax (Benefit)</v>
          </cell>
          <cell r="C43">
            <v>22.91</v>
          </cell>
          <cell r="E43">
            <v>36.084000000000003</v>
          </cell>
          <cell r="G43">
            <v>32.942</v>
          </cell>
          <cell r="I43">
            <v>23.69</v>
          </cell>
          <cell r="K43">
            <v>121.56800000000001</v>
          </cell>
          <cell r="M43">
            <v>33.540999999999997</v>
          </cell>
          <cell r="O43">
            <v>35.161999999999999</v>
          </cell>
          <cell r="Q43">
            <v>38.149000000000001</v>
          </cell>
          <cell r="S43">
            <v>37.49</v>
          </cell>
          <cell r="U43">
            <v>143.67400000000001</v>
          </cell>
          <cell r="W43">
            <v>42.930999999999997</v>
          </cell>
          <cell r="Y43">
            <v>47.738999999999997</v>
          </cell>
          <cell r="AA43">
            <v>49.619</v>
          </cell>
          <cell r="AC43">
            <v>50.045000000000002</v>
          </cell>
          <cell r="AE43">
            <v>190.334</v>
          </cell>
          <cell r="AG43">
            <v>49.2</v>
          </cell>
          <cell r="AI43">
            <v>66.009</v>
          </cell>
          <cell r="AK43">
            <v>63.384999999999998</v>
          </cell>
          <cell r="AM43">
            <v>67.203000000000003</v>
          </cell>
          <cell r="AO43">
            <v>245.797</v>
          </cell>
          <cell r="AQ43">
            <v>76.762</v>
          </cell>
          <cell r="AS43">
            <v>81.891999999999996</v>
          </cell>
          <cell r="AU43">
            <v>75.099999999999994</v>
          </cell>
          <cell r="AW43">
            <v>69.944000000000003</v>
          </cell>
          <cell r="AY43">
            <v>303.69799999999998</v>
          </cell>
          <cell r="BA43">
            <v>111.33499999999999</v>
          </cell>
          <cell r="BB43">
            <v>0.45039212110158666</v>
          </cell>
          <cell r="BC43">
            <v>120.306</v>
          </cell>
          <cell r="BD43">
            <v>0.46908122893567139</v>
          </cell>
          <cell r="BE43">
            <v>149.88999999999999</v>
          </cell>
          <cell r="BF43">
            <v>0.99587217043941401</v>
          </cell>
          <cell r="BG43">
            <v>126.1</v>
          </cell>
          <cell r="BH43">
            <v>0.80287086812306963</v>
          </cell>
          <cell r="BI43">
            <v>507.63099999999997</v>
          </cell>
          <cell r="BJ43">
            <v>0.67149931840183341</v>
          </cell>
          <cell r="BL43">
            <v>180.58500000000001</v>
          </cell>
          <cell r="BM43">
            <v>0.62199667669645686</v>
          </cell>
          <cell r="BN43">
            <v>126.8</v>
          </cell>
          <cell r="BO43">
            <v>5.3979020165245251E-2</v>
          </cell>
          <cell r="BP43">
            <v>262.49099999999999</v>
          </cell>
          <cell r="BQ43">
            <v>0.75122423110280878</v>
          </cell>
          <cell r="BR43">
            <v>236.221</v>
          </cell>
          <cell r="BS43">
            <v>0.87328310864393344</v>
          </cell>
          <cell r="BT43">
            <v>806.09699999999998</v>
          </cell>
          <cell r="BU43">
            <v>0.5879585762098849</v>
          </cell>
          <cell r="BW43">
            <v>300</v>
          </cell>
          <cell r="BX43">
            <v>0.66126754713846658</v>
          </cell>
          <cell r="BY43">
            <v>303.42843810999995</v>
          </cell>
          <cell r="BZ43">
            <v>1.3929687548107252</v>
          </cell>
          <cell r="CA43">
            <v>322.94297875000007</v>
          </cell>
          <cell r="CB43">
            <v>0.23030114842032701</v>
          </cell>
          <cell r="CC43">
            <v>337.34709456000007</v>
          </cell>
          <cell r="CD43">
            <v>0.42809951088175935</v>
          </cell>
          <cell r="CE43">
            <v>1263.7185114200001</v>
          </cell>
          <cell r="CF43">
            <v>0.567700303338184</v>
          </cell>
        </row>
        <row r="44">
          <cell r="B44" t="str">
            <v>Tax Rate</v>
          </cell>
          <cell r="C44">
            <v>0.29654654655806179</v>
          </cell>
          <cell r="E44">
            <v>0.23215595444596077</v>
          </cell>
          <cell r="G44">
            <v>0.22294864506197423</v>
          </cell>
          <cell r="I44">
            <v>0.18773873488342618</v>
          </cell>
          <cell r="K44">
            <v>0.21840079909742235</v>
          </cell>
          <cell r="M44">
            <v>0.31057618156261746</v>
          </cell>
          <cell r="O44">
            <v>0.31062449585915947</v>
          </cell>
          <cell r="Q44">
            <v>0.31050325499576703</v>
          </cell>
          <cell r="S44">
            <v>0.31069126943984371</v>
          </cell>
          <cell r="U44">
            <v>0.17967483708416138</v>
          </cell>
          <cell r="W44">
            <v>0.320523684181443</v>
          </cell>
          <cell r="Y44">
            <v>0.32030716534990089</v>
          </cell>
          <cell r="AA44">
            <v>0.32044099205704007</v>
          </cell>
          <cell r="AC44">
            <v>0.32039990406928232</v>
          </cell>
          <cell r="AE44">
            <v>0.17543014456747877</v>
          </cell>
          <cell r="AG44">
            <v>0.29349894260372089</v>
          </cell>
          <cell r="AI44">
            <v>0.35428459719400968</v>
          </cell>
          <cell r="AK44">
            <v>0.345725382990834</v>
          </cell>
          <cell r="AM44">
            <v>0.35148524883632459</v>
          </cell>
          <cell r="AO44">
            <v>0.33702605798725771</v>
          </cell>
          <cell r="AQ44">
            <v>0.29619869560489492</v>
          </cell>
          <cell r="AS44">
            <v>0.33376329644768415</v>
          </cell>
          <cell r="AU44">
            <v>0.3432807897415317</v>
          </cell>
          <cell r="AW44">
            <v>0.32563596409549711</v>
          </cell>
          <cell r="AY44">
            <v>0.32364976429312847</v>
          </cell>
          <cell r="BA44">
            <v>0.34913730925785397</v>
          </cell>
          <cell r="BC44">
            <v>0.37353063543613629</v>
          </cell>
          <cell r="BE44">
            <v>0.3660388969747882</v>
          </cell>
          <cell r="BG44">
            <v>0.35874107770257779</v>
          </cell>
          <cell r="BI44">
            <v>0.36207709431617907</v>
          </cell>
          <cell r="BJ44">
            <v>0.11873121584679147</v>
          </cell>
          <cell r="BL44">
            <v>0.36687415943083035</v>
          </cell>
          <cell r="BN44">
            <v>0.27845243689802224</v>
          </cell>
          <cell r="BP44">
            <v>0.40613666464493942</v>
          </cell>
          <cell r="BR44">
            <v>0.39402608147374668</v>
          </cell>
          <cell r="BT44">
            <v>0.36750724212165659</v>
          </cell>
          <cell r="BU44">
            <v>1.4997214379807389E-2</v>
          </cell>
          <cell r="BW44">
            <v>0.37926675094816686</v>
          </cell>
          <cell r="BY44">
            <v>0.371</v>
          </cell>
          <cell r="CA44">
            <v>0.371</v>
          </cell>
          <cell r="CC44">
            <v>0.371</v>
          </cell>
          <cell r="CE44">
            <v>0.3729296918045219</v>
          </cell>
          <cell r="CF44">
            <v>1.4754674361139086E-2</v>
          </cell>
        </row>
        <row r="45">
          <cell r="B45" t="str">
            <v>Reported Net Income</v>
          </cell>
          <cell r="C45">
            <v>54.345999997000064</v>
          </cell>
          <cell r="D45" t="e">
            <v>#REF!</v>
          </cell>
          <cell r="E45">
            <v>119.34600000200004</v>
          </cell>
          <cell r="F45" t="e">
            <v>#REF!</v>
          </cell>
          <cell r="G45">
            <v>114.81400000099993</v>
          </cell>
          <cell r="H45" t="e">
            <v>#REF!</v>
          </cell>
          <cell r="I45">
            <v>102.49599999999992</v>
          </cell>
          <cell r="J45" t="e">
            <v>#REF!</v>
          </cell>
          <cell r="K45">
            <v>435.06000000000006</v>
          </cell>
          <cell r="M45">
            <v>169.86706622616552</v>
          </cell>
          <cell r="N45" t="e">
            <v>#REF!</v>
          </cell>
          <cell r="O45">
            <v>154.00077262893146</v>
          </cell>
          <cell r="P45" t="e">
            <v>#REF!</v>
          </cell>
          <cell r="Q45">
            <v>176.30279690849221</v>
          </cell>
          <cell r="R45" t="e">
            <v>#REF!</v>
          </cell>
          <cell r="S45">
            <v>155.12075938289837</v>
          </cell>
          <cell r="T45" t="e">
            <v>#REF!</v>
          </cell>
          <cell r="U45">
            <v>653.88039514648756</v>
          </cell>
          <cell r="W45">
            <v>199.42299999700003</v>
          </cell>
          <cell r="X45" t="e">
            <v>#REF!</v>
          </cell>
          <cell r="Y45">
            <v>212.20799999899995</v>
          </cell>
          <cell r="Z45" t="e">
            <v>#REF!</v>
          </cell>
          <cell r="AA45">
            <v>229.62100000000001</v>
          </cell>
          <cell r="AB45" t="e">
            <v>#REF!</v>
          </cell>
          <cell r="AC45">
            <v>253.37006880999991</v>
          </cell>
          <cell r="AD45" t="e">
            <v>#REF!</v>
          </cell>
          <cell r="AE45">
            <v>893.21106880599996</v>
          </cell>
          <cell r="AG45">
            <v>118.668606877725</v>
          </cell>
          <cell r="AI45">
            <v>120.48884124299254</v>
          </cell>
          <cell r="AK45">
            <v>120.17900000000009</v>
          </cell>
          <cell r="AM45">
            <v>124.17811154892991</v>
          </cell>
          <cell r="AO45">
            <v>483.5145596696475</v>
          </cell>
          <cell r="AQ45">
            <v>182.53399999999993</v>
          </cell>
          <cell r="AS45">
            <v>163.49099999999993</v>
          </cell>
          <cell r="AU45">
            <v>143.82200000000017</v>
          </cell>
          <cell r="AW45">
            <v>144.99199999999996</v>
          </cell>
          <cell r="AY45">
            <v>634.65584265857763</v>
          </cell>
          <cell r="BA45">
            <v>207.55099999999993</v>
          </cell>
          <cell r="BB45">
            <v>0.13705391872199146</v>
          </cell>
          <cell r="BC45">
            <v>201.77200000000028</v>
          </cell>
          <cell r="BD45">
            <v>0.23414744542513266</v>
          </cell>
          <cell r="BE45">
            <v>259.60200000000009</v>
          </cell>
          <cell r="BF45">
            <v>0.80502287549887908</v>
          </cell>
          <cell r="BG45">
            <v>225.40699999999995</v>
          </cell>
          <cell r="BH45">
            <v>0.55461680644449363</v>
          </cell>
          <cell r="BI45">
            <v>894.36599999999964</v>
          </cell>
          <cell r="BJ45">
            <v>0.4092141596829777</v>
          </cell>
          <cell r="BL45">
            <v>311.6410000000003</v>
          </cell>
          <cell r="BM45">
            <v>0.50151529021782792</v>
          </cell>
          <cell r="BN45">
            <v>328.57400000000007</v>
          </cell>
          <cell r="BO45">
            <v>0.6284420038459233</v>
          </cell>
          <cell r="BP45">
            <v>383.8209999999998</v>
          </cell>
          <cell r="BQ45">
            <v>0.47849785440789994</v>
          </cell>
          <cell r="BR45">
            <v>363.28500000000008</v>
          </cell>
          <cell r="BS45">
            <v>0.61168464155949076</v>
          </cell>
          <cell r="BT45">
            <v>1387.3210000000001</v>
          </cell>
          <cell r="BU45">
            <v>0.55117815301565654</v>
          </cell>
          <cell r="BW45">
            <v>491</v>
          </cell>
          <cell r="BX45">
            <v>0.57553081911558346</v>
          </cell>
          <cell r="BY45">
            <v>514.43797188999997</v>
          </cell>
          <cell r="BZ45">
            <v>0.56566853095497471</v>
          </cell>
          <cell r="CA45">
            <v>547.52327125000011</v>
          </cell>
          <cell r="CB45">
            <v>0.42650681242037414</v>
          </cell>
          <cell r="CC45">
            <v>571.94426544000009</v>
          </cell>
          <cell r="CD45">
            <v>0.57436796300425286</v>
          </cell>
          <cell r="CE45">
            <v>2124.9055085800001</v>
          </cell>
          <cell r="CF45">
            <v>0.53166102767852563</v>
          </cell>
        </row>
        <row r="46">
          <cell r="B46" t="str">
            <v>EPS, basic</v>
          </cell>
          <cell r="C46">
            <v>5.3195279706391409E-2</v>
          </cell>
          <cell r="D46" t="e">
            <v>#REF!</v>
          </cell>
          <cell r="E46">
            <v>0.1161134028662049</v>
          </cell>
          <cell r="F46" t="e">
            <v>#REF!</v>
          </cell>
          <cell r="G46">
            <v>0.11225174174395246</v>
          </cell>
          <cell r="H46" t="e">
            <v>#REF!</v>
          </cell>
          <cell r="I46">
            <v>9.9454483000867386E-2</v>
          </cell>
          <cell r="J46" t="e">
            <v>#REF!</v>
          </cell>
          <cell r="K46">
            <v>0.84830168077058077</v>
          </cell>
          <cell r="M46">
            <v>0.15719058841409891</v>
          </cell>
          <cell r="N46" t="e">
            <v>#REF!</v>
          </cell>
          <cell r="O46">
            <v>0.14772766505983081</v>
          </cell>
          <cell r="P46" t="e">
            <v>#REF!</v>
          </cell>
          <cell r="Q46">
            <v>0.16857272598569231</v>
          </cell>
          <cell r="R46" t="e">
            <v>#REF!</v>
          </cell>
          <cell r="S46">
            <v>0.14771576793625393</v>
          </cell>
          <cell r="T46" t="e">
            <v>#REF!</v>
          </cell>
          <cell r="U46">
            <v>0.62610751786886065</v>
          </cell>
          <cell r="W46">
            <v>0.18963949828069879</v>
          </cell>
          <cell r="X46" t="e">
            <v>#REF!</v>
          </cell>
          <cell r="Y46">
            <v>0.201336627462533</v>
          </cell>
          <cell r="Z46" t="e">
            <v>#REF!</v>
          </cell>
          <cell r="AA46">
            <v>0.21772122853328479</v>
          </cell>
          <cell r="AB46" t="e">
            <v>#REF!</v>
          </cell>
          <cell r="AC46">
            <v>0.23995422792662244</v>
          </cell>
          <cell r="AD46" t="e">
            <v>#REF!</v>
          </cell>
          <cell r="AE46">
            <v>0.84741827980205642</v>
          </cell>
          <cell r="AG46">
            <v>0.11262407288593676</v>
          </cell>
          <cell r="AI46">
            <v>0.11585443224435389</v>
          </cell>
          <cell r="AK46">
            <v>0.11644687757376106</v>
          </cell>
          <cell r="AM46">
            <v>0.12075917770961529</v>
          </cell>
          <cell r="AO46">
            <v>0.46558555820163972</v>
          </cell>
          <cell r="AQ46">
            <v>0.17828754720077195</v>
          </cell>
          <cell r="AS46">
            <v>0.15937622463243961</v>
          </cell>
          <cell r="AU46">
            <v>0.13818408916218311</v>
          </cell>
          <cell r="AW46">
            <v>0.13843172075349197</v>
          </cell>
          <cell r="AY46">
            <v>0.61351622099003444</v>
          </cell>
          <cell r="BA46">
            <v>0.19669389062526646</v>
          </cell>
          <cell r="BB46">
            <v>0.10323964692703358</v>
          </cell>
          <cell r="BC46">
            <v>0.19023985050239559</v>
          </cell>
          <cell r="BD46">
            <v>0.19365263508490682</v>
          </cell>
          <cell r="BE46">
            <v>0.24603559717193932</v>
          </cell>
          <cell r="BF46">
            <v>0.78049150711681192</v>
          </cell>
          <cell r="BG46">
            <v>0.21473468610079066</v>
          </cell>
          <cell r="BH46">
            <v>0.55119567200333264</v>
          </cell>
          <cell r="BI46">
            <v>0.84760772011960184</v>
          </cell>
          <cell r="BJ46">
            <v>0.38155714734292223</v>
          </cell>
          <cell r="BL46">
            <v>0.29769915325477275</v>
          </cell>
          <cell r="BM46">
            <v>0.51351499687368318</v>
          </cell>
          <cell r="BN46">
            <v>0.31068947127549734</v>
          </cell>
          <cell r="BO46">
            <v>0.6331461071642559</v>
          </cell>
          <cell r="BP46">
            <v>0.36191125456018103</v>
          </cell>
          <cell r="BQ46">
            <v>0.47097110629590433</v>
          </cell>
          <cell r="BR46">
            <v>0.3444360799602551</v>
          </cell>
          <cell r="BS46">
            <v>0.60400765341928087</v>
          </cell>
          <cell r="BT46">
            <v>1.3150560404644005</v>
          </cell>
          <cell r="BU46">
            <v>0.5514913435177764</v>
          </cell>
          <cell r="BW46">
            <v>0.46584440227703983</v>
          </cell>
          <cell r="BX46">
            <v>0.56481601369677836</v>
          </cell>
          <cell r="BY46">
            <v>0.48808156725806451</v>
          </cell>
          <cell r="BZ46">
            <v>0.57096268906154357</v>
          </cell>
          <cell r="CA46">
            <v>0.51947179435483881</v>
          </cell>
          <cell r="CB46">
            <v>0.43535683902987765</v>
          </cell>
          <cell r="CC46">
            <v>0.54264161806451627</v>
          </cell>
          <cell r="CD46">
            <v>0.57544940741147776</v>
          </cell>
          <cell r="CE46">
            <v>2.0160393819544593</v>
          </cell>
          <cell r="CF46">
            <v>0.53304446344546097</v>
          </cell>
        </row>
        <row r="47">
          <cell r="B47" t="str">
            <v>EPS, diluted</v>
          </cell>
          <cell r="C47">
            <v>5.1261300007734628E-2</v>
          </cell>
          <cell r="D47" t="e">
            <v>#REF!</v>
          </cell>
          <cell r="E47">
            <v>0.11182173883900132</v>
          </cell>
          <cell r="F47" t="e">
            <v>#REF!</v>
          </cell>
          <cell r="G47">
            <v>0.10948743622848416</v>
          </cell>
          <cell r="H47" t="e">
            <v>#REF!</v>
          </cell>
          <cell r="I47">
            <v>9.672335662963033E-2</v>
          </cell>
          <cell r="J47" t="e">
            <v>#REF!</v>
          </cell>
          <cell r="K47">
            <v>0.82168185466735921</v>
          </cell>
          <cell r="M47">
            <v>0.16360744536644534</v>
          </cell>
          <cell r="N47" t="e">
            <v>#REF!</v>
          </cell>
          <cell r="O47">
            <v>0.14302396905211939</v>
          </cell>
          <cell r="P47" t="e">
            <v>#REF!</v>
          </cell>
          <cell r="Q47">
            <v>0.16279624374956575</v>
          </cell>
          <cell r="R47" t="e">
            <v>#REF!</v>
          </cell>
          <cell r="S47">
            <v>0.1442675142833611</v>
          </cell>
          <cell r="T47" t="e">
            <v>#REF!</v>
          </cell>
          <cell r="U47">
            <v>0.60987544247047309</v>
          </cell>
          <cell r="W47">
            <v>0.18630385512668887</v>
          </cell>
          <cell r="X47" t="e">
            <v>#REF!</v>
          </cell>
          <cell r="Y47">
            <v>0.19827260801712437</v>
          </cell>
          <cell r="Z47" t="e">
            <v>#REF!</v>
          </cell>
          <cell r="AA47">
            <v>0.21513388423557631</v>
          </cell>
          <cell r="AB47" t="e">
            <v>#REF!</v>
          </cell>
          <cell r="AC47">
            <v>0.23597362148675347</v>
          </cell>
          <cell r="AD47" t="e">
            <v>#REF!</v>
          </cell>
          <cell r="AE47">
            <v>0.83443278873473636</v>
          </cell>
          <cell r="AG47">
            <v>0.11091602069521243</v>
          </cell>
          <cell r="AI47">
            <v>0.11486526747781373</v>
          </cell>
          <cell r="AK47">
            <v>0.11568376043694142</v>
          </cell>
          <cell r="AM47">
            <v>0.11963762442668824</v>
          </cell>
          <cell r="AO47">
            <v>0.46096594929398294</v>
          </cell>
          <cell r="AQ47">
            <v>0.17644113473531989</v>
          </cell>
          <cell r="AS47">
            <v>0.15632685298156096</v>
          </cell>
          <cell r="AU47">
            <v>0.13499342969776626</v>
          </cell>
          <cell r="AW47">
            <v>0.13531330959153653</v>
          </cell>
          <cell r="AY47">
            <v>0.60195636879300407</v>
          </cell>
          <cell r="BA47">
            <v>0.19188759906363365</v>
          </cell>
          <cell r="BB47">
            <v>8.7544575994056517E-2</v>
          </cell>
          <cell r="BC47">
            <v>0.1856079596205274</v>
          </cell>
          <cell r="BD47">
            <v>0.18730695386300766</v>
          </cell>
          <cell r="BE47">
            <v>0.24102097033403808</v>
          </cell>
          <cell r="BF47">
            <v>0.78542741579093511</v>
          </cell>
          <cell r="BG47">
            <v>0.21052144935874201</v>
          </cell>
          <cell r="BH47">
            <v>0.55580740722573774</v>
          </cell>
          <cell r="BI47">
            <v>0.82872362999196592</v>
          </cell>
          <cell r="BJ47">
            <v>0.37671710601493902</v>
          </cell>
          <cell r="BL47">
            <v>0.29205273126155645</v>
          </cell>
          <cell r="BM47">
            <v>0.52199898631649511</v>
          </cell>
          <cell r="BN47">
            <v>0.30315701288288605</v>
          </cell>
          <cell r="BO47">
            <v>0.63331903169824111</v>
          </cell>
          <cell r="BP47">
            <v>0.35311289058331263</v>
          </cell>
          <cell r="BQ47">
            <v>0.46507123464785272</v>
          </cell>
          <cell r="BR47">
            <v>0.33632766499529704</v>
          </cell>
          <cell r="BS47">
            <v>0.59759333796991476</v>
          </cell>
          <cell r="BT47">
            <v>1.2834287279048318</v>
          </cell>
          <cell r="BU47">
            <v>0.54868122671640718</v>
          </cell>
          <cell r="BW47">
            <v>0.45674418604651162</v>
          </cell>
          <cell r="BX47">
            <v>0.56390999691579968</v>
          </cell>
          <cell r="BY47">
            <v>0.4785469505953488</v>
          </cell>
          <cell r="BZ47">
            <v>0.57854488024071671</v>
          </cell>
          <cell r="CA47">
            <v>0.50932397325581402</v>
          </cell>
          <cell r="CB47">
            <v>0.44238283800530165</v>
          </cell>
          <cell r="CC47">
            <v>0.53204117715348842</v>
          </cell>
          <cell r="CD47">
            <v>0.58191321299997156</v>
          </cell>
          <cell r="CE47">
            <v>1.9766562870511628</v>
          </cell>
          <cell r="CF47">
            <v>0.54013716856565086</v>
          </cell>
        </row>
        <row r="49">
          <cell r="B49" t="str">
            <v>Option expense</v>
          </cell>
          <cell r="BW49">
            <v>74</v>
          </cell>
          <cell r="BY49">
            <v>78.304247450000005</v>
          </cell>
          <cell r="CA49">
            <v>83.722856250000007</v>
          </cell>
          <cell r="CC49">
            <v>93.158375200000009</v>
          </cell>
          <cell r="CE49">
            <v>329.18547890000002</v>
          </cell>
        </row>
        <row r="50">
          <cell r="B50" t="str">
            <v>Net Income (incl options exp)</v>
          </cell>
          <cell r="BW50">
            <v>417</v>
          </cell>
          <cell r="BY50">
            <v>436.13372443999998</v>
          </cell>
          <cell r="CA50">
            <v>463.8004150000001</v>
          </cell>
          <cell r="CC50">
            <v>478.78589024000007</v>
          </cell>
          <cell r="CE50">
            <v>1795.7200296800002</v>
          </cell>
        </row>
        <row r="52">
          <cell r="B52" t="str">
            <v>EPS, diluted (incl option exp)</v>
          </cell>
          <cell r="BW52">
            <v>0.38790697674418606</v>
          </cell>
          <cell r="BY52">
            <v>0.40570579017674419</v>
          </cell>
          <cell r="CA52">
            <v>0.43144224651162799</v>
          </cell>
          <cell r="CC52">
            <v>0.44538222347906986</v>
          </cell>
          <cell r="CE52">
            <v>1.670437236911628</v>
          </cell>
        </row>
        <row r="53">
          <cell r="B53" t="str">
            <v>EPS, GAAP, diluted (incl option exp)</v>
          </cell>
          <cell r="BW53">
            <v>0.39162790697674421</v>
          </cell>
          <cell r="BY53">
            <v>0.38464160413023252</v>
          </cell>
          <cell r="CA53">
            <v>0.41037806046511638</v>
          </cell>
          <cell r="CC53">
            <v>0.42431803743255819</v>
          </cell>
          <cell r="CE53">
            <v>1.6109656090046514</v>
          </cell>
        </row>
        <row r="54">
          <cell r="B54" t="str">
            <v>Shares Outstanding (Basic)</v>
          </cell>
          <cell r="C54">
            <v>1021.6319999999999</v>
          </cell>
          <cell r="D54">
            <v>0</v>
          </cell>
          <cell r="E54">
            <v>1027.8399999999999</v>
          </cell>
          <cell r="F54">
            <v>0</v>
          </cell>
          <cell r="G54">
            <v>1022.826</v>
          </cell>
          <cell r="H54">
            <v>0</v>
          </cell>
          <cell r="I54">
            <v>1030.5820000000001</v>
          </cell>
          <cell r="K54">
            <v>512.86</v>
          </cell>
          <cell r="M54">
            <v>1080.644</v>
          </cell>
          <cell r="N54">
            <v>0</v>
          </cell>
          <cell r="O54">
            <v>1042.4639999999999</v>
          </cell>
          <cell r="P54">
            <v>0</v>
          </cell>
          <cell r="Q54">
            <v>1045.856</v>
          </cell>
          <cell r="R54">
            <v>0</v>
          </cell>
          <cell r="S54">
            <v>1050.1300000000001</v>
          </cell>
          <cell r="T54">
            <v>0</v>
          </cell>
          <cell r="U54">
            <v>1044.3579999999999</v>
          </cell>
          <cell r="W54">
            <v>1051.5899999999999</v>
          </cell>
          <cell r="X54">
            <v>0</v>
          </cell>
          <cell r="Y54">
            <v>1053.9960000000001</v>
          </cell>
          <cell r="Z54">
            <v>0</v>
          </cell>
          <cell r="AA54">
            <v>1054.6559999999999</v>
          </cell>
          <cell r="AB54">
            <v>0</v>
          </cell>
          <cell r="AC54">
            <v>1055.9100000000001</v>
          </cell>
          <cell r="AD54">
            <v>0</v>
          </cell>
          <cell r="AE54">
            <v>1054.038</v>
          </cell>
          <cell r="AG54">
            <v>1053.67</v>
          </cell>
          <cell r="AH54">
            <v>0</v>
          </cell>
          <cell r="AI54">
            <v>1040.002</v>
          </cell>
          <cell r="AJ54">
            <v>0</v>
          </cell>
          <cell r="AK54">
            <v>1032.05</v>
          </cell>
          <cell r="AL54">
            <v>0</v>
          </cell>
          <cell r="AM54">
            <v>1028.3119999999999</v>
          </cell>
          <cell r="AN54">
            <v>0</v>
          </cell>
          <cell r="AO54">
            <v>1038.5084999999999</v>
          </cell>
          <cell r="AQ54">
            <v>1023.818</v>
          </cell>
          <cell r="AR54">
            <v>0</v>
          </cell>
          <cell r="AS54">
            <v>1025.818</v>
          </cell>
          <cell r="AT54">
            <v>0</v>
          </cell>
          <cell r="AU54">
            <v>1040.8</v>
          </cell>
          <cell r="AV54">
            <v>0</v>
          </cell>
          <cell r="AW54">
            <v>1047.3900000000001</v>
          </cell>
          <cell r="AY54">
            <v>1034.4565</v>
          </cell>
          <cell r="BA54">
            <v>1055.1980000000001</v>
          </cell>
          <cell r="BB54">
            <v>3.0649978804826672E-2</v>
          </cell>
          <cell r="BC54">
            <v>1060.6189999999999</v>
          </cell>
          <cell r="BD54">
            <v>3.392512122033331E-2</v>
          </cell>
          <cell r="BE54">
            <v>1055.1400000000001</v>
          </cell>
          <cell r="BF54">
            <v>1.3777863182167671E-2</v>
          </cell>
          <cell r="BG54">
            <v>1049.7</v>
          </cell>
          <cell r="BH54">
            <v>2.2054821986079443E-3</v>
          </cell>
          <cell r="BI54">
            <v>1055.165</v>
          </cell>
          <cell r="BJ54">
            <v>2.0018724808631427E-2</v>
          </cell>
          <cell r="BL54">
            <v>1046.8320000000001</v>
          </cell>
          <cell r="BM54">
            <v>-7.9283698414894799E-3</v>
          </cell>
          <cell r="BN54">
            <v>1057.5640000000001</v>
          </cell>
          <cell r="BO54">
            <v>-2.8803934306285139E-3</v>
          </cell>
          <cell r="BP54">
            <v>1060.539</v>
          </cell>
          <cell r="BQ54">
            <v>5.1168565308867819E-3</v>
          </cell>
          <cell r="BR54">
            <v>1054.7239999999999</v>
          </cell>
          <cell r="BS54">
            <v>4.7861293702962104E-3</v>
          </cell>
          <cell r="BT54">
            <v>1054.952</v>
          </cell>
          <cell r="BU54">
            <v>-2.0186416342460323E-4</v>
          </cell>
          <cell r="BW54">
            <v>1054</v>
          </cell>
          <cell r="BY54">
            <v>1054</v>
          </cell>
          <cell r="CA54">
            <v>1054</v>
          </cell>
          <cell r="CC54">
            <v>1054</v>
          </cell>
          <cell r="CE54">
            <v>1054</v>
          </cell>
          <cell r="CF54">
            <v>-9.0241072579599901E-4</v>
          </cell>
        </row>
        <row r="55">
          <cell r="B55" t="str">
            <v>Shares Outstanding (Diluted)</v>
          </cell>
          <cell r="C55">
            <v>1060.1759999999999</v>
          </cell>
          <cell r="D55">
            <v>0</v>
          </cell>
          <cell r="E55">
            <v>1067.288</v>
          </cell>
          <cell r="F55">
            <v>0</v>
          </cell>
          <cell r="G55">
            <v>1048.6500000000001</v>
          </cell>
          <cell r="H55">
            <v>0</v>
          </cell>
          <cell r="I55">
            <v>1059.682</v>
          </cell>
          <cell r="K55">
            <v>529.47500000000002</v>
          </cell>
          <cell r="M55">
            <v>1038.26</v>
          </cell>
          <cell r="N55">
            <v>0</v>
          </cell>
          <cell r="O55">
            <v>1076.748</v>
          </cell>
          <cell r="P55">
            <v>0</v>
          </cell>
          <cell r="Q55">
            <v>1082.9659999999999</v>
          </cell>
          <cell r="R55">
            <v>0</v>
          </cell>
          <cell r="S55">
            <v>1075.23</v>
          </cell>
          <cell r="T55">
            <v>0</v>
          </cell>
          <cell r="U55">
            <v>1072.154</v>
          </cell>
          <cell r="W55">
            <v>1070.4179999999999</v>
          </cell>
          <cell r="X55">
            <v>0</v>
          </cell>
          <cell r="Y55">
            <v>1070.2840000000001</v>
          </cell>
          <cell r="Z55">
            <v>0</v>
          </cell>
          <cell r="AA55">
            <v>1067.3399999999999</v>
          </cell>
          <cell r="AB55">
            <v>0</v>
          </cell>
          <cell r="AC55">
            <v>1073.722</v>
          </cell>
          <cell r="AD55">
            <v>0</v>
          </cell>
          <cell r="AE55">
            <v>1070.441</v>
          </cell>
          <cell r="AG55">
            <v>1069.896</v>
          </cell>
          <cell r="AH55">
            <v>0</v>
          </cell>
          <cell r="AI55">
            <v>1048.9580000000001</v>
          </cell>
          <cell r="AJ55">
            <v>0</v>
          </cell>
          <cell r="AK55">
            <v>1038.8579999999999</v>
          </cell>
          <cell r="AL55">
            <v>0</v>
          </cell>
          <cell r="AM55">
            <v>1037.952</v>
          </cell>
          <cell r="AN55">
            <v>0</v>
          </cell>
          <cell r="AO55">
            <v>1048.9160000000002</v>
          </cell>
          <cell r="AQ55">
            <v>1034.5319999999999</v>
          </cell>
          <cell r="AR55">
            <v>0</v>
          </cell>
          <cell r="AS55">
            <v>1045.828</v>
          </cell>
          <cell r="AT55">
            <v>0</v>
          </cell>
          <cell r="AU55">
            <v>1065.4000000000001</v>
          </cell>
          <cell r="AV55">
            <v>0</v>
          </cell>
          <cell r="AW55">
            <v>1071.528</v>
          </cell>
          <cell r="AY55">
            <v>1054.3219999999999</v>
          </cell>
          <cell r="BA55">
            <v>1081.6279999999999</v>
          </cell>
          <cell r="BB55">
            <v>4.5523966392533088E-2</v>
          </cell>
          <cell r="BC55">
            <v>1087.087</v>
          </cell>
          <cell r="BD55">
            <v>3.9451037837962E-2</v>
          </cell>
          <cell r="BE55">
            <v>1077.0930000000001</v>
          </cell>
          <cell r="BF55">
            <v>1.0975220574432232E-2</v>
          </cell>
          <cell r="BG55">
            <v>1070.7080000000001</v>
          </cell>
          <cell r="BH55">
            <v>-7.6526231699025615E-4</v>
          </cell>
          <cell r="BI55">
            <v>1079.2090000000001</v>
          </cell>
          <cell r="BJ55">
            <v>2.3604743142986884E-2</v>
          </cell>
          <cell r="BL55">
            <v>1067.0709999999999</v>
          </cell>
          <cell r="BM55">
            <v>-1.345841638714973E-2</v>
          </cell>
          <cell r="BN55">
            <v>1083.8409999999999</v>
          </cell>
          <cell r="BO55">
            <v>-2.9859615651738336E-3</v>
          </cell>
          <cell r="BP55">
            <v>1086.9639999999999</v>
          </cell>
          <cell r="BQ55">
            <v>9.1644825470036384E-3</v>
          </cell>
          <cell r="BR55">
            <v>1080.152</v>
          </cell>
          <cell r="BS55">
            <v>8.8203319672590652E-3</v>
          </cell>
          <cell r="BT55">
            <v>1080.9490000000001</v>
          </cell>
          <cell r="BU55">
            <v>1.6122919656897938E-3</v>
          </cell>
          <cell r="BW55">
            <v>1075</v>
          </cell>
          <cell r="BY55">
            <v>1075</v>
          </cell>
          <cell r="CA55">
            <v>1075</v>
          </cell>
          <cell r="CC55">
            <v>1075</v>
          </cell>
          <cell r="CE55">
            <v>1075</v>
          </cell>
          <cell r="CF55">
            <v>-5.5034973897936101E-3</v>
          </cell>
        </row>
        <row r="58">
          <cell r="B58" t="str">
            <v>GAAP Adjustments</v>
          </cell>
        </row>
        <row r="59">
          <cell r="B59" t="str">
            <v>Charges related to Redemption</v>
          </cell>
          <cell r="AG59">
            <v>-38.9</v>
          </cell>
          <cell r="AI59">
            <v>-38.9</v>
          </cell>
          <cell r="AK59">
            <v>-38.9</v>
          </cell>
          <cell r="AM59">
            <v>-38.9</v>
          </cell>
          <cell r="AO59">
            <v>-155.6</v>
          </cell>
          <cell r="AQ59">
            <v>-38.6</v>
          </cell>
          <cell r="AS59">
            <v>-38.6</v>
          </cell>
          <cell r="AU59">
            <v>-38.6</v>
          </cell>
          <cell r="BA59">
            <v>-38.209000000000003</v>
          </cell>
          <cell r="BC59">
            <v>-38.209000000000003</v>
          </cell>
          <cell r="BE59">
            <v>-30</v>
          </cell>
          <cell r="BG59">
            <v>-34.533999999999999</v>
          </cell>
          <cell r="BI59">
            <v>-140.952</v>
          </cell>
          <cell r="BL59">
            <v>-34.481999999999999</v>
          </cell>
          <cell r="BN59">
            <v>-34.481999999999999</v>
          </cell>
          <cell r="BP59">
            <v>-27.190999999999999</v>
          </cell>
          <cell r="BR59">
            <v>-25</v>
          </cell>
          <cell r="BT59">
            <v>-122.7</v>
          </cell>
          <cell r="BW59">
            <v>-26</v>
          </cell>
          <cell r="BY59">
            <v>-23</v>
          </cell>
          <cell r="CA59">
            <v>-23</v>
          </cell>
          <cell r="CC59">
            <v>-23</v>
          </cell>
          <cell r="CE59">
            <v>-95</v>
          </cell>
        </row>
        <row r="60">
          <cell r="B60" t="str">
            <v>Litigation related charges</v>
          </cell>
          <cell r="AG60">
            <v>0</v>
          </cell>
          <cell r="AI60">
            <v>-518</v>
          </cell>
          <cell r="AK60">
            <v>-12.5</v>
          </cell>
          <cell r="AM60">
            <v>-13.5</v>
          </cell>
          <cell r="AO60">
            <v>-544</v>
          </cell>
          <cell r="AQ60">
            <v>-13.2</v>
          </cell>
          <cell r="AS60">
            <v>-13.4</v>
          </cell>
          <cell r="AU60">
            <v>131.61699999999999</v>
          </cell>
          <cell r="BA60">
            <v>-13.398999999999999</v>
          </cell>
          <cell r="BC60">
            <v>-13.458</v>
          </cell>
          <cell r="BE60">
            <v>-13</v>
          </cell>
          <cell r="BG60">
            <v>3.1890000000000001</v>
          </cell>
          <cell r="BI60">
            <v>-36.667999999999999</v>
          </cell>
          <cell r="BL60">
            <v>-11.256</v>
          </cell>
          <cell r="BN60">
            <v>-19.527000000000001</v>
          </cell>
          <cell r="BP60">
            <v>-13.507</v>
          </cell>
          <cell r="BR60">
            <v>-13</v>
          </cell>
          <cell r="BT60">
            <v>-57.8</v>
          </cell>
          <cell r="BW60">
            <v>-13</v>
          </cell>
          <cell r="BY60">
            <v>-13</v>
          </cell>
          <cell r="CA60">
            <v>-13</v>
          </cell>
          <cell r="CC60">
            <v>-13</v>
          </cell>
          <cell r="CE60">
            <v>-52</v>
          </cell>
        </row>
        <row r="61">
          <cell r="B61" t="str">
            <v>Tax Effect</v>
          </cell>
          <cell r="AG61">
            <v>15.600000000000001</v>
          </cell>
          <cell r="AI61">
            <v>222.709</v>
          </cell>
          <cell r="AK61">
            <v>20.585000000000001</v>
          </cell>
          <cell r="AM61">
            <v>21.203000000000003</v>
          </cell>
          <cell r="AO61">
            <v>280.09699999999998</v>
          </cell>
          <cell r="AQ61">
            <v>20.762</v>
          </cell>
          <cell r="AS61">
            <v>20.791999999999994</v>
          </cell>
          <cell r="AU61">
            <v>-37.300000000000011</v>
          </cell>
          <cell r="BA61">
            <v>20.643999999999998</v>
          </cell>
          <cell r="BC61">
            <v>20.666</v>
          </cell>
          <cell r="BE61">
            <v>15.739672569915893</v>
          </cell>
          <cell r="BG61">
            <v>11.244739080587301</v>
          </cell>
          <cell r="BI61">
            <v>68.294411650503207</v>
          </cell>
          <cell r="BL61">
            <v>18.295000000000002</v>
          </cell>
          <cell r="BN61">
            <v>15.038937664425283</v>
          </cell>
          <cell r="BP61">
            <v>16.28</v>
          </cell>
          <cell r="BR61">
            <v>14.972991096002374</v>
          </cell>
          <cell r="BT61">
            <v>72.2</v>
          </cell>
          <cell r="BW61">
            <v>43</v>
          </cell>
          <cell r="BY61">
            <v>13.356</v>
          </cell>
          <cell r="CA61">
            <v>13.356</v>
          </cell>
          <cell r="CC61">
            <v>13.356</v>
          </cell>
          <cell r="CE61">
            <v>83.067999999999998</v>
          </cell>
        </row>
        <row r="62">
          <cell r="B62" t="str">
            <v>Total Adjustments</v>
          </cell>
          <cell r="AG62">
            <v>-23.299999999999997</v>
          </cell>
          <cell r="AI62">
            <v>-334.19099999999997</v>
          </cell>
          <cell r="AK62">
            <v>-30.814999999999998</v>
          </cell>
          <cell r="AM62">
            <v>-31.196999999999996</v>
          </cell>
          <cell r="AO62">
            <v>-419.50300000000004</v>
          </cell>
          <cell r="AQ62">
            <v>-31.037999999999997</v>
          </cell>
          <cell r="AS62">
            <v>-31.208000000000006</v>
          </cell>
          <cell r="AU62">
            <v>55.716999999999985</v>
          </cell>
          <cell r="BA62">
            <v>-30.964000000000006</v>
          </cell>
          <cell r="BC62">
            <v>-31.001000000000001</v>
          </cell>
          <cell r="BE62">
            <v>-27.260327430084107</v>
          </cell>
          <cell r="BG62">
            <v>-20.100260919412698</v>
          </cell>
          <cell r="BI62">
            <v>-109.3255883494968</v>
          </cell>
          <cell r="BL62">
            <v>-27.442999999999998</v>
          </cell>
          <cell r="BN62">
            <v>-38.970062335574717</v>
          </cell>
          <cell r="BP62">
            <v>-24.417999999999999</v>
          </cell>
          <cell r="BR62">
            <v>-23.027008903997626</v>
          </cell>
          <cell r="BT62">
            <v>-108.3</v>
          </cell>
          <cell r="BW62">
            <v>4</v>
          </cell>
          <cell r="BY62">
            <v>-22.643999999999998</v>
          </cell>
          <cell r="CA62">
            <v>-22.643999999999998</v>
          </cell>
          <cell r="CC62">
            <v>-22.643999999999998</v>
          </cell>
          <cell r="CE62">
            <v>-63.932000000000002</v>
          </cell>
        </row>
        <row r="63">
          <cell r="B63" t="str">
            <v>GAAP Net Income</v>
          </cell>
          <cell r="AG63">
            <v>95.368606877725</v>
          </cell>
          <cell r="AI63">
            <v>-213.70215875700745</v>
          </cell>
          <cell r="AK63">
            <v>89.36400000000009</v>
          </cell>
          <cell r="AM63">
            <v>92.981111548929903</v>
          </cell>
          <cell r="AO63">
            <v>64.011559669647454</v>
          </cell>
          <cell r="AQ63">
            <v>151.49599999999992</v>
          </cell>
          <cell r="AS63">
            <v>132.28299999999993</v>
          </cell>
          <cell r="AU63">
            <v>199.53900000000016</v>
          </cell>
          <cell r="BA63">
            <v>176.58699999999993</v>
          </cell>
          <cell r="BC63">
            <v>170.77100000000027</v>
          </cell>
          <cell r="BE63">
            <v>232.34167256991597</v>
          </cell>
          <cell r="BG63">
            <v>205.30673908058725</v>
          </cell>
          <cell r="BI63">
            <v>785.04041165050285</v>
          </cell>
          <cell r="BL63">
            <v>284.19800000000032</v>
          </cell>
          <cell r="BN63">
            <v>289.60393766442536</v>
          </cell>
          <cell r="BP63">
            <v>359.40299999999979</v>
          </cell>
          <cell r="BR63">
            <v>340.25799109600246</v>
          </cell>
          <cell r="BT63">
            <v>1279.0210000000002</v>
          </cell>
          <cell r="BW63">
            <v>421</v>
          </cell>
          <cell r="BY63">
            <v>413.48972443999997</v>
          </cell>
          <cell r="CA63">
            <v>441.1564150000001</v>
          </cell>
          <cell r="CC63">
            <v>456.14189024000007</v>
          </cell>
          <cell r="CE63">
            <v>1731.7880296800001</v>
          </cell>
        </row>
        <row r="64">
          <cell r="B64" t="str">
            <v>GAAP EPS - Basic</v>
          </cell>
          <cell r="AG64">
            <v>9.0510887543277296E-2</v>
          </cell>
          <cell r="AI64">
            <v>-0.20548244980010372</v>
          </cell>
          <cell r="AK64">
            <v>8.658882806065607E-2</v>
          </cell>
          <cell r="AM64">
            <v>9.042110910786795E-2</v>
          </cell>
          <cell r="AO64">
            <v>6.1637973757217641E-2</v>
          </cell>
          <cell r="AQ64">
            <v>0.14797161214200172</v>
          </cell>
          <cell r="AS64">
            <v>0.12895367404354371</v>
          </cell>
          <cell r="AU64">
            <v>0.19171694850115312</v>
          </cell>
          <cell r="BA64">
            <v>0.1673496348552593</v>
          </cell>
          <cell r="BC64">
            <v>0.1610106928124051</v>
          </cell>
          <cell r="BE64">
            <v>0.22019985269245404</v>
          </cell>
          <cell r="BG64">
            <v>0.19558610944135205</v>
          </cell>
          <cell r="BI64">
            <v>0.74399777442438186</v>
          </cell>
          <cell r="BL64">
            <v>0.27148386751646902</v>
          </cell>
          <cell r="BN64">
            <v>0.27384057859800953</v>
          </cell>
          <cell r="BP64">
            <v>0.33888711306232</v>
          </cell>
          <cell r="BR64">
            <v>0.32260381966846535</v>
          </cell>
          <cell r="BT64">
            <v>1.2123973413008367</v>
          </cell>
          <cell r="BW64">
            <v>0.39943074003795065</v>
          </cell>
          <cell r="BY64">
            <v>0.39230524140417455</v>
          </cell>
          <cell r="CA64">
            <v>0.41855447343453517</v>
          </cell>
          <cell r="CC64">
            <v>0.43277219187855792</v>
          </cell>
          <cell r="CE64">
            <v>1.6430626467552183</v>
          </cell>
        </row>
        <row r="65">
          <cell r="B65" t="str">
            <v>GAAP EPS - Diluted</v>
          </cell>
          <cell r="AG65">
            <v>8.9138203038169134E-2</v>
          </cell>
          <cell r="AI65">
            <v>-0.20372804131052666</v>
          </cell>
          <cell r="AK65">
            <v>8.6021381170477668E-2</v>
          </cell>
          <cell r="AM65">
            <v>8.9581321245038217E-2</v>
          </cell>
          <cell r="AO65">
            <v>6.1026392646930203E-2</v>
          </cell>
          <cell r="AQ65">
            <v>0.1464391628291826</v>
          </cell>
          <cell r="AS65">
            <v>0.1264863820819484</v>
          </cell>
          <cell r="AU65">
            <v>0.18729021963581766</v>
          </cell>
          <cell r="BA65">
            <v>0.16326038157296219</v>
          </cell>
          <cell r="BC65">
            <v>0.15709046286083844</v>
          </cell>
          <cell r="BE65">
            <v>0.21571180257407294</v>
          </cell>
          <cell r="BG65">
            <v>0.19174858045385598</v>
          </cell>
          <cell r="BI65">
            <v>0.72742203933668348</v>
          </cell>
          <cell r="BL65">
            <v>0.26633466751509538</v>
          </cell>
          <cell r="BN65">
            <v>0.26720149695797207</v>
          </cell>
          <cell r="BP65">
            <v>0.3306484851384221</v>
          </cell>
          <cell r="BR65">
            <v>0.31500936080848108</v>
          </cell>
          <cell r="BT65">
            <v>1.183238987223264</v>
          </cell>
          <cell r="BW65">
            <v>0.39162790697674421</v>
          </cell>
          <cell r="BY65">
            <v>0.38464160413023252</v>
          </cell>
          <cell r="CA65">
            <v>0.41037806046511638</v>
          </cell>
          <cell r="CC65">
            <v>0.42431803743255819</v>
          </cell>
          <cell r="CE65">
            <v>1.6109656090046514</v>
          </cell>
        </row>
      </sheetData>
      <sheetData sheetId="6" refreshError="1"/>
      <sheetData sheetId="7" refreshError="1">
        <row r="1">
          <cell r="B1" t="str">
            <v>Genentech Annual Income Statement</v>
          </cell>
          <cell r="AB1" t="str">
            <v>ElementName</v>
          </cell>
          <cell r="AC1" t="str">
            <v>ScaleOverride</v>
          </cell>
          <cell r="AD1" t="str">
            <v>UnitOverride</v>
          </cell>
          <cell r="AE1" t="str">
            <v>ReverseSign</v>
          </cell>
          <cell r="AF1" t="str">
            <v>IsDrivingAssumption</v>
          </cell>
          <cell r="AG1" t="str">
            <v>SegmentID</v>
          </cell>
        </row>
        <row r="2">
          <cell r="B2" t="str">
            <v>(Dollars in thousands except per-share data)</v>
          </cell>
        </row>
        <row r="3">
          <cell r="C3" t="str">
            <v>1999</v>
          </cell>
          <cell r="D3" t="str">
            <v>2000</v>
          </cell>
          <cell r="E3" t="str">
            <v>2001A</v>
          </cell>
          <cell r="F3" t="str">
            <v>2002A</v>
          </cell>
          <cell r="H3" t="str">
            <v>2003A</v>
          </cell>
          <cell r="I3" t="str">
            <v>% chg</v>
          </cell>
          <cell r="J3" t="str">
            <v>2004A</v>
          </cell>
          <cell r="K3" t="str">
            <v>% chg</v>
          </cell>
          <cell r="L3" t="str">
            <v>2005A</v>
          </cell>
          <cell r="M3" t="str">
            <v>% chg</v>
          </cell>
          <cell r="N3" t="str">
            <v>2006E</v>
          </cell>
          <cell r="O3" t="str">
            <v>% chg</v>
          </cell>
          <cell r="P3" t="str">
            <v>2007E</v>
          </cell>
          <cell r="Q3" t="str">
            <v>% chg</v>
          </cell>
          <cell r="R3" t="str">
            <v>2008E</v>
          </cell>
          <cell r="S3" t="str">
            <v>% chg</v>
          </cell>
          <cell r="T3" t="str">
            <v>2009E</v>
          </cell>
          <cell r="U3" t="str">
            <v>% chg</v>
          </cell>
          <cell r="V3" t="str">
            <v>2010E</v>
          </cell>
          <cell r="W3" t="str">
            <v>% chg</v>
          </cell>
        </row>
        <row r="4">
          <cell r="B4" t="str">
            <v>Rituxan - US</v>
          </cell>
          <cell r="C4">
            <v>262.7</v>
          </cell>
          <cell r="D4">
            <v>424.2</v>
          </cell>
          <cell r="E4">
            <v>779</v>
          </cell>
          <cell r="F4">
            <v>1080.2</v>
          </cell>
          <cell r="H4">
            <v>1360.2</v>
          </cell>
          <cell r="I4">
            <v>0.25921125717459725</v>
          </cell>
          <cell r="J4">
            <v>1574</v>
          </cell>
          <cell r="K4">
            <v>0.15718276724011182</v>
          </cell>
          <cell r="L4">
            <v>1831.481</v>
          </cell>
          <cell r="M4">
            <v>0.1635838627700128</v>
          </cell>
          <cell r="N4">
            <v>2097</v>
          </cell>
          <cell r="O4">
            <v>0.14497502294591103</v>
          </cell>
          <cell r="P4">
            <v>2430.2807564833265</v>
          </cell>
          <cell r="Q4">
            <v>0.15893216808933075</v>
          </cell>
          <cell r="R4">
            <v>2695.0166005063993</v>
          </cell>
          <cell r="S4">
            <v>0.10893220600822762</v>
          </cell>
          <cell r="T4">
            <v>2950.119381396431</v>
          </cell>
          <cell r="U4">
            <v>9.465722060565307E-2</v>
          </cell>
          <cell r="V4">
            <v>3220</v>
          </cell>
          <cell r="W4">
            <v>9.1481253370777837E-2</v>
          </cell>
        </row>
        <row r="5">
          <cell r="B5" t="str">
            <v>Rituxan - Ex-US</v>
          </cell>
          <cell r="F5">
            <v>449.90000000000015</v>
          </cell>
          <cell r="H5">
            <v>649.59999999999991</v>
          </cell>
          <cell r="I5">
            <v>0.44387641698155078</v>
          </cell>
          <cell r="J5">
            <v>1149</v>
          </cell>
          <cell r="K5">
            <v>0.76878078817734008</v>
          </cell>
          <cell r="L5">
            <v>1411</v>
          </cell>
          <cell r="M5">
            <v>0.22802436901653622</v>
          </cell>
          <cell r="N5">
            <v>1865</v>
          </cell>
          <cell r="O5">
            <v>0.15</v>
          </cell>
          <cell r="P5">
            <v>2144.75</v>
          </cell>
          <cell r="Q5">
            <v>0.15</v>
          </cell>
          <cell r="R5">
            <v>2316.33</v>
          </cell>
          <cell r="S5">
            <v>0.08</v>
          </cell>
          <cell r="T5">
            <v>2478.4731000000002</v>
          </cell>
          <cell r="U5">
            <v>7.0000000000000007E-2</v>
          </cell>
          <cell r="V5">
            <v>2627.1814860000004</v>
          </cell>
          <cell r="W5">
            <v>0.06</v>
          </cell>
        </row>
        <row r="6">
          <cell r="B6" t="str">
            <v xml:space="preserve">Rituxan - Transfer to Roche </v>
          </cell>
          <cell r="C6">
            <v>16.7</v>
          </cell>
          <cell r="D6">
            <v>19.899999999999999</v>
          </cell>
          <cell r="E6">
            <v>39.6</v>
          </cell>
          <cell r="F6">
            <v>82.7</v>
          </cell>
          <cell r="H6">
            <v>128.9</v>
          </cell>
          <cell r="I6">
            <v>0.55864570737605801</v>
          </cell>
          <cell r="J6">
            <v>137.19999999999999</v>
          </cell>
          <cell r="K6">
            <v>6.4391000775795071E-2</v>
          </cell>
          <cell r="L6">
            <v>157.94999999999999</v>
          </cell>
          <cell r="M6">
            <v>0.12</v>
          </cell>
          <cell r="N6">
            <v>260</v>
          </cell>
          <cell r="O6">
            <v>0.12</v>
          </cell>
          <cell r="P6">
            <v>280.8</v>
          </cell>
          <cell r="Q6">
            <v>0.08</v>
          </cell>
          <cell r="R6">
            <v>238.68</v>
          </cell>
          <cell r="S6">
            <v>-0.15</v>
          </cell>
          <cell r="T6">
            <v>159.91559999999998</v>
          </cell>
          <cell r="U6">
            <v>-0.33</v>
          </cell>
          <cell r="V6">
            <v>79.957799999999992</v>
          </cell>
          <cell r="W6">
            <v>-0.5</v>
          </cell>
        </row>
        <row r="7">
          <cell r="B7" t="str">
            <v>Rituxan - US &amp; Sales to Roche</v>
          </cell>
          <cell r="C7">
            <v>279.39999999999998</v>
          </cell>
          <cell r="D7">
            <v>444.09999999999997</v>
          </cell>
          <cell r="E7">
            <v>818.6</v>
          </cell>
          <cell r="F7">
            <v>1162.9000000000001</v>
          </cell>
          <cell r="H7">
            <v>1489.1000000000001</v>
          </cell>
          <cell r="I7">
            <v>0.28050563247054772</v>
          </cell>
          <cell r="J7">
            <v>1711.2</v>
          </cell>
          <cell r="K7">
            <v>0.14915049358673027</v>
          </cell>
          <cell r="L7">
            <v>1989.431</v>
          </cell>
          <cell r="M7">
            <v>0.16259408602150538</v>
          </cell>
          <cell r="N7">
            <v>2357</v>
          </cell>
          <cell r="O7">
            <v>0.18476086881123299</v>
          </cell>
          <cell r="P7">
            <v>2711.0807564833267</v>
          </cell>
          <cell r="Q7">
            <v>0.15022518306462729</v>
          </cell>
          <cell r="R7">
            <v>2933.6966005063991</v>
          </cell>
          <cell r="S7">
            <v>8.2113320855789595E-2</v>
          </cell>
          <cell r="T7">
            <v>3110.0349813964308</v>
          </cell>
          <cell r="U7">
            <v>6.0107913292599235E-2</v>
          </cell>
          <cell r="V7">
            <v>3299.9578000000001</v>
          </cell>
          <cell r="W7">
            <v>6.1067743526888707E-2</v>
          </cell>
        </row>
        <row r="8">
          <cell r="B8" t="str">
            <v>Avastin - US</v>
          </cell>
          <cell r="E8">
            <v>0</v>
          </cell>
          <cell r="F8">
            <v>0</v>
          </cell>
          <cell r="H8">
            <v>0</v>
          </cell>
          <cell r="J8">
            <v>552.34</v>
          </cell>
          <cell r="K8" t="str">
            <v>NM</v>
          </cell>
          <cell r="L8">
            <v>1132.721</v>
          </cell>
          <cell r="M8">
            <v>1.0507676431183688</v>
          </cell>
          <cell r="N8">
            <v>1876</v>
          </cell>
          <cell r="O8">
            <v>0.6561889467927231</v>
          </cell>
          <cell r="P8">
            <v>2817.9611602894643</v>
          </cell>
          <cell r="Q8">
            <v>0.50211149269161215</v>
          </cell>
          <cell r="R8">
            <v>3802.1294573955038</v>
          </cell>
          <cell r="S8">
            <v>0.34924835408481814</v>
          </cell>
          <cell r="T8">
            <v>4624.6783247655285</v>
          </cell>
          <cell r="U8">
            <v>0.21633899544637769</v>
          </cell>
          <cell r="V8">
            <v>5307.1770570587933</v>
          </cell>
          <cell r="W8">
            <v>0.14757755769486258</v>
          </cell>
        </row>
        <row r="9">
          <cell r="B9" t="str">
            <v>Avastin - Ex-US</v>
          </cell>
          <cell r="F9">
            <v>0</v>
          </cell>
          <cell r="H9">
            <v>0</v>
          </cell>
          <cell r="J9">
            <v>10</v>
          </cell>
          <cell r="K9" t="str">
            <v>NM</v>
          </cell>
          <cell r="L9">
            <v>200</v>
          </cell>
          <cell r="M9" t="str">
            <v>NM</v>
          </cell>
          <cell r="N9">
            <v>565</v>
          </cell>
          <cell r="O9">
            <v>1.8250000000000002</v>
          </cell>
          <cell r="P9">
            <v>1000</v>
          </cell>
          <cell r="Q9">
            <v>0.76991150442477885</v>
          </cell>
          <cell r="R9">
            <v>1850</v>
          </cell>
          <cell r="S9">
            <v>0.85000000000000009</v>
          </cell>
          <cell r="T9">
            <v>2500</v>
          </cell>
          <cell r="U9">
            <v>0.35135135135135132</v>
          </cell>
          <cell r="V9">
            <v>2900</v>
          </cell>
          <cell r="W9">
            <v>0.15999999999999992</v>
          </cell>
        </row>
        <row r="10">
          <cell r="B10" t="str">
            <v xml:space="preserve">Avastin - Transfer to Roche </v>
          </cell>
          <cell r="J10">
            <v>2.16</v>
          </cell>
          <cell r="K10" t="str">
            <v>NM</v>
          </cell>
          <cell r="L10">
            <v>84.031999999999996</v>
          </cell>
          <cell r="M10" t="str">
            <v>NM</v>
          </cell>
          <cell r="N10">
            <v>117.35999999999999</v>
          </cell>
          <cell r="O10">
            <v>0.3966108149276466</v>
          </cell>
          <cell r="P10">
            <v>108</v>
          </cell>
          <cell r="Q10">
            <v>-7.9754601226993738E-2</v>
          </cell>
          <cell r="R10">
            <v>79.92</v>
          </cell>
          <cell r="S10">
            <v>-0.26</v>
          </cell>
          <cell r="T10">
            <v>54</v>
          </cell>
          <cell r="U10">
            <v>-0.32432432432432434</v>
          </cell>
          <cell r="V10">
            <v>31.32</v>
          </cell>
          <cell r="W10">
            <v>-0.42000000000000004</v>
          </cell>
        </row>
        <row r="11">
          <cell r="B11" t="str">
            <v>Avastin -  US &amp; Sales to Roche</v>
          </cell>
          <cell r="F11">
            <v>0</v>
          </cell>
          <cell r="H11">
            <v>0</v>
          </cell>
          <cell r="I11" t="str">
            <v>NM</v>
          </cell>
          <cell r="J11">
            <v>554.5</v>
          </cell>
          <cell r="K11" t="str">
            <v>NM</v>
          </cell>
          <cell r="L11">
            <v>1216.7529999999999</v>
          </cell>
          <cell r="M11" t="str">
            <v>NM</v>
          </cell>
          <cell r="N11">
            <v>1993.36</v>
          </cell>
          <cell r="O11">
            <v>0.63826183292747163</v>
          </cell>
          <cell r="P11">
            <v>2925.9611602894643</v>
          </cell>
          <cell r="Q11">
            <v>0.46785385494314347</v>
          </cell>
          <cell r="R11">
            <v>3882.0494573955039</v>
          </cell>
          <cell r="S11">
            <v>0.32676041981755288</v>
          </cell>
          <cell r="T11">
            <v>4678.6783247655285</v>
          </cell>
          <cell r="U11">
            <v>0.20520832516762644</v>
          </cell>
          <cell r="V11">
            <v>5338.497057058793</v>
          </cell>
          <cell r="W11">
            <v>0.14102673586270353</v>
          </cell>
        </row>
        <row r="12">
          <cell r="B12" t="str">
            <v>Herceptin - US</v>
          </cell>
          <cell r="C12">
            <v>183.7</v>
          </cell>
          <cell r="D12">
            <v>249.7</v>
          </cell>
          <cell r="E12">
            <v>315.39999999999998</v>
          </cell>
          <cell r="F12">
            <v>344.9</v>
          </cell>
          <cell r="H12">
            <v>406</v>
          </cell>
          <cell r="I12">
            <v>0.17715279791243854</v>
          </cell>
          <cell r="J12">
            <v>466.4</v>
          </cell>
          <cell r="K12">
            <v>0.14876847290640383</v>
          </cell>
          <cell r="L12">
            <v>747.24699999999996</v>
          </cell>
          <cell r="M12">
            <v>0.60215909090909081</v>
          </cell>
          <cell r="N12">
            <v>1375</v>
          </cell>
          <cell r="O12">
            <v>0.84008768185084737</v>
          </cell>
          <cell r="P12">
            <v>1566.9607618585742</v>
          </cell>
          <cell r="Q12">
            <v>0.13960782680623574</v>
          </cell>
          <cell r="R12">
            <v>1676.8953104490511</v>
          </cell>
          <cell r="S12">
            <v>7.0157818412812878E-2</v>
          </cell>
          <cell r="T12">
            <v>1772.633441089682</v>
          </cell>
          <cell r="U12">
            <v>5.7092491131717438E-2</v>
          </cell>
          <cell r="V12">
            <v>1873.880898727371</v>
          </cell>
          <cell r="W12">
            <v>5.7116973701821561E-2</v>
          </cell>
        </row>
        <row r="13">
          <cell r="B13" t="str">
            <v>Herceptin - Ex-US</v>
          </cell>
          <cell r="F13">
            <v>315.84000000000003</v>
          </cell>
          <cell r="H13">
            <v>445.79999999999995</v>
          </cell>
          <cell r="I13">
            <v>0.41147416413373827</v>
          </cell>
          <cell r="J13">
            <v>590.14</v>
          </cell>
          <cell r="K13">
            <v>0.32377747868999562</v>
          </cell>
          <cell r="L13">
            <v>948</v>
          </cell>
          <cell r="M13">
            <v>0.60639848171620292</v>
          </cell>
          <cell r="N13">
            <v>1175</v>
          </cell>
          <cell r="O13">
            <v>0.2</v>
          </cell>
          <cell r="P13">
            <v>1468.75</v>
          </cell>
          <cell r="Q13">
            <v>0.25</v>
          </cell>
          <cell r="R13">
            <v>1586.25</v>
          </cell>
          <cell r="S13">
            <v>0.08</v>
          </cell>
          <cell r="T13">
            <v>1665.5625</v>
          </cell>
          <cell r="U13">
            <v>0.05</v>
          </cell>
          <cell r="V13">
            <v>1732.1849999999999</v>
          </cell>
          <cell r="W13">
            <v>0.04</v>
          </cell>
        </row>
        <row r="14">
          <cell r="B14" t="str">
            <v xml:space="preserve">Herceptin - Transfer to Roche </v>
          </cell>
          <cell r="C14">
            <v>4.7</v>
          </cell>
          <cell r="D14">
            <v>26.3</v>
          </cell>
          <cell r="E14">
            <v>31.3</v>
          </cell>
          <cell r="F14">
            <v>40.299999999999997</v>
          </cell>
          <cell r="H14">
            <v>18.8</v>
          </cell>
          <cell r="I14">
            <v>-0.53349875930521085</v>
          </cell>
          <cell r="J14">
            <v>15.875</v>
          </cell>
          <cell r="K14">
            <v>-0.15558510638297873</v>
          </cell>
          <cell r="L14">
            <v>16.621000000000002</v>
          </cell>
          <cell r="M14">
            <v>4.6992125984252064E-2</v>
          </cell>
          <cell r="N14">
            <v>5</v>
          </cell>
          <cell r="P14">
            <v>14.6875</v>
          </cell>
          <cell r="R14">
            <v>0</v>
          </cell>
          <cell r="T14">
            <v>0</v>
          </cell>
          <cell r="V14">
            <v>0</v>
          </cell>
        </row>
        <row r="15">
          <cell r="B15" t="str">
            <v>Herceptin- US &amp; Sales to Roche</v>
          </cell>
          <cell r="C15">
            <v>188.39999999999998</v>
          </cell>
          <cell r="D15">
            <v>276</v>
          </cell>
          <cell r="E15">
            <v>346.7</v>
          </cell>
          <cell r="F15">
            <v>385.2</v>
          </cell>
          <cell r="H15">
            <v>424.8</v>
          </cell>
          <cell r="I15">
            <v>0.10280373831775713</v>
          </cell>
          <cell r="J15">
            <v>482.27499999999998</v>
          </cell>
          <cell r="K15">
            <v>0.13529896421845566</v>
          </cell>
          <cell r="L15">
            <v>763.86799999999994</v>
          </cell>
          <cell r="M15">
            <v>0.58388471307863776</v>
          </cell>
          <cell r="N15">
            <v>1380</v>
          </cell>
          <cell r="O15">
            <v>0.8065948567029908</v>
          </cell>
          <cell r="P15">
            <v>1581.6482618585742</v>
          </cell>
          <cell r="Q15">
            <v>0.14612192888302467</v>
          </cell>
          <cell r="R15">
            <v>1676.8953104490511</v>
          </cell>
          <cell r="S15">
            <v>6.0220120293088097E-2</v>
          </cell>
          <cell r="T15">
            <v>1772.633441089682</v>
          </cell>
          <cell r="U15">
            <v>5.7092491131717438E-2</v>
          </cell>
          <cell r="V15">
            <v>1873.880898727371</v>
          </cell>
          <cell r="W15">
            <v>5.7116973701821561E-2</v>
          </cell>
        </row>
        <row r="16">
          <cell r="B16" t="str">
            <v>Xolair - US &amp; Sales to Novartis</v>
          </cell>
          <cell r="E16">
            <v>0</v>
          </cell>
          <cell r="F16">
            <v>0</v>
          </cell>
          <cell r="H16">
            <v>25.3</v>
          </cell>
          <cell r="I16" t="str">
            <v>NM</v>
          </cell>
          <cell r="J16">
            <v>188.5</v>
          </cell>
          <cell r="K16" t="str">
            <v>NM</v>
          </cell>
          <cell r="L16">
            <v>323.79700000000003</v>
          </cell>
          <cell r="M16">
            <v>0.71775596816976139</v>
          </cell>
          <cell r="N16">
            <v>423</v>
          </cell>
          <cell r="O16">
            <v>0.30637405534949358</v>
          </cell>
          <cell r="P16">
            <v>496.67639851943272</v>
          </cell>
          <cell r="Q16">
            <v>0.17417588302466358</v>
          </cell>
          <cell r="R16">
            <v>549.18117450569844</v>
          </cell>
          <cell r="S16">
            <v>0.10571224270527013</v>
          </cell>
          <cell r="T16">
            <v>609.0179751523707</v>
          </cell>
          <cell r="U16">
            <v>0.10895639440031712</v>
          </cell>
          <cell r="V16">
            <v>656.42413544863268</v>
          </cell>
          <cell r="W16">
            <v>7.7840330220797505E-2</v>
          </cell>
        </row>
        <row r="17">
          <cell r="B17" t="str">
            <v>Raptiva -US &amp; Sales to Serono</v>
          </cell>
          <cell r="E17">
            <v>0</v>
          </cell>
          <cell r="F17">
            <v>0</v>
          </cell>
          <cell r="H17">
            <v>1.4</v>
          </cell>
          <cell r="I17" t="str">
            <v>NM</v>
          </cell>
          <cell r="J17">
            <v>56.300000000000004</v>
          </cell>
          <cell r="K17" t="str">
            <v>NM</v>
          </cell>
          <cell r="L17">
            <v>86.754999999999995</v>
          </cell>
          <cell r="M17">
            <v>0.54094138543516856</v>
          </cell>
          <cell r="N17">
            <v>93</v>
          </cell>
          <cell r="O17">
            <v>7.1984323670105432E-2</v>
          </cell>
          <cell r="P17">
            <v>114.74883545485645</v>
          </cell>
          <cell r="Q17">
            <v>0.23385844575114456</v>
          </cell>
          <cell r="R17">
            <v>111.02507700089812</v>
          </cell>
          <cell r="S17">
            <v>-3.2451383399209277E-2</v>
          </cell>
          <cell r="T17">
            <v>116.64294589714356</v>
          </cell>
          <cell r="U17">
            <v>5.0599999999999978E-2</v>
          </cell>
          <cell r="V17">
            <v>122.54507895953904</v>
          </cell>
          <cell r="W17">
            <v>5.06000000000002E-2</v>
          </cell>
        </row>
        <row r="18">
          <cell r="B18" t="str">
            <v>Tarceva -US</v>
          </cell>
          <cell r="E18">
            <v>0</v>
          </cell>
          <cell r="F18">
            <v>0</v>
          </cell>
          <cell r="H18">
            <v>0</v>
          </cell>
          <cell r="I18" t="str">
            <v>NM</v>
          </cell>
          <cell r="J18">
            <v>13.3</v>
          </cell>
          <cell r="K18" t="str">
            <v>NM</v>
          </cell>
          <cell r="L18">
            <v>274.89600000000002</v>
          </cell>
          <cell r="M18" t="str">
            <v>NM</v>
          </cell>
          <cell r="N18">
            <v>424</v>
          </cell>
          <cell r="O18">
            <v>0.54240149001804316</v>
          </cell>
          <cell r="P18">
            <v>557.72266843795683</v>
          </cell>
          <cell r="Q18">
            <v>0.31538365197631335</v>
          </cell>
          <cell r="R18">
            <v>627.16500409829609</v>
          </cell>
          <cell r="S18">
            <v>0.12451051318181139</v>
          </cell>
          <cell r="T18">
            <v>709.46249058838214</v>
          </cell>
          <cell r="U18">
            <v>0.13122142650227886</v>
          </cell>
          <cell r="V18">
            <v>774.76330842001289</v>
          </cell>
          <cell r="W18">
            <v>9.2042664267528052E-2</v>
          </cell>
        </row>
        <row r="19">
          <cell r="B19" t="str">
            <v>Lucentis - US</v>
          </cell>
          <cell r="E19">
            <v>0</v>
          </cell>
          <cell r="F19">
            <v>0</v>
          </cell>
          <cell r="H19">
            <v>0</v>
          </cell>
          <cell r="I19" t="str">
            <v>NM</v>
          </cell>
          <cell r="J19">
            <v>0</v>
          </cell>
          <cell r="K19" t="str">
            <v>NM</v>
          </cell>
          <cell r="L19">
            <v>0</v>
          </cell>
          <cell r="M19" t="str">
            <v>NM</v>
          </cell>
          <cell r="N19">
            <v>135</v>
          </cell>
          <cell r="O19" t="str">
            <v>NM</v>
          </cell>
          <cell r="P19">
            <v>450</v>
          </cell>
          <cell r="Q19">
            <v>2.3333333333333335</v>
          </cell>
          <cell r="R19">
            <v>550</v>
          </cell>
          <cell r="S19">
            <v>0.22222222222222232</v>
          </cell>
          <cell r="T19">
            <v>600</v>
          </cell>
          <cell r="U19">
            <v>9.0909090909090828E-2</v>
          </cell>
          <cell r="V19">
            <v>650</v>
          </cell>
          <cell r="W19">
            <v>8.3333333333333259E-2</v>
          </cell>
        </row>
        <row r="20">
          <cell r="B20" t="str">
            <v>Lucentis - Ex-US</v>
          </cell>
          <cell r="F20">
            <v>0</v>
          </cell>
          <cell r="H20">
            <v>0</v>
          </cell>
          <cell r="I20" t="str">
            <v>NM</v>
          </cell>
          <cell r="J20">
            <v>0</v>
          </cell>
          <cell r="K20" t="str">
            <v>NM</v>
          </cell>
          <cell r="L20">
            <v>0</v>
          </cell>
          <cell r="M20" t="str">
            <v>NM</v>
          </cell>
          <cell r="N20">
            <v>0</v>
          </cell>
          <cell r="O20" t="str">
            <v>NM</v>
          </cell>
          <cell r="P20">
            <v>100</v>
          </cell>
          <cell r="Q20" t="str">
            <v>NM</v>
          </cell>
          <cell r="R20">
            <v>300</v>
          </cell>
          <cell r="S20">
            <v>2</v>
          </cell>
          <cell r="T20">
            <v>450</v>
          </cell>
          <cell r="U20">
            <v>0.5</v>
          </cell>
          <cell r="V20">
            <v>550</v>
          </cell>
          <cell r="W20">
            <v>0.22222222222222232</v>
          </cell>
        </row>
        <row r="21">
          <cell r="B21" t="str">
            <v>Growth Hormone Products</v>
          </cell>
          <cell r="C21">
            <v>221.20000000099998</v>
          </cell>
          <cell r="D21">
            <v>226.6</v>
          </cell>
          <cell r="E21">
            <v>250.229999999</v>
          </cell>
          <cell r="F21">
            <v>297.2</v>
          </cell>
          <cell r="H21">
            <v>321.89999999999998</v>
          </cell>
          <cell r="I21">
            <v>8.3109017496635129E-2</v>
          </cell>
          <cell r="J21">
            <v>353.6</v>
          </cell>
          <cell r="K21">
            <v>9.8477788132960598E-2</v>
          </cell>
          <cell r="L21">
            <v>372.68</v>
          </cell>
          <cell r="M21">
            <v>0.05</v>
          </cell>
          <cell r="N21">
            <v>378</v>
          </cell>
          <cell r="O21">
            <v>0.03</v>
          </cell>
          <cell r="P21">
            <v>378</v>
          </cell>
          <cell r="Q21">
            <v>0</v>
          </cell>
          <cell r="R21">
            <v>366.65999999999997</v>
          </cell>
          <cell r="S21">
            <v>-0.03</v>
          </cell>
          <cell r="T21">
            <v>348.32699999999994</v>
          </cell>
          <cell r="U21">
            <v>-0.05</v>
          </cell>
          <cell r="V21">
            <v>330.91064999999992</v>
          </cell>
          <cell r="W21">
            <v>-0.05</v>
          </cell>
        </row>
        <row r="22">
          <cell r="B22" t="str">
            <v>Thrombolytics</v>
          </cell>
          <cell r="C22">
            <v>236.00000000099999</v>
          </cell>
          <cell r="D22">
            <v>206.2</v>
          </cell>
          <cell r="E22">
            <v>197.10559324899998</v>
          </cell>
          <cell r="F22">
            <v>180.2</v>
          </cell>
          <cell r="H22">
            <v>185.2</v>
          </cell>
          <cell r="I22">
            <v>2.7746947835738167E-2</v>
          </cell>
          <cell r="J22">
            <v>200</v>
          </cell>
          <cell r="K22">
            <v>7.9913606911447221E-2</v>
          </cell>
          <cell r="L22">
            <v>221.46200000000002</v>
          </cell>
          <cell r="M22">
            <v>0.01</v>
          </cell>
          <cell r="N22">
            <v>239</v>
          </cell>
          <cell r="O22">
            <v>0.01</v>
          </cell>
          <cell r="P22">
            <v>241.39000000000001</v>
          </cell>
          <cell r="Q22">
            <v>0.01</v>
          </cell>
          <cell r="R22">
            <v>243.80390000000003</v>
          </cell>
          <cell r="S22">
            <v>0.01</v>
          </cell>
          <cell r="T22">
            <v>246.24193900000003</v>
          </cell>
          <cell r="U22">
            <v>0.01</v>
          </cell>
          <cell r="V22">
            <v>248.70435839000004</v>
          </cell>
          <cell r="W22">
            <v>0.01</v>
          </cell>
        </row>
        <row r="23">
          <cell r="B23" t="str">
            <v>Pulmozyme</v>
          </cell>
          <cell r="C23">
            <v>111.399999998</v>
          </cell>
          <cell r="D23">
            <v>121.80000000099999</v>
          </cell>
          <cell r="E23">
            <v>122.87749999900001</v>
          </cell>
          <cell r="F23">
            <v>138.1</v>
          </cell>
          <cell r="H23">
            <v>167.2</v>
          </cell>
          <cell r="I23">
            <v>0.21071687183200583</v>
          </cell>
          <cell r="J23">
            <v>177.70000000000002</v>
          </cell>
          <cell r="K23">
            <v>6.2799043062201187E-2</v>
          </cell>
          <cell r="L23">
            <v>194.24699999999999</v>
          </cell>
          <cell r="M23">
            <v>0.05</v>
          </cell>
          <cell r="N23">
            <v>205</v>
          </cell>
          <cell r="O23">
            <v>0.04</v>
          </cell>
          <cell r="P23">
            <v>211.15</v>
          </cell>
          <cell r="Q23">
            <v>0.03</v>
          </cell>
          <cell r="R23">
            <v>215.37300000000002</v>
          </cell>
          <cell r="S23">
            <v>0.02</v>
          </cell>
          <cell r="T23">
            <v>219.68046000000001</v>
          </cell>
          <cell r="U23">
            <v>0.02</v>
          </cell>
          <cell r="V23">
            <v>224.07406920000003</v>
          </cell>
          <cell r="W23">
            <v>0.02</v>
          </cell>
        </row>
        <row r="24">
          <cell r="B24" t="str">
            <v>Actimmune</v>
          </cell>
          <cell r="C24">
            <v>2.7</v>
          </cell>
          <cell r="D24">
            <v>3.7</v>
          </cell>
          <cell r="E24">
            <v>6.9</v>
          </cell>
          <cell r="F24">
            <v>0</v>
          </cell>
          <cell r="H24">
            <v>0</v>
          </cell>
          <cell r="I24" t="str">
            <v>NM</v>
          </cell>
          <cell r="J24">
            <v>0</v>
          </cell>
          <cell r="K24" t="str">
            <v>NM</v>
          </cell>
          <cell r="L24">
            <v>0</v>
          </cell>
          <cell r="N24">
            <v>0</v>
          </cell>
          <cell r="P24">
            <v>0</v>
          </cell>
          <cell r="R24">
            <v>0</v>
          </cell>
          <cell r="T24">
            <v>0</v>
          </cell>
          <cell r="V24">
            <v>0</v>
          </cell>
        </row>
        <row r="25">
          <cell r="B25" t="str">
            <v>Other</v>
          </cell>
          <cell r="E25">
            <v>0</v>
          </cell>
          <cell r="F25">
            <v>0</v>
          </cell>
          <cell r="H25">
            <v>6.622000000000094</v>
          </cell>
          <cell r="J25">
            <v>10.6</v>
          </cell>
          <cell r="K25" t="str">
            <v>NM</v>
          </cell>
          <cell r="L25">
            <v>44.195999999999998</v>
          </cell>
          <cell r="M25">
            <v>0</v>
          </cell>
          <cell r="N25">
            <v>20</v>
          </cell>
          <cell r="O25">
            <v>0</v>
          </cell>
          <cell r="P25">
            <v>20</v>
          </cell>
          <cell r="Q25">
            <v>0</v>
          </cell>
          <cell r="R25">
            <v>0</v>
          </cell>
          <cell r="S25">
            <v>0</v>
          </cell>
          <cell r="T25">
            <v>50</v>
          </cell>
          <cell r="U25">
            <v>0</v>
          </cell>
          <cell r="V25">
            <v>100</v>
          </cell>
          <cell r="W25">
            <v>0</v>
          </cell>
        </row>
        <row r="26">
          <cell r="B26" t="str">
            <v>Total Product Sales</v>
          </cell>
          <cell r="C26">
            <v>1039.1000000000001</v>
          </cell>
          <cell r="D26">
            <v>1278.4000000009999</v>
          </cell>
          <cell r="E26">
            <v>1742.8969999999999</v>
          </cell>
          <cell r="F26">
            <v>2163.6285596696475</v>
          </cell>
          <cell r="H26">
            <v>2621.5219999999999</v>
          </cell>
          <cell r="I26">
            <v>0.21163218533234085</v>
          </cell>
          <cell r="J26">
            <v>3748.9</v>
          </cell>
          <cell r="K26">
            <v>0.43004712529591593</v>
          </cell>
          <cell r="L26">
            <v>5488.0850000000009</v>
          </cell>
          <cell r="M26">
            <v>0.46391874949985357</v>
          </cell>
          <cell r="N26">
            <v>7647.36</v>
          </cell>
          <cell r="O26">
            <v>0.39344780556423564</v>
          </cell>
          <cell r="P26">
            <v>9688.378081043611</v>
          </cell>
          <cell r="Q26">
            <v>0.26689185301118434</v>
          </cell>
          <cell r="R26">
            <v>11155.849523955847</v>
          </cell>
          <cell r="S26">
            <v>0.15146719405836429</v>
          </cell>
          <cell r="T26">
            <v>12460.719557889535</v>
          </cell>
          <cell r="U26">
            <v>0.11696733907459378</v>
          </cell>
          <cell r="V26">
            <v>13619.757356204351</v>
          </cell>
          <cell r="W26">
            <v>9.3015318491857624E-2</v>
          </cell>
        </row>
        <row r="27">
          <cell r="B27" t="str">
            <v>Royalties</v>
          </cell>
          <cell r="C27">
            <v>189.27</v>
          </cell>
          <cell r="D27">
            <v>207.24100000000001</v>
          </cell>
          <cell r="E27">
            <v>264.47500000000002</v>
          </cell>
          <cell r="F27">
            <v>365.55</v>
          </cell>
          <cell r="H27">
            <v>500.86800000000005</v>
          </cell>
          <cell r="I27">
            <v>0.37017644645055414</v>
          </cell>
          <cell r="J27">
            <v>641.1</v>
          </cell>
          <cell r="K27">
            <v>0.27997795826445282</v>
          </cell>
          <cell r="L27">
            <v>935.09699999999998</v>
          </cell>
          <cell r="M27">
            <v>0.45858212447356106</v>
          </cell>
          <cell r="N27">
            <v>1258</v>
          </cell>
          <cell r="O27">
            <v>0.34531497801832334</v>
          </cell>
          <cell r="P27">
            <v>1354.247040639616</v>
          </cell>
          <cell r="Q27">
            <v>7.6507981430537386E-2</v>
          </cell>
          <cell r="R27">
            <v>1688.1867871459806</v>
          </cell>
          <cell r="S27">
            <v>0.24658702325732507</v>
          </cell>
          <cell r="T27">
            <v>1891.1844200255673</v>
          </cell>
          <cell r="U27">
            <v>0.12024595526113013</v>
          </cell>
          <cell r="V27">
            <v>1947.6307931733611</v>
          </cell>
          <cell r="W27">
            <v>2.9847101398514431E-2</v>
          </cell>
        </row>
        <row r="28">
          <cell r="B28" t="str">
            <v>Contract and Other</v>
          </cell>
          <cell r="C28">
            <v>83.242000000000004</v>
          </cell>
          <cell r="D28">
            <v>151.72999999999999</v>
          </cell>
          <cell r="E28">
            <v>36.659999999999997</v>
          </cell>
          <cell r="F28">
            <v>54.442999999999998</v>
          </cell>
          <cell r="H28">
            <v>177.87299999999999</v>
          </cell>
          <cell r="I28">
            <v>2.2671417813125654</v>
          </cell>
          <cell r="J28">
            <v>231.2</v>
          </cell>
          <cell r="K28">
            <v>0.29980379259359213</v>
          </cell>
          <cell r="L28">
            <v>210.24099999999999</v>
          </cell>
          <cell r="M28">
            <v>-9.0653114186851236E-2</v>
          </cell>
          <cell r="N28">
            <v>215</v>
          </cell>
          <cell r="O28">
            <v>0.12</v>
          </cell>
          <cell r="P28">
            <v>236.50000000000003</v>
          </cell>
          <cell r="Q28">
            <v>0.1</v>
          </cell>
          <cell r="R28">
            <v>260.15000000000003</v>
          </cell>
          <cell r="S28">
            <v>0.1</v>
          </cell>
          <cell r="T28">
            <v>234.13500000000005</v>
          </cell>
          <cell r="U28">
            <v>-0.1</v>
          </cell>
          <cell r="V28">
            <v>210.72150000000005</v>
          </cell>
          <cell r="W28">
            <v>-0.1</v>
          </cell>
        </row>
        <row r="29">
          <cell r="B29" t="str">
            <v>Total Revenues</v>
          </cell>
          <cell r="C29">
            <v>1311.6120000000001</v>
          </cell>
          <cell r="D29">
            <v>1637.3710000009999</v>
          </cell>
          <cell r="E29">
            <v>2044.0319999999999</v>
          </cell>
          <cell r="F29">
            <v>2583.6215596696479</v>
          </cell>
          <cell r="H29">
            <v>3300.2629999999999</v>
          </cell>
          <cell r="I29">
            <v>0.27737864225826647</v>
          </cell>
          <cell r="J29">
            <v>4621.2</v>
          </cell>
          <cell r="K29">
            <v>0.40025204051919494</v>
          </cell>
          <cell r="L29">
            <v>6633.4230000000007</v>
          </cell>
          <cell r="M29">
            <v>0.43543300441443811</v>
          </cell>
          <cell r="N29">
            <v>9120.36</v>
          </cell>
          <cell r="O29">
            <v>0.37491005774846564</v>
          </cell>
          <cell r="P29">
            <v>11279.125121683228</v>
          </cell>
          <cell r="Q29">
            <v>0.23669735862216257</v>
          </cell>
          <cell r="R29">
            <v>13104.186311101828</v>
          </cell>
          <cell r="S29">
            <v>0.16180875464445954</v>
          </cell>
          <cell r="T29">
            <v>14586.038977915103</v>
          </cell>
          <cell r="U29">
            <v>0.11308238692835526</v>
          </cell>
          <cell r="V29">
            <v>15778.109649377711</v>
          </cell>
          <cell r="W29">
            <v>8.1726826129255414E-2</v>
          </cell>
          <cell r="AB29" t="str">
            <v>mstag:revenueNet</v>
          </cell>
          <cell r="AC29">
            <v>6</v>
          </cell>
          <cell r="AD29" t="str">
            <v>ISO4217:USD</v>
          </cell>
          <cell r="AE29" t="b">
            <v>0</v>
          </cell>
          <cell r="AF29" t="b">
            <v>0</v>
          </cell>
        </row>
        <row r="30">
          <cell r="B30" t="str">
            <v>Operating Expenses:</v>
          </cell>
        </row>
        <row r="31">
          <cell r="B31" t="str">
            <v xml:space="preserve">   Cost of Sales</v>
          </cell>
          <cell r="C31">
            <v>192.191</v>
          </cell>
          <cell r="D31">
            <v>272.06799999999998</v>
          </cell>
          <cell r="E31">
            <v>354.44200000000001</v>
          </cell>
          <cell r="F31">
            <v>441.63</v>
          </cell>
          <cell r="H31">
            <v>480.15100000000001</v>
          </cell>
          <cell r="I31">
            <v>8.7224599778094714E-2</v>
          </cell>
          <cell r="J31">
            <v>672.5</v>
          </cell>
          <cell r="K31">
            <v>0.40060106091625336</v>
          </cell>
          <cell r="L31">
            <v>1011.0629999999999</v>
          </cell>
          <cell r="M31">
            <v>0.50343940520446084</v>
          </cell>
          <cell r="N31">
            <v>1222.5376000000001</v>
          </cell>
          <cell r="O31">
            <v>0.20916065566636322</v>
          </cell>
          <cell r="P31">
            <v>1506.7599287814626</v>
          </cell>
          <cell r="Q31">
            <v>0.23248555200385046</v>
          </cell>
          <cell r="R31">
            <v>1619.0699996815897</v>
          </cell>
          <cell r="S31">
            <v>7.453746861383137E-2</v>
          </cell>
          <cell r="T31">
            <v>1702.8029601920346</v>
          </cell>
          <cell r="U31">
            <v>5.1716701888684158E-2</v>
          </cell>
          <cell r="V31">
            <v>1774.5598005138277</v>
          </cell>
          <cell r="W31">
            <v>4.2140424934251186E-2</v>
          </cell>
          <cell r="AB31" t="str">
            <v>mstag:costOfSalesWithDepreciation</v>
          </cell>
          <cell r="AC31">
            <v>6</v>
          </cell>
          <cell r="AD31" t="str">
            <v>ISO4217:USD</v>
          </cell>
          <cell r="AE31" t="b">
            <v>0</v>
          </cell>
          <cell r="AF31" t="b">
            <v>0</v>
          </cell>
        </row>
        <row r="32">
          <cell r="B32" t="str">
            <v xml:space="preserve">   % of Total Product Sales</v>
          </cell>
          <cell r="C32">
            <v>0.18544094944037054</v>
          </cell>
          <cell r="D32">
            <v>0.21343688711052525</v>
          </cell>
          <cell r="E32">
            <v>0.20422894035150643</v>
          </cell>
          <cell r="F32">
            <v>0.20411813643926785</v>
          </cell>
          <cell r="H32">
            <v>0.18315734142227302</v>
          </cell>
          <cell r="J32">
            <v>0.17938595321294246</v>
          </cell>
          <cell r="L32">
            <v>0.18422874281283902</v>
          </cell>
          <cell r="N32">
            <v>0.15986400535609677</v>
          </cell>
          <cell r="P32">
            <v>0.15552241212898224</v>
          </cell>
          <cell r="R32">
            <v>0.1575</v>
          </cell>
          <cell r="T32">
            <v>0.158</v>
          </cell>
          <cell r="V32">
            <v>0.16</v>
          </cell>
        </row>
        <row r="33">
          <cell r="B33" t="str">
            <v xml:space="preserve">   R&amp;D</v>
          </cell>
          <cell r="C33">
            <v>367.29099999999994</v>
          </cell>
          <cell r="D33">
            <v>489.87900000000002</v>
          </cell>
          <cell r="E33">
            <v>526.23</v>
          </cell>
          <cell r="F33">
            <v>623.48199999999997</v>
          </cell>
          <cell r="H33">
            <v>721.96299999999997</v>
          </cell>
          <cell r="I33">
            <v>0.15795323682159235</v>
          </cell>
          <cell r="J33">
            <v>947.5</v>
          </cell>
          <cell r="K33">
            <v>0.3123941254607232</v>
          </cell>
          <cell r="L33">
            <v>1261.8240000000001</v>
          </cell>
          <cell r="M33">
            <v>0.33174036939314</v>
          </cell>
          <cell r="N33">
            <v>1677.1420800000001</v>
          </cell>
          <cell r="O33">
            <v>0.3291410529519172</v>
          </cell>
          <cell r="P33">
            <v>2058.4403347071889</v>
          </cell>
          <cell r="Q33">
            <v>0.22735000168094799</v>
          </cell>
          <cell r="R33">
            <v>2384.9619086205325</v>
          </cell>
          <cell r="S33">
            <v>0.15862571696050209</v>
          </cell>
          <cell r="T33">
            <v>2654.6590939805487</v>
          </cell>
          <cell r="U33">
            <v>0.11308238692835548</v>
          </cell>
          <cell r="V33">
            <v>2871.6159561867435</v>
          </cell>
          <cell r="W33">
            <v>8.1726826129255414E-2</v>
          </cell>
          <cell r="AB33" t="str">
            <v>mstag:researchAndDevelopment</v>
          </cell>
          <cell r="AC33">
            <v>6</v>
          </cell>
          <cell r="AD33" t="str">
            <v>ISO4217:USD</v>
          </cell>
          <cell r="AE33" t="b">
            <v>0</v>
          </cell>
          <cell r="AF33" t="b">
            <v>0</v>
          </cell>
        </row>
        <row r="34">
          <cell r="B34" t="str">
            <v xml:space="preserve">   % of Revenue</v>
          </cell>
          <cell r="C34">
            <v>0.28003022235234193</v>
          </cell>
          <cell r="D34">
            <v>0.29918631757842351</v>
          </cell>
          <cell r="E34">
            <v>0.25744704583881273</v>
          </cell>
          <cell r="F34">
            <v>0.24132094643138094</v>
          </cell>
          <cell r="H34">
            <v>0.21875923221876559</v>
          </cell>
          <cell r="J34">
            <v>0.20503332467757293</v>
          </cell>
          <cell r="L34">
            <v>0.19022215227341902</v>
          </cell>
          <cell r="N34">
            <v>0.18388989908293094</v>
          </cell>
          <cell r="P34">
            <v>0.1825</v>
          </cell>
          <cell r="R34">
            <v>0.182</v>
          </cell>
          <cell r="T34">
            <v>0.182</v>
          </cell>
          <cell r="V34">
            <v>0.182</v>
          </cell>
        </row>
        <row r="35">
          <cell r="B35" t="str">
            <v xml:space="preserve">   SG&amp;A</v>
          </cell>
          <cell r="C35">
            <v>467.94299999999998</v>
          </cell>
          <cell r="D35">
            <v>497.03599999999994</v>
          </cell>
          <cell r="E35">
            <v>446.90600000000001</v>
          </cell>
          <cell r="F35">
            <v>546.27599999999995</v>
          </cell>
          <cell r="H35">
            <v>794.88499999999999</v>
          </cell>
          <cell r="I35">
            <v>0.45509778939583656</v>
          </cell>
          <cell r="J35">
            <v>1088.2</v>
          </cell>
          <cell r="K35">
            <v>0.36900306333620603</v>
          </cell>
          <cell r="L35">
            <v>1435.0319999999999</v>
          </cell>
          <cell r="M35">
            <v>0.31872082337805541</v>
          </cell>
          <cell r="N35">
            <v>1928.0563000000002</v>
          </cell>
          <cell r="O35">
            <v>0.34356327942512799</v>
          </cell>
          <cell r="P35">
            <v>2114.835960315605</v>
          </cell>
          <cell r="Q35">
            <v>9.6874588317573895E-2</v>
          </cell>
          <cell r="R35">
            <v>2293.2326044428196</v>
          </cell>
          <cell r="S35">
            <v>8.4354837668162208E-2</v>
          </cell>
          <cell r="T35">
            <v>2406.696431355992</v>
          </cell>
          <cell r="U35">
            <v>4.9477679103878014E-2</v>
          </cell>
          <cell r="V35">
            <v>2406.1617215301007</v>
          </cell>
          <cell r="W35">
            <v>-2.2217585023387443E-4</v>
          </cell>
          <cell r="AB35" t="str">
            <v>mstag:sellingGeneralAndAdministrativeExpenses</v>
          </cell>
          <cell r="AC35">
            <v>6</v>
          </cell>
          <cell r="AD35" t="str">
            <v>ISO4217:USD</v>
          </cell>
          <cell r="AE35" t="b">
            <v>0</v>
          </cell>
          <cell r="AF35" t="b">
            <v>0</v>
          </cell>
        </row>
        <row r="36">
          <cell r="B36" t="str">
            <v xml:space="preserve">   % of Sales</v>
          </cell>
          <cell r="C36">
            <v>0.35676937996907621</v>
          </cell>
          <cell r="D36">
            <v>0.30355734894516662</v>
          </cell>
          <cell r="E36">
            <v>0.21863943421629409</v>
          </cell>
          <cell r="F36">
            <v>0.21143808695800206</v>
          </cell>
          <cell r="H36">
            <v>0.24085504700685975</v>
          </cell>
          <cell r="J36">
            <v>0.23547996191465423</v>
          </cell>
          <cell r="L36">
            <v>0.2163335581041643</v>
          </cell>
          <cell r="N36">
            <v>0.21140133722791646</v>
          </cell>
          <cell r="P36">
            <v>0.1875</v>
          </cell>
          <cell r="R36">
            <v>0.17499999999999999</v>
          </cell>
          <cell r="T36">
            <v>0.16500000000000001</v>
          </cell>
          <cell r="V36">
            <v>0.1525</v>
          </cell>
        </row>
        <row r="37">
          <cell r="B37" t="str">
            <v xml:space="preserve">  Collaborative payments</v>
          </cell>
          <cell r="C37">
            <v>0</v>
          </cell>
          <cell r="D37">
            <v>0</v>
          </cell>
          <cell r="E37">
            <v>246.65700000000001</v>
          </cell>
          <cell r="F37">
            <v>350.72500000000002</v>
          </cell>
          <cell r="H37">
            <v>457.53399999999999</v>
          </cell>
          <cell r="I37">
            <v>0.30453774324613292</v>
          </cell>
          <cell r="J37">
            <v>593.6</v>
          </cell>
          <cell r="K37">
            <v>0.29738992074905912</v>
          </cell>
          <cell r="L37">
            <v>823.08299999999997</v>
          </cell>
          <cell r="M37">
            <v>0.38659535040431248</v>
          </cell>
          <cell r="N37">
            <v>1041</v>
          </cell>
          <cell r="O37">
            <v>0.26475701721454592</v>
          </cell>
          <cell r="P37">
            <v>1191.2653338930295</v>
          </cell>
          <cell r="Q37">
            <v>0.14434710268302542</v>
          </cell>
          <cell r="R37">
            <v>1349.1657134442321</v>
          </cell>
          <cell r="S37">
            <v>0.1325484550408158</v>
          </cell>
          <cell r="T37">
            <v>1488.0617722997738</v>
          </cell>
          <cell r="U37">
            <v>0.1029495913448315</v>
          </cell>
          <cell r="V37">
            <v>1622.2236210060237</v>
          </cell>
          <cell r="W37">
            <v>9.0158789912938353E-2</v>
          </cell>
          <cell r="AB37" t="str">
            <v>mstag:otherOperatingExpense</v>
          </cell>
          <cell r="AC37">
            <v>6</v>
          </cell>
          <cell r="AD37" t="str">
            <v>ISO4217:USD</v>
          </cell>
          <cell r="AE37" t="b">
            <v>0</v>
          </cell>
          <cell r="AF37" t="b">
            <v>0</v>
          </cell>
        </row>
        <row r="38">
          <cell r="B38" t="str">
            <v>Total Operating Expenses</v>
          </cell>
          <cell r="C38">
            <v>1027.425</v>
          </cell>
          <cell r="D38">
            <v>1258.9829999999999</v>
          </cell>
          <cell r="E38">
            <v>1574.2349999999999</v>
          </cell>
          <cell r="F38">
            <v>1962.1129999999998</v>
          </cell>
          <cell r="H38">
            <v>2454.7161573414223</v>
          </cell>
          <cell r="I38">
            <v>0.25105748615977896</v>
          </cell>
          <cell r="J38">
            <v>3301.8</v>
          </cell>
          <cell r="K38">
            <v>0.34508423310987246</v>
          </cell>
          <cell r="L38">
            <v>4531.0019999999995</v>
          </cell>
          <cell r="M38">
            <v>0.37228239142286013</v>
          </cell>
          <cell r="N38">
            <v>5868.7359800000004</v>
          </cell>
          <cell r="O38">
            <v>0.29524020956071118</v>
          </cell>
          <cell r="P38">
            <v>6871.3015576972857</v>
          </cell>
          <cell r="Q38">
            <v>0.17083160345156401</v>
          </cell>
          <cell r="R38">
            <v>7646.4302261891735</v>
          </cell>
          <cell r="S38">
            <v>0.11280667308562276</v>
          </cell>
          <cell r="T38">
            <v>8252.2202578283486</v>
          </cell>
          <cell r="U38">
            <v>7.9225208851619655E-2</v>
          </cell>
          <cell r="V38">
            <v>8674.5610992366965</v>
          </cell>
          <cell r="W38">
            <v>5.117905584351079E-2</v>
          </cell>
        </row>
        <row r="39">
          <cell r="B39" t="str">
            <v xml:space="preserve">Operating Income (Loss) </v>
          </cell>
          <cell r="C39">
            <v>284.18700000000013</v>
          </cell>
          <cell r="D39">
            <v>378.38800000099991</v>
          </cell>
          <cell r="E39">
            <v>469.79700000000003</v>
          </cell>
          <cell r="F39">
            <v>621.50855966964809</v>
          </cell>
          <cell r="H39">
            <v>845.54684265857759</v>
          </cell>
          <cell r="I39">
            <v>0.36047497577187526</v>
          </cell>
          <cell r="J39">
            <v>1319.3999999999996</v>
          </cell>
          <cell r="K39">
            <v>0.56041029714158452</v>
          </cell>
          <cell r="L39">
            <v>2102.4210000000012</v>
          </cell>
          <cell r="M39">
            <v>0.59346748522055615</v>
          </cell>
          <cell r="N39">
            <v>3251.6240200000002</v>
          </cell>
          <cell r="O39">
            <v>0.54660937081583483</v>
          </cell>
          <cell r="P39">
            <v>4407.8235639859422</v>
          </cell>
          <cell r="Q39">
            <v>0.35557602504915131</v>
          </cell>
          <cell r="R39">
            <v>5457.7560849126548</v>
          </cell>
          <cell r="S39">
            <v>0.23819749263676759</v>
          </cell>
          <cell r="T39">
            <v>6333.8187200867542</v>
          </cell>
          <cell r="U39">
            <v>0.16051700031004956</v>
          </cell>
          <cell r="V39">
            <v>7103.5485501410149</v>
          </cell>
          <cell r="W39">
            <v>0.12152697512689747</v>
          </cell>
        </row>
        <row r="40">
          <cell r="B40" t="str">
            <v xml:space="preserve">        Operating Margin</v>
          </cell>
          <cell r="D40">
            <v>0.23109484655632037</v>
          </cell>
          <cell r="E40">
            <v>0.22983837826413678</v>
          </cell>
          <cell r="F40">
            <v>0.24055711926676934</v>
          </cell>
          <cell r="H40">
            <v>0.25620589712352548</v>
          </cell>
          <cell r="J40">
            <v>0.28551025707608407</v>
          </cell>
          <cell r="L40">
            <v>0.31694360513418202</v>
          </cell>
          <cell r="N40">
            <v>0.35652364818932586</v>
          </cell>
          <cell r="P40">
            <v>0.39079481045141073</v>
          </cell>
          <cell r="R40">
            <v>0.41648950612743196</v>
          </cell>
          <cell r="T40">
            <v>0.43423843372946319</v>
          </cell>
          <cell r="V40">
            <v>0.45021543822400667</v>
          </cell>
        </row>
        <row r="41">
          <cell r="B41" t="str">
            <v xml:space="preserve">   Interest, Other Income</v>
          </cell>
          <cell r="C41">
            <v>89.433999999999997</v>
          </cell>
          <cell r="D41">
            <v>90.4</v>
          </cell>
          <cell r="E41">
            <v>135.005</v>
          </cell>
          <cell r="F41">
            <v>107.822</v>
          </cell>
          <cell r="H41">
            <v>92.807000000000002</v>
          </cell>
          <cell r="J41">
            <v>82.597000000000008</v>
          </cell>
          <cell r="L41">
            <v>140.9</v>
          </cell>
          <cell r="N41">
            <v>228</v>
          </cell>
          <cell r="P41">
            <v>158.27981570681379</v>
          </cell>
          <cell r="R41">
            <v>214.14721389467866</v>
          </cell>
          <cell r="T41">
            <v>298.9218808473185</v>
          </cell>
          <cell r="V41">
            <v>424.04459975088002</v>
          </cell>
          <cell r="AB41" t="str">
            <v>mstag:interestAndDividendIncome</v>
          </cell>
          <cell r="AC41">
            <v>6</v>
          </cell>
          <cell r="AD41" t="str">
            <v>ISO4217:USD</v>
          </cell>
          <cell r="AE41" t="b">
            <v>0</v>
          </cell>
          <cell r="AF41" t="b">
            <v>0</v>
          </cell>
        </row>
        <row r="42">
          <cell r="B42" t="str">
            <v xml:space="preserve">   Interest, Other Expense</v>
          </cell>
          <cell r="C42">
            <v>-5.36</v>
          </cell>
          <cell r="D42">
            <v>-5.2780000000000005</v>
          </cell>
          <cell r="E42">
            <v>0</v>
          </cell>
          <cell r="F42">
            <v>0</v>
          </cell>
          <cell r="H42">
            <v>0</v>
          </cell>
          <cell r="J42">
            <v>0</v>
          </cell>
          <cell r="L42">
            <v>-49.9</v>
          </cell>
          <cell r="N42">
            <v>-91</v>
          </cell>
          <cell r="P42">
            <v>-99.403055999999992</v>
          </cell>
          <cell r="R42">
            <v>-99.403055999999992</v>
          </cell>
          <cell r="T42">
            <v>-99.403055999999992</v>
          </cell>
          <cell r="V42">
            <v>-77.403055999999992</v>
          </cell>
          <cell r="AB42" t="str">
            <v>mstag:interestAndDividendIncome</v>
          </cell>
          <cell r="AC42">
            <v>6</v>
          </cell>
          <cell r="AD42" t="str">
            <v>ISO4217:USD</v>
          </cell>
          <cell r="AE42" t="b">
            <v>0</v>
          </cell>
          <cell r="AF42" t="b">
            <v>0</v>
          </cell>
        </row>
        <row r="43">
          <cell r="B43" t="str">
            <v xml:space="preserve">Pretax Income (Loss) </v>
          </cell>
          <cell r="C43">
            <v>368.26100000000008</v>
          </cell>
          <cell r="D43">
            <v>463.51000000099987</v>
          </cell>
          <cell r="E43">
            <v>604.80200000000002</v>
          </cell>
          <cell r="F43">
            <v>729.3305596696481</v>
          </cell>
          <cell r="H43">
            <v>938.35384265857761</v>
          </cell>
          <cell r="I43">
            <v>0.28659608488585353</v>
          </cell>
          <cell r="J43">
            <v>1401.9969999999996</v>
          </cell>
          <cell r="K43">
            <v>0.4941026894799212</v>
          </cell>
          <cell r="L43">
            <v>2193.4210000000012</v>
          </cell>
          <cell r="M43">
            <v>0.56449764157840687</v>
          </cell>
          <cell r="N43">
            <v>3388.6240200000002</v>
          </cell>
          <cell r="O43">
            <v>0.54490360947579064</v>
          </cell>
          <cell r="P43">
            <v>4466.7003236927558</v>
          </cell>
          <cell r="Q43">
            <v>0.31814574214484725</v>
          </cell>
          <cell r="R43">
            <v>5572.5002428073331</v>
          </cell>
          <cell r="S43">
            <v>0.24756528062764227</v>
          </cell>
          <cell r="T43">
            <v>6533.3375449340729</v>
          </cell>
          <cell r="U43">
            <v>0.17242481117285435</v>
          </cell>
          <cell r="V43">
            <v>7450.1900938918943</v>
          </cell>
          <cell r="W43">
            <v>0.1403344833558684</v>
          </cell>
        </row>
        <row r="44">
          <cell r="B44" t="str">
            <v xml:space="preserve">   Provision For Income Taxes</v>
          </cell>
          <cell r="C44">
            <v>121.56800000000001</v>
          </cell>
          <cell r="D44">
            <v>143.67400000000001</v>
          </cell>
          <cell r="E44">
            <v>127.11199999999999</v>
          </cell>
          <cell r="F44">
            <v>245.797</v>
          </cell>
          <cell r="H44">
            <v>303.69799999999998</v>
          </cell>
          <cell r="J44">
            <v>507.63099999999997</v>
          </cell>
          <cell r="L44">
            <v>806.09699999999998</v>
          </cell>
          <cell r="N44">
            <v>1263.7185114200001</v>
          </cell>
          <cell r="P44">
            <v>1666.0792207373979</v>
          </cell>
          <cell r="R44">
            <v>2078.542590567135</v>
          </cell>
          <cell r="T44">
            <v>2436.934904260409</v>
          </cell>
          <cell r="V44">
            <v>2778.9209050216764</v>
          </cell>
          <cell r="AB44" t="str">
            <v>mstag:taxExpenseIncome</v>
          </cell>
          <cell r="AC44">
            <v>6</v>
          </cell>
          <cell r="AD44" t="str">
            <v>ISO4217:USD</v>
          </cell>
          <cell r="AE44" t="b">
            <v>0</v>
          </cell>
          <cell r="AF44" t="b">
            <v>0</v>
          </cell>
        </row>
        <row r="45">
          <cell r="B45" t="str">
            <v xml:space="preserve">   Effective Tax Rate</v>
          </cell>
          <cell r="C45">
            <v>0.21840079909742235</v>
          </cell>
          <cell r="D45">
            <v>0.17967483708416138</v>
          </cell>
          <cell r="E45">
            <v>0.17543014456747877</v>
          </cell>
          <cell r="F45">
            <v>0.33702605798725771</v>
          </cell>
          <cell r="H45">
            <v>0.32364976429312847</v>
          </cell>
          <cell r="J45">
            <v>0.36207709431617907</v>
          </cell>
          <cell r="L45">
            <v>0.36750724212165659</v>
          </cell>
          <cell r="N45">
            <v>0.3729296918045219</v>
          </cell>
          <cell r="P45">
            <v>0.373</v>
          </cell>
          <cell r="R45">
            <v>0.373</v>
          </cell>
          <cell r="T45">
            <v>0.373</v>
          </cell>
          <cell r="V45">
            <v>0.373</v>
          </cell>
        </row>
        <row r="46">
          <cell r="B46" t="str">
            <v>Net Income (Loss)</v>
          </cell>
          <cell r="C46">
            <v>246.69300000000007</v>
          </cell>
          <cell r="D46">
            <v>319.83600000099989</v>
          </cell>
          <cell r="E46">
            <v>477.69000000000005</v>
          </cell>
          <cell r="F46">
            <v>483.53355966964807</v>
          </cell>
          <cell r="H46">
            <v>634.65584265857763</v>
          </cell>
          <cell r="I46">
            <v>0.31253732024758918</v>
          </cell>
          <cell r="J46">
            <v>894.36599999999964</v>
          </cell>
          <cell r="K46">
            <v>0.4092141596829777</v>
          </cell>
          <cell r="L46">
            <v>1387.3240000000012</v>
          </cell>
          <cell r="M46">
            <v>0.55118150734710603</v>
          </cell>
          <cell r="N46">
            <v>2124.9055085800001</v>
          </cell>
          <cell r="O46">
            <v>0.53165771555887331</v>
          </cell>
          <cell r="P46">
            <v>2800.6211029553579</v>
          </cell>
          <cell r="Q46">
            <v>0.31799794938971893</v>
          </cell>
          <cell r="R46">
            <v>3493.9576522401981</v>
          </cell>
          <cell r="S46">
            <v>0.24756528062764227</v>
          </cell>
          <cell r="T46">
            <v>4096.4026406736639</v>
          </cell>
          <cell r="U46">
            <v>0.17242481117285435</v>
          </cell>
          <cell r="V46">
            <v>4671.2691888702175</v>
          </cell>
          <cell r="W46">
            <v>0.1403344833558684</v>
          </cell>
        </row>
        <row r="48">
          <cell r="B48" t="str">
            <v>EPS, basic</v>
          </cell>
          <cell r="C48">
            <v>0.240507155948992</v>
          </cell>
          <cell r="D48">
            <v>0.30625130463021294</v>
          </cell>
          <cell r="E48">
            <v>0.84741827980205642</v>
          </cell>
          <cell r="F48">
            <v>0.46558555820163972</v>
          </cell>
          <cell r="H48">
            <v>0.61351622099003444</v>
          </cell>
          <cell r="I48">
            <v>0.31773035091506774</v>
          </cell>
          <cell r="J48">
            <v>0.84760772011960184</v>
          </cell>
          <cell r="K48">
            <v>0.38155714734292223</v>
          </cell>
          <cell r="L48">
            <v>1.3150588841956803</v>
          </cell>
          <cell r="M48">
            <v>0.55149469852648192</v>
          </cell>
          <cell r="N48">
            <v>2.0160393819544593</v>
          </cell>
          <cell r="O48">
            <v>0.53304114833421656</v>
          </cell>
          <cell r="P48">
            <v>2.6578594958545239</v>
          </cell>
          <cell r="Q48">
            <v>0.31835693272908627</v>
          </cell>
          <cell r="R48">
            <v>3.3158532278145931</v>
          </cell>
          <cell r="S48">
            <v>0.24756528062764227</v>
          </cell>
          <cell r="T48">
            <v>3.8875885944974238</v>
          </cell>
          <cell r="U48">
            <v>0.17242481117285435</v>
          </cell>
          <cell r="V48">
            <v>4.4331513314063864</v>
          </cell>
          <cell r="W48">
            <v>0.1403344833558684</v>
          </cell>
          <cell r="Y48" t="str">
            <v>Growth</v>
          </cell>
          <cell r="Z48" t="str">
            <v>3 year</v>
          </cell>
          <cell r="AA48" t="str">
            <v>4 year</v>
          </cell>
        </row>
        <row r="49">
          <cell r="B49" t="str">
            <v>EPS, diluted</v>
          </cell>
          <cell r="C49">
            <v>0.23296000755465324</v>
          </cell>
          <cell r="D49">
            <v>0.29831162314462278</v>
          </cell>
          <cell r="E49">
            <v>0.83443278873473636</v>
          </cell>
          <cell r="F49">
            <v>0.46096594929398294</v>
          </cell>
          <cell r="H49">
            <v>0.60195636879300407</v>
          </cell>
          <cell r="I49">
            <v>0.30585864252004424</v>
          </cell>
          <cell r="J49">
            <v>0.82872362999196592</v>
          </cell>
          <cell r="K49">
            <v>0.37671710601493902</v>
          </cell>
          <cell r="L49">
            <v>1.2834315032439099</v>
          </cell>
          <cell r="M49">
            <v>0.54868457564840067</v>
          </cell>
          <cell r="N49">
            <v>1.9766562870511628</v>
          </cell>
          <cell r="O49">
            <v>0.54013383811688231</v>
          </cell>
          <cell r="P49">
            <v>2.6131703146035923</v>
          </cell>
          <cell r="Q49">
            <v>0.32201553285826989</v>
          </cell>
          <cell r="R49">
            <v>3.2657035401917991</v>
          </cell>
          <cell r="S49">
            <v>0.24970941309931183</v>
          </cell>
          <cell r="T49">
            <v>3.8441841959191563</v>
          </cell>
          <cell r="U49">
            <v>0.17713814147789497</v>
          </cell>
          <cell r="V49">
            <v>4.4101388095141756</v>
          </cell>
          <cell r="W49">
            <v>0.14722359407122476</v>
          </cell>
          <cell r="Z49">
            <v>0.36521595109433186</v>
          </cell>
          <cell r="AA49">
            <v>0.28001751631721422</v>
          </cell>
          <cell r="AB49" t="str">
            <v>mstag:adjEpsForConsensus</v>
          </cell>
          <cell r="AC49">
            <v>0</v>
          </cell>
          <cell r="AD49" t="str">
            <v>ISO4217:USD</v>
          </cell>
          <cell r="AE49" t="b">
            <v>0</v>
          </cell>
          <cell r="AF49" t="b">
            <v>0</v>
          </cell>
        </row>
        <row r="51">
          <cell r="B51" t="str">
            <v xml:space="preserve">  Options expense</v>
          </cell>
          <cell r="N51">
            <v>329.18547890000002</v>
          </cell>
          <cell r="P51">
            <v>377.92158567335071</v>
          </cell>
          <cell r="R51">
            <v>420.55366244040454</v>
          </cell>
          <cell r="T51">
            <v>453.87211418055915</v>
          </cell>
          <cell r="V51">
            <v>477.1008604580183</v>
          </cell>
          <cell r="AB51" t="str">
            <v>mstag:stockCompensation</v>
          </cell>
          <cell r="AC51">
            <v>6</v>
          </cell>
          <cell r="AD51" t="str">
            <v>ISO4217:USD</v>
          </cell>
          <cell r="AE51" t="b">
            <v>0</v>
          </cell>
          <cell r="AF51" t="b">
            <v>0</v>
          </cell>
        </row>
        <row r="52">
          <cell r="B52" t="str">
            <v>Net Income (incl options exp)</v>
          </cell>
          <cell r="N52">
            <v>1795.7200296800002</v>
          </cell>
          <cell r="P52">
            <v>2422.699517282007</v>
          </cell>
          <cell r="R52">
            <v>3073.4039897997936</v>
          </cell>
          <cell r="T52">
            <v>3642.5305264931048</v>
          </cell>
          <cell r="V52">
            <v>4194.1683284121991</v>
          </cell>
        </row>
        <row r="54">
          <cell r="B54" t="str">
            <v>EPS, diluted (incl option exp)</v>
          </cell>
          <cell r="N54">
            <v>1.670437236911628</v>
          </cell>
          <cell r="P54">
            <v>2.2605437247777207</v>
          </cell>
          <cell r="R54">
            <v>2.8726239093062675</v>
          </cell>
          <cell r="T54">
            <v>3.4182573129078739</v>
          </cell>
          <cell r="V54">
            <v>3.9597085440583326</v>
          </cell>
          <cell r="AA54">
            <v>22.250639386189256</v>
          </cell>
        </row>
        <row r="55">
          <cell r="B55" t="str">
            <v>EPS, GAAP, Diluted (incl option exp)</v>
          </cell>
          <cell r="N55">
            <v>1.6109656090046514</v>
          </cell>
          <cell r="P55">
            <v>2.1891696107162537</v>
          </cell>
          <cell r="R55">
            <v>2.8134339509056185</v>
          </cell>
          <cell r="T55">
            <v>3.3588294016576903</v>
          </cell>
          <cell r="V55">
            <v>3.8999216105509422</v>
          </cell>
          <cell r="AA55">
            <v>19.727270219320825</v>
          </cell>
        </row>
        <row r="56">
          <cell r="B56" t="str">
            <v xml:space="preserve">Basic Shares Outstanding </v>
          </cell>
          <cell r="C56">
            <v>1025.72</v>
          </cell>
          <cell r="D56">
            <v>1044.3579999999999</v>
          </cell>
          <cell r="E56">
            <v>1054.038</v>
          </cell>
          <cell r="F56">
            <v>1038.5084999999999</v>
          </cell>
          <cell r="H56">
            <v>1034.4565</v>
          </cell>
          <cell r="I56">
            <v>-3.901749480143768E-3</v>
          </cell>
          <cell r="J56">
            <v>1055.165</v>
          </cell>
          <cell r="K56">
            <v>2.0018724808631427E-2</v>
          </cell>
          <cell r="L56">
            <v>1054.952</v>
          </cell>
          <cell r="M56">
            <v>-2.0186416342460323E-4</v>
          </cell>
          <cell r="N56">
            <v>1054</v>
          </cell>
          <cell r="O56">
            <v>-9.0241072579599901E-4</v>
          </cell>
          <cell r="P56">
            <v>1053.713</v>
          </cell>
          <cell r="Q56">
            <v>-2.7229601518030666E-4</v>
          </cell>
          <cell r="R56">
            <v>1053.713</v>
          </cell>
          <cell r="S56">
            <v>0</v>
          </cell>
          <cell r="T56">
            <v>1053.713</v>
          </cell>
          <cell r="U56">
            <v>0</v>
          </cell>
          <cell r="V56">
            <v>1053.713</v>
          </cell>
          <cell r="W56">
            <v>0</v>
          </cell>
          <cell r="AB56" t="str">
            <v>mstag:averageBasicSharesOutstanding</v>
          </cell>
          <cell r="AC56">
            <v>6</v>
          </cell>
          <cell r="AD56" t="str">
            <v>ms_eqr_gcim_Decimal:ms_eqr_gcim_decimal</v>
          </cell>
          <cell r="AE56" t="b">
            <v>0</v>
          </cell>
          <cell r="AF56" t="b">
            <v>0</v>
          </cell>
        </row>
        <row r="57">
          <cell r="B57" t="str">
            <v>Diluted Shares Outstanding</v>
          </cell>
          <cell r="C57">
            <v>1058.95</v>
          </cell>
          <cell r="D57">
            <v>1072.154</v>
          </cell>
          <cell r="E57">
            <v>1070.441</v>
          </cell>
          <cell r="F57">
            <v>1048.9160000000002</v>
          </cell>
          <cell r="H57">
            <v>1054.3219999999999</v>
          </cell>
          <cell r="I57">
            <v>5.1538922087179806E-3</v>
          </cell>
          <cell r="J57">
            <v>1079.2090000000001</v>
          </cell>
          <cell r="K57">
            <v>2.3604743142986884E-2</v>
          </cell>
          <cell r="L57">
            <v>1080.9490000000001</v>
          </cell>
          <cell r="M57">
            <v>1.6122919656897938E-3</v>
          </cell>
          <cell r="N57">
            <v>1075</v>
          </cell>
          <cell r="O57">
            <v>-5.5034973897936101E-3</v>
          </cell>
          <cell r="P57">
            <v>1071.7330926745205</v>
          </cell>
          <cell r="Q57">
            <v>-3.0389835585855618E-3</v>
          </cell>
          <cell r="R57">
            <v>1069.8943150347914</v>
          </cell>
          <cell r="S57">
            <v>-1.7157048264139219E-3</v>
          </cell>
          <cell r="T57">
            <v>1065.6103953141094</v>
          </cell>
          <cell r="U57">
            <v>-4.0040587752283585E-3</v>
          </cell>
          <cell r="V57">
            <v>1059.2113742072459</v>
          </cell>
          <cell r="W57">
            <v>-6.0050287938279157E-3</v>
          </cell>
          <cell r="AB57" t="str">
            <v>mstag:averageDilutedSharesOutstanding</v>
          </cell>
          <cell r="AC57">
            <v>6</v>
          </cell>
          <cell r="AD57" t="str">
            <v>ms_eqr_gcim_Decimal:ms_eqr_gcim_decimal</v>
          </cell>
          <cell r="AE57" t="b">
            <v>0</v>
          </cell>
          <cell r="AF57" t="b">
            <v>0</v>
          </cell>
        </row>
        <row r="59">
          <cell r="H59" t="str">
            <v>2003-FY</v>
          </cell>
          <cell r="J59" t="str">
            <v>2004-FY</v>
          </cell>
          <cell r="L59" t="str">
            <v>2005-FY</v>
          </cell>
          <cell r="N59" t="str">
            <v>2006-FY</v>
          </cell>
          <cell r="P59" t="str">
            <v>2007-FY</v>
          </cell>
          <cell r="R59" t="str">
            <v>2008-FY</v>
          </cell>
          <cell r="T59" t="str">
            <v>2009-FY</v>
          </cell>
          <cell r="V59" t="str">
            <v>2010-FY</v>
          </cell>
        </row>
        <row r="60">
          <cell r="B60" t="str">
            <v>Reconciliation to GAAP earnings/loss</v>
          </cell>
          <cell r="E60">
            <v>-3.0000000001564331E-3</v>
          </cell>
        </row>
        <row r="61">
          <cell r="B61" t="str">
            <v>Adjustments:</v>
          </cell>
        </row>
        <row r="62">
          <cell r="B62" t="str">
            <v xml:space="preserve">   Contract revenue</v>
          </cell>
          <cell r="C62">
            <v>-19.399999999999999</v>
          </cell>
          <cell r="D62">
            <v>-125.1</v>
          </cell>
          <cell r="E62">
            <v>0</v>
          </cell>
          <cell r="AB62" t="str">
            <v>mstag:otherProvisionsOneTimeGrossOfTax</v>
          </cell>
          <cell r="AC62">
            <v>6</v>
          </cell>
          <cell r="AD62" t="str">
            <v>ISO4217:USD</v>
          </cell>
          <cell r="AE62" t="b">
            <v>0</v>
          </cell>
          <cell r="AF62" t="b">
            <v>0</v>
          </cell>
        </row>
        <row r="63">
          <cell r="B63" t="str">
            <v xml:space="preserve">   Cost of sales</v>
          </cell>
          <cell r="C63">
            <v>93.4</v>
          </cell>
          <cell r="D63">
            <v>92.9</v>
          </cell>
          <cell r="AB63" t="str">
            <v>mstag:otherProvisionsOneTimeGrossOfTax</v>
          </cell>
          <cell r="AC63">
            <v>6</v>
          </cell>
          <cell r="AD63" t="str">
            <v>ISO4217:USD</v>
          </cell>
          <cell r="AE63" t="b">
            <v>0</v>
          </cell>
          <cell r="AF63" t="b">
            <v>0</v>
          </cell>
        </row>
        <row r="64">
          <cell r="B64" t="str">
            <v>Recurring charges related to redemption</v>
          </cell>
          <cell r="C64">
            <v>197.7</v>
          </cell>
          <cell r="D64">
            <v>375.3</v>
          </cell>
          <cell r="E64">
            <v>321.81599999999997</v>
          </cell>
          <cell r="F64">
            <v>155.71299999999999</v>
          </cell>
          <cell r="H64">
            <v>154.30000000000001</v>
          </cell>
          <cell r="J64">
            <v>145.48500000000001</v>
          </cell>
          <cell r="L64">
            <v>122.7</v>
          </cell>
          <cell r="N64">
            <v>95</v>
          </cell>
          <cell r="P64">
            <v>70</v>
          </cell>
          <cell r="R64">
            <v>49</v>
          </cell>
          <cell r="T64">
            <v>49</v>
          </cell>
          <cell r="V64">
            <v>49</v>
          </cell>
          <cell r="AB64" t="str">
            <v>mstag:amortizationOfIntangiblesAssumedToHaveIndefiniteLifeIncomeStatement</v>
          </cell>
          <cell r="AC64">
            <v>6</v>
          </cell>
          <cell r="AD64" t="str">
            <v>ISO4217:USD</v>
          </cell>
          <cell r="AE64" t="b">
            <v>0</v>
          </cell>
          <cell r="AF64" t="b">
            <v>0</v>
          </cell>
        </row>
        <row r="65">
          <cell r="B65" t="str">
            <v>Litagation and other charges</v>
          </cell>
          <cell r="C65">
            <v>1437.7</v>
          </cell>
          <cell r="D65">
            <v>0</v>
          </cell>
          <cell r="E65">
            <v>0</v>
          </cell>
          <cell r="F65">
            <v>543.90499999999997</v>
          </cell>
          <cell r="J65">
            <v>37.1</v>
          </cell>
          <cell r="L65">
            <v>57.8</v>
          </cell>
          <cell r="N65">
            <v>52</v>
          </cell>
          <cell r="P65">
            <v>52</v>
          </cell>
          <cell r="R65">
            <v>52</v>
          </cell>
          <cell r="T65">
            <v>52</v>
          </cell>
          <cell r="V65">
            <v>52</v>
          </cell>
          <cell r="AB65" t="str">
            <v>mstag:restructuringCostsOneTime</v>
          </cell>
          <cell r="AC65">
            <v>6</v>
          </cell>
          <cell r="AD65" t="str">
            <v>ISO4217:USD</v>
          </cell>
          <cell r="AE65" t="b">
            <v>0</v>
          </cell>
          <cell r="AF65" t="b">
            <v>0</v>
          </cell>
        </row>
        <row r="66">
          <cell r="B66" t="str">
            <v xml:space="preserve">   Other</v>
          </cell>
          <cell r="C66">
            <v>32.299999999999997</v>
          </cell>
          <cell r="D66">
            <v>4.9000000000000004</v>
          </cell>
          <cell r="E66">
            <v>0</v>
          </cell>
          <cell r="H66">
            <v>115.8</v>
          </cell>
          <cell r="AB66" t="str">
            <v>mstag:otherProvisionsOneTimeGrossOfTax</v>
          </cell>
          <cell r="AC66">
            <v>6</v>
          </cell>
          <cell r="AD66" t="str">
            <v>ISO4217:USD</v>
          </cell>
          <cell r="AE66" t="b">
            <v>1</v>
          </cell>
          <cell r="AF66" t="b">
            <v>0</v>
          </cell>
        </row>
        <row r="67">
          <cell r="B67" t="str">
            <v xml:space="preserve">   Other income, net (adjustment)</v>
          </cell>
          <cell r="C67">
            <v>-12.933999999999997</v>
          </cell>
          <cell r="D67">
            <v>125.69999999999999</v>
          </cell>
          <cell r="E67">
            <v>0</v>
          </cell>
          <cell r="H67">
            <v>0</v>
          </cell>
          <cell r="J67">
            <v>0</v>
          </cell>
          <cell r="L67">
            <v>0</v>
          </cell>
          <cell r="N67">
            <v>0</v>
          </cell>
          <cell r="P67">
            <v>0</v>
          </cell>
          <cell r="R67">
            <v>0</v>
          </cell>
          <cell r="T67">
            <v>0</v>
          </cell>
          <cell r="V67">
            <v>0</v>
          </cell>
          <cell r="AB67" t="str">
            <v>mstag:otherOperatingExpense</v>
          </cell>
          <cell r="AC67">
            <v>6</v>
          </cell>
          <cell r="AD67" t="str">
            <v>ISO4217:USD</v>
          </cell>
          <cell r="AE67" t="b">
            <v>1</v>
          </cell>
          <cell r="AF67" t="b">
            <v>0</v>
          </cell>
        </row>
        <row r="68">
          <cell r="B68" t="str">
            <v xml:space="preserve">   Income tax (benefit) provision adjustment</v>
          </cell>
          <cell r="C68">
            <v>324.60000000000002</v>
          </cell>
          <cell r="D68">
            <v>126.7</v>
          </cell>
          <cell r="E68">
            <v>0</v>
          </cell>
          <cell r="H68">
            <v>13.3</v>
          </cell>
          <cell r="J68">
            <v>73.031000000000006</v>
          </cell>
          <cell r="L68">
            <v>72.2</v>
          </cell>
          <cell r="N68">
            <v>83.067999999999998</v>
          </cell>
          <cell r="P68">
            <v>45.506</v>
          </cell>
          <cell r="R68">
            <v>37.673000000000002</v>
          </cell>
          <cell r="T68">
            <v>37.673000000000002</v>
          </cell>
          <cell r="V68">
            <v>37.673000000000002</v>
          </cell>
          <cell r="AB68" t="str">
            <v>mstag:taxOnOtherProvisionsOneTime</v>
          </cell>
          <cell r="AC68">
            <v>6</v>
          </cell>
          <cell r="AD68" t="str">
            <v>ISO4217:USD</v>
          </cell>
          <cell r="AE68" t="b">
            <v>0</v>
          </cell>
          <cell r="AF68" t="b">
            <v>0</v>
          </cell>
        </row>
        <row r="69">
          <cell r="B69" t="str">
            <v xml:space="preserve">   Effect of accounting change</v>
          </cell>
          <cell r="C69">
            <v>0</v>
          </cell>
          <cell r="D69">
            <v>-57.8</v>
          </cell>
          <cell r="E69">
            <v>-5.6</v>
          </cell>
          <cell r="H69">
            <v>-47</v>
          </cell>
          <cell r="AB69" t="str">
            <v>mstag:cumulativeEffectOfChangeInAccountingPrincipleNetOfTax</v>
          </cell>
          <cell r="AC69">
            <v>6</v>
          </cell>
          <cell r="AD69" t="str">
            <v>ISO4217:USD</v>
          </cell>
          <cell r="AE69" t="b">
            <v>0</v>
          </cell>
          <cell r="AF69" t="b">
            <v>0</v>
          </cell>
        </row>
        <row r="70">
          <cell r="B70" t="str">
            <v xml:space="preserve">  GAAP Net income (loss)</v>
          </cell>
          <cell r="C70">
            <v>-1157.5410000000002</v>
          </cell>
          <cell r="D70">
            <v>-73.963999999000151</v>
          </cell>
          <cell r="E70">
            <v>150.27400000000009</v>
          </cell>
          <cell r="F70">
            <v>-216.08444033035187</v>
          </cell>
          <cell r="H70">
            <v>562.45584265857758</v>
          </cell>
          <cell r="J70">
            <v>784.81199999999967</v>
          </cell>
          <cell r="L70">
            <v>1279.0240000000013</v>
          </cell>
          <cell r="N70">
            <v>1731.7880296800001</v>
          </cell>
          <cell r="P70">
            <v>2346.2055172820069</v>
          </cell>
          <cell r="R70">
            <v>3010.0769897997934</v>
          </cell>
          <cell r="T70">
            <v>3579.2035264931046</v>
          </cell>
          <cell r="V70">
            <v>4130.8413284121989</v>
          </cell>
        </row>
        <row r="71">
          <cell r="B71" t="str">
            <v>EARNINGS (LOSS) PER SHARE</v>
          </cell>
          <cell r="F71">
            <v>699.61799999999994</v>
          </cell>
          <cell r="H71">
            <v>457.53399999999999</v>
          </cell>
          <cell r="L71">
            <v>1139.4573944602898</v>
          </cell>
        </row>
        <row r="72">
          <cell r="B72" t="str">
            <v xml:space="preserve">   Basic</v>
          </cell>
          <cell r="C72">
            <v>-1.128515579300394</v>
          </cell>
          <cell r="D72">
            <v>-7.0822457432221667E-2</v>
          </cell>
          <cell r="E72">
            <v>0.14256981247355416</v>
          </cell>
          <cell r="F72">
            <v>-0.20807190343685381</v>
          </cell>
          <cell r="H72">
            <v>0.54372111602428674</v>
          </cell>
          <cell r="J72">
            <v>0.7437813043457655</v>
          </cell>
          <cell r="L72">
            <v>1.2124001850321164</v>
          </cell>
          <cell r="N72">
            <v>1.6430626467552183</v>
          </cell>
          <cell r="P72">
            <v>2.2266077359603678</v>
          </cell>
          <cell r="R72">
            <v>2.8566383728774283</v>
          </cell>
          <cell r="T72">
            <v>3.3967536952596245</v>
          </cell>
          <cell r="V72">
            <v>3.92027177078787</v>
          </cell>
        </row>
        <row r="73">
          <cell r="B73" t="str">
            <v xml:space="preserve">   Diluted</v>
          </cell>
          <cell r="C73">
            <v>-1.0931026016336938</v>
          </cell>
          <cell r="D73">
            <v>-6.898635830207242E-2</v>
          </cell>
          <cell r="E73">
            <v>0.14038513098806948</v>
          </cell>
          <cell r="F73">
            <v>-0.20600738317496523</v>
          </cell>
          <cell r="H73">
            <v>0.53347634086984586</v>
          </cell>
          <cell r="J73">
            <v>0.72721039205566262</v>
          </cell>
          <cell r="L73">
            <v>1.1832417625623421</v>
          </cell>
          <cell r="N73">
            <v>1.6109656090046514</v>
          </cell>
          <cell r="P73">
            <v>2.1891696107162537</v>
          </cell>
          <cell r="R73">
            <v>2.8134339509056185</v>
          </cell>
          <cell r="T73">
            <v>3.3588294016576903</v>
          </cell>
          <cell r="V73">
            <v>3.8999216105509422</v>
          </cell>
        </row>
        <row r="74">
          <cell r="B74" t="str">
            <v>Period End Basic Shares</v>
          </cell>
          <cell r="D74">
            <v>0</v>
          </cell>
          <cell r="E74">
            <v>527.79422299999999</v>
          </cell>
          <cell r="F74">
            <v>1025.155974</v>
          </cell>
          <cell r="H74">
            <v>1047.3900000000001</v>
          </cell>
          <cell r="J74">
            <v>1047.127</v>
          </cell>
          <cell r="L74">
            <v>1053.713</v>
          </cell>
          <cell r="N74">
            <v>1053.713</v>
          </cell>
          <cell r="P74">
            <v>1053.713</v>
          </cell>
          <cell r="R74">
            <v>1053.713</v>
          </cell>
          <cell r="T74">
            <v>1053.713</v>
          </cell>
          <cell r="V74">
            <v>0</v>
          </cell>
        </row>
        <row r="75">
          <cell r="B75" t="str">
            <v>Federal tax rate</v>
          </cell>
          <cell r="C75">
            <v>0.35</v>
          </cell>
          <cell r="D75">
            <v>0.35</v>
          </cell>
          <cell r="E75">
            <v>0.35</v>
          </cell>
          <cell r="F75">
            <v>0.35</v>
          </cell>
          <cell r="H75">
            <v>0.35</v>
          </cell>
          <cell r="J75">
            <v>0.35</v>
          </cell>
          <cell r="L75">
            <v>0.35</v>
          </cell>
          <cell r="N75">
            <v>0.35</v>
          </cell>
          <cell r="P75">
            <v>0.35</v>
          </cell>
          <cell r="R75">
            <v>0.35</v>
          </cell>
          <cell r="T75">
            <v>0.35</v>
          </cell>
          <cell r="V75">
            <v>0.35</v>
          </cell>
        </row>
        <row r="76">
          <cell r="B76" t="str">
            <v xml:space="preserve">     Federal taxes</v>
          </cell>
          <cell r="C76">
            <v>-527.51800000000003</v>
          </cell>
          <cell r="D76">
            <v>1.391</v>
          </cell>
          <cell r="E76">
            <v>99.045000000000002</v>
          </cell>
          <cell r="F76">
            <v>10.412000000000001</v>
          </cell>
        </row>
        <row r="77">
          <cell r="B77" t="str">
            <v>Statutory tax rate</v>
          </cell>
          <cell r="C77">
            <v>0.36520971796223067</v>
          </cell>
          <cell r="D77">
            <v>0.5913012221423436</v>
          </cell>
          <cell r="E77">
            <v>0.40731384724115299</v>
          </cell>
          <cell r="F77">
            <v>0.37813580484056852</v>
          </cell>
          <cell r="H77">
            <v>0.32364976429312847</v>
          </cell>
          <cell r="J77">
            <v>0.36207709431617907</v>
          </cell>
          <cell r="L77">
            <v>0.36750724212165659</v>
          </cell>
          <cell r="N77">
            <v>0.3729296918045219</v>
          </cell>
          <cell r="P77">
            <v>0.373</v>
          </cell>
          <cell r="R77">
            <v>0.373</v>
          </cell>
          <cell r="T77">
            <v>0.373</v>
          </cell>
          <cell r="V77">
            <v>0.373</v>
          </cell>
          <cell r="AB77" t="str">
            <v>mstag:statutoryTaxRate</v>
          </cell>
          <cell r="AC77">
            <v>0</v>
          </cell>
          <cell r="AD77" t="str">
            <v>ms_eqr_gcim_Decimal:ms_eqr_gcim_decimal</v>
          </cell>
          <cell r="AE77" t="b">
            <v>0</v>
          </cell>
          <cell r="AF77" t="b">
            <v>0</v>
          </cell>
        </row>
        <row r="78">
          <cell r="B78" t="str">
            <v xml:space="preserve">     State taxes</v>
          </cell>
          <cell r="C78">
            <v>-22.923999999999999</v>
          </cell>
          <cell r="D78">
            <v>0.95899999999999996</v>
          </cell>
          <cell r="E78">
            <v>16.219000000000001</v>
          </cell>
          <cell r="F78">
            <v>0.83699999999999997</v>
          </cell>
        </row>
        <row r="79">
          <cell r="B79" t="str">
            <v>Unrecorded Goodwill</v>
          </cell>
          <cell r="D79">
            <v>0</v>
          </cell>
          <cell r="E79">
            <v>0</v>
          </cell>
          <cell r="F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AB79" t="str">
            <v>mstag:unrecordedGoodwillFromPoolingAndAmortizedOrWrittenOffGoodwill</v>
          </cell>
          <cell r="AC79">
            <v>6</v>
          </cell>
          <cell r="AD79" t="str">
            <v>ISO4217:USD</v>
          </cell>
          <cell r="AE79" t="b">
            <v>0</v>
          </cell>
          <cell r="AF79" t="b">
            <v>0</v>
          </cell>
        </row>
        <row r="80">
          <cell r="B80" t="str">
            <v>Common Dividends</v>
          </cell>
          <cell r="D80">
            <v>0</v>
          </cell>
          <cell r="E80">
            <v>0</v>
          </cell>
          <cell r="F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B80" t="str">
            <v>mstag:commonDividends</v>
          </cell>
          <cell r="AC80">
            <v>6</v>
          </cell>
          <cell r="AD80" t="str">
            <v>ISO4217:USD</v>
          </cell>
          <cell r="AE80" t="b">
            <v>0</v>
          </cell>
          <cell r="AF80" t="b">
            <v>0</v>
          </cell>
        </row>
        <row r="82">
          <cell r="B82" t="str">
            <v>ROYALTIES</v>
          </cell>
        </row>
        <row r="83">
          <cell r="B83" t="str">
            <v>Rituxan Ex-US Royalty ($M)</v>
          </cell>
          <cell r="N83">
            <v>186.5</v>
          </cell>
          <cell r="P83">
            <v>214.47500000000002</v>
          </cell>
          <cell r="R83">
            <v>231.63300000000001</v>
          </cell>
          <cell r="T83">
            <v>247.84731000000002</v>
          </cell>
          <cell r="V83">
            <v>315.26177832000002</v>
          </cell>
        </row>
        <row r="84">
          <cell r="B84" t="str">
            <v>Rituxan Royalty Rate (%)</v>
          </cell>
          <cell r="N84">
            <v>0.1</v>
          </cell>
          <cell r="P84">
            <v>0.1</v>
          </cell>
          <cell r="R84">
            <v>0.1</v>
          </cell>
          <cell r="T84">
            <v>0.1</v>
          </cell>
          <cell r="V84">
            <v>0.12</v>
          </cell>
        </row>
        <row r="85">
          <cell r="B85" t="str">
            <v>Avastin Ex-US Royalty ($M)</v>
          </cell>
          <cell r="N85">
            <v>84.75</v>
          </cell>
          <cell r="P85">
            <v>150</v>
          </cell>
          <cell r="R85">
            <v>277.5</v>
          </cell>
          <cell r="T85">
            <v>375</v>
          </cell>
          <cell r="V85">
            <v>435</v>
          </cell>
        </row>
        <row r="86">
          <cell r="B86" t="str">
            <v>Avastin Royalty Rate (%)</v>
          </cell>
          <cell r="N86">
            <v>0.15</v>
          </cell>
          <cell r="P86">
            <v>0.15</v>
          </cell>
          <cell r="R86">
            <v>0.15</v>
          </cell>
          <cell r="T86">
            <v>0.15</v>
          </cell>
          <cell r="V86">
            <v>0.15</v>
          </cell>
        </row>
        <row r="87">
          <cell r="B87" t="str">
            <v>Herceptin Ex-US Royalty ($M)</v>
          </cell>
          <cell r="N87">
            <v>341.875</v>
          </cell>
          <cell r="P87">
            <v>407.96875</v>
          </cell>
          <cell r="R87">
            <v>434.40625</v>
          </cell>
          <cell r="T87">
            <v>452.25156250000003</v>
          </cell>
          <cell r="V87">
            <v>467.241625</v>
          </cell>
        </row>
        <row r="88">
          <cell r="B88" t="str">
            <v>Herceptin Ex-US Sales ($M)</v>
          </cell>
          <cell r="N88">
            <v>1175</v>
          </cell>
          <cell r="P88">
            <v>1468.75</v>
          </cell>
          <cell r="R88">
            <v>1586.25</v>
          </cell>
          <cell r="T88">
            <v>1665.5625</v>
          </cell>
          <cell r="V88">
            <v>1732.1849999999999</v>
          </cell>
        </row>
        <row r="89">
          <cell r="B89" t="str">
            <v>Royalty - $500M</v>
          </cell>
          <cell r="N89">
            <v>100</v>
          </cell>
          <cell r="P89">
            <v>100</v>
          </cell>
          <cell r="R89">
            <v>100</v>
          </cell>
          <cell r="T89">
            <v>100</v>
          </cell>
          <cell r="V89">
            <v>100</v>
          </cell>
        </row>
        <row r="90">
          <cell r="B90" t="str">
            <v>Royalty rate (%)</v>
          </cell>
          <cell r="N90">
            <v>0.2</v>
          </cell>
          <cell r="P90">
            <v>0.2</v>
          </cell>
          <cell r="R90">
            <v>0.2</v>
          </cell>
          <cell r="T90">
            <v>0.2</v>
          </cell>
          <cell r="V90">
            <v>0.2</v>
          </cell>
        </row>
        <row r="91">
          <cell r="B91" t="str">
            <v>Royalty - After $500M</v>
          </cell>
          <cell r="N91">
            <v>241.875</v>
          </cell>
          <cell r="P91">
            <v>307.96875</v>
          </cell>
          <cell r="R91">
            <v>334.40625</v>
          </cell>
          <cell r="T91">
            <v>352.25156250000003</v>
          </cell>
          <cell r="V91">
            <v>367.241625</v>
          </cell>
        </row>
        <row r="92">
          <cell r="B92" t="str">
            <v>Royalty rate (%)</v>
          </cell>
          <cell r="N92">
            <v>0.22500000000000001</v>
          </cell>
          <cell r="P92">
            <v>0.22500000000000001</v>
          </cell>
          <cell r="R92">
            <v>0.22500000000000001</v>
          </cell>
          <cell r="T92">
            <v>0.22500000000000001</v>
          </cell>
          <cell r="V92">
            <v>0.22500000000000001</v>
          </cell>
        </row>
        <row r="93">
          <cell r="B93" t="str">
            <v>Lucentis Ex-US Royalty ($M)</v>
          </cell>
          <cell r="N93">
            <v>0</v>
          </cell>
          <cell r="P93">
            <v>25</v>
          </cell>
          <cell r="R93">
            <v>75</v>
          </cell>
          <cell r="T93">
            <v>112.5</v>
          </cell>
          <cell r="V93">
            <v>137.5</v>
          </cell>
        </row>
        <row r="94">
          <cell r="B94" t="str">
            <v>Lucentis COGS (%)</v>
          </cell>
          <cell r="N94">
            <v>0.25</v>
          </cell>
          <cell r="P94">
            <v>0.25</v>
          </cell>
          <cell r="R94">
            <v>0.25</v>
          </cell>
          <cell r="T94">
            <v>0.25</v>
          </cell>
          <cell r="V94">
            <v>0.25</v>
          </cell>
        </row>
        <row r="95">
          <cell r="B95" t="str">
            <v>Raptiva Ex-US Royalty ($M)</v>
          </cell>
          <cell r="N95">
            <v>6.4756240620749992</v>
          </cell>
          <cell r="P95">
            <v>6.8032906396159953</v>
          </cell>
          <cell r="R95">
            <v>7.1475371459805652</v>
          </cell>
          <cell r="T95">
            <v>7.5092025255671828</v>
          </cell>
          <cell r="V95">
            <v>7.8891681733608801</v>
          </cell>
        </row>
        <row r="96">
          <cell r="B96" t="str">
            <v>Cabilly Royalty ($M)</v>
          </cell>
          <cell r="L96">
            <v>70</v>
          </cell>
          <cell r="N96">
            <v>80.5</v>
          </cell>
          <cell r="O96">
            <v>0.15</v>
          </cell>
          <cell r="P96">
            <v>92.574999999999989</v>
          </cell>
          <cell r="Q96">
            <v>0.15</v>
          </cell>
          <cell r="R96">
            <v>109.23849999999999</v>
          </cell>
          <cell r="S96">
            <v>0.18</v>
          </cell>
          <cell r="T96">
            <v>131.08619999999999</v>
          </cell>
          <cell r="U96">
            <v>0.2</v>
          </cell>
          <cell r="V96">
            <v>163.85774999999998</v>
          </cell>
          <cell r="W96">
            <v>0.25</v>
          </cell>
        </row>
        <row r="97">
          <cell r="B97" t="str">
            <v>Other Royalties ($M)</v>
          </cell>
          <cell r="N97">
            <v>440</v>
          </cell>
          <cell r="P97">
            <v>484.00000000000006</v>
          </cell>
          <cell r="Q97">
            <v>0.1</v>
          </cell>
          <cell r="R97">
            <v>532.40000000000009</v>
          </cell>
          <cell r="S97">
            <v>0.1</v>
          </cell>
          <cell r="T97">
            <v>585.6400000000001</v>
          </cell>
          <cell r="U97">
            <v>0.1</v>
          </cell>
          <cell r="V97">
            <v>644.20400000000018</v>
          </cell>
          <cell r="W97">
            <v>0.1</v>
          </cell>
        </row>
        <row r="98">
          <cell r="B98" t="str">
            <v>TOTAL ROYALTIES</v>
          </cell>
          <cell r="N98">
            <v>1140.100624062075</v>
          </cell>
          <cell r="P98">
            <v>1380.8220406396158</v>
          </cell>
          <cell r="R98">
            <v>1667.3252871459806</v>
          </cell>
          <cell r="T98">
            <v>1911.8342750255674</v>
          </cell>
          <cell r="V98">
            <v>2170.954321493361</v>
          </cell>
        </row>
        <row r="100">
          <cell r="B100" t="str">
            <v>COGS</v>
          </cell>
        </row>
        <row r="101">
          <cell r="B101" t="str">
            <v>Rituxan US COGS ($M)</v>
          </cell>
          <cell r="P101">
            <v>297.70939266920749</v>
          </cell>
          <cell r="R101">
            <v>330.13953356203393</v>
          </cell>
          <cell r="T101">
            <v>361.38962422106277</v>
          </cell>
          <cell r="V101">
            <v>394.45</v>
          </cell>
        </row>
        <row r="102">
          <cell r="B102" t="str">
            <v>Rituxan US COGS (%)</v>
          </cell>
          <cell r="P102">
            <v>0.1225</v>
          </cell>
          <cell r="R102">
            <v>0.1225</v>
          </cell>
          <cell r="T102">
            <v>0.1225</v>
          </cell>
          <cell r="V102">
            <v>0.1225</v>
          </cell>
        </row>
        <row r="103">
          <cell r="B103" t="str">
            <v>Avastin US COGS ($M)</v>
          </cell>
          <cell r="P103">
            <v>338.15533923473572</v>
          </cell>
          <cell r="R103">
            <v>456.25553488746044</v>
          </cell>
          <cell r="T103">
            <v>554.96139897186345</v>
          </cell>
          <cell r="V103">
            <v>636.86124684705521</v>
          </cell>
        </row>
        <row r="104">
          <cell r="B104" t="str">
            <v>Avastin US COGS (%)</v>
          </cell>
          <cell r="P104">
            <v>0.12</v>
          </cell>
          <cell r="R104">
            <v>0.12</v>
          </cell>
          <cell r="T104">
            <v>0.12</v>
          </cell>
          <cell r="V104">
            <v>0.12</v>
          </cell>
        </row>
        <row r="105">
          <cell r="B105" t="str">
            <v>Herceptin US COGS ($M)</v>
          </cell>
          <cell r="P105">
            <v>188.03529142302889</v>
          </cell>
          <cell r="R105">
            <v>201.22743725388611</v>
          </cell>
          <cell r="T105">
            <v>212.71601293076185</v>
          </cell>
          <cell r="V105">
            <v>224.86570784728451</v>
          </cell>
        </row>
        <row r="106">
          <cell r="B106" t="str">
            <v>Herceptin US COGS (%)</v>
          </cell>
          <cell r="P106">
            <v>0.12</v>
          </cell>
          <cell r="R106">
            <v>0.12</v>
          </cell>
          <cell r="T106">
            <v>0.12</v>
          </cell>
          <cell r="V106">
            <v>0.12</v>
          </cell>
        </row>
        <row r="107">
          <cell r="B107" t="str">
            <v>Lucentis COGS ($M)</v>
          </cell>
          <cell r="P107">
            <v>36</v>
          </cell>
          <cell r="R107">
            <v>44</v>
          </cell>
          <cell r="T107">
            <v>48</v>
          </cell>
          <cell r="V107">
            <v>52</v>
          </cell>
        </row>
        <row r="108">
          <cell r="B108" t="str">
            <v>Lucentis COGS (%)</v>
          </cell>
          <cell r="P108">
            <v>0.08</v>
          </cell>
          <cell r="R108">
            <v>0.08</v>
          </cell>
          <cell r="T108">
            <v>0.08</v>
          </cell>
          <cell r="V108">
            <v>0.08</v>
          </cell>
        </row>
        <row r="109">
          <cell r="B109" t="str">
            <v>Tarceva COGS ($M)</v>
          </cell>
          <cell r="P109">
            <v>27.886133421897846</v>
          </cell>
          <cell r="R109">
            <v>31.358250204914803</v>
          </cell>
          <cell r="T109">
            <v>35.47312452941911</v>
          </cell>
          <cell r="V109">
            <v>38.738165421000645</v>
          </cell>
        </row>
        <row r="110">
          <cell r="B110" t="str">
            <v>Xolair COGS ($M)</v>
          </cell>
          <cell r="P110">
            <v>162.55170346477431</v>
          </cell>
          <cell r="R110">
            <v>171.61265728377725</v>
          </cell>
          <cell r="T110">
            <v>183.38112754984081</v>
          </cell>
          <cell r="V110">
            <v>196.51930021468087</v>
          </cell>
        </row>
        <row r="111">
          <cell r="B111" t="str">
            <v>Xolair US COGS ($M))</v>
          </cell>
          <cell r="P111">
            <v>142.32963792903627</v>
          </cell>
          <cell r="R111">
            <v>145.82952372571125</v>
          </cell>
          <cell r="T111">
            <v>148.31606591087103</v>
          </cell>
          <cell r="V111">
            <v>151.8113466249944</v>
          </cell>
        </row>
        <row r="112">
          <cell r="B112" t="str">
            <v>Xolair EU COGS ($M))</v>
          </cell>
          <cell r="P112">
            <v>20.222065535738043</v>
          </cell>
          <cell r="R112">
            <v>25.783133558066002</v>
          </cell>
          <cell r="T112">
            <v>35.065061638969773</v>
          </cell>
          <cell r="V112">
            <v>44.707953589686461</v>
          </cell>
        </row>
        <row r="113">
          <cell r="B113" t="str">
            <v>Raptiva COGS ($M)</v>
          </cell>
          <cell r="P113">
            <v>31.567268567818218</v>
          </cell>
          <cell r="R113">
            <v>30.496158489517082</v>
          </cell>
          <cell r="T113">
            <v>32.039264109086645</v>
          </cell>
          <cell r="V113">
            <v>33.660450873006425</v>
          </cell>
        </row>
        <row r="114">
          <cell r="B114" t="str">
            <v>Raptiva US COGS ($M))</v>
          </cell>
          <cell r="P114">
            <v>17.960687288586225</v>
          </cell>
          <cell r="R114">
            <v>16.20108419755595</v>
          </cell>
          <cell r="T114">
            <v>17.020859057952279</v>
          </cell>
          <cell r="V114">
            <v>17.882114526284667</v>
          </cell>
        </row>
        <row r="115">
          <cell r="B115" t="str">
            <v>Raptiva EU COGS ($M))</v>
          </cell>
          <cell r="P115">
            <v>13.606581279231992</v>
          </cell>
          <cell r="R115">
            <v>14.295074291961132</v>
          </cell>
          <cell r="T115">
            <v>15.018405051134366</v>
          </cell>
          <cell r="V115">
            <v>15.778336346721762</v>
          </cell>
        </row>
        <row r="116">
          <cell r="B116" t="str">
            <v>Other Products COGS ($M)</v>
          </cell>
          <cell r="P116">
            <v>102.06479999999999</v>
          </cell>
          <cell r="R116">
            <v>99.100427999999994</v>
          </cell>
          <cell r="T116">
            <v>103.70992788</v>
          </cell>
          <cell r="V116">
            <v>108.44268931079999</v>
          </cell>
        </row>
        <row r="117">
          <cell r="B117" t="str">
            <v>Other Products COGS (%)</v>
          </cell>
          <cell r="P117">
            <v>0.12</v>
          </cell>
          <cell r="R117">
            <v>0.12</v>
          </cell>
          <cell r="T117">
            <v>0.12</v>
          </cell>
          <cell r="V117">
            <v>0.12</v>
          </cell>
        </row>
        <row r="118">
          <cell r="B118" t="str">
            <v>COGS on Roche Transfer ($M)</v>
          </cell>
          <cell r="P118">
            <v>322.79000000000002</v>
          </cell>
          <cell r="R118">
            <v>254.88000000000002</v>
          </cell>
          <cell r="T118">
            <v>171.13247999999999</v>
          </cell>
          <cell r="V118">
            <v>89.022239999999996</v>
          </cell>
        </row>
        <row r="119">
          <cell r="B119" t="str">
            <v>Roche Transfer COGS (%)</v>
          </cell>
          <cell r="P119">
            <v>0.8</v>
          </cell>
          <cell r="R119">
            <v>0.8</v>
          </cell>
          <cell r="T119">
            <v>0.8</v>
          </cell>
          <cell r="V119">
            <v>0.8</v>
          </cell>
        </row>
        <row r="120">
          <cell r="B120" t="str">
            <v>TOTAL COGS</v>
          </cell>
          <cell r="P120">
            <v>1506.7599287814626</v>
          </cell>
          <cell r="R120">
            <v>1619.0699996815897</v>
          </cell>
          <cell r="T120">
            <v>1702.8029601920346</v>
          </cell>
          <cell r="V120">
            <v>1774.5598005138277</v>
          </cell>
        </row>
        <row r="122">
          <cell r="B122" t="str">
            <v>COLLABORATIVE</v>
          </cell>
        </row>
        <row r="123">
          <cell r="B123" t="str">
            <v>Rituxan Payment ($M)</v>
          </cell>
          <cell r="P123">
            <v>777.68984207466451</v>
          </cell>
          <cell r="R123">
            <v>862.40531216204784</v>
          </cell>
          <cell r="T123">
            <v>944.03820204685792</v>
          </cell>
          <cell r="V123">
            <v>1030.4000000000001</v>
          </cell>
        </row>
        <row r="124">
          <cell r="B124" t="str">
            <v>Rituxan payment (%)</v>
          </cell>
          <cell r="P124">
            <v>0.32</v>
          </cell>
          <cell r="R124">
            <v>0.32</v>
          </cell>
          <cell r="T124">
            <v>0.32</v>
          </cell>
          <cell r="V124">
            <v>0.32</v>
          </cell>
        </row>
        <row r="125">
          <cell r="B125" t="str">
            <v>Tarceva Payment ($M)</v>
          </cell>
          <cell r="P125">
            <v>266.36815092992731</v>
          </cell>
          <cell r="R125">
            <v>327.82412715160547</v>
          </cell>
          <cell r="T125">
            <v>371.21780755890063</v>
          </cell>
          <cell r="V125">
            <v>409.91598848300674</v>
          </cell>
        </row>
        <row r="126">
          <cell r="B126" t="str">
            <v>Xolair Payment ($M)</v>
          </cell>
          <cell r="P126">
            <v>138.81661576624447</v>
          </cell>
          <cell r="R126">
            <v>148.69147088800673</v>
          </cell>
          <cell r="T126">
            <v>162.04257240736885</v>
          </cell>
          <cell r="V126">
            <v>170.5998248078663</v>
          </cell>
        </row>
        <row r="127">
          <cell r="B127" t="str">
            <v>Payment to Genentech ($M)</v>
          </cell>
          <cell r="P127">
            <v>147.07395919333749</v>
          </cell>
          <cell r="R127">
            <v>169.2664114673434</v>
          </cell>
          <cell r="T127">
            <v>193.95177849883135</v>
          </cell>
          <cell r="V127">
            <v>212.53588527499218</v>
          </cell>
        </row>
        <row r="128">
          <cell r="B128" t="str">
            <v>DNA Ex-US Profit ($M)</v>
          </cell>
          <cell r="P128">
            <v>-8.2573434270930335</v>
          </cell>
          <cell r="R128">
            <v>-20.574940579336669</v>
          </cell>
          <cell r="T128">
            <v>-31.909206091462487</v>
          </cell>
          <cell r="V128">
            <v>-41.936060467125898</v>
          </cell>
        </row>
        <row r="129">
          <cell r="B129" t="str">
            <v>Raptiva Payment ($M)</v>
          </cell>
          <cell r="P129">
            <v>8.3907251221930608</v>
          </cell>
          <cell r="R129">
            <v>10.244803242572145</v>
          </cell>
          <cell r="T129">
            <v>10.763190286646296</v>
          </cell>
          <cell r="V129">
            <v>11.307807715150599</v>
          </cell>
        </row>
        <row r="130">
          <cell r="B130" t="str">
            <v>TOTAL PAYMENTS</v>
          </cell>
          <cell r="P130">
            <v>1191.2653338930295</v>
          </cell>
          <cell r="R130">
            <v>1349.1657134442321</v>
          </cell>
          <cell r="T130">
            <v>1488.0617722997738</v>
          </cell>
          <cell r="V130">
            <v>1622.2236210060237</v>
          </cell>
        </row>
        <row r="132">
          <cell r="B132" t="str">
            <v>Current Basic Shares Outstanding</v>
          </cell>
          <cell r="H132">
            <v>1060.6189999999999</v>
          </cell>
          <cell r="AB132" t="str">
            <v>mstag:currentBasicSharesOutstanding</v>
          </cell>
          <cell r="AC132">
            <v>6</v>
          </cell>
          <cell r="AD132" t="str">
            <v>ms_eqr_gcim_Decimal:ms_eqr_gcim_decimal</v>
          </cell>
          <cell r="AE132" t="b">
            <v>0</v>
          </cell>
          <cell r="AF132" t="b">
            <v>0</v>
          </cell>
        </row>
        <row r="133">
          <cell r="B133" t="str">
            <v>Current Diluted Shares Outstanding</v>
          </cell>
          <cell r="H133">
            <v>1087.087</v>
          </cell>
          <cell r="AB133" t="str">
            <v>mstag:currentDilutedSharesOutstanding</v>
          </cell>
          <cell r="AC133">
            <v>6</v>
          </cell>
          <cell r="AD133" t="str">
            <v>ms_eqr_gcim_Decimal:ms_eqr_gcim_decimal</v>
          </cell>
          <cell r="AE133" t="b">
            <v>0</v>
          </cell>
          <cell r="AF133" t="b">
            <v>0</v>
          </cell>
        </row>
        <row r="134">
          <cell r="B134" t="str">
            <v>INTEREST CALCULATIONS</v>
          </cell>
        </row>
        <row r="135">
          <cell r="B135" t="str">
            <v>Cash and Equivalents</v>
          </cell>
          <cell r="E135">
            <v>2662.1325000000002</v>
          </cell>
          <cell r="F135">
            <v>2233.3744999999999</v>
          </cell>
          <cell r="H135">
            <v>2268.1279213292892</v>
          </cell>
          <cell r="J135">
            <v>2857.4149213292885</v>
          </cell>
          <cell r="L135">
            <v>3297.1620000000003</v>
          </cell>
          <cell r="N135">
            <v>3702.1018822259666</v>
          </cell>
          <cell r="P135">
            <v>3956.9953926703447</v>
          </cell>
          <cell r="R135">
            <v>5353.6803473669661</v>
          </cell>
          <cell r="T135">
            <v>7971.2501559284938</v>
          </cell>
          <cell r="V135">
            <v>11307.855993356801</v>
          </cell>
        </row>
        <row r="136">
          <cell r="B136" t="str">
            <v>Return on assets</v>
          </cell>
          <cell r="E136">
            <v>5.071310312315408E-2</v>
          </cell>
          <cell r="F136">
            <v>4.8277617569288091E-2</v>
          </cell>
          <cell r="H136">
            <v>4.0917886124169002E-2</v>
          </cell>
          <cell r="J136">
            <v>2.8906197480614865E-2</v>
          </cell>
          <cell r="L136">
            <v>4.2733720696768916E-2</v>
          </cell>
          <cell r="N136">
            <v>3.5000000000000003E-2</v>
          </cell>
          <cell r="P136">
            <v>0.04</v>
          </cell>
          <cell r="R136">
            <v>0.04</v>
          </cell>
          <cell r="T136">
            <v>3.7499999999999999E-2</v>
          </cell>
          <cell r="V136">
            <v>3.7499999999999999E-2</v>
          </cell>
        </row>
        <row r="137">
          <cell r="B137" t="str">
            <v>Interest Income</v>
          </cell>
          <cell r="E137">
            <v>135.005</v>
          </cell>
          <cell r="F137">
            <v>107.822</v>
          </cell>
          <cell r="H137">
            <v>92.807000000000002</v>
          </cell>
          <cell r="J137">
            <v>82.597000000000008</v>
          </cell>
          <cell r="L137">
            <v>140.9</v>
          </cell>
          <cell r="N137">
            <v>129.57356587790883</v>
          </cell>
          <cell r="P137">
            <v>158.27981570681379</v>
          </cell>
          <cell r="R137">
            <v>214.14721389467866</v>
          </cell>
          <cell r="T137">
            <v>298.9218808473185</v>
          </cell>
          <cell r="V137">
            <v>424.04459975088002</v>
          </cell>
        </row>
        <row r="138">
          <cell r="B138" t="str">
            <v>Test</v>
          </cell>
          <cell r="J138">
            <v>82.597000000000008</v>
          </cell>
          <cell r="L138">
            <v>140.9</v>
          </cell>
          <cell r="N138">
            <v>228</v>
          </cell>
          <cell r="P138">
            <v>158.27981570681379</v>
          </cell>
          <cell r="R138">
            <v>214.14721389467866</v>
          </cell>
          <cell r="T138">
            <v>298.9218808473185</v>
          </cell>
          <cell r="V138">
            <v>424.04459975088002</v>
          </cell>
        </row>
        <row r="140">
          <cell r="B140" t="str">
            <v>Interest Bearing Obligations</v>
          </cell>
          <cell r="F140">
            <v>0</v>
          </cell>
          <cell r="H140">
            <v>412.25</v>
          </cell>
          <cell r="J140">
            <v>412.25</v>
          </cell>
          <cell r="L140">
            <v>2083.0239999999999</v>
          </cell>
          <cell r="N140">
            <v>2083.0239999999999</v>
          </cell>
          <cell r="P140">
            <v>2083.0239999999999</v>
          </cell>
          <cell r="R140">
            <v>2083.0239999999999</v>
          </cell>
          <cell r="T140">
            <v>2083.0239999999999</v>
          </cell>
          <cell r="V140">
            <v>1583.0239999999999</v>
          </cell>
        </row>
        <row r="141">
          <cell r="B141" t="str">
            <v>Interest Rate</v>
          </cell>
          <cell r="F141">
            <v>9.3300000000000005E-5</v>
          </cell>
          <cell r="L141">
            <v>-4.7720552427624449E-2</v>
          </cell>
          <cell r="N141">
            <v>-4.7720552427624449E-2</v>
          </cell>
          <cell r="P141">
            <v>-4.7720552427624449E-2</v>
          </cell>
          <cell r="R141">
            <v>-4.7720552427624449E-2</v>
          </cell>
          <cell r="T141">
            <v>-4.7720552427624449E-2</v>
          </cell>
          <cell r="V141">
            <v>-4.8895693305976408E-2</v>
          </cell>
        </row>
        <row r="142">
          <cell r="B142" t="str">
            <v>Interest Expense</v>
          </cell>
          <cell r="F142">
            <v>0</v>
          </cell>
          <cell r="L142">
            <v>-99.403055999999992</v>
          </cell>
          <cell r="N142">
            <v>-99.403055999999992</v>
          </cell>
          <cell r="P142">
            <v>-99.403055999999992</v>
          </cell>
          <cell r="R142">
            <v>-99.403055999999992</v>
          </cell>
          <cell r="T142">
            <v>-99.403055999999992</v>
          </cell>
          <cell r="V142">
            <v>-77.403055999999992</v>
          </cell>
        </row>
        <row r="143">
          <cell r="B143" t="str">
            <v>Debt #1</v>
          </cell>
          <cell r="F143">
            <v>554.72799999999995</v>
          </cell>
          <cell r="H143">
            <v>623.29</v>
          </cell>
          <cell r="J143">
            <v>703.12</v>
          </cell>
          <cell r="L143">
            <v>583.02399999999989</v>
          </cell>
          <cell r="N143">
            <v>583.02399999999989</v>
          </cell>
          <cell r="P143">
            <v>583.02399999999989</v>
          </cell>
          <cell r="R143">
            <v>583.02399999999989</v>
          </cell>
          <cell r="T143">
            <v>583.02399999999989</v>
          </cell>
          <cell r="V143">
            <v>83.023999999999887</v>
          </cell>
        </row>
        <row r="144">
          <cell r="B144" t="str">
            <v>Interest Rate</v>
          </cell>
          <cell r="F144">
            <v>9.3300000000000005E-5</v>
          </cell>
          <cell r="H144">
            <v>9.3300000000000005E-5</v>
          </cell>
          <cell r="J144">
            <v>9.3300000000000005E-5</v>
          </cell>
          <cell r="L144">
            <v>4.3999999999999997E-2</v>
          </cell>
          <cell r="N144">
            <v>4.3999999999999997E-2</v>
          </cell>
          <cell r="P144">
            <v>4.3999999999999997E-2</v>
          </cell>
          <cell r="R144">
            <v>4.3999999999999997E-2</v>
          </cell>
          <cell r="T144">
            <v>4.3999999999999997E-2</v>
          </cell>
          <cell r="V144">
            <v>4.3999999999999997E-2</v>
          </cell>
        </row>
        <row r="145">
          <cell r="B145" t="str">
            <v>Interest Expense</v>
          </cell>
          <cell r="F145">
            <v>5.17561224E-2</v>
          </cell>
          <cell r="H145">
            <v>5.8152956999999998E-2</v>
          </cell>
          <cell r="J145">
            <v>6.5601095999999998E-2</v>
          </cell>
          <cell r="L145">
            <v>25.653055999999992</v>
          </cell>
          <cell r="N145">
            <v>25.653055999999992</v>
          </cell>
          <cell r="P145">
            <v>25.653055999999992</v>
          </cell>
          <cell r="R145">
            <v>25.653055999999992</v>
          </cell>
          <cell r="T145">
            <v>25.653055999999992</v>
          </cell>
          <cell r="V145">
            <v>3.653055999999995</v>
          </cell>
        </row>
        <row r="146">
          <cell r="B146" t="str">
            <v>Debt #2</v>
          </cell>
          <cell r="F146">
            <v>0</v>
          </cell>
          <cell r="H146">
            <v>0</v>
          </cell>
          <cell r="J146">
            <v>0</v>
          </cell>
          <cell r="L146">
            <v>1000</v>
          </cell>
          <cell r="N146">
            <v>1000</v>
          </cell>
          <cell r="P146">
            <v>1000</v>
          </cell>
          <cell r="R146">
            <v>1000</v>
          </cell>
          <cell r="T146">
            <v>1000</v>
          </cell>
          <cell r="V146">
            <v>1000</v>
          </cell>
        </row>
        <row r="147">
          <cell r="B147" t="str">
            <v>Interest Rate</v>
          </cell>
          <cell r="F147">
            <v>9.3300000000000005E-5</v>
          </cell>
          <cell r="H147">
            <v>0</v>
          </cell>
          <cell r="J147">
            <v>0</v>
          </cell>
          <cell r="L147">
            <v>4.7500000000000001E-2</v>
          </cell>
          <cell r="N147">
            <v>4.7500000000000001E-2</v>
          </cell>
          <cell r="P147">
            <v>4.7500000000000001E-2</v>
          </cell>
          <cell r="R147">
            <v>4.7500000000000001E-2</v>
          </cell>
          <cell r="T147">
            <v>4.7500000000000001E-2</v>
          </cell>
          <cell r="V147">
            <v>4.7500000000000001E-2</v>
          </cell>
        </row>
        <row r="148">
          <cell r="B148" t="str">
            <v>Interest Expense</v>
          </cell>
          <cell r="F148">
            <v>0</v>
          </cell>
          <cell r="H148">
            <v>0</v>
          </cell>
          <cell r="J148">
            <v>0</v>
          </cell>
          <cell r="L148">
            <v>47.5</v>
          </cell>
          <cell r="N148">
            <v>47.5</v>
          </cell>
          <cell r="P148">
            <v>47.5</v>
          </cell>
          <cell r="R148">
            <v>47.5</v>
          </cell>
          <cell r="T148">
            <v>47.5</v>
          </cell>
          <cell r="V148">
            <v>47.5</v>
          </cell>
        </row>
        <row r="149">
          <cell r="B149" t="str">
            <v>Debt #3</v>
          </cell>
          <cell r="F149">
            <v>-1590.366</v>
          </cell>
          <cell r="H149">
            <v>0</v>
          </cell>
          <cell r="J149">
            <v>0</v>
          </cell>
          <cell r="L149">
            <v>500</v>
          </cell>
          <cell r="N149">
            <v>500</v>
          </cell>
          <cell r="P149">
            <v>500</v>
          </cell>
          <cell r="R149">
            <v>500</v>
          </cell>
          <cell r="T149">
            <v>500</v>
          </cell>
          <cell r="V149">
            <v>500</v>
          </cell>
        </row>
        <row r="150">
          <cell r="B150" t="str">
            <v>Interest Rate</v>
          </cell>
          <cell r="F150">
            <v>9.3300000000000005E-5</v>
          </cell>
          <cell r="H150">
            <v>0</v>
          </cell>
          <cell r="J150">
            <v>0</v>
          </cell>
          <cell r="L150">
            <v>5.2499999999999998E-2</v>
          </cell>
          <cell r="N150">
            <v>5.2499999999999998E-2</v>
          </cell>
          <cell r="P150">
            <v>5.2499999999999998E-2</v>
          </cell>
          <cell r="R150">
            <v>5.2499999999999998E-2</v>
          </cell>
          <cell r="T150">
            <v>5.2499999999999998E-2</v>
          </cell>
          <cell r="V150">
            <v>5.2499999999999998E-2</v>
          </cell>
        </row>
        <row r="151">
          <cell r="B151" t="str">
            <v>Interest Expense</v>
          </cell>
          <cell r="F151">
            <v>-0.1483811478</v>
          </cell>
          <cell r="H151">
            <v>0</v>
          </cell>
          <cell r="J151">
            <v>0</v>
          </cell>
          <cell r="L151">
            <v>26.25</v>
          </cell>
          <cell r="N151">
            <v>26.25</v>
          </cell>
          <cell r="P151">
            <v>26.25</v>
          </cell>
          <cell r="R151">
            <v>26.25</v>
          </cell>
          <cell r="T151">
            <v>26.25</v>
          </cell>
          <cell r="V151">
            <v>26.25</v>
          </cell>
        </row>
        <row r="152">
          <cell r="D152" t="str">
            <v>2000A</v>
          </cell>
          <cell r="E152" t="str">
            <v>2001A</v>
          </cell>
          <cell r="F152" t="str">
            <v>2002A</v>
          </cell>
          <cell r="H152" t="str">
            <v>2003A</v>
          </cell>
          <cell r="I152" t="str">
            <v>2004E</v>
          </cell>
          <cell r="J152" t="str">
            <v>2005E</v>
          </cell>
          <cell r="K152" t="str">
            <v>2006E</v>
          </cell>
          <cell r="L152" t="str">
            <v>2007E</v>
          </cell>
          <cell r="M152" t="str">
            <v>2008E</v>
          </cell>
          <cell r="N152" t="str">
            <v>2009E</v>
          </cell>
          <cell r="O152" t="str">
            <v>2010E</v>
          </cell>
        </row>
        <row r="153">
          <cell r="B153" t="str">
            <v>RNOA</v>
          </cell>
        </row>
        <row r="154">
          <cell r="B154" t="str">
            <v>ROE</v>
          </cell>
        </row>
        <row r="155">
          <cell r="B155" t="str">
            <v>Operating Margin</v>
          </cell>
          <cell r="D155">
            <v>0.23109484655632037</v>
          </cell>
          <cell r="E155">
            <v>0.22983837826413678</v>
          </cell>
          <cell r="F155">
            <v>0.24055711926676934</v>
          </cell>
          <cell r="H155">
            <v>0.25620589712352548</v>
          </cell>
          <cell r="I155">
            <v>0.28551025707608407</v>
          </cell>
          <cell r="J155">
            <v>0.31694360513418202</v>
          </cell>
          <cell r="K155">
            <v>0.35652364818932586</v>
          </cell>
          <cell r="L155">
            <v>0.39079481045141073</v>
          </cell>
          <cell r="M155">
            <v>0.41648950612743196</v>
          </cell>
          <cell r="N155">
            <v>0.43423843372946319</v>
          </cell>
          <cell r="O155">
            <v>0.45021543822400667</v>
          </cell>
        </row>
        <row r="193">
          <cell r="N193">
            <v>44.013721844271316</v>
          </cell>
          <cell r="P193">
            <v>33.29289312441832</v>
          </cell>
          <cell r="R193">
            <v>26.640507605564949</v>
          </cell>
          <cell r="T193">
            <v>22.631589842223477</v>
          </cell>
          <cell r="V193">
            <v>19.727270219320825</v>
          </cell>
        </row>
      </sheetData>
      <sheetData sheetId="8" refreshError="1">
        <row r="1">
          <cell r="B1" t="str">
            <v>Genentech Balance Sheet</v>
          </cell>
          <cell r="Y1" t="str">
            <v>ElementName</v>
          </cell>
          <cell r="Z1" t="str">
            <v>ScaleOverride</v>
          </cell>
          <cell r="AA1" t="str">
            <v>UnitOverride</v>
          </cell>
          <cell r="AB1" t="str">
            <v>ReverseSign</v>
          </cell>
          <cell r="AC1" t="str">
            <v>IsDrivingAssumption</v>
          </cell>
          <cell r="AD1" t="str">
            <v>SegmentID</v>
          </cell>
        </row>
        <row r="2">
          <cell r="B2" t="str">
            <v>(Dollars in millions)</v>
          </cell>
        </row>
        <row r="4">
          <cell r="C4" t="str">
            <v>1999A</v>
          </cell>
          <cell r="D4" t="str">
            <v>2000A</v>
          </cell>
          <cell r="E4" t="str">
            <v>2001A</v>
          </cell>
          <cell r="F4" t="str">
            <v>2002A</v>
          </cell>
          <cell r="H4" t="str">
            <v>2003A</v>
          </cell>
          <cell r="J4" t="str">
            <v>2004A</v>
          </cell>
          <cell r="L4" t="str">
            <v>2005A</v>
          </cell>
          <cell r="N4" t="str">
            <v>2006E</v>
          </cell>
          <cell r="P4" t="str">
            <v>2007E</v>
          </cell>
          <cell r="R4" t="str">
            <v>2008E</v>
          </cell>
          <cell r="T4" t="str">
            <v>2009E</v>
          </cell>
          <cell r="V4" t="str">
            <v>2010E</v>
          </cell>
        </row>
        <row r="6">
          <cell r="B6" t="str">
            <v>Cash and Equivalents</v>
          </cell>
          <cell r="D6">
            <v>551.38400000000001</v>
          </cell>
          <cell r="E6">
            <v>395.20299999999997</v>
          </cell>
          <cell r="F6">
            <v>208.13</v>
          </cell>
          <cell r="H6">
            <v>371.87784265857772</v>
          </cell>
          <cell r="J6">
            <v>270.12299999999999</v>
          </cell>
          <cell r="L6">
            <v>1225.511</v>
          </cell>
          <cell r="N6">
            <v>1001.9307644519329</v>
          </cell>
          <cell r="P6">
            <v>1235.2980208887568</v>
          </cell>
          <cell r="R6">
            <v>2295.300673845175</v>
          </cell>
          <cell r="T6">
            <v>3470.4376380118142</v>
          </cell>
          <cell r="V6">
            <v>4968.5123487017881</v>
          </cell>
          <cell r="Y6" t="str">
            <v>mstag:cashAndCashEquivalents</v>
          </cell>
          <cell r="Z6">
            <v>6</v>
          </cell>
          <cell r="AA6" t="str">
            <v>ISO4217:USD</v>
          </cell>
          <cell r="AB6" t="b">
            <v>0</v>
          </cell>
          <cell r="AC6" t="b">
            <v>0</v>
          </cell>
        </row>
        <row r="7">
          <cell r="B7" t="str">
            <v>Short-term investments</v>
          </cell>
          <cell r="D7">
            <v>642.47500000000002</v>
          </cell>
          <cell r="E7">
            <v>952.875</v>
          </cell>
          <cell r="F7">
            <v>826.44200000000001</v>
          </cell>
          <cell r="H7">
            <v>1139.6199999999999</v>
          </cell>
          <cell r="J7">
            <v>1394.982</v>
          </cell>
          <cell r="L7">
            <v>1139.6500000000001</v>
          </cell>
          <cell r="N7">
            <v>1139.6500000000001</v>
          </cell>
          <cell r="P7">
            <v>1264.6500000000001</v>
          </cell>
          <cell r="R7">
            <v>1514.65</v>
          </cell>
          <cell r="T7">
            <v>2014.65</v>
          </cell>
          <cell r="V7">
            <v>2514.65</v>
          </cell>
          <cell r="Y7" t="str">
            <v>mstag:shortTermInvestments</v>
          </cell>
          <cell r="Z7">
            <v>6</v>
          </cell>
          <cell r="AA7" t="str">
            <v>ISO4217:USD</v>
          </cell>
          <cell r="AB7" t="b">
            <v>0</v>
          </cell>
          <cell r="AC7" t="b">
            <v>0</v>
          </cell>
        </row>
        <row r="8">
          <cell r="B8" t="str">
            <v>Receivables, trade</v>
          </cell>
          <cell r="D8">
            <v>162.12100000000001</v>
          </cell>
          <cell r="E8">
            <v>193.203</v>
          </cell>
          <cell r="F8">
            <v>224.34299999999999</v>
          </cell>
          <cell r="H8">
            <v>299.10000000000002</v>
          </cell>
          <cell r="J8">
            <v>599.05200000000002</v>
          </cell>
          <cell r="L8">
            <v>554.45500000000004</v>
          </cell>
          <cell r="N8">
            <v>760.03000000000009</v>
          </cell>
          <cell r="P8">
            <v>939.92709347360233</v>
          </cell>
          <cell r="R8">
            <v>1092.0155259251524</v>
          </cell>
          <cell r="T8">
            <v>1122.0029983011618</v>
          </cell>
          <cell r="V8">
            <v>1051.8739766251808</v>
          </cell>
          <cell r="Y8" t="str">
            <v>mstag:tradeReceivables</v>
          </cell>
          <cell r="Z8">
            <v>6</v>
          </cell>
          <cell r="AA8" t="str">
            <v>ISO4217:USD</v>
          </cell>
          <cell r="AB8" t="b">
            <v>0</v>
          </cell>
          <cell r="AC8" t="b">
            <v>0</v>
          </cell>
        </row>
        <row r="9">
          <cell r="B9" t="str">
            <v>Receivables, other</v>
          </cell>
          <cell r="D9">
            <v>63.262</v>
          </cell>
          <cell r="E9">
            <v>77.837000000000003</v>
          </cell>
          <cell r="F9">
            <v>87.244</v>
          </cell>
          <cell r="H9">
            <v>73.400000000000006</v>
          </cell>
          <cell r="J9">
            <v>140.83799999999999</v>
          </cell>
          <cell r="L9">
            <v>232.297</v>
          </cell>
          <cell r="N9">
            <v>228.00900000000001</v>
          </cell>
          <cell r="P9">
            <v>281.9781280420807</v>
          </cell>
          <cell r="R9">
            <v>327.6046577775457</v>
          </cell>
          <cell r="T9">
            <v>336.60089949034852</v>
          </cell>
          <cell r="V9">
            <v>315.56219298755423</v>
          </cell>
          <cell r="Y9" t="str">
            <v>mstag:tradeReceivables</v>
          </cell>
          <cell r="Z9">
            <v>6</v>
          </cell>
          <cell r="AA9" t="str">
            <v>ISO4217:USD</v>
          </cell>
          <cell r="AB9" t="b">
            <v>0</v>
          </cell>
          <cell r="AC9" t="b">
            <v>0</v>
          </cell>
        </row>
        <row r="10">
          <cell r="B10" t="str">
            <v>Receivables, related party</v>
          </cell>
          <cell r="D10">
            <v>36.298999999999999</v>
          </cell>
          <cell r="E10">
            <v>66.867000000000004</v>
          </cell>
          <cell r="F10">
            <v>106.89400000000001</v>
          </cell>
          <cell r="H10">
            <v>201.6</v>
          </cell>
          <cell r="J10">
            <v>217.482</v>
          </cell>
          <cell r="L10">
            <v>296.66399999999999</v>
          </cell>
          <cell r="N10">
            <v>532.02100000000007</v>
          </cell>
          <cell r="P10">
            <v>657.94896543152163</v>
          </cell>
          <cell r="R10">
            <v>764.41086814760661</v>
          </cell>
          <cell r="T10">
            <v>785.40209881081319</v>
          </cell>
          <cell r="V10">
            <v>736.31178363762649</v>
          </cell>
          <cell r="Y10" t="str">
            <v>mstag:tradeReceivables</v>
          </cell>
          <cell r="Z10">
            <v>6</v>
          </cell>
          <cell r="AA10" t="str">
            <v>ISO4217:USD</v>
          </cell>
          <cell r="AB10" t="b">
            <v>0</v>
          </cell>
          <cell r="AC10" t="b">
            <v>0</v>
          </cell>
        </row>
        <row r="11">
          <cell r="B11" t="str">
            <v>Inventories</v>
          </cell>
          <cell r="D11">
            <v>265.83</v>
          </cell>
          <cell r="E11">
            <v>356.94600000000003</v>
          </cell>
          <cell r="F11">
            <v>393.54199999999997</v>
          </cell>
          <cell r="H11">
            <v>469.64</v>
          </cell>
          <cell r="J11">
            <v>590.34299999999996</v>
          </cell>
          <cell r="L11">
            <v>702.51499999999999</v>
          </cell>
          <cell r="N11">
            <v>905.58340740740744</v>
          </cell>
          <cell r="P11">
            <v>1076.257091986759</v>
          </cell>
          <cell r="R11">
            <v>1156.4785712011355</v>
          </cell>
          <cell r="T11">
            <v>1216.2878287085962</v>
          </cell>
          <cell r="V11">
            <v>1267.542714652734</v>
          </cell>
          <cell r="Y11" t="str">
            <v>mstag:inventories</v>
          </cell>
          <cell r="Z11">
            <v>6</v>
          </cell>
          <cell r="AA11" t="str">
            <v>ISO4217:USD</v>
          </cell>
          <cell r="AB11" t="b">
            <v>0</v>
          </cell>
          <cell r="AC11" t="b">
            <v>0</v>
          </cell>
        </row>
        <row r="12">
          <cell r="B12" t="str">
            <v>Deferred Tax assets, Net</v>
          </cell>
          <cell r="D12">
            <v>40.619</v>
          </cell>
          <cell r="E12">
            <v>139.56700000000001</v>
          </cell>
          <cell r="F12">
            <v>82.299000000000007</v>
          </cell>
          <cell r="H12">
            <v>121.88500000000001</v>
          </cell>
          <cell r="J12">
            <v>148.37</v>
          </cell>
          <cell r="L12">
            <v>166.56100000000001</v>
          </cell>
          <cell r="N12">
            <v>166.56100000000001</v>
          </cell>
          <cell r="P12">
            <v>166.56100000000001</v>
          </cell>
          <cell r="R12">
            <v>166.56100000000001</v>
          </cell>
          <cell r="T12">
            <v>166.56100000000001</v>
          </cell>
          <cell r="V12">
            <v>166.56100000000001</v>
          </cell>
          <cell r="Y12" t="str">
            <v>mstag:deferredTaxAssets</v>
          </cell>
          <cell r="Z12">
            <v>6</v>
          </cell>
          <cell r="AA12" t="str">
            <v>ISO4217:USD</v>
          </cell>
          <cell r="AB12" t="b">
            <v>0</v>
          </cell>
          <cell r="AC12" t="b">
            <v>0</v>
          </cell>
        </row>
        <row r="13">
          <cell r="B13" t="str">
            <v>Prepaid expenses and other current assets</v>
          </cell>
          <cell r="D13">
            <v>31.431999999999999</v>
          </cell>
          <cell r="E13">
            <v>38.896000000000001</v>
          </cell>
          <cell r="F13">
            <v>153.88999999999999</v>
          </cell>
          <cell r="H13">
            <v>79.44</v>
          </cell>
          <cell r="J13">
            <v>61.567</v>
          </cell>
          <cell r="L13">
            <v>101.126</v>
          </cell>
          <cell r="N13">
            <v>146.7183995</v>
          </cell>
          <cell r="P13">
            <v>206.13904673091855</v>
          </cell>
          <cell r="R13">
            <v>229.39290678567519</v>
          </cell>
          <cell r="T13">
            <v>247.56660773485044</v>
          </cell>
          <cell r="V13">
            <v>260.2368329771009</v>
          </cell>
          <cell r="Y13" t="str">
            <v>mstag:prepaidExpenses</v>
          </cell>
          <cell r="Z13">
            <v>6</v>
          </cell>
          <cell r="AA13" t="str">
            <v>ISO4217:USD</v>
          </cell>
          <cell r="AB13" t="b">
            <v>0</v>
          </cell>
          <cell r="AC13" t="b">
            <v>0</v>
          </cell>
        </row>
        <row r="14">
          <cell r="B14" t="str">
            <v>Total current assets</v>
          </cell>
          <cell r="D14">
            <v>1793.4219999999998</v>
          </cell>
          <cell r="E14">
            <v>2221.3940000000002</v>
          </cell>
          <cell r="F14">
            <v>2082.7840000000001</v>
          </cell>
          <cell r="H14">
            <v>2756.5628426585777</v>
          </cell>
          <cell r="J14">
            <v>3422.7570000000001</v>
          </cell>
          <cell r="L14">
            <v>4418.7790000000005</v>
          </cell>
          <cell r="N14">
            <v>4880.5035713593397</v>
          </cell>
          <cell r="P14">
            <v>5828.7593465536384</v>
          </cell>
          <cell r="R14">
            <v>7546.4142036822905</v>
          </cell>
          <cell r="T14">
            <v>9359.5090710575842</v>
          </cell>
          <cell r="V14">
            <v>11281.250849581984</v>
          </cell>
        </row>
        <row r="16">
          <cell r="B16" t="str">
            <v>Long-term marketable securities</v>
          </cell>
          <cell r="D16">
            <v>1265.5150000000001</v>
          </cell>
          <cell r="E16">
            <v>1516.8130000000001</v>
          </cell>
          <cell r="F16">
            <v>567.28599999999994</v>
          </cell>
          <cell r="H16">
            <v>1422.9</v>
          </cell>
          <cell r="J16">
            <v>1115.327</v>
          </cell>
          <cell r="L16">
            <v>1448.731</v>
          </cell>
          <cell r="N16">
            <v>1448.731</v>
          </cell>
          <cell r="P16">
            <v>1823.731</v>
          </cell>
          <cell r="R16">
            <v>2573.7309999999998</v>
          </cell>
          <cell r="T16">
            <v>4073.7309999999998</v>
          </cell>
          <cell r="V16">
            <v>5573.7309999999998</v>
          </cell>
          <cell r="Y16" t="str">
            <v>mstag:longTermInvestmentsNonOperating</v>
          </cell>
          <cell r="Z16">
            <v>6</v>
          </cell>
          <cell r="AA16" t="str">
            <v>ISO4217:USD</v>
          </cell>
          <cell r="AB16" t="b">
            <v>0</v>
          </cell>
          <cell r="AC16" t="b">
            <v>0</v>
          </cell>
        </row>
        <row r="17">
          <cell r="B17" t="str">
            <v>Property, Plant &amp; Equipment, Net</v>
          </cell>
          <cell r="D17">
            <v>752.89200000000005</v>
          </cell>
          <cell r="E17">
            <v>865.66800000000001</v>
          </cell>
          <cell r="F17">
            <v>1068.7339999999999</v>
          </cell>
          <cell r="H17">
            <v>1617.9</v>
          </cell>
          <cell r="J17">
            <v>2091.404</v>
          </cell>
          <cell r="L17">
            <v>3349.3519999999999</v>
          </cell>
          <cell r="N17">
            <v>4554.0653750000001</v>
          </cell>
          <cell r="P17">
            <v>5783.2955411838693</v>
          </cell>
          <cell r="R17">
            <v>6559.6626049312927</v>
          </cell>
          <cell r="T17">
            <v>6993.2829589207122</v>
          </cell>
          <cell r="V17">
            <v>7343.3774458479393</v>
          </cell>
          <cell r="Y17" t="str">
            <v>mstag:propertyPlantAndEquipmentNet</v>
          </cell>
          <cell r="Z17">
            <v>6</v>
          </cell>
          <cell r="AA17" t="str">
            <v>ISO4217:USD</v>
          </cell>
          <cell r="AB17" t="b">
            <v>0</v>
          </cell>
          <cell r="AC17" t="b">
            <v>0</v>
          </cell>
        </row>
        <row r="18">
          <cell r="B18" t="str">
            <v>Goodwill</v>
          </cell>
          <cell r="D18">
            <v>1280.3589999999999</v>
          </cell>
          <cell r="E18">
            <v>1302.4929999999999</v>
          </cell>
          <cell r="F18">
            <v>1315.09</v>
          </cell>
          <cell r="H18">
            <v>1315.09</v>
          </cell>
          <cell r="J18">
            <v>1315.019</v>
          </cell>
          <cell r="L18">
            <v>1315.019</v>
          </cell>
          <cell r="N18">
            <v>1315.019</v>
          </cell>
          <cell r="P18">
            <v>1315.019</v>
          </cell>
          <cell r="R18">
            <v>1315.019</v>
          </cell>
          <cell r="T18">
            <v>1315.019</v>
          </cell>
          <cell r="V18">
            <v>1315.019</v>
          </cell>
          <cell r="Y18" t="str">
            <v>mstag:goodwill</v>
          </cell>
          <cell r="Z18">
            <v>6</v>
          </cell>
          <cell r="AA18" t="str">
            <v>ISO4217:USD</v>
          </cell>
          <cell r="AB18" t="b">
            <v>0</v>
          </cell>
          <cell r="AC18" t="b">
            <v>0</v>
          </cell>
        </row>
        <row r="19">
          <cell r="B19" t="str">
            <v>Intangible Assets, net</v>
          </cell>
          <cell r="D19">
            <v>1455.778</v>
          </cell>
          <cell r="E19">
            <v>1113.299</v>
          </cell>
          <cell r="F19">
            <v>927.5</v>
          </cell>
          <cell r="H19">
            <v>810.81</v>
          </cell>
          <cell r="J19">
            <v>668.39099999999996</v>
          </cell>
          <cell r="L19">
            <v>573.779</v>
          </cell>
          <cell r="N19">
            <v>452.07900000000001</v>
          </cell>
          <cell r="P19">
            <v>331.57900000000001</v>
          </cell>
          <cell r="R19">
            <v>213.07900000000001</v>
          </cell>
          <cell r="T19">
            <v>213.07900000000001</v>
          </cell>
          <cell r="V19">
            <v>213.07900000000001</v>
          </cell>
          <cell r="Y19" t="str">
            <v>mstag:otherIntangibleAssets</v>
          </cell>
          <cell r="Z19">
            <v>6</v>
          </cell>
          <cell r="AA19" t="str">
            <v>ISO4217:USD</v>
          </cell>
          <cell r="AB19" t="b">
            <v>0</v>
          </cell>
          <cell r="AC19" t="b">
            <v>0</v>
          </cell>
        </row>
        <row r="20">
          <cell r="B20" t="str">
            <v>Other assets</v>
          </cell>
          <cell r="D20">
            <v>168.458</v>
          </cell>
          <cell r="E20">
            <v>127.22200000000001</v>
          </cell>
          <cell r="F20">
            <v>796.65800000000002</v>
          </cell>
          <cell r="H20">
            <v>812.7</v>
          </cell>
          <cell r="J20">
            <v>790.49700000000007</v>
          </cell>
          <cell r="L20">
            <v>1041.2190000000001</v>
          </cell>
          <cell r="N20">
            <v>1041.2190000000001</v>
          </cell>
          <cell r="P20">
            <v>1041.2190000000001</v>
          </cell>
          <cell r="R20">
            <v>1041.2190000000001</v>
          </cell>
          <cell r="T20">
            <v>1041.2190000000001</v>
          </cell>
          <cell r="V20">
            <v>1041.2190000000001</v>
          </cell>
          <cell r="Y20" t="str">
            <v>mstag:otherAssetsNonOperating</v>
          </cell>
          <cell r="Z20">
            <v>6</v>
          </cell>
          <cell r="AA20" t="str">
            <v>ISO4217:USD</v>
          </cell>
          <cell r="AB20" t="b">
            <v>0</v>
          </cell>
          <cell r="AC20" t="b">
            <v>0</v>
          </cell>
        </row>
        <row r="21">
          <cell r="B21" t="str">
            <v>Total Non-current assets</v>
          </cell>
          <cell r="D21">
            <v>4923.0019999999995</v>
          </cell>
          <cell r="E21">
            <v>4925.4949999999999</v>
          </cell>
          <cell r="F21">
            <v>4675.268</v>
          </cell>
          <cell r="H21">
            <v>5979.4000000000005</v>
          </cell>
          <cell r="J21">
            <v>5980.6379999999999</v>
          </cell>
          <cell r="L21">
            <v>7728.0999999999995</v>
          </cell>
          <cell r="N21">
            <v>8811.1133750000008</v>
          </cell>
          <cell r="P21">
            <v>10294.843541183869</v>
          </cell>
          <cell r="R21">
            <v>11702.710604931293</v>
          </cell>
          <cell r="T21">
            <v>13636.330958920713</v>
          </cell>
          <cell r="V21">
            <v>15486.425445847937</v>
          </cell>
        </row>
        <row r="23">
          <cell r="B23" t="str">
            <v>Total assets</v>
          </cell>
          <cell r="D23">
            <v>6716.4239999999991</v>
          </cell>
          <cell r="E23">
            <v>7146.8890000000001</v>
          </cell>
          <cell r="F23">
            <v>6758.0519999999997</v>
          </cell>
          <cell r="H23">
            <v>8735.9628426585787</v>
          </cell>
          <cell r="J23">
            <v>9403.3950000000004</v>
          </cell>
          <cell r="L23">
            <v>12146.879000000001</v>
          </cell>
          <cell r="N23">
            <v>13691.61694635934</v>
          </cell>
          <cell r="P23">
            <v>16123.602887737507</v>
          </cell>
          <cell r="R23">
            <v>19249.124808613582</v>
          </cell>
          <cell r="T23">
            <v>22995.840029978295</v>
          </cell>
          <cell r="V23">
            <v>26767.676295429919</v>
          </cell>
        </row>
        <row r="25">
          <cell r="B25" t="str">
            <v>Accounts Payable</v>
          </cell>
          <cell r="D25">
            <v>39.113999999999997</v>
          </cell>
          <cell r="E25">
            <v>33.347999999999999</v>
          </cell>
          <cell r="F25">
            <v>51.38</v>
          </cell>
          <cell r="H25">
            <v>59.7</v>
          </cell>
          <cell r="J25">
            <v>104.83199999999999</v>
          </cell>
          <cell r="L25">
            <v>338.97800000000001</v>
          </cell>
          <cell r="N25">
            <v>407.51253333333335</v>
          </cell>
          <cell r="P25">
            <v>456.59391781256443</v>
          </cell>
          <cell r="R25">
            <v>490.62727263078477</v>
          </cell>
          <cell r="T25">
            <v>516.00089702788932</v>
          </cell>
          <cell r="V25">
            <v>537.7453940950993</v>
          </cell>
          <cell r="Y25" t="str">
            <v>mstag:tradeAndOtherPayables</v>
          </cell>
          <cell r="Z25">
            <v>6</v>
          </cell>
          <cell r="AA25" t="str">
            <v>ISO4217:USD</v>
          </cell>
          <cell r="AB25" t="b">
            <v>0</v>
          </cell>
          <cell r="AC25" t="b">
            <v>0</v>
          </cell>
        </row>
        <row r="26">
          <cell r="B26" t="str">
            <v>Accrued liabilities-related parties</v>
          </cell>
          <cell r="D26">
            <v>12.265000000000001</v>
          </cell>
          <cell r="E26">
            <v>45.259</v>
          </cell>
          <cell r="F26">
            <v>51.116</v>
          </cell>
          <cell r="H26">
            <v>58.1</v>
          </cell>
          <cell r="J26">
            <v>108.416</v>
          </cell>
          <cell r="L26">
            <v>131.774</v>
          </cell>
          <cell r="N26">
            <v>123.24345558</v>
          </cell>
          <cell r="P26">
            <v>137.42603115394573</v>
          </cell>
          <cell r="R26">
            <v>145.28217429759431</v>
          </cell>
          <cell r="T26">
            <v>148.53996464091026</v>
          </cell>
          <cell r="V26">
            <v>147.46753868702385</v>
          </cell>
          <cell r="Y26" t="str">
            <v>mstag:accruedExpenses</v>
          </cell>
          <cell r="Z26">
            <v>6</v>
          </cell>
          <cell r="AA26" t="str">
            <v>ISO4217:USD</v>
          </cell>
          <cell r="AB26" t="b">
            <v>0</v>
          </cell>
          <cell r="AC26" t="b">
            <v>0</v>
          </cell>
        </row>
        <row r="27">
          <cell r="B27" t="str">
            <v>Accrued Liabilities</v>
          </cell>
          <cell r="D27">
            <v>386.48</v>
          </cell>
          <cell r="E27">
            <v>415.95499999999998</v>
          </cell>
          <cell r="F27">
            <v>524.12</v>
          </cell>
          <cell r="H27">
            <v>707.75</v>
          </cell>
          <cell r="J27">
            <v>978.79300000000012</v>
          </cell>
          <cell r="L27">
            <v>1144.7530000000002</v>
          </cell>
          <cell r="N27">
            <v>1109.19110022</v>
          </cell>
          <cell r="P27">
            <v>1236.8342803855116</v>
          </cell>
          <cell r="R27">
            <v>1307.5395686783486</v>
          </cell>
          <cell r="T27">
            <v>1336.8596817681923</v>
          </cell>
          <cell r="V27">
            <v>1327.2078481832148</v>
          </cell>
          <cell r="Y27" t="str">
            <v>mstag:accruedExpenses</v>
          </cell>
          <cell r="Z27">
            <v>6</v>
          </cell>
          <cell r="AA27" t="str">
            <v>ISO4217:USD</v>
          </cell>
          <cell r="AB27" t="b">
            <v>0</v>
          </cell>
          <cell r="AC27" t="b">
            <v>0</v>
          </cell>
        </row>
        <row r="28">
          <cell r="B28" t="str">
            <v>Deferred Revenue</v>
          </cell>
          <cell r="D28">
            <v>15.433</v>
          </cell>
          <cell r="E28">
            <v>19.542999999999999</v>
          </cell>
          <cell r="F28">
            <v>20.044</v>
          </cell>
          <cell r="H28">
            <v>47.48</v>
          </cell>
          <cell r="J28">
            <v>45.988999999999997</v>
          </cell>
          <cell r="L28">
            <v>44.326999999999998</v>
          </cell>
          <cell r="N28">
            <v>68.402699999999996</v>
          </cell>
          <cell r="P28">
            <v>84.593438412624209</v>
          </cell>
          <cell r="R28">
            <v>98.281397333263726</v>
          </cell>
          <cell r="T28">
            <v>109.39529233436328</v>
          </cell>
          <cell r="V28">
            <v>118.33582237033283</v>
          </cell>
          <cell r="Y28" t="str">
            <v>mstag:deferredRevenue</v>
          </cell>
          <cell r="Z28">
            <v>6</v>
          </cell>
          <cell r="AA28" t="str">
            <v>ISO4217:USD</v>
          </cell>
          <cell r="AB28" t="b">
            <v>0</v>
          </cell>
          <cell r="AC28" t="b">
            <v>0</v>
          </cell>
        </row>
        <row r="29">
          <cell r="B29" t="str">
            <v>Total current liabilities</v>
          </cell>
          <cell r="D29">
            <v>453.29200000000003</v>
          </cell>
          <cell r="E29">
            <v>514.10500000000002</v>
          </cell>
          <cell r="F29">
            <v>646.66</v>
          </cell>
          <cell r="H29">
            <v>873.03</v>
          </cell>
          <cell r="J29">
            <v>1238.0300000000002</v>
          </cell>
          <cell r="L29">
            <v>1659.8320000000001</v>
          </cell>
          <cell r="N29">
            <v>1708.3497891333334</v>
          </cell>
          <cell r="P29">
            <v>1915.447667764646</v>
          </cell>
          <cell r="R29">
            <v>2041.7304129399913</v>
          </cell>
          <cell r="T29">
            <v>2110.7958357713551</v>
          </cell>
          <cell r="V29">
            <v>2130.7566033356707</v>
          </cell>
        </row>
        <row r="31">
          <cell r="B31" t="str">
            <v xml:space="preserve">Long-Term Debt </v>
          </cell>
          <cell r="D31">
            <v>149.69200000000001</v>
          </cell>
          <cell r="E31">
            <v>149.69200000000001</v>
          </cell>
          <cell r="F31">
            <v>0</v>
          </cell>
          <cell r="H31">
            <v>412.25</v>
          </cell>
          <cell r="J31">
            <v>412.25</v>
          </cell>
          <cell r="L31">
            <v>2083.0239999999999</v>
          </cell>
          <cell r="N31">
            <v>2083.0239999999999</v>
          </cell>
          <cell r="P31">
            <v>2083.0239999999999</v>
          </cell>
          <cell r="R31">
            <v>2083.0239999999999</v>
          </cell>
          <cell r="T31">
            <v>2083.0239999999999</v>
          </cell>
          <cell r="V31">
            <v>1583.0239999999999</v>
          </cell>
          <cell r="Y31" t="str">
            <v>mstag:longTermDebt</v>
          </cell>
          <cell r="Z31">
            <v>6</v>
          </cell>
          <cell r="AA31" t="str">
            <v>ISO4217:USD</v>
          </cell>
          <cell r="AB31" t="b">
            <v>0</v>
          </cell>
          <cell r="AC31" t="b">
            <v>0</v>
          </cell>
        </row>
        <row r="32">
          <cell r="B32" t="str">
            <v>Deferred Tax Liabilities</v>
          </cell>
          <cell r="D32">
            <v>349.84800000000001</v>
          </cell>
          <cell r="E32">
            <v>447.80900000000003</v>
          </cell>
          <cell r="F32">
            <v>148.24700000000001</v>
          </cell>
          <cell r="H32">
            <v>26.056000000000001</v>
          </cell>
          <cell r="J32">
            <v>0</v>
          </cell>
          <cell r="L32">
            <v>0</v>
          </cell>
          <cell r="N32">
            <v>0</v>
          </cell>
          <cell r="P32">
            <v>0</v>
          </cell>
          <cell r="R32">
            <v>0</v>
          </cell>
          <cell r="T32">
            <v>0</v>
          </cell>
          <cell r="V32">
            <v>0</v>
          </cell>
          <cell r="Y32" t="str">
            <v>mstag:deferredTaxLiabilities</v>
          </cell>
          <cell r="Z32">
            <v>6</v>
          </cell>
          <cell r="AA32" t="str">
            <v>ISO4217:USD</v>
          </cell>
          <cell r="AB32" t="b">
            <v>0</v>
          </cell>
          <cell r="AC32" t="b">
            <v>0</v>
          </cell>
        </row>
        <row r="33">
          <cell r="B33" t="str">
            <v>Deferred Revenue</v>
          </cell>
          <cell r="D33">
            <v>87.6</v>
          </cell>
          <cell r="E33">
            <v>68.033000000000001</v>
          </cell>
          <cell r="F33">
            <v>69.533000000000001</v>
          </cell>
          <cell r="H33">
            <v>281.2</v>
          </cell>
          <cell r="J33">
            <v>267.80500000000001</v>
          </cell>
          <cell r="L33">
            <v>220.09299999999999</v>
          </cell>
          <cell r="N33">
            <v>387.61529999999999</v>
          </cell>
          <cell r="P33">
            <v>479.36281767153719</v>
          </cell>
          <cell r="R33">
            <v>556.92791822182778</v>
          </cell>
          <cell r="T33">
            <v>619.90665656139197</v>
          </cell>
          <cell r="V33">
            <v>670.56966009855273</v>
          </cell>
          <cell r="Y33" t="str">
            <v>mstag:deferredRevenue</v>
          </cell>
          <cell r="Z33">
            <v>6</v>
          </cell>
          <cell r="AA33" t="str">
            <v>ISO4217:USD</v>
          </cell>
          <cell r="AB33" t="b">
            <v>0</v>
          </cell>
          <cell r="AC33" t="b">
            <v>0</v>
          </cell>
        </row>
        <row r="34">
          <cell r="B34" t="str">
            <v>Litigation related and other long-term liabilities</v>
          </cell>
          <cell r="D34">
            <v>1.7889999999999999</v>
          </cell>
          <cell r="E34">
            <v>47.430999999999997</v>
          </cell>
          <cell r="F34">
            <v>554.72799999999995</v>
          </cell>
          <cell r="H34">
            <v>623.29</v>
          </cell>
          <cell r="J34">
            <v>703.12</v>
          </cell>
          <cell r="L34">
            <v>714.346</v>
          </cell>
          <cell r="N34">
            <v>766.346</v>
          </cell>
          <cell r="P34">
            <v>818.346</v>
          </cell>
          <cell r="R34">
            <v>870.346</v>
          </cell>
          <cell r="T34">
            <v>922.346</v>
          </cell>
          <cell r="V34">
            <v>974.346</v>
          </cell>
          <cell r="Y34" t="str">
            <v>mstag:otherLiabilitiesNonOperating</v>
          </cell>
          <cell r="Z34">
            <v>6</v>
          </cell>
          <cell r="AA34" t="str">
            <v>ISO4217:USD</v>
          </cell>
          <cell r="AB34" t="b">
            <v>0</v>
          </cell>
          <cell r="AC34" t="b">
            <v>0</v>
          </cell>
        </row>
        <row r="35">
          <cell r="B35" t="str">
            <v>Total liabilities</v>
          </cell>
          <cell r="D35">
            <v>1042.221</v>
          </cell>
          <cell r="E35">
            <v>1227.07</v>
          </cell>
          <cell r="F35">
            <v>1419.1679999999999</v>
          </cell>
          <cell r="H35">
            <v>2215.826</v>
          </cell>
          <cell r="J35">
            <v>2621.2050000000004</v>
          </cell>
          <cell r="L35">
            <v>4677.2950000000001</v>
          </cell>
          <cell r="N35">
            <v>4945.3350891333339</v>
          </cell>
          <cell r="P35">
            <v>5296.1804854361835</v>
          </cell>
          <cell r="R35">
            <v>5552.0283311618186</v>
          </cell>
          <cell r="T35">
            <v>5736.0724923327471</v>
          </cell>
          <cell r="V35">
            <v>5358.6962634342235</v>
          </cell>
        </row>
        <row r="37">
          <cell r="B37" t="str">
            <v>Stockholders' equity:</v>
          </cell>
          <cell r="J37">
            <v>642.94200000000001</v>
          </cell>
        </row>
        <row r="38">
          <cell r="B38" t="str">
            <v xml:space="preserve">Common Stock </v>
          </cell>
          <cell r="D38">
            <v>10.51</v>
          </cell>
          <cell r="E38">
            <v>10.566000000000001</v>
          </cell>
          <cell r="F38">
            <v>10.256</v>
          </cell>
          <cell r="H38">
            <v>10.494999999999999</v>
          </cell>
          <cell r="J38">
            <v>20.943000000000001</v>
          </cell>
          <cell r="L38">
            <v>21.074000000000002</v>
          </cell>
          <cell r="N38">
            <v>21.074000000000002</v>
          </cell>
          <cell r="P38">
            <v>21.074000000000002</v>
          </cell>
          <cell r="R38">
            <v>21.074000000000002</v>
          </cell>
          <cell r="T38">
            <v>21.074000000000002</v>
          </cell>
          <cell r="V38">
            <v>21.074000000000002</v>
          </cell>
          <cell r="Y38" t="str">
            <v>mstag:commonStock</v>
          </cell>
          <cell r="Z38">
            <v>6</v>
          </cell>
          <cell r="AA38" t="str">
            <v>ISO4217:USD</v>
          </cell>
          <cell r="AB38" t="b">
            <v>0</v>
          </cell>
          <cell r="AC38" t="b">
            <v>0</v>
          </cell>
        </row>
        <row r="39">
          <cell r="B39" t="str">
            <v>APIC</v>
          </cell>
          <cell r="D39">
            <v>6651.4279999999999</v>
          </cell>
          <cell r="E39">
            <v>6794.8310000000001</v>
          </cell>
          <cell r="F39">
            <v>6650.3519999999999</v>
          </cell>
          <cell r="H39">
            <v>7370.26</v>
          </cell>
          <cell r="J39">
            <v>8002.7539999999999</v>
          </cell>
          <cell r="L39">
            <v>9262.6790000000001</v>
          </cell>
          <cell r="N39">
            <v>8807.5888275460075</v>
          </cell>
          <cell r="P39">
            <v>8542.5238553393174</v>
          </cell>
          <cell r="R39">
            <v>8402.1209406899634</v>
          </cell>
          <cell r="T39">
            <v>8385.5884743906445</v>
          </cell>
          <cell r="V39">
            <v>8403.9596403285959</v>
          </cell>
          <cell r="Y39" t="str">
            <v>mstag:additionalPaidInCapital</v>
          </cell>
          <cell r="Z39">
            <v>6</v>
          </cell>
          <cell r="AA39" t="str">
            <v>ISO4217:USD</v>
          </cell>
          <cell r="AB39" t="b">
            <v>0</v>
          </cell>
          <cell r="AC39" t="b">
            <v>0</v>
          </cell>
        </row>
        <row r="40">
          <cell r="B40" t="str">
            <v>(Accumulated Deficit) Retained Earnings</v>
          </cell>
          <cell r="D40">
            <v>-1319.3530000000001</v>
          </cell>
          <cell r="E40">
            <v>-1197.3</v>
          </cell>
          <cell r="F40">
            <v>-1590.366</v>
          </cell>
          <cell r="H40">
            <v>-1157.4680000000001</v>
          </cell>
          <cell r="J40">
            <v>-1532.4549999999999</v>
          </cell>
          <cell r="L40">
            <v>-2067.5909999999999</v>
          </cell>
          <cell r="N40">
            <v>-335.80297031999976</v>
          </cell>
          <cell r="P40">
            <v>2010.4025469620071</v>
          </cell>
          <cell r="R40">
            <v>5020.4795367618008</v>
          </cell>
          <cell r="T40">
            <v>8599.6830632549063</v>
          </cell>
          <cell r="V40">
            <v>12730.524391667106</v>
          </cell>
          <cell r="Y40" t="str">
            <v>mstag:retainedEarnings</v>
          </cell>
          <cell r="Z40">
            <v>6</v>
          </cell>
          <cell r="AA40" t="str">
            <v>ISO4217:USD</v>
          </cell>
          <cell r="AB40" t="b">
            <v>0</v>
          </cell>
          <cell r="AC40" t="b">
            <v>0</v>
          </cell>
        </row>
        <row r="41">
          <cell r="B41" t="str">
            <v>Accumulated Other Comprehensive Income</v>
          </cell>
          <cell r="D41">
            <v>331.61799999999999</v>
          </cell>
          <cell r="E41">
            <v>311.72199999999998</v>
          </cell>
          <cell r="F41">
            <v>268.642</v>
          </cell>
          <cell r="H41">
            <v>296.9026437</v>
          </cell>
          <cell r="J41">
            <v>290.94799999999998</v>
          </cell>
          <cell r="L41">
            <v>253.422</v>
          </cell>
          <cell r="N41">
            <v>253.422</v>
          </cell>
          <cell r="P41">
            <v>253.422</v>
          </cell>
          <cell r="R41">
            <v>253.422</v>
          </cell>
          <cell r="T41">
            <v>253.422</v>
          </cell>
          <cell r="V41">
            <v>253.422</v>
          </cell>
          <cell r="Y41" t="str">
            <v>mstag:accumulatedOtherComprehensiveIncomeLossAndReserves</v>
          </cell>
          <cell r="Z41">
            <v>6</v>
          </cell>
          <cell r="AA41" t="str">
            <v>ISO4217:USD</v>
          </cell>
          <cell r="AB41" t="b">
            <v>0</v>
          </cell>
          <cell r="AC41" t="b">
            <v>0</v>
          </cell>
        </row>
        <row r="42">
          <cell r="B42" t="str">
            <v>Total stockholders' equity</v>
          </cell>
          <cell r="D42">
            <v>5674.2030000000004</v>
          </cell>
          <cell r="E42">
            <v>5919.8189999999995</v>
          </cell>
          <cell r="F42">
            <v>5338.884</v>
          </cell>
          <cell r="H42">
            <v>6520.1896437000005</v>
          </cell>
          <cell r="J42">
            <v>6782.1900000000005</v>
          </cell>
          <cell r="L42">
            <v>7469.5839999999998</v>
          </cell>
          <cell r="N42">
            <v>8746.2818572260094</v>
          </cell>
          <cell r="P42">
            <v>10827.422402301325</v>
          </cell>
          <cell r="R42">
            <v>13697.096477451765</v>
          </cell>
          <cell r="T42">
            <v>17259.767537645552</v>
          </cell>
          <cell r="V42">
            <v>21408.980031995699</v>
          </cell>
        </row>
        <row r="44">
          <cell r="B44" t="str">
            <v>Total Liabilities and Equity</v>
          </cell>
          <cell r="D44">
            <v>6716.4240000000009</v>
          </cell>
          <cell r="E44">
            <v>7146.8889999999992</v>
          </cell>
          <cell r="F44">
            <v>6758.0519999999997</v>
          </cell>
          <cell r="H44">
            <v>8736.0156437000005</v>
          </cell>
          <cell r="J44">
            <v>9403.3950000000004</v>
          </cell>
          <cell r="L44">
            <v>12146.879000000001</v>
          </cell>
          <cell r="N44">
            <v>13691.616946359343</v>
          </cell>
          <cell r="P44">
            <v>16123.602887737508</v>
          </cell>
          <cell r="R44">
            <v>19249.124808613582</v>
          </cell>
          <cell r="T44">
            <v>22995.840029978299</v>
          </cell>
          <cell r="V44">
            <v>26767.676295429923</v>
          </cell>
        </row>
        <row r="45">
          <cell r="J45">
            <v>0</v>
          </cell>
          <cell r="L45">
            <v>0</v>
          </cell>
          <cell r="N45">
            <v>0</v>
          </cell>
          <cell r="P45">
            <v>0</v>
          </cell>
          <cell r="R45">
            <v>0</v>
          </cell>
          <cell r="T45">
            <v>0</v>
          </cell>
          <cell r="V45">
            <v>0</v>
          </cell>
        </row>
        <row r="46">
          <cell r="J46">
            <v>0</v>
          </cell>
          <cell r="L46">
            <v>0</v>
          </cell>
          <cell r="N46">
            <v>0</v>
          </cell>
          <cell r="P46">
            <v>0</v>
          </cell>
          <cell r="R46">
            <v>0</v>
          </cell>
          <cell r="T46">
            <v>0</v>
          </cell>
          <cell r="V46">
            <v>0</v>
          </cell>
        </row>
        <row r="48">
          <cell r="B48" t="str">
            <v>change in OCI</v>
          </cell>
          <cell r="E48">
            <v>-13.619999999999948</v>
          </cell>
          <cell r="F48">
            <v>-41.321999999999832</v>
          </cell>
          <cell r="H48">
            <v>28.549801041422199</v>
          </cell>
          <cell r="J48">
            <v>-6.5446836999998368</v>
          </cell>
          <cell r="L48">
            <v>-37.672239999998425</v>
          </cell>
          <cell r="N48">
            <v>0</v>
          </cell>
          <cell r="P48">
            <v>-5.6843418860808015E-13</v>
          </cell>
          <cell r="R48">
            <v>7.9580786405131221E-13</v>
          </cell>
          <cell r="T48">
            <v>-7.3896444519050419E-13</v>
          </cell>
          <cell r="V48">
            <v>-5.1159076974727213E-13</v>
          </cell>
        </row>
        <row r="49">
          <cell r="B49" t="str">
            <v>Related to Common Stock &amp; Apic</v>
          </cell>
          <cell r="H49">
            <v>129.84699999999998</v>
          </cell>
          <cell r="J49">
            <v>1159.2129600000001</v>
          </cell>
          <cell r="L49">
            <v>1813.9807600000015</v>
          </cell>
          <cell r="N49">
            <v>0</v>
          </cell>
          <cell r="P49">
            <v>-5.6843418860808015E-13</v>
          </cell>
          <cell r="R49">
            <v>7.9580786405131221E-13</v>
          </cell>
          <cell r="T49">
            <v>-7.3896444519050419E-13</v>
          </cell>
          <cell r="V49">
            <v>-5.1159076974727213E-13</v>
          </cell>
        </row>
        <row r="50">
          <cell r="B50" t="str">
            <v>Related to Retained Earnings</v>
          </cell>
          <cell r="H50">
            <v>-129.55784265857778</v>
          </cell>
          <cell r="J50">
            <v>-1159.8029999999999</v>
          </cell>
          <cell r="L50">
            <v>-1814.127</v>
          </cell>
          <cell r="N50">
            <v>0</v>
          </cell>
          <cell r="P50">
            <v>0</v>
          </cell>
          <cell r="R50">
            <v>0</v>
          </cell>
          <cell r="T50">
            <v>0</v>
          </cell>
          <cell r="V50">
            <v>0</v>
          </cell>
        </row>
        <row r="51">
          <cell r="B51" t="str">
            <v>Related to OCI</v>
          </cell>
          <cell r="H51">
            <v>28.260643700000003</v>
          </cell>
          <cell r="J51">
            <v>-5.9546437000000196</v>
          </cell>
          <cell r="L51">
            <v>-37.525999999999982</v>
          </cell>
          <cell r="N51">
            <v>0</v>
          </cell>
          <cell r="P51">
            <v>0</v>
          </cell>
          <cell r="R51">
            <v>0</v>
          </cell>
          <cell r="T51">
            <v>0</v>
          </cell>
          <cell r="V51">
            <v>0</v>
          </cell>
        </row>
        <row r="52">
          <cell r="E52" t="e">
            <v>#REF!</v>
          </cell>
        </row>
        <row r="53">
          <cell r="H53" t="str">
            <v>2003-FY</v>
          </cell>
          <cell r="J53" t="str">
            <v>2004-FY</v>
          </cell>
          <cell r="L53" t="str">
            <v>2005-FY</v>
          </cell>
          <cell r="N53" t="str">
            <v>2006-FY</v>
          </cell>
          <cell r="P53" t="str">
            <v>2007-FY</v>
          </cell>
          <cell r="R53" t="str">
            <v>2008-FY</v>
          </cell>
          <cell r="T53" t="str">
            <v>2009-FY</v>
          </cell>
          <cell r="V53" t="str">
            <v>2010-FY</v>
          </cell>
        </row>
        <row r="54">
          <cell r="B54" t="str">
            <v>CALCULATIONS</v>
          </cell>
          <cell r="D54">
            <v>5663.6930000000002</v>
          </cell>
          <cell r="E54">
            <v>5909.2529999999997</v>
          </cell>
          <cell r="F54">
            <v>5328.6279999999997</v>
          </cell>
        </row>
        <row r="55">
          <cell r="C55">
            <v>1999</v>
          </cell>
          <cell r="D55">
            <v>2000</v>
          </cell>
          <cell r="E55" t="str">
            <v>2001</v>
          </cell>
          <cell r="F55" t="str">
            <v>2002</v>
          </cell>
          <cell r="H55" t="str">
            <v>2003A</v>
          </cell>
          <cell r="J55" t="str">
            <v>2004A</v>
          </cell>
          <cell r="L55" t="str">
            <v>2005E</v>
          </cell>
          <cell r="N55" t="str">
            <v>2006E</v>
          </cell>
          <cell r="P55" t="str">
            <v>2007E</v>
          </cell>
          <cell r="R55" t="str">
            <v>2008E</v>
          </cell>
          <cell r="T55" t="str">
            <v>2009E</v>
          </cell>
          <cell r="V55" t="str">
            <v>2010E</v>
          </cell>
        </row>
        <row r="56">
          <cell r="B56" t="str">
            <v>Revenues</v>
          </cell>
          <cell r="D56">
            <v>1637.3710000009999</v>
          </cell>
          <cell r="E56">
            <v>2044.0319999999999</v>
          </cell>
          <cell r="F56">
            <v>2583.6215596696479</v>
          </cell>
          <cell r="H56">
            <v>3300.2629999999999</v>
          </cell>
          <cell r="J56">
            <v>4621.2</v>
          </cell>
          <cell r="L56">
            <v>6633.4230000000007</v>
          </cell>
          <cell r="N56">
            <v>9120.36</v>
          </cell>
          <cell r="P56">
            <v>11279.125121683228</v>
          </cell>
          <cell r="R56">
            <v>13104.186311101828</v>
          </cell>
          <cell r="T56">
            <v>14586.038977915103</v>
          </cell>
          <cell r="V56">
            <v>15778.109649377711</v>
          </cell>
        </row>
        <row r="57">
          <cell r="B57" t="str">
            <v>Operating expenses</v>
          </cell>
          <cell r="D57">
            <v>1258.9829999999999</v>
          </cell>
          <cell r="E57">
            <v>1574.2349999999999</v>
          </cell>
          <cell r="F57">
            <v>1962.1129999999998</v>
          </cell>
          <cell r="H57">
            <v>2454.7161573414223</v>
          </cell>
          <cell r="J57">
            <v>3301.8</v>
          </cell>
          <cell r="L57">
            <v>4531.0019999999995</v>
          </cell>
          <cell r="N57">
            <v>5868.7359800000004</v>
          </cell>
          <cell r="P57">
            <v>6871.3015576972857</v>
          </cell>
          <cell r="R57">
            <v>7646.4302261891735</v>
          </cell>
          <cell r="T57">
            <v>8252.2202578283486</v>
          </cell>
          <cell r="V57">
            <v>8674.5610992366965</v>
          </cell>
        </row>
        <row r="58">
          <cell r="B58" t="str">
            <v>COGS</v>
          </cell>
          <cell r="D58">
            <v>272.06799999999998</v>
          </cell>
          <cell r="E58">
            <v>354.44200000000001</v>
          </cell>
          <cell r="F58">
            <v>441.63</v>
          </cell>
          <cell r="H58">
            <v>480.15100000000001</v>
          </cell>
          <cell r="J58">
            <v>672.5</v>
          </cell>
          <cell r="L58">
            <v>1011.0629999999999</v>
          </cell>
          <cell r="N58">
            <v>1222.5376000000001</v>
          </cell>
          <cell r="P58">
            <v>1506.7599287814626</v>
          </cell>
          <cell r="R58">
            <v>1619.0699996815897</v>
          </cell>
          <cell r="T58">
            <v>1702.8029601920346</v>
          </cell>
          <cell r="V58">
            <v>1774.5598005138277</v>
          </cell>
        </row>
        <row r="59">
          <cell r="B59" t="str">
            <v>Interest and other income</v>
          </cell>
          <cell r="D59">
            <v>90.4</v>
          </cell>
          <cell r="E59">
            <v>135.005</v>
          </cell>
          <cell r="F59">
            <v>107.822</v>
          </cell>
          <cell r="H59">
            <v>92.807000000000002</v>
          </cell>
          <cell r="J59">
            <v>82.597000000000008</v>
          </cell>
          <cell r="L59">
            <v>140.9</v>
          </cell>
          <cell r="N59">
            <v>228</v>
          </cell>
          <cell r="P59">
            <v>158.27981570681379</v>
          </cell>
          <cell r="R59">
            <v>214.14721389467866</v>
          </cell>
          <cell r="T59">
            <v>298.9218808473185</v>
          </cell>
          <cell r="V59">
            <v>424.04459975088002</v>
          </cell>
        </row>
        <row r="61">
          <cell r="B61" t="str">
            <v>Depreciation and Amortization from</v>
          </cell>
        </row>
        <row r="62">
          <cell r="A62" t="str">
            <v xml:space="preserve">Existing PP&amp;E </v>
          </cell>
          <cell r="D62">
            <v>463.00400000000002</v>
          </cell>
          <cell r="E62">
            <v>428.09100000000001</v>
          </cell>
          <cell r="F62">
            <v>88.5</v>
          </cell>
          <cell r="H62">
            <v>88.5</v>
          </cell>
          <cell r="J62">
            <v>79.650000000000006</v>
          </cell>
          <cell r="L62">
            <v>71.685000000000002</v>
          </cell>
          <cell r="N62">
            <v>64.516500000000008</v>
          </cell>
          <cell r="P62">
            <v>58.064850000000007</v>
          </cell>
          <cell r="R62">
            <v>52.258365000000005</v>
          </cell>
          <cell r="T62">
            <v>47.032528500000005</v>
          </cell>
          <cell r="V62">
            <v>42.329275650000007</v>
          </cell>
        </row>
        <row r="63">
          <cell r="A63" t="str">
            <v>2002 capital expenditures</v>
          </cell>
          <cell r="F63">
            <v>16.1416</v>
          </cell>
          <cell r="H63">
            <v>16.1416</v>
          </cell>
          <cell r="J63">
            <v>16.1416</v>
          </cell>
          <cell r="L63">
            <v>16.1416</v>
          </cell>
          <cell r="N63">
            <v>16.1416</v>
          </cell>
          <cell r="P63">
            <v>16.1416</v>
          </cell>
          <cell r="R63">
            <v>16.1416</v>
          </cell>
          <cell r="T63">
            <v>16.1416</v>
          </cell>
          <cell r="V63">
            <v>16.1416</v>
          </cell>
          <cell r="X63">
            <v>20</v>
          </cell>
        </row>
        <row r="64">
          <cell r="A64" t="str">
            <v>2003 capital expenditures</v>
          </cell>
          <cell r="H64">
            <v>20.100000000000001</v>
          </cell>
          <cell r="J64">
            <v>20.100000000000001</v>
          </cell>
          <cell r="L64">
            <v>20.100000000000001</v>
          </cell>
          <cell r="N64">
            <v>20.100000000000001</v>
          </cell>
          <cell r="P64">
            <v>20.100000000000001</v>
          </cell>
          <cell r="R64">
            <v>20.100000000000001</v>
          </cell>
          <cell r="T64">
            <v>20.100000000000001</v>
          </cell>
          <cell r="V64">
            <v>20.100000000000001</v>
          </cell>
        </row>
        <row r="65">
          <cell r="A65" t="str">
            <v>2004 capital expenditures</v>
          </cell>
          <cell r="J65">
            <v>32.492899999999999</v>
          </cell>
          <cell r="L65">
            <v>32.492899999999999</v>
          </cell>
          <cell r="N65">
            <v>32.492899999999999</v>
          </cell>
          <cell r="P65">
            <v>32.492899999999999</v>
          </cell>
          <cell r="R65">
            <v>32.492899999999999</v>
          </cell>
          <cell r="T65">
            <v>32.492899999999999</v>
          </cell>
          <cell r="V65">
            <v>32.492899999999999</v>
          </cell>
        </row>
        <row r="66">
          <cell r="A66" t="str">
            <v>2005 capital expenditures</v>
          </cell>
          <cell r="L66">
            <v>69.991200000000006</v>
          </cell>
          <cell r="N66">
            <v>69.991200000000006</v>
          </cell>
          <cell r="P66">
            <v>69.991200000000006</v>
          </cell>
          <cell r="R66">
            <v>69.991200000000006</v>
          </cell>
          <cell r="T66">
            <v>69.991200000000006</v>
          </cell>
          <cell r="V66">
            <v>69.991200000000006</v>
          </cell>
        </row>
        <row r="67">
          <cell r="A67" t="str">
            <v>2006 capital expenditures</v>
          </cell>
          <cell r="N67">
            <v>74.102924999999999</v>
          </cell>
          <cell r="P67">
            <v>74.102924999999999</v>
          </cell>
          <cell r="R67">
            <v>74.102924999999999</v>
          </cell>
          <cell r="T67">
            <v>74.102924999999999</v>
          </cell>
          <cell r="V67">
            <v>74.102924999999999</v>
          </cell>
        </row>
        <row r="68">
          <cell r="A68" t="str">
            <v>2007 capital expenditures</v>
          </cell>
          <cell r="P68">
            <v>78.953875851782612</v>
          </cell>
          <cell r="R68">
            <v>78.953875851782612</v>
          </cell>
          <cell r="T68">
            <v>78.953875851782612</v>
          </cell>
          <cell r="V68">
            <v>78.953875851782612</v>
          </cell>
        </row>
        <row r="69">
          <cell r="A69" t="str">
            <v>2008 capital expenditures</v>
          </cell>
          <cell r="R69">
            <v>58.968838399958223</v>
          </cell>
          <cell r="T69">
            <v>58.968838399958223</v>
          </cell>
          <cell r="V69">
            <v>58.968838399958223</v>
          </cell>
        </row>
        <row r="70">
          <cell r="A70" t="str">
            <v>2009 capital expenditures</v>
          </cell>
          <cell r="T70">
            <v>43.758116933745306</v>
          </cell>
          <cell r="V70">
            <v>43.758116933745306</v>
          </cell>
        </row>
        <row r="71">
          <cell r="A71" t="str">
            <v>2010 capital expenditures</v>
          </cell>
          <cell r="V71">
            <v>41.417537829616492</v>
          </cell>
        </row>
        <row r="72">
          <cell r="A72" t="str">
            <v>Total depreciation</v>
          </cell>
          <cell r="F72">
            <v>104.55499999999998</v>
          </cell>
          <cell r="H72">
            <v>125</v>
          </cell>
          <cell r="J72">
            <v>171.221</v>
          </cell>
          <cell r="L72">
            <v>210.41070000000002</v>
          </cell>
          <cell r="N72">
            <v>277.34512500000005</v>
          </cell>
          <cell r="P72">
            <v>349.84735085178261</v>
          </cell>
          <cell r="R72">
            <v>403.00970425174086</v>
          </cell>
          <cell r="T72">
            <v>441.54198468548617</v>
          </cell>
          <cell r="V72">
            <v>478.25626966510265</v>
          </cell>
        </row>
        <row r="73">
          <cell r="A73" t="str">
            <v>Amortization of intangibles</v>
          </cell>
          <cell r="F73">
            <v>170.4</v>
          </cell>
          <cell r="H73">
            <v>170.4</v>
          </cell>
          <cell r="J73">
            <v>182</v>
          </cell>
          <cell r="L73">
            <v>159.75529999999998</v>
          </cell>
          <cell r="N73">
            <v>121.7</v>
          </cell>
          <cell r="P73">
            <v>120.5</v>
          </cell>
          <cell r="R73">
            <v>118.5</v>
          </cell>
          <cell r="T73">
            <v>0</v>
          </cell>
          <cell r="V73">
            <v>0</v>
          </cell>
        </row>
        <row r="74">
          <cell r="A74" t="str">
            <v>Total depreciation and amortization</v>
          </cell>
          <cell r="C74" t="e">
            <v>#REF!</v>
          </cell>
          <cell r="D74">
            <v>463.00400000000002</v>
          </cell>
          <cell r="E74">
            <v>428.09100000000001</v>
          </cell>
          <cell r="F74">
            <v>274.95499999999998</v>
          </cell>
          <cell r="H74">
            <v>295.39999999999998</v>
          </cell>
          <cell r="J74">
            <v>353.221</v>
          </cell>
          <cell r="L74">
            <v>370.166</v>
          </cell>
          <cell r="N74">
            <v>399.04512500000004</v>
          </cell>
          <cell r="P74">
            <v>470.34735085178261</v>
          </cell>
          <cell r="R74">
            <v>521.50970425174091</v>
          </cell>
          <cell r="T74">
            <v>441.54198468548617</v>
          </cell>
          <cell r="V74">
            <v>478.25626966510265</v>
          </cell>
        </row>
        <row r="75">
          <cell r="A75" t="str">
            <v xml:space="preserve">     Depreciation as % operating expenses</v>
          </cell>
          <cell r="F75">
            <v>5.3286941170054926E-2</v>
          </cell>
          <cell r="H75">
            <v>5.0922384498980573E-2</v>
          </cell>
          <cell r="J75">
            <v>5.1856865951905022E-2</v>
          </cell>
          <cell r="L75">
            <v>4.6438006427717324E-2</v>
          </cell>
          <cell r="N75">
            <v>4.7258068167517063E-2</v>
          </cell>
          <cell r="P75">
            <v>5.0914276998930558E-2</v>
          </cell>
          <cell r="R75">
            <v>5.27056014807308E-2</v>
          </cell>
          <cell r="T75">
            <v>5.3505840960391696E-2</v>
          </cell>
          <cell r="V75">
            <v>5.513319512006043E-2</v>
          </cell>
        </row>
        <row r="76">
          <cell r="A76" t="str">
            <v xml:space="preserve">    Amortization as % of operating expenses</v>
          </cell>
          <cell r="F76">
            <v>8.6845151120246392E-2</v>
          </cell>
          <cell r="H76">
            <v>6.9417394549010317E-2</v>
          </cell>
          <cell r="J76">
            <v>5.5121448906656975E-2</v>
          </cell>
          <cell r="L76">
            <v>3.5258271790654695E-2</v>
          </cell>
          <cell r="N76">
            <v>2.0737003745736744E-2</v>
          </cell>
          <cell r="P76">
            <v>1.7536706690599972E-2</v>
          </cell>
          <cell r="R76">
            <v>1.5497427753167115E-2</v>
          </cell>
          <cell r="T76">
            <v>0</v>
          </cell>
          <cell r="V76">
            <v>0</v>
          </cell>
        </row>
        <row r="78">
          <cell r="A78" t="str">
            <v>Working Capital</v>
          </cell>
        </row>
        <row r="79">
          <cell r="A79" t="str">
            <v>Receivables and other current assets</v>
          </cell>
          <cell r="D79">
            <v>333.73300000000006</v>
          </cell>
          <cell r="E79">
            <v>516.37</v>
          </cell>
          <cell r="F79">
            <v>418.48099999999999</v>
          </cell>
          <cell r="H79">
            <v>574.1</v>
          </cell>
          <cell r="J79">
            <v>957.37199999999996</v>
          </cell>
          <cell r="L79">
            <v>1083.4160000000002</v>
          </cell>
          <cell r="N79">
            <v>1520.0600000000002</v>
          </cell>
          <cell r="P79">
            <v>1879.8541869472047</v>
          </cell>
          <cell r="R79">
            <v>2184.0310518503047</v>
          </cell>
          <cell r="T79">
            <v>2244.0059966023236</v>
          </cell>
          <cell r="V79">
            <v>2103.7479532503617</v>
          </cell>
        </row>
        <row r="80">
          <cell r="A80" t="str">
            <v>% revenue</v>
          </cell>
          <cell r="D80">
            <v>0.20382246906766779</v>
          </cell>
          <cell r="E80">
            <v>0.25262324660279295</v>
          </cell>
          <cell r="F80">
            <v>0.16197457341759783</v>
          </cell>
          <cell r="H80">
            <v>0.17395583321692848</v>
          </cell>
          <cell r="J80">
            <v>0.20716956634640354</v>
          </cell>
          <cell r="L80">
            <v>0.16332683744124263</v>
          </cell>
          <cell r="N80">
            <v>0.16666666666666669</v>
          </cell>
          <cell r="P80">
            <v>0.16666666666666666</v>
          </cell>
          <cell r="R80">
            <v>0.16666666666666666</v>
          </cell>
          <cell r="T80">
            <v>0.15384615384615385</v>
          </cell>
          <cell r="V80">
            <v>0.13333333333333333</v>
          </cell>
        </row>
        <row r="81">
          <cell r="A81" t="str">
            <v>Days receivables outstanding (CHECK)</v>
          </cell>
          <cell r="D81">
            <v>74.39520120969874</v>
          </cell>
          <cell r="E81">
            <v>92.207485010019411</v>
          </cell>
          <cell r="F81">
            <v>59.120719297423214</v>
          </cell>
          <cell r="H81">
            <v>63.493879124178889</v>
          </cell>
          <cell r="J81">
            <v>75.61689171643728</v>
          </cell>
          <cell r="L81">
            <v>59.614295666053565</v>
          </cell>
          <cell r="N81">
            <v>60.833333333333336</v>
          </cell>
          <cell r="P81">
            <v>60.833333333333336</v>
          </cell>
          <cell r="R81">
            <v>60.833333333333336</v>
          </cell>
          <cell r="T81">
            <v>56.153846153846153</v>
          </cell>
          <cell r="V81">
            <v>48.666666666666671</v>
          </cell>
        </row>
        <row r="82">
          <cell r="A82" t="str">
            <v>Accounts receivable turnover</v>
          </cell>
          <cell r="D82">
            <v>4.906230429717767</v>
          </cell>
          <cell r="E82">
            <v>3.958463892170343</v>
          </cell>
          <cell r="F82">
            <v>6.1738085114250056</v>
          </cell>
          <cell r="H82">
            <v>5.748585612262672</v>
          </cell>
          <cell r="J82">
            <v>4.8269638134392903</v>
          </cell>
          <cell r="L82">
            <v>6.1226924837735455</v>
          </cell>
          <cell r="N82">
            <v>6</v>
          </cell>
          <cell r="P82">
            <v>6</v>
          </cell>
          <cell r="R82">
            <v>6</v>
          </cell>
          <cell r="T82">
            <v>6.5</v>
          </cell>
          <cell r="V82">
            <v>7.5</v>
          </cell>
        </row>
        <row r="83">
          <cell r="A83" t="str">
            <v>Prepaid Expenses and Other</v>
          </cell>
          <cell r="D83">
            <v>31.431999999999999</v>
          </cell>
          <cell r="E83">
            <v>38.896000000000001</v>
          </cell>
          <cell r="F83">
            <v>153.88999999999999</v>
          </cell>
          <cell r="H83">
            <v>79.44</v>
          </cell>
          <cell r="J83">
            <v>61.567</v>
          </cell>
          <cell r="L83">
            <v>101.126</v>
          </cell>
          <cell r="N83">
            <v>146.7183995</v>
          </cell>
          <cell r="P83">
            <v>206.13904673091855</v>
          </cell>
          <cell r="R83">
            <v>229.39290678567519</v>
          </cell>
          <cell r="T83">
            <v>247.56660773485044</v>
          </cell>
          <cell r="V83">
            <v>260.2368329771009</v>
          </cell>
        </row>
        <row r="84">
          <cell r="A84" t="str">
            <v>% operating expenses</v>
          </cell>
          <cell r="D84">
            <v>2.496618302232834E-2</v>
          </cell>
          <cell r="E84">
            <v>2.4707873983236303E-2</v>
          </cell>
          <cell r="F84">
            <v>7.8430752968865702E-2</v>
          </cell>
          <cell r="H84">
            <v>3.236219379679213E-2</v>
          </cell>
          <cell r="J84">
            <v>1.8646495850748075E-2</v>
          </cell>
          <cell r="L84">
            <v>2.2318683593606892E-2</v>
          </cell>
          <cell r="N84">
            <v>2.5000000000000001E-2</v>
          </cell>
          <cell r="P84">
            <v>0.03</v>
          </cell>
          <cell r="R84">
            <v>0.03</v>
          </cell>
          <cell r="T84">
            <v>0.03</v>
          </cell>
          <cell r="V84">
            <v>0.03</v>
          </cell>
        </row>
        <row r="85">
          <cell r="A85" t="str">
            <v>Inventories</v>
          </cell>
          <cell r="D85">
            <v>265.83</v>
          </cell>
          <cell r="E85">
            <v>356.94600000000003</v>
          </cell>
          <cell r="F85">
            <v>393.54199999999997</v>
          </cell>
          <cell r="H85">
            <v>469.64</v>
          </cell>
          <cell r="J85">
            <v>590.34299999999996</v>
          </cell>
          <cell r="L85">
            <v>702.51499999999999</v>
          </cell>
          <cell r="N85">
            <v>905.58340740740744</v>
          </cell>
          <cell r="P85">
            <v>1076.257091986759</v>
          </cell>
          <cell r="R85">
            <v>1156.4785712011355</v>
          </cell>
          <cell r="T85">
            <v>1216.2878287085962</v>
          </cell>
          <cell r="V85">
            <v>1267.542714652734</v>
          </cell>
        </row>
        <row r="86">
          <cell r="A86" t="str">
            <v>% revenue</v>
          </cell>
          <cell r="D86">
            <v>0.16235172114312374</v>
          </cell>
          <cell r="E86">
            <v>0.17462838155175656</v>
          </cell>
          <cell r="F86">
            <v>0.15232184393534778</v>
          </cell>
          <cell r="H86">
            <v>0.14230381033269165</v>
          </cell>
          <cell r="J86">
            <v>0.12774668917164372</v>
          </cell>
          <cell r="L86">
            <v>0.10590535233468451</v>
          </cell>
          <cell r="N86">
            <v>9.9292506809753933E-2</v>
          </cell>
          <cell r="P86">
            <v>9.5420263573257086E-2</v>
          </cell>
          <cell r="R86">
            <v>8.8252604453690514E-2</v>
          </cell>
          <cell r="T86">
            <v>8.3387123162785473E-2</v>
          </cell>
          <cell r="V86">
            <v>8.033552452227545E-2</v>
          </cell>
        </row>
        <row r="87">
          <cell r="A87" t="str">
            <v>Days inventory outstanding (CHECK)</v>
          </cell>
          <cell r="D87">
            <v>356.63124660011465</v>
          </cell>
          <cell r="E87">
            <v>367.57858831628306</v>
          </cell>
          <cell r="F87">
            <v>325.25605144578043</v>
          </cell>
          <cell r="H87">
            <v>357.00977400859313</v>
          </cell>
          <cell r="J87">
            <v>320.4092118959108</v>
          </cell>
          <cell r="L87">
            <v>253.61226253952526</v>
          </cell>
          <cell r="N87">
            <v>270.37037037037038</v>
          </cell>
          <cell r="P87">
            <v>260.71428571428567</v>
          </cell>
          <cell r="R87">
            <v>260.71428571428572</v>
          </cell>
          <cell r="T87">
            <v>260.71428571428572</v>
          </cell>
          <cell r="V87">
            <v>260.71428571428572</v>
          </cell>
        </row>
        <row r="88">
          <cell r="A88" t="str">
            <v>Inventory Turnover</v>
          </cell>
          <cell r="D88">
            <v>1.0234661249670842</v>
          </cell>
          <cell r="E88">
            <v>0.9929849332952323</v>
          </cell>
          <cell r="F88">
            <v>1.1221928028012258</v>
          </cell>
          <cell r="H88">
            <v>1.0223809726599098</v>
          </cell>
          <cell r="J88">
            <v>1.1391682462568371</v>
          </cell>
          <cell r="L88">
            <v>1.4392048568357969</v>
          </cell>
          <cell r="N88">
            <v>1.35</v>
          </cell>
          <cell r="P88">
            <v>1.4</v>
          </cell>
          <cell r="R88">
            <v>1.4</v>
          </cell>
          <cell r="T88">
            <v>1.4</v>
          </cell>
          <cell r="V88">
            <v>1.4</v>
          </cell>
        </row>
        <row r="89">
          <cell r="A89" t="str">
            <v>Accounts payable</v>
          </cell>
          <cell r="D89">
            <v>39.113999999999997</v>
          </cell>
          <cell r="E89">
            <v>33.347999999999999</v>
          </cell>
          <cell r="F89">
            <v>51.38</v>
          </cell>
          <cell r="H89">
            <v>59.7</v>
          </cell>
          <cell r="J89">
            <v>104.83199999999999</v>
          </cell>
          <cell r="L89">
            <v>338.97800000000001</v>
          </cell>
          <cell r="N89">
            <v>407.51253333333335</v>
          </cell>
          <cell r="P89">
            <v>456.59391781256443</v>
          </cell>
          <cell r="R89">
            <v>490.62727263078477</v>
          </cell>
          <cell r="T89">
            <v>516.00089702788932</v>
          </cell>
          <cell r="V89">
            <v>537.7453940950993</v>
          </cell>
        </row>
        <row r="90">
          <cell r="A90" t="str">
            <v>% operating expenses</v>
          </cell>
          <cell r="D90">
            <v>3.1067933403389879E-2</v>
          </cell>
          <cell r="E90">
            <v>2.1183622521415164E-2</v>
          </cell>
          <cell r="F90">
            <v>2.6186055543182277E-2</v>
          </cell>
          <cell r="H90">
            <v>2.4320530836713122E-2</v>
          </cell>
          <cell r="J90">
            <v>3.1749954570234412E-2</v>
          </cell>
          <cell r="L90">
            <v>7.4813032525697418E-2</v>
          </cell>
          <cell r="N90">
            <v>6.943787124213642E-2</v>
          </cell>
          <cell r="P90">
            <v>6.6449407580007072E-2</v>
          </cell>
          <cell r="R90">
            <v>6.4164225412059184E-2</v>
          </cell>
          <cell r="T90">
            <v>6.2528735407709535E-2</v>
          </cell>
          <cell r="V90">
            <v>6.1991078043408712E-2</v>
          </cell>
        </row>
        <row r="91">
          <cell r="A91" t="str">
            <v>Days payable outstanding (CHECK)</v>
          </cell>
          <cell r="D91">
            <v>52.47441816016584</v>
          </cell>
          <cell r="E91">
            <v>34.34135909401256</v>
          </cell>
          <cell r="F91">
            <v>42.46473292122365</v>
          </cell>
          <cell r="H91">
            <v>45.382598390922858</v>
          </cell>
          <cell r="J91">
            <v>56.897665427509295</v>
          </cell>
          <cell r="L91">
            <v>122.37315577763206</v>
          </cell>
          <cell r="N91">
            <v>121.66666666666667</v>
          </cell>
          <cell r="P91">
            <v>110.60606060606061</v>
          </cell>
          <cell r="R91">
            <v>110.60606060606061</v>
          </cell>
          <cell r="T91">
            <v>110.60606060606061</v>
          </cell>
          <cell r="V91">
            <v>110.60606060606061</v>
          </cell>
        </row>
        <row r="92">
          <cell r="A92" t="str">
            <v>Accounts payable turnover</v>
          </cell>
          <cell r="D92">
            <v>5.1847740201630499</v>
          </cell>
          <cell r="E92">
            <v>10.32114072799749</v>
          </cell>
          <cell r="F92">
            <v>10.399924116307714</v>
          </cell>
          <cell r="H92">
            <v>10.580068506964043</v>
          </cell>
          <cell r="J92">
            <v>11.819465613344038</v>
          </cell>
          <cell r="L92">
            <v>8.2621306411124422</v>
          </cell>
          <cell r="N92">
            <v>3</v>
          </cell>
          <cell r="P92">
            <v>3.3</v>
          </cell>
          <cell r="R92">
            <v>3.3</v>
          </cell>
          <cell r="S92">
            <v>3</v>
          </cell>
          <cell r="T92">
            <v>3.3</v>
          </cell>
          <cell r="V92">
            <v>3.3</v>
          </cell>
        </row>
        <row r="93">
          <cell r="A93" t="str">
            <v>Accrued Liabilites and Other</v>
          </cell>
          <cell r="D93">
            <v>398.745</v>
          </cell>
          <cell r="E93">
            <v>461.214</v>
          </cell>
          <cell r="F93">
            <v>575.23599999999999</v>
          </cell>
          <cell r="H93">
            <v>765.85</v>
          </cell>
          <cell r="J93">
            <v>1087.2090000000001</v>
          </cell>
          <cell r="L93">
            <v>1276.527</v>
          </cell>
          <cell r="N93">
            <v>1232.4345558</v>
          </cell>
          <cell r="P93">
            <v>1374.2603115394572</v>
          </cell>
          <cell r="R93">
            <v>1452.8217429759429</v>
          </cell>
          <cell r="T93">
            <v>1485.3996464091026</v>
          </cell>
          <cell r="V93">
            <v>1474.6753868702385</v>
          </cell>
        </row>
        <row r="94">
          <cell r="A94" t="str">
            <v>% operating expenses</v>
          </cell>
          <cell r="D94">
            <v>0.31671992393860759</v>
          </cell>
          <cell r="E94">
            <v>0.29297658862876258</v>
          </cell>
          <cell r="F94">
            <v>0.29317169806224208</v>
          </cell>
          <cell r="H94">
            <v>0.3119912653483542</v>
          </cell>
          <cell r="J94">
            <v>0.32927766672723968</v>
          </cell>
          <cell r="L94">
            <v>0.28173172291691778</v>
          </cell>
          <cell r="N94">
            <v>0.21</v>
          </cell>
          <cell r="P94">
            <v>0.2</v>
          </cell>
          <cell r="R94">
            <v>0.19</v>
          </cell>
          <cell r="T94">
            <v>0.18</v>
          </cell>
          <cell r="V94">
            <v>0.17</v>
          </cell>
        </row>
        <row r="95">
          <cell r="A95" t="str">
            <v>Deferred Revenues</v>
          </cell>
          <cell r="D95">
            <v>468.72500000000002</v>
          </cell>
          <cell r="E95">
            <v>87.575999999999993</v>
          </cell>
          <cell r="F95">
            <v>89.576999999999998</v>
          </cell>
          <cell r="H95">
            <v>328.68</v>
          </cell>
          <cell r="J95">
            <v>313.79399999999998</v>
          </cell>
          <cell r="L95">
            <v>264.41999999999996</v>
          </cell>
          <cell r="N95">
            <v>456.01800000000003</v>
          </cell>
          <cell r="P95">
            <v>563.9562560841614</v>
          </cell>
          <cell r="R95">
            <v>655.20931555509151</v>
          </cell>
          <cell r="T95">
            <v>729.30194889575523</v>
          </cell>
          <cell r="V95">
            <v>788.90548246888557</v>
          </cell>
        </row>
        <row r="96">
          <cell r="A96" t="str">
            <v>% operating expenses</v>
          </cell>
          <cell r="D96">
            <v>5.185011061946903</v>
          </cell>
          <cell r="E96">
            <v>4.2844730415179409E-2</v>
          </cell>
          <cell r="F96">
            <v>3.4671099435883972E-2</v>
          </cell>
          <cell r="H96">
            <v>9.959206281438783E-2</v>
          </cell>
          <cell r="J96">
            <v>6.7903142041028305E-2</v>
          </cell>
          <cell r="L96">
            <v>3.9861772722770722E-2</v>
          </cell>
          <cell r="N96">
            <v>0.05</v>
          </cell>
          <cell r="P96">
            <v>0.05</v>
          </cell>
          <cell r="R96">
            <v>0.05</v>
          </cell>
          <cell r="T96">
            <v>0.05</v>
          </cell>
          <cell r="V96">
            <v>0.05</v>
          </cell>
        </row>
        <row r="101">
          <cell r="A101" t="str">
            <v>Property and Equipment, Net</v>
          </cell>
        </row>
        <row r="102">
          <cell r="A102" t="str">
            <v>Beginning balance</v>
          </cell>
          <cell r="F102">
            <v>865.66800000000001</v>
          </cell>
          <cell r="H102">
            <v>1068.7339999999999</v>
          </cell>
          <cell r="J102">
            <v>1617.9</v>
          </cell>
          <cell r="L102">
            <v>2091.404</v>
          </cell>
          <cell r="N102">
            <v>3349.3519999999999</v>
          </cell>
          <cell r="P102">
            <v>4554.0653750000001</v>
          </cell>
          <cell r="R102">
            <v>5783.2955411838693</v>
          </cell>
          <cell r="T102">
            <v>6559.6626049312927</v>
          </cell>
          <cell r="V102">
            <v>6993.2829589207122</v>
          </cell>
        </row>
        <row r="103">
          <cell r="A103" t="str">
            <v>Capital expenditures</v>
          </cell>
          <cell r="D103">
            <v>112.681</v>
          </cell>
          <cell r="E103">
            <v>213.351</v>
          </cell>
          <cell r="F103">
            <v>322.83199999999999</v>
          </cell>
          <cell r="H103">
            <v>321.95</v>
          </cell>
          <cell r="J103">
            <v>649.85799999999995</v>
          </cell>
          <cell r="L103">
            <v>1399.8240000000001</v>
          </cell>
          <cell r="N103">
            <v>1482.0585000000001</v>
          </cell>
          <cell r="P103">
            <v>1579.0775170356521</v>
          </cell>
          <cell r="R103">
            <v>1179.3767679991645</v>
          </cell>
          <cell r="T103">
            <v>875.1623386749061</v>
          </cell>
          <cell r="V103">
            <v>828.35075659232984</v>
          </cell>
        </row>
        <row r="104">
          <cell r="A104" t="str">
            <v>% revenue</v>
          </cell>
          <cell r="D104">
            <v>6.8818245834286293E-2</v>
          </cell>
          <cell r="E104">
            <v>0.10437752442231825</v>
          </cell>
          <cell r="F104">
            <v>0.12495328458293194</v>
          </cell>
          <cell r="H104">
            <v>9.7552831395558467E-2</v>
          </cell>
          <cell r="J104">
            <v>0.14062537868951785</v>
          </cell>
          <cell r="L104">
            <v>0.22190900773092165</v>
          </cell>
          <cell r="N104">
            <v>0.16250000000000001</v>
          </cell>
          <cell r="P104">
            <v>0.14000000000000001</v>
          </cell>
          <cell r="R104">
            <v>0.09</v>
          </cell>
          <cell r="T104">
            <v>0.06</v>
          </cell>
          <cell r="V104">
            <v>5.2499999999999998E-2</v>
          </cell>
        </row>
        <row r="105">
          <cell r="A105" t="str">
            <v>Depreciation</v>
          </cell>
          <cell r="F105">
            <v>-104.55499999999998</v>
          </cell>
          <cell r="H105">
            <v>-125</v>
          </cell>
          <cell r="J105">
            <v>-171.221</v>
          </cell>
          <cell r="L105">
            <v>-210.41070000000002</v>
          </cell>
          <cell r="N105">
            <v>-277.34512500000005</v>
          </cell>
          <cell r="P105">
            <v>-349.84735085178261</v>
          </cell>
          <cell r="R105">
            <v>-403.00970425174086</v>
          </cell>
          <cell r="T105">
            <v>-441.54198468548617</v>
          </cell>
          <cell r="V105">
            <v>-478.25626966510265</v>
          </cell>
        </row>
        <row r="106">
          <cell r="A106" t="str">
            <v>Ending balance</v>
          </cell>
          <cell r="E106">
            <v>865.66800000000001</v>
          </cell>
          <cell r="F106">
            <v>1068.7339999999999</v>
          </cell>
          <cell r="H106">
            <v>1617.9</v>
          </cell>
          <cell r="J106">
            <v>2091.404</v>
          </cell>
          <cell r="L106">
            <v>3349.3519999999999</v>
          </cell>
          <cell r="N106">
            <v>4554.0653750000001</v>
          </cell>
          <cell r="P106">
            <v>5783.2955411838693</v>
          </cell>
          <cell r="R106">
            <v>6559.6626049312927</v>
          </cell>
          <cell r="T106">
            <v>6993.2829589207122</v>
          </cell>
          <cell r="V106">
            <v>7343.3774458479393</v>
          </cell>
        </row>
        <row r="108">
          <cell r="A108" t="str">
            <v>Fixed Asset Turnover (CHECK)</v>
          </cell>
          <cell r="E108">
            <v>2.361219312715729</v>
          </cell>
          <cell r="F108">
            <v>2.6712354098782445</v>
          </cell>
          <cell r="H108">
            <v>2.4568013357978793</v>
          </cell>
          <cell r="J108">
            <v>2.4916803799311138</v>
          </cell>
          <cell r="L108">
            <v>2.4384195872779451</v>
          </cell>
          <cell r="N108">
            <v>2.3079535262428172</v>
          </cell>
          <cell r="P108">
            <v>2.1822059253101944</v>
          </cell>
          <cell r="R108">
            <v>2.2658683475164985</v>
          </cell>
          <cell r="T108">
            <v>2.2235959158859635</v>
          </cell>
          <cell r="V108">
            <v>2.2561806439207457</v>
          </cell>
        </row>
        <row r="109">
          <cell r="A109" t="str">
            <v>Employee Stock Option Analysis</v>
          </cell>
        </row>
        <row r="110">
          <cell r="C110">
            <v>1999</v>
          </cell>
          <cell r="D110">
            <v>2000</v>
          </cell>
          <cell r="E110" t="str">
            <v>2001</v>
          </cell>
          <cell r="F110" t="str">
            <v>2002</v>
          </cell>
          <cell r="H110" t="str">
            <v>2003E</v>
          </cell>
          <cell r="J110" t="str">
            <v>2004A</v>
          </cell>
          <cell r="L110" t="str">
            <v>2005A</v>
          </cell>
          <cell r="N110" t="str">
            <v>2006E</v>
          </cell>
          <cell r="P110" t="str">
            <v>2007E</v>
          </cell>
          <cell r="R110" t="str">
            <v>2008E</v>
          </cell>
          <cell r="T110" t="str">
            <v>2009E</v>
          </cell>
          <cell r="V110" t="str">
            <v>2010E</v>
          </cell>
        </row>
        <row r="111">
          <cell r="A111" t="str">
            <v xml:space="preserve">Stock Price (average) </v>
          </cell>
          <cell r="E111">
            <v>81.5</v>
          </cell>
          <cell r="F111">
            <v>33.159999999999997</v>
          </cell>
          <cell r="H111">
            <v>38</v>
          </cell>
          <cell r="J111">
            <v>52.85</v>
          </cell>
          <cell r="L111">
            <v>76.13</v>
          </cell>
          <cell r="N111">
            <v>85</v>
          </cell>
          <cell r="P111">
            <v>92.31</v>
          </cell>
          <cell r="R111">
            <v>100.24866000000002</v>
          </cell>
          <cell r="T111">
            <v>108.87004476000003</v>
          </cell>
          <cell r="V111">
            <v>118.23286860936004</v>
          </cell>
          <cell r="X111">
            <v>8.5999999999999993E-2</v>
          </cell>
        </row>
        <row r="112">
          <cell r="A112" t="str">
            <v>Option Balance (Beginning Year)</v>
          </cell>
          <cell r="E112">
            <v>40.945</v>
          </cell>
          <cell r="F112">
            <v>93.28</v>
          </cell>
          <cell r="H112">
            <v>98.182999999999993</v>
          </cell>
          <cell r="J112">
            <v>96.126000000000005</v>
          </cell>
          <cell r="L112">
            <v>93.766000000000005</v>
          </cell>
          <cell r="N112">
            <v>82.804000000000002</v>
          </cell>
          <cell r="P112">
            <v>74.523600000000002</v>
          </cell>
          <cell r="R112">
            <v>70.052184000000011</v>
          </cell>
          <cell r="T112">
            <v>67.950618480000003</v>
          </cell>
          <cell r="V112">
            <v>67.950618480000003</v>
          </cell>
        </row>
        <row r="113">
          <cell r="A113" t="str">
            <v xml:space="preserve"> Average Options "in the money"</v>
          </cell>
          <cell r="H113">
            <v>38.799999999999997</v>
          </cell>
          <cell r="J113">
            <v>46.338999999999999</v>
          </cell>
          <cell r="L113">
            <v>37.451000000000001</v>
          </cell>
          <cell r="N113">
            <v>39.331900000000005</v>
          </cell>
          <cell r="P113">
            <v>36.143946</v>
          </cell>
          <cell r="R113">
            <v>34.500700620000003</v>
          </cell>
          <cell r="T113">
            <v>27.180247392000002</v>
          </cell>
          <cell r="V113">
            <v>13.590123696000001</v>
          </cell>
        </row>
        <row r="114">
          <cell r="A114" t="str">
            <v xml:space="preserve">   % "in the money"</v>
          </cell>
          <cell r="F114">
            <v>0</v>
          </cell>
          <cell r="H114">
            <v>0.39936389976789544</v>
          </cell>
          <cell r="J114">
            <v>0.48206520608368181</v>
          </cell>
          <cell r="L114">
            <v>0.39940916750207961</v>
          </cell>
          <cell r="N114">
            <v>0.5</v>
          </cell>
          <cell r="P114">
            <v>0.5</v>
          </cell>
          <cell r="R114">
            <v>0.5</v>
          </cell>
          <cell r="T114">
            <v>0.4</v>
          </cell>
          <cell r="V114">
            <v>0.4</v>
          </cell>
        </row>
        <row r="115">
          <cell r="A115" t="str">
            <v>Weighted Average Exercise Price</v>
          </cell>
          <cell r="H115">
            <v>21.418882283745745</v>
          </cell>
          <cell r="J115">
            <v>25</v>
          </cell>
          <cell r="L115">
            <v>35</v>
          </cell>
          <cell r="N115">
            <v>40.25</v>
          </cell>
          <cell r="P115">
            <v>46.287499999999994</v>
          </cell>
          <cell r="R115">
            <v>53.230624999999989</v>
          </cell>
          <cell r="T115">
            <v>61.215218749999984</v>
          </cell>
          <cell r="V115">
            <v>70.397501562499983</v>
          </cell>
          <cell r="X115">
            <v>0.15</v>
          </cell>
        </row>
        <row r="116">
          <cell r="A116" t="str">
            <v>Options Cancelled</v>
          </cell>
          <cell r="E116">
            <v>2.15</v>
          </cell>
          <cell r="F116">
            <v>4.4059999999999997</v>
          </cell>
          <cell r="H116">
            <v>4.4139999999999997</v>
          </cell>
          <cell r="J116">
            <v>1.843</v>
          </cell>
          <cell r="L116">
            <v>1.8140000000000001</v>
          </cell>
          <cell r="N116">
            <v>3.31216</v>
          </cell>
          <cell r="P116">
            <v>2.980944</v>
          </cell>
          <cell r="R116">
            <v>2.8020873600000007</v>
          </cell>
          <cell r="T116">
            <v>2.7180247392000001</v>
          </cell>
          <cell r="V116">
            <v>2.7180247392000001</v>
          </cell>
        </row>
        <row r="117">
          <cell r="A117" t="str">
            <v xml:space="preserve">   % Cancelled </v>
          </cell>
          <cell r="E117">
            <v>5.2509463915007937E-2</v>
          </cell>
          <cell r="F117">
            <v>4.7234133790737563E-2</v>
          </cell>
          <cell r="H117">
            <v>4.4956866259943169E-2</v>
          </cell>
          <cell r="J117">
            <v>0.04</v>
          </cell>
          <cell r="L117">
            <v>0.04</v>
          </cell>
          <cell r="N117">
            <v>0.04</v>
          </cell>
          <cell r="P117">
            <v>0.04</v>
          </cell>
          <cell r="R117">
            <v>0.04</v>
          </cell>
          <cell r="T117">
            <v>0.04</v>
          </cell>
          <cell r="V117">
            <v>0.04</v>
          </cell>
        </row>
        <row r="118">
          <cell r="A118" t="str">
            <v>Options Exercised</v>
          </cell>
          <cell r="E118">
            <v>2.899</v>
          </cell>
          <cell r="F118">
            <v>3.3460000000000001</v>
          </cell>
          <cell r="H118">
            <v>32.078000000000003</v>
          </cell>
          <cell r="J118">
            <v>21.484000000000002</v>
          </cell>
          <cell r="L118">
            <v>28.823</v>
          </cell>
          <cell r="N118">
            <v>23.185120000000001</v>
          </cell>
          <cell r="P118">
            <v>18.6309</v>
          </cell>
          <cell r="R118">
            <v>16.112002320000002</v>
          </cell>
          <cell r="T118">
            <v>13.590123696000001</v>
          </cell>
          <cell r="V118">
            <v>13.590123696000001</v>
          </cell>
        </row>
        <row r="119">
          <cell r="A119" t="str">
            <v xml:space="preserve">     % of Outstanding Options</v>
          </cell>
          <cell r="E119">
            <v>7.080229576260838E-2</v>
          </cell>
          <cell r="F119">
            <v>3.5870497427101203E-2</v>
          </cell>
          <cell r="H119">
            <v>0.32671643767250957</v>
          </cell>
          <cell r="J119">
            <v>0.35</v>
          </cell>
          <cell r="L119">
            <v>0.3</v>
          </cell>
          <cell r="N119">
            <v>0.28000000000000003</v>
          </cell>
          <cell r="P119">
            <v>0.25</v>
          </cell>
          <cell r="R119">
            <v>0.23</v>
          </cell>
          <cell r="T119">
            <v>0.2</v>
          </cell>
          <cell r="V119">
            <v>0.2</v>
          </cell>
        </row>
        <row r="120">
          <cell r="A120" t="str">
            <v>Weighted Average Exercise Price of exercised</v>
          </cell>
          <cell r="E120">
            <v>24.69</v>
          </cell>
          <cell r="F120">
            <v>11.715</v>
          </cell>
          <cell r="H120">
            <v>34.134999999999998</v>
          </cell>
          <cell r="J120">
            <v>20.81</v>
          </cell>
          <cell r="L120">
            <v>25.88</v>
          </cell>
          <cell r="N120">
            <v>31.055999999999997</v>
          </cell>
          <cell r="P120">
            <v>37.267199999999995</v>
          </cell>
          <cell r="R120">
            <v>44.720639999999996</v>
          </cell>
          <cell r="T120">
            <v>53.664767999999995</v>
          </cell>
          <cell r="V120">
            <v>64.397721599999997</v>
          </cell>
          <cell r="X120">
            <v>0.2</v>
          </cell>
        </row>
        <row r="121">
          <cell r="A121" t="str">
            <v xml:space="preserve">     Tax rate</v>
          </cell>
          <cell r="E121">
            <v>0.17543014456747877</v>
          </cell>
          <cell r="F121">
            <v>0.33702605798725771</v>
          </cell>
          <cell r="H121">
            <v>0.32364976429312847</v>
          </cell>
          <cell r="J121">
            <v>0.36207709431617907</v>
          </cell>
          <cell r="L121">
            <v>0.36750724212165659</v>
          </cell>
          <cell r="N121">
            <v>0.3729296918045219</v>
          </cell>
          <cell r="P121">
            <v>0.373</v>
          </cell>
          <cell r="R121">
            <v>0.373</v>
          </cell>
          <cell r="T121">
            <v>0.373</v>
          </cell>
          <cell r="V121">
            <v>0.373</v>
          </cell>
        </row>
        <row r="122">
          <cell r="A122" t="str">
            <v>Proceeds from option</v>
          </cell>
          <cell r="H122">
            <v>1094.98253</v>
          </cell>
          <cell r="J122">
            <v>447.08204000000001</v>
          </cell>
          <cell r="L122">
            <v>745.93923999999993</v>
          </cell>
          <cell r="N122">
            <v>720.03708671999993</v>
          </cell>
          <cell r="P122">
            <v>694.32147647999989</v>
          </cell>
          <cell r="R122">
            <v>720.53905543188478</v>
          </cell>
          <cell r="T122">
            <v>729.31083523714256</v>
          </cell>
          <cell r="V122">
            <v>875.173002284571</v>
          </cell>
        </row>
        <row r="123">
          <cell r="A123" t="str">
            <v>Tax Benefit from Options</v>
          </cell>
          <cell r="H123">
            <v>40.126573542215603</v>
          </cell>
          <cell r="J123">
            <v>329.47</v>
          </cell>
          <cell r="L123">
            <v>641.34799999999996</v>
          </cell>
          <cell r="N123">
            <v>466.42246192600749</v>
          </cell>
          <cell r="P123">
            <v>382.51034463996001</v>
          </cell>
          <cell r="R123">
            <v>333.71100997524758</v>
          </cell>
          <cell r="T123">
            <v>279.84195936043733</v>
          </cell>
          <cell r="V123">
            <v>272.89661252948122</v>
          </cell>
        </row>
        <row r="124">
          <cell r="A124" t="str">
            <v>Options Granted</v>
          </cell>
          <cell r="E124">
            <v>10.74</v>
          </cell>
          <cell r="F124">
            <v>12.654999999999999</v>
          </cell>
          <cell r="H124">
            <v>10.89</v>
          </cell>
          <cell r="J124">
            <v>20.966999999999999</v>
          </cell>
          <cell r="L124">
            <v>19.675000000000001</v>
          </cell>
          <cell r="N124">
            <v>18.21688</v>
          </cell>
          <cell r="P124">
            <v>17.140428</v>
          </cell>
          <cell r="R124">
            <v>16.812524160000002</v>
          </cell>
          <cell r="T124">
            <v>16.3081484352</v>
          </cell>
          <cell r="V124">
            <v>16.3081484352</v>
          </cell>
        </row>
        <row r="125">
          <cell r="A125" t="str">
            <v xml:space="preserve">     % of Outstanding Options</v>
          </cell>
          <cell r="E125">
            <v>0.26230308951031872</v>
          </cell>
          <cell r="F125">
            <v>0.13566680960548885</v>
          </cell>
          <cell r="H125">
            <v>0.11091533157471255</v>
          </cell>
          <cell r="J125">
            <v>0.21811996754260032</v>
          </cell>
          <cell r="L125">
            <v>0.20983085553398886</v>
          </cell>
          <cell r="N125">
            <v>0.22</v>
          </cell>
          <cell r="P125">
            <v>0.23</v>
          </cell>
          <cell r="R125">
            <v>0.24</v>
          </cell>
          <cell r="T125">
            <v>0.24</v>
          </cell>
          <cell r="V125">
            <v>0.24</v>
          </cell>
        </row>
        <row r="126">
          <cell r="A126" t="str">
            <v>Shares Issued</v>
          </cell>
          <cell r="D126">
            <v>0</v>
          </cell>
          <cell r="E126">
            <v>0.83799999999999997</v>
          </cell>
          <cell r="F126">
            <v>2.1320000000000001</v>
          </cell>
          <cell r="H126">
            <v>2.8</v>
          </cell>
          <cell r="J126">
            <v>2.5</v>
          </cell>
          <cell r="L126">
            <v>0.9812163404702483</v>
          </cell>
          <cell r="N126">
            <v>0</v>
          </cell>
          <cell r="P126">
            <v>0</v>
          </cell>
          <cell r="R126">
            <v>0</v>
          </cell>
          <cell r="T126">
            <v>0</v>
          </cell>
          <cell r="V126">
            <v>0</v>
          </cell>
        </row>
        <row r="127">
          <cell r="A127" t="str">
            <v>Proceeds from share issuance</v>
          </cell>
          <cell r="D127">
            <v>0</v>
          </cell>
          <cell r="E127">
            <v>0</v>
          </cell>
          <cell r="F127">
            <v>0</v>
          </cell>
          <cell r="H127">
            <v>0</v>
          </cell>
          <cell r="J127">
            <v>58.86</v>
          </cell>
          <cell r="L127">
            <v>74.7</v>
          </cell>
          <cell r="N127">
            <v>0</v>
          </cell>
          <cell r="P127">
            <v>0</v>
          </cell>
          <cell r="R127">
            <v>0</v>
          </cell>
          <cell r="T127">
            <v>0</v>
          </cell>
          <cell r="V127">
            <v>0</v>
          </cell>
        </row>
        <row r="128">
          <cell r="A128" t="str">
            <v>Shares Repurchased (mm)</v>
          </cell>
          <cell r="E128">
            <v>0.9</v>
          </cell>
          <cell r="F128">
            <v>36.4</v>
          </cell>
          <cell r="H128">
            <v>11</v>
          </cell>
          <cell r="J128">
            <v>25.6</v>
          </cell>
          <cell r="L128">
            <v>26.479863391567058</v>
          </cell>
          <cell r="N128">
            <v>23.185120000000001</v>
          </cell>
          <cell r="P128">
            <v>18.6309</v>
          </cell>
          <cell r="R128">
            <v>16.112002320000002</v>
          </cell>
          <cell r="T128">
            <v>13.590123696000001</v>
          </cell>
          <cell r="V128">
            <v>13.590123696000001</v>
          </cell>
        </row>
        <row r="129">
          <cell r="A129" t="str">
            <v>Share Repurchase Cost</v>
          </cell>
          <cell r="E129">
            <v>39.700000000000003</v>
          </cell>
          <cell r="F129">
            <v>692.8</v>
          </cell>
          <cell r="H129">
            <v>201.34</v>
          </cell>
          <cell r="J129">
            <v>1351.683</v>
          </cell>
          <cell r="L129">
            <v>2015.912</v>
          </cell>
          <cell r="N129">
            <v>1970.7352000000001</v>
          </cell>
          <cell r="P129">
            <v>1719.818379</v>
          </cell>
          <cell r="R129">
            <v>1615.2066424968916</v>
          </cell>
          <cell r="T129">
            <v>1479.5573750774572</v>
          </cell>
          <cell r="V129">
            <v>1606.7993093341186</v>
          </cell>
        </row>
        <row r="130">
          <cell r="B130" t="str">
            <v>Allocated to APIC</v>
          </cell>
          <cell r="F130">
            <v>235.5</v>
          </cell>
          <cell r="H130">
            <v>71.584000000000003</v>
          </cell>
          <cell r="J130">
            <v>191.042</v>
          </cell>
          <cell r="L130">
            <v>806.36480000000006</v>
          </cell>
          <cell r="N130">
            <v>788.29408000000012</v>
          </cell>
          <cell r="P130">
            <v>687.92735160000007</v>
          </cell>
          <cell r="R130">
            <v>646.08265699875665</v>
          </cell>
          <cell r="T130">
            <v>591.82295003098295</v>
          </cell>
          <cell r="V130">
            <v>642.71972373364747</v>
          </cell>
        </row>
        <row r="131">
          <cell r="B131" t="str">
            <v>Allocated to Retained Earnings</v>
          </cell>
          <cell r="F131">
            <v>457.29999999999995</v>
          </cell>
          <cell r="H131">
            <v>129.756</v>
          </cell>
          <cell r="J131">
            <v>1160.6410000000001</v>
          </cell>
          <cell r="L131">
            <v>1209.5472</v>
          </cell>
          <cell r="N131">
            <v>1182.44112</v>
          </cell>
          <cell r="P131">
            <v>1031.8910274</v>
          </cell>
          <cell r="R131">
            <v>969.12398549813497</v>
          </cell>
          <cell r="T131">
            <v>887.73442504647426</v>
          </cell>
          <cell r="V131">
            <v>964.07958560047109</v>
          </cell>
        </row>
        <row r="132">
          <cell r="A132" t="str">
            <v>Stock options expense</v>
          </cell>
          <cell r="N132">
            <v>329.18547890000002</v>
          </cell>
          <cell r="P132">
            <v>377.92158567335071</v>
          </cell>
          <cell r="R132">
            <v>420.55366244040454</v>
          </cell>
          <cell r="T132">
            <v>453.87211418055915</v>
          </cell>
          <cell r="V132">
            <v>477.1008604580183</v>
          </cell>
        </row>
        <row r="133">
          <cell r="A133" t="str">
            <v>Total Change in APIC</v>
          </cell>
          <cell r="D133">
            <v>0</v>
          </cell>
          <cell r="E133">
            <v>109</v>
          </cell>
          <cell r="F133">
            <v>-603.4</v>
          </cell>
          <cell r="H133">
            <v>590.29999999999995</v>
          </cell>
          <cell r="J133">
            <v>-516.27096000000006</v>
          </cell>
          <cell r="L133">
            <v>-553.92476000000011</v>
          </cell>
          <cell r="N133">
            <v>-455.09017245399264</v>
          </cell>
          <cell r="P133">
            <v>-265.0649722066895</v>
          </cell>
          <cell r="R133">
            <v>-140.40291464935478</v>
          </cell>
          <cell r="T133">
            <v>-16.532466299318173</v>
          </cell>
          <cell r="V133">
            <v>18.371165937951957</v>
          </cell>
          <cell r="Y133" t="str">
            <v>mstag:netIssuanceRepurchaseOfCommonStock</v>
          </cell>
          <cell r="Z133">
            <v>6</v>
          </cell>
          <cell r="AA133" t="str">
            <v>ISO4217:USD</v>
          </cell>
          <cell r="AB133" t="b">
            <v>0</v>
          </cell>
          <cell r="AC133" t="b">
            <v>0</v>
          </cell>
        </row>
        <row r="134">
          <cell r="A134" t="str">
            <v>Beginning Period Shares</v>
          </cell>
          <cell r="H134">
            <v>1025.155974</v>
          </cell>
          <cell r="J134">
            <v>1049.5</v>
          </cell>
          <cell r="L134">
            <v>1047.127</v>
          </cell>
          <cell r="N134">
            <v>1053.713</v>
          </cell>
          <cell r="P134">
            <v>1053.713</v>
          </cell>
          <cell r="R134">
            <v>1053.713</v>
          </cell>
          <cell r="T134">
            <v>1053.713</v>
          </cell>
          <cell r="V134">
            <v>1053.713</v>
          </cell>
        </row>
        <row r="135">
          <cell r="A135" t="str">
            <v>End of Period Shares</v>
          </cell>
          <cell r="D135">
            <v>0</v>
          </cell>
          <cell r="E135">
            <v>527.79422299999999</v>
          </cell>
          <cell r="F135">
            <v>1025.155974</v>
          </cell>
          <cell r="H135">
            <v>1047.3900000000001</v>
          </cell>
          <cell r="J135">
            <v>1047.127</v>
          </cell>
          <cell r="L135">
            <v>1053.713</v>
          </cell>
          <cell r="N135">
            <v>1053.713</v>
          </cell>
          <cell r="P135">
            <v>1053.713</v>
          </cell>
          <cell r="R135">
            <v>1053.713</v>
          </cell>
          <cell r="T135">
            <v>1053.713</v>
          </cell>
          <cell r="V135">
            <v>1053.713</v>
          </cell>
          <cell r="Y135" t="str">
            <v>mstag:periodEndBasicSharesOutstanding</v>
          </cell>
          <cell r="Z135">
            <v>6</v>
          </cell>
          <cell r="AA135" t="str">
            <v>ms_eqr_gcim_Decimal:ms_eqr_gcim_decimal</v>
          </cell>
          <cell r="AB135" t="b">
            <v>0</v>
          </cell>
          <cell r="AC135" t="b">
            <v>0</v>
          </cell>
        </row>
        <row r="136">
          <cell r="A136" t="str">
            <v xml:space="preserve">Average Shares Outstanding-basic </v>
          </cell>
          <cell r="D136">
            <v>0</v>
          </cell>
          <cell r="E136">
            <v>1054.038</v>
          </cell>
          <cell r="F136">
            <v>1038.5084999999999</v>
          </cell>
          <cell r="H136">
            <v>1034.4565</v>
          </cell>
          <cell r="J136">
            <v>1055.165</v>
          </cell>
          <cell r="L136">
            <v>1054.952</v>
          </cell>
          <cell r="N136">
            <v>1053.713</v>
          </cell>
          <cell r="P136">
            <v>1053.713</v>
          </cell>
          <cell r="R136">
            <v>1053.713</v>
          </cell>
          <cell r="T136">
            <v>1053.713</v>
          </cell>
          <cell r="V136">
            <v>1053.713</v>
          </cell>
        </row>
        <row r="137">
          <cell r="A137" t="str">
            <v>Average Shares Outstanding-diluted</v>
          </cell>
          <cell r="D137">
            <v>0</v>
          </cell>
          <cell r="E137">
            <v>1070.441</v>
          </cell>
          <cell r="F137">
            <v>1048.9160000000002</v>
          </cell>
          <cell r="H137">
            <v>1054.3219999999999</v>
          </cell>
          <cell r="J137">
            <v>1079.2090000000001</v>
          </cell>
          <cell r="L137">
            <v>1080.9490000000001</v>
          </cell>
          <cell r="N137">
            <v>1074.4200885294117</v>
          </cell>
          <cell r="P137">
            <v>1071.7330926745205</v>
          </cell>
          <cell r="R137">
            <v>1069.8943150347914</v>
          </cell>
          <cell r="T137">
            <v>1065.6103953141094</v>
          </cell>
          <cell r="V137">
            <v>1059.2113742072459</v>
          </cell>
        </row>
        <row r="139">
          <cell r="A139" t="str">
            <v>Option Expense (cash repurchase)</v>
          </cell>
          <cell r="H139">
            <v>-83.854896457784662</v>
          </cell>
          <cell r="J139">
            <v>-688.34736000000021</v>
          </cell>
          <cell r="L139">
            <v>-1448.3557499999999</v>
          </cell>
          <cell r="N139">
            <v>-1250.6981132800001</v>
          </cell>
          <cell r="P139">
            <v>-1025.4969025200003</v>
          </cell>
          <cell r="R139">
            <v>-894.66758706500684</v>
          </cell>
          <cell r="T139">
            <v>-750.24653984031465</v>
          </cell>
          <cell r="V139">
            <v>-731.62630704954756</v>
          </cell>
        </row>
      </sheetData>
      <sheetData sheetId="9" refreshError="1">
        <row r="1">
          <cell r="B1" t="str">
            <v>Genentech Cash Flow Statements</v>
          </cell>
          <cell r="X1" t="str">
            <v>ElementName</v>
          </cell>
          <cell r="Y1" t="str">
            <v>ScaleOverride</v>
          </cell>
          <cell r="Z1" t="str">
            <v>UnitOverride</v>
          </cell>
          <cell r="AA1" t="str">
            <v>ReverseSign</v>
          </cell>
          <cell r="AB1" t="str">
            <v>IsDrivingAssumption</v>
          </cell>
          <cell r="AC1" t="str">
            <v>SegmentID</v>
          </cell>
        </row>
        <row r="2">
          <cell r="B2" t="str">
            <v>(Dollars in thousands)</v>
          </cell>
        </row>
        <row r="3">
          <cell r="C3" t="str">
            <v>2000A</v>
          </cell>
          <cell r="D3" t="str">
            <v>2001A</v>
          </cell>
          <cell r="E3" t="str">
            <v>2002A</v>
          </cell>
          <cell r="G3" t="str">
            <v>2003A</v>
          </cell>
          <cell r="I3" t="str">
            <v>2004A</v>
          </cell>
          <cell r="K3" t="str">
            <v>2005A</v>
          </cell>
          <cell r="M3" t="str">
            <v>2006E</v>
          </cell>
          <cell r="O3" t="str">
            <v>2007E</v>
          </cell>
          <cell r="Q3" t="str">
            <v>2008E</v>
          </cell>
          <cell r="S3" t="str">
            <v>2009E</v>
          </cell>
          <cell r="U3" t="str">
            <v>2010E</v>
          </cell>
        </row>
        <row r="4">
          <cell r="B4" t="str">
            <v>CASH FLOWS FROM OPERATING ACTIVITIES</v>
          </cell>
        </row>
        <row r="5">
          <cell r="B5" t="str">
            <v>Net Income (Loss)</v>
          </cell>
          <cell r="C5">
            <v>-74.241</v>
          </cell>
          <cell r="D5">
            <v>150.23599999999999</v>
          </cell>
          <cell r="E5">
            <v>63.786999999999999</v>
          </cell>
          <cell r="G5">
            <v>562.45584265857758</v>
          </cell>
          <cell r="I5">
            <v>784.81600000000003</v>
          </cell>
          <cell r="K5">
            <v>1278.991</v>
          </cell>
          <cell r="M5">
            <v>1731.7880296800001</v>
          </cell>
          <cell r="O5">
            <v>2346.2055172820069</v>
          </cell>
          <cell r="Q5">
            <v>3010.0769897997934</v>
          </cell>
          <cell r="S5">
            <v>3579.2035264931046</v>
          </cell>
          <cell r="U5">
            <v>4130.8413284121989</v>
          </cell>
          <cell r="X5" t="str">
            <v>mstag:netIncomeReported</v>
          </cell>
          <cell r="Y5">
            <v>6</v>
          </cell>
          <cell r="Z5" t="str">
            <v>ISO4217:USD</v>
          </cell>
          <cell r="AA5" t="b">
            <v>0</v>
          </cell>
          <cell r="AB5" t="b">
            <v>0</v>
          </cell>
        </row>
        <row r="6">
          <cell r="B6" t="str">
            <v>Effect of Acconting Change</v>
          </cell>
          <cell r="C6">
            <v>0</v>
          </cell>
          <cell r="D6">
            <v>5.6</v>
          </cell>
          <cell r="E6">
            <v>0</v>
          </cell>
          <cell r="G6">
            <v>47.655000000000001</v>
          </cell>
          <cell r="I6">
            <v>0</v>
          </cell>
          <cell r="K6">
            <v>0</v>
          </cell>
          <cell r="M6">
            <v>0</v>
          </cell>
          <cell r="O6">
            <v>0</v>
          </cell>
          <cell r="Q6">
            <v>0</v>
          </cell>
          <cell r="S6">
            <v>0</v>
          </cell>
          <cell r="U6">
            <v>0</v>
          </cell>
          <cell r="X6" t="str">
            <v>mstag:otherCashFlow</v>
          </cell>
          <cell r="Y6">
            <v>6</v>
          </cell>
          <cell r="Z6" t="str">
            <v>ISO4217:USD</v>
          </cell>
          <cell r="AA6" t="b">
            <v>0</v>
          </cell>
          <cell r="AB6" t="b">
            <v>0</v>
          </cell>
        </row>
        <row r="7">
          <cell r="B7" t="str">
            <v>Depreciation &amp; Amort.</v>
          </cell>
          <cell r="C7">
            <v>463.00400000000002</v>
          </cell>
          <cell r="D7">
            <v>428.09100000000001</v>
          </cell>
          <cell r="E7">
            <v>274.95499999999998</v>
          </cell>
          <cell r="G7">
            <v>295.39999999999998</v>
          </cell>
          <cell r="I7">
            <v>353.221</v>
          </cell>
          <cell r="K7">
            <v>370.166</v>
          </cell>
          <cell r="M7">
            <v>399.04512500000004</v>
          </cell>
          <cell r="O7">
            <v>470.34735085178261</v>
          </cell>
          <cell r="Q7">
            <v>521.50970425174091</v>
          </cell>
          <cell r="S7">
            <v>441.54198468548617</v>
          </cell>
          <cell r="U7">
            <v>478.25626966510265</v>
          </cell>
        </row>
        <row r="8">
          <cell r="B8" t="str">
            <v xml:space="preserve">     Depreciation</v>
          </cell>
          <cell r="C8">
            <v>0</v>
          </cell>
          <cell r="D8">
            <v>428.09100000000001</v>
          </cell>
          <cell r="E8">
            <v>104.55499999999998</v>
          </cell>
          <cell r="G8">
            <v>125</v>
          </cell>
          <cell r="I8">
            <v>171.221</v>
          </cell>
          <cell r="K8">
            <v>210.41070000000002</v>
          </cell>
          <cell r="M8">
            <v>277.34512500000005</v>
          </cell>
          <cell r="O8">
            <v>349.84735085178261</v>
          </cell>
          <cell r="Q8">
            <v>403.00970425174086</v>
          </cell>
          <cell r="S8">
            <v>441.54198468548617</v>
          </cell>
          <cell r="U8">
            <v>478.25626966510265</v>
          </cell>
          <cell r="X8" t="str">
            <v>mstag:depreciation</v>
          </cell>
          <cell r="Y8">
            <v>6</v>
          </cell>
          <cell r="Z8" t="str">
            <v>ISO4217:USD</v>
          </cell>
          <cell r="AA8" t="b">
            <v>0</v>
          </cell>
          <cell r="AB8" t="b">
            <v>0</v>
          </cell>
        </row>
        <row r="9">
          <cell r="B9" t="str">
            <v xml:space="preserve">     Amortization</v>
          </cell>
          <cell r="C9">
            <v>0</v>
          </cell>
          <cell r="D9">
            <v>0</v>
          </cell>
          <cell r="E9">
            <v>170.4</v>
          </cell>
          <cell r="G9">
            <v>170.4</v>
          </cell>
          <cell r="I9">
            <v>182</v>
          </cell>
          <cell r="K9">
            <v>159.75529999999998</v>
          </cell>
          <cell r="M9">
            <v>121.7</v>
          </cell>
          <cell r="O9">
            <v>120.5</v>
          </cell>
          <cell r="Q9">
            <v>118.5</v>
          </cell>
          <cell r="S9">
            <v>0</v>
          </cell>
          <cell r="U9">
            <v>0</v>
          </cell>
          <cell r="X9" t="str">
            <v>mstag:amortizationOfIntangiblesAssumedToHaveIndefiniteLife</v>
          </cell>
          <cell r="Y9">
            <v>6</v>
          </cell>
          <cell r="Z9" t="str">
            <v>ISO4217:USD</v>
          </cell>
          <cell r="AA9" t="b">
            <v>0</v>
          </cell>
          <cell r="AB9" t="b">
            <v>0</v>
          </cell>
        </row>
        <row r="10">
          <cell r="B10" t="str">
            <v>Tax Benefits Related to Employee Stock Options</v>
          </cell>
          <cell r="C10">
            <v>0</v>
          </cell>
          <cell r="D10">
            <v>0</v>
          </cell>
          <cell r="E10">
            <v>0</v>
          </cell>
          <cell r="G10">
            <v>0</v>
          </cell>
          <cell r="I10">
            <v>329.47</v>
          </cell>
          <cell r="K10">
            <v>632.29999999999995</v>
          </cell>
          <cell r="M10">
            <v>0</v>
          </cell>
          <cell r="O10">
            <v>0</v>
          </cell>
          <cell r="Q10">
            <v>0</v>
          </cell>
          <cell r="S10">
            <v>0</v>
          </cell>
          <cell r="U10">
            <v>0</v>
          </cell>
          <cell r="X10" t="str">
            <v>mstag:taxBenefitFromExerciseOfEsosCashFlowStatement</v>
          </cell>
          <cell r="Y10">
            <v>6</v>
          </cell>
          <cell r="Z10" t="str">
            <v>ISO4217:USD</v>
          </cell>
          <cell r="AA10" t="b">
            <v>0</v>
          </cell>
          <cell r="AB10" t="b">
            <v>0</v>
          </cell>
        </row>
        <row r="11">
          <cell r="B11" t="str">
            <v>Stock Options Expense (add back)</v>
          </cell>
          <cell r="M11">
            <v>329.18547890000002</v>
          </cell>
          <cell r="O11">
            <v>377.92158567335071</v>
          </cell>
          <cell r="Q11">
            <v>420.55366244040454</v>
          </cell>
          <cell r="S11">
            <v>453.87211418055915</v>
          </cell>
          <cell r="U11">
            <v>477.1008604580183</v>
          </cell>
          <cell r="X11" t="str">
            <v>mstag:otherCashFlow</v>
          </cell>
          <cell r="Y11">
            <v>6</v>
          </cell>
          <cell r="Z11" t="str">
            <v>ISO4217:USD</v>
          </cell>
          <cell r="AA11" t="b">
            <v>0</v>
          </cell>
          <cell r="AB11" t="b">
            <v>0</v>
          </cell>
        </row>
        <row r="12">
          <cell r="B12" t="str">
            <v>Write-Off Of In-Process Research and Development</v>
          </cell>
          <cell r="C12">
            <v>0</v>
          </cell>
          <cell r="D12">
            <v>0</v>
          </cell>
          <cell r="E12">
            <v>0</v>
          </cell>
          <cell r="G12">
            <v>0</v>
          </cell>
          <cell r="I12">
            <v>0</v>
          </cell>
          <cell r="K12">
            <v>0</v>
          </cell>
          <cell r="M12">
            <v>0</v>
          </cell>
          <cell r="O12">
            <v>0</v>
          </cell>
          <cell r="Q12">
            <v>0</v>
          </cell>
          <cell r="S12">
            <v>0</v>
          </cell>
          <cell r="U12">
            <v>0</v>
          </cell>
          <cell r="X12" t="str">
            <v>mstag:acquiredInProcessRAndD</v>
          </cell>
          <cell r="Y12">
            <v>6</v>
          </cell>
          <cell r="Z12" t="str">
            <v>ISO4217:USD</v>
          </cell>
          <cell r="AA12" t="b">
            <v>0</v>
          </cell>
          <cell r="AB12" t="b">
            <v>0</v>
          </cell>
        </row>
        <row r="13">
          <cell r="B13" t="str">
            <v>Deferred Income Taxes</v>
          </cell>
          <cell r="C13">
            <v>-235.315</v>
          </cell>
          <cell r="D13">
            <v>29.356999999999999</v>
          </cell>
          <cell r="E13">
            <v>-196.64400000000001</v>
          </cell>
          <cell r="G13">
            <v>-149</v>
          </cell>
          <cell r="I13">
            <v>-73.584999999999994</v>
          </cell>
          <cell r="K13">
            <v>-109.69499999999999</v>
          </cell>
          <cell r="M13">
            <v>0</v>
          </cell>
          <cell r="O13">
            <v>0</v>
          </cell>
          <cell r="Q13">
            <v>0</v>
          </cell>
          <cell r="S13">
            <v>0</v>
          </cell>
          <cell r="U13">
            <v>0</v>
          </cell>
          <cell r="X13" t="str">
            <v>mstag:deferredTax</v>
          </cell>
          <cell r="Y13">
            <v>6</v>
          </cell>
          <cell r="Z13" t="str">
            <v>ISO4217:USD</v>
          </cell>
          <cell r="AA13" t="b">
            <v>0</v>
          </cell>
          <cell r="AB13" t="b">
            <v>0</v>
          </cell>
        </row>
        <row r="14">
          <cell r="B14" t="str">
            <v xml:space="preserve">        Gain on sales of securities available for-sale</v>
          </cell>
          <cell r="C14">
            <v>-132.30699999999999</v>
          </cell>
          <cell r="D14">
            <v>-39.4</v>
          </cell>
          <cell r="E14">
            <v>-53.71</v>
          </cell>
          <cell r="G14">
            <v>-23.1</v>
          </cell>
          <cell r="I14">
            <v>-13.577</v>
          </cell>
          <cell r="K14">
            <v>-11.606</v>
          </cell>
          <cell r="M14">
            <v>0</v>
          </cell>
          <cell r="O14">
            <v>0</v>
          </cell>
          <cell r="Q14">
            <v>0</v>
          </cell>
          <cell r="S14">
            <v>0</v>
          </cell>
          <cell r="U14">
            <v>0</v>
          </cell>
          <cell r="X14" t="str">
            <v>mstag:gainsLossesFromSaleOfOperatingAssetsOneTime</v>
          </cell>
          <cell r="Y14">
            <v>6</v>
          </cell>
          <cell r="Z14" t="str">
            <v>ISO4217:USD</v>
          </cell>
          <cell r="AA14" t="b">
            <v>1</v>
          </cell>
          <cell r="AB14" t="b">
            <v>0</v>
          </cell>
        </row>
        <row r="15">
          <cell r="B15" t="str">
            <v xml:space="preserve">        Loss on sales of securities available for-sale</v>
          </cell>
          <cell r="C15">
            <v>3.9569999999999999</v>
          </cell>
          <cell r="D15">
            <v>2.0110000000000001</v>
          </cell>
          <cell r="E15">
            <v>5.8680000000000003</v>
          </cell>
          <cell r="G15">
            <v>3.1</v>
          </cell>
          <cell r="I15">
            <v>1.839</v>
          </cell>
          <cell r="K15">
            <v>3.1640000000000001</v>
          </cell>
          <cell r="M15">
            <v>0</v>
          </cell>
          <cell r="O15">
            <v>0</v>
          </cell>
          <cell r="Q15">
            <v>0</v>
          </cell>
          <cell r="S15">
            <v>0</v>
          </cell>
          <cell r="U15">
            <v>0</v>
          </cell>
          <cell r="X15" t="str">
            <v>mstag:gainsLossesFromSaleOfOperatingAssetsOneTime</v>
          </cell>
          <cell r="Y15">
            <v>6</v>
          </cell>
          <cell r="Z15" t="str">
            <v>ISO4217:USD</v>
          </cell>
          <cell r="AA15" t="b">
            <v>1</v>
          </cell>
          <cell r="AB15" t="b">
            <v>0</v>
          </cell>
        </row>
        <row r="16">
          <cell r="B16" t="str">
            <v xml:space="preserve">        Write-down of securities available for-sale</v>
          </cell>
          <cell r="C16">
            <v>4.8</v>
          </cell>
          <cell r="D16">
            <v>27.504000000000001</v>
          </cell>
          <cell r="E16">
            <v>40.759</v>
          </cell>
          <cell r="G16">
            <v>3.8</v>
          </cell>
          <cell r="I16">
            <v>12.34</v>
          </cell>
          <cell r="K16">
            <v>10.044</v>
          </cell>
          <cell r="M16">
            <v>0</v>
          </cell>
          <cell r="O16">
            <v>0</v>
          </cell>
          <cell r="Q16">
            <v>0</v>
          </cell>
          <cell r="S16">
            <v>0</v>
          </cell>
          <cell r="U16">
            <v>0</v>
          </cell>
          <cell r="X16" t="str">
            <v>mstag:assetImpairmentNonGoodwillOneTime</v>
          </cell>
          <cell r="Y16">
            <v>6</v>
          </cell>
          <cell r="Z16" t="str">
            <v>ISO4217:USD</v>
          </cell>
          <cell r="AA16" t="b">
            <v>0</v>
          </cell>
          <cell r="AB16" t="b">
            <v>0</v>
          </cell>
        </row>
        <row r="17">
          <cell r="B17" t="str">
            <v xml:space="preserve">        Write-down of nonmarketable securities</v>
          </cell>
          <cell r="C17">
            <v>0</v>
          </cell>
          <cell r="D17">
            <v>0</v>
          </cell>
          <cell r="E17">
            <v>0</v>
          </cell>
          <cell r="G17">
            <v>0</v>
          </cell>
          <cell r="I17">
            <v>0</v>
          </cell>
          <cell r="K17">
            <v>0</v>
          </cell>
          <cell r="M17">
            <v>0</v>
          </cell>
          <cell r="O17">
            <v>0</v>
          </cell>
          <cell r="Q17">
            <v>0</v>
          </cell>
          <cell r="S17">
            <v>0</v>
          </cell>
          <cell r="U17">
            <v>0</v>
          </cell>
          <cell r="X17" t="str">
            <v>mstag:assetImpairmentNonGoodwillOneTime</v>
          </cell>
          <cell r="Y17">
            <v>6</v>
          </cell>
          <cell r="Z17" t="str">
            <v>ISO4217:USD</v>
          </cell>
          <cell r="AA17" t="b">
            <v>0</v>
          </cell>
          <cell r="AB17" t="b">
            <v>0</v>
          </cell>
        </row>
        <row r="18">
          <cell r="B18" t="str">
            <v xml:space="preserve">        Loss (gain) on fixed asset dispositions</v>
          </cell>
          <cell r="C18">
            <v>1.123</v>
          </cell>
          <cell r="D18">
            <v>4.2110000000000003</v>
          </cell>
          <cell r="E18">
            <v>15.882999999999999</v>
          </cell>
          <cell r="G18">
            <v>10.76</v>
          </cell>
          <cell r="I18">
            <v>5.1150000000000002</v>
          </cell>
          <cell r="K18">
            <v>9.65</v>
          </cell>
          <cell r="M18">
            <v>0</v>
          </cell>
          <cell r="O18">
            <v>0</v>
          </cell>
          <cell r="Q18">
            <v>0</v>
          </cell>
          <cell r="S18">
            <v>0</v>
          </cell>
          <cell r="U18">
            <v>0</v>
          </cell>
          <cell r="X18" t="str">
            <v>mstag:gainsLossesFromSaleOfOperatingAssetsRecurring</v>
          </cell>
          <cell r="Y18">
            <v>6</v>
          </cell>
          <cell r="Z18" t="str">
            <v>ISO4217:USD</v>
          </cell>
          <cell r="AA18" t="b">
            <v>1</v>
          </cell>
          <cell r="AB18" t="b">
            <v>0</v>
          </cell>
        </row>
        <row r="19">
          <cell r="B19" t="str">
            <v>Changes in operating assets and liabilities</v>
          </cell>
        </row>
        <row r="20">
          <cell r="B20" t="str">
            <v xml:space="preserve">           Litigation related liability</v>
          </cell>
          <cell r="C20">
            <v>0</v>
          </cell>
          <cell r="D20">
            <v>0</v>
          </cell>
          <cell r="E20">
            <v>552.18499999999995</v>
          </cell>
          <cell r="G20">
            <v>56.1</v>
          </cell>
          <cell r="I20">
            <v>34.722000000000001</v>
          </cell>
          <cell r="K20">
            <v>51.423999999999999</v>
          </cell>
          <cell r="M20">
            <v>52</v>
          </cell>
          <cell r="O20">
            <v>52</v>
          </cell>
          <cell r="Q20">
            <v>52</v>
          </cell>
          <cell r="S20">
            <v>52</v>
          </cell>
          <cell r="U20">
            <v>52</v>
          </cell>
          <cell r="X20" t="str">
            <v>mstag:netIncreaseInOtherLiabilitiesNonOperating</v>
          </cell>
          <cell r="Y20">
            <v>6</v>
          </cell>
          <cell r="Z20" t="str">
            <v>ISO4217:USD</v>
          </cell>
          <cell r="AA20" t="b">
            <v>0</v>
          </cell>
          <cell r="AB20" t="b">
            <v>0</v>
          </cell>
        </row>
        <row r="21">
          <cell r="B21" t="str">
            <v xml:space="preserve">            Receivables and other current assets</v>
          </cell>
          <cell r="C21">
            <v>-65.33</v>
          </cell>
          <cell r="D21">
            <v>-59.5</v>
          </cell>
          <cell r="E21">
            <v>-107.483</v>
          </cell>
          <cell r="G21">
            <v>-146.1</v>
          </cell>
          <cell r="I21">
            <v>-363.80500000000001</v>
          </cell>
          <cell r="K21">
            <v>-129.11799999999999</v>
          </cell>
          <cell r="M21">
            <v>-482.23639950000012</v>
          </cell>
          <cell r="O21">
            <v>-419.21483417812306</v>
          </cell>
          <cell r="Q21">
            <v>-327.43072495785668</v>
          </cell>
          <cell r="S21">
            <v>-78.148645701194113</v>
          </cell>
          <cell r="U21">
            <v>127.58781810971152</v>
          </cell>
          <cell r="X21" t="str">
            <v>mstag:netDecreaseInTradeReceivables</v>
          </cell>
          <cell r="Y21">
            <v>6</v>
          </cell>
          <cell r="Z21" t="str">
            <v>ISO4217:USD</v>
          </cell>
          <cell r="AA21" t="b">
            <v>0</v>
          </cell>
          <cell r="AB21" t="b">
            <v>0</v>
          </cell>
        </row>
        <row r="22">
          <cell r="B22" t="str">
            <v xml:space="preserve">            Inventories, including write-up effects</v>
          </cell>
          <cell r="C22">
            <v>9.4149999999999991</v>
          </cell>
          <cell r="D22">
            <v>-91.116</v>
          </cell>
          <cell r="E22">
            <v>-36.595999999999997</v>
          </cell>
          <cell r="G22">
            <v>-93.26</v>
          </cell>
          <cell r="I22">
            <v>-120.703</v>
          </cell>
          <cell r="K22">
            <v>-112.172</v>
          </cell>
          <cell r="M22">
            <v>-203.06840740740745</v>
          </cell>
          <cell r="O22">
            <v>-170.67368457935152</v>
          </cell>
          <cell r="Q22">
            <v>-80.221479214376586</v>
          </cell>
          <cell r="S22">
            <v>-59.809257507460643</v>
          </cell>
          <cell r="U22">
            <v>-51.254885944137868</v>
          </cell>
          <cell r="X22" t="str">
            <v>mstag:netDecreaseInInventories</v>
          </cell>
          <cell r="Y22">
            <v>6</v>
          </cell>
          <cell r="Z22" t="str">
            <v>ISO4217:USD</v>
          </cell>
          <cell r="AA22" t="b">
            <v>0</v>
          </cell>
          <cell r="AB22" t="b">
            <v>0</v>
          </cell>
        </row>
        <row r="23">
          <cell r="B23" t="str">
            <v xml:space="preserve">            Deferred Revenue</v>
          </cell>
          <cell r="C23">
            <v>0</v>
          </cell>
          <cell r="D23">
            <v>-15.497</v>
          </cell>
          <cell r="E23">
            <v>2</v>
          </cell>
          <cell r="G23">
            <v>239.14500000000001</v>
          </cell>
          <cell r="I23">
            <v>-14.927</v>
          </cell>
          <cell r="K23">
            <v>-49.375</v>
          </cell>
          <cell r="M23">
            <v>191.59800000000001</v>
          </cell>
          <cell r="O23">
            <v>107.93825608416142</v>
          </cell>
          <cell r="Q23">
            <v>91.253059470930111</v>
          </cell>
          <cell r="S23">
            <v>74.092633340663724</v>
          </cell>
          <cell r="U23">
            <v>59.603533573130335</v>
          </cell>
          <cell r="X23" t="str">
            <v>mstag:netIncreaseInDeferredRevenue</v>
          </cell>
          <cell r="Y23">
            <v>6</v>
          </cell>
          <cell r="Z23" t="str">
            <v>ISO4217:USD</v>
          </cell>
          <cell r="AA23" t="b">
            <v>0</v>
          </cell>
          <cell r="AB23" t="b">
            <v>0</v>
          </cell>
        </row>
        <row r="24">
          <cell r="B24" t="str">
            <v xml:space="preserve">            Accounts payable, and other liabilities </v>
          </cell>
          <cell r="C24">
            <v>239.38800000000001</v>
          </cell>
          <cell r="D24">
            <v>124.77</v>
          </cell>
          <cell r="E24">
            <v>148.68199999999999</v>
          </cell>
          <cell r="G24">
            <v>463.6</v>
          </cell>
          <cell r="I24">
            <v>335.54199999999997</v>
          </cell>
          <cell r="K24">
            <v>437.54899999999998</v>
          </cell>
          <cell r="M24">
            <v>24.442089133333141</v>
          </cell>
          <cell r="O24">
            <v>190.90714021868848</v>
          </cell>
          <cell r="Q24">
            <v>112.59478625470587</v>
          </cell>
          <cell r="S24">
            <v>57.95152783026424</v>
          </cell>
          <cell r="U24">
            <v>11.020237528346001</v>
          </cell>
          <cell r="X24" t="str">
            <v>mstag:netIncreaseInTradeAndOtherPayables</v>
          </cell>
          <cell r="Y24">
            <v>6</v>
          </cell>
          <cell r="Z24" t="str">
            <v>ISO4217:USD</v>
          </cell>
          <cell r="AA24" t="b">
            <v>0</v>
          </cell>
          <cell r="AB24" t="b">
            <v>0</v>
          </cell>
        </row>
        <row r="25">
          <cell r="B25" t="str">
            <v>Net cash provided by (used in) operating activities</v>
          </cell>
          <cell r="C25">
            <v>214.49400000000006</v>
          </cell>
          <cell r="D25">
            <v>566.26700000000005</v>
          </cell>
          <cell r="E25">
            <v>709.68599999999981</v>
          </cell>
          <cell r="G25">
            <v>1270.5558426585776</v>
          </cell>
          <cell r="I25">
            <v>1270.4680000000001</v>
          </cell>
          <cell r="K25">
            <v>2381.3220000000001</v>
          </cell>
          <cell r="M25">
            <v>2042.7539158059255</v>
          </cell>
          <cell r="O25">
            <v>2955.4313313525158</v>
          </cell>
          <cell r="Q25">
            <v>3800.3359980453415</v>
          </cell>
          <cell r="S25">
            <v>4520.7038833214228</v>
          </cell>
          <cell r="U25">
            <v>5285.1551618023705</v>
          </cell>
        </row>
        <row r="26">
          <cell r="B26" t="str">
            <v>CASH FLOWS FROM INVESTING ACTIVITIES</v>
          </cell>
        </row>
        <row r="27">
          <cell r="B27" t="str">
            <v xml:space="preserve">       Investment in marketable securities, net of sales</v>
          </cell>
          <cell r="C27">
            <v>-12.960000000000036</v>
          </cell>
          <cell r="D27">
            <v>-566.21399999999994</v>
          </cell>
          <cell r="E27">
            <v>811.46400000000017</v>
          </cell>
          <cell r="G27">
            <v>-1054.1300000000001</v>
          </cell>
          <cell r="I27">
            <v>177.0250000000002</v>
          </cell>
          <cell r="K27">
            <v>-297.928</v>
          </cell>
          <cell r="M27">
            <v>0</v>
          </cell>
          <cell r="O27">
            <v>-500</v>
          </cell>
          <cell r="Q27">
            <v>-1000</v>
          </cell>
          <cell r="S27">
            <v>-2000</v>
          </cell>
          <cell r="U27">
            <v>-2000</v>
          </cell>
          <cell r="X27" t="str">
            <v>mstag:netDecreaseInOtherAssets</v>
          </cell>
          <cell r="Y27">
            <v>6</v>
          </cell>
          <cell r="Z27" t="str">
            <v>ISO4217:USD</v>
          </cell>
          <cell r="AA27" t="b">
            <v>0</v>
          </cell>
          <cell r="AB27" t="b">
            <v>0</v>
          </cell>
        </row>
        <row r="28">
          <cell r="B28" t="str">
            <v xml:space="preserve">        Capital expenditures</v>
          </cell>
          <cell r="C28">
            <v>-112.681</v>
          </cell>
          <cell r="D28">
            <v>-213.351</v>
          </cell>
          <cell r="E28">
            <v>-322.83199999999999</v>
          </cell>
          <cell r="G28">
            <v>-321.95</v>
          </cell>
          <cell r="I28">
            <v>-649.85799999999995</v>
          </cell>
          <cell r="K28">
            <v>-1399.8240000000001</v>
          </cell>
          <cell r="M28">
            <v>-1482.0585000000001</v>
          </cell>
          <cell r="O28">
            <v>-1579.0775170356521</v>
          </cell>
          <cell r="Q28">
            <v>-1179.3767679991645</v>
          </cell>
          <cell r="S28">
            <v>-875.1623386749061</v>
          </cell>
          <cell r="U28">
            <v>-828.35075659232984</v>
          </cell>
          <cell r="X28" t="str">
            <v>mstag:capitalExpenditures</v>
          </cell>
          <cell r="Y28">
            <v>6</v>
          </cell>
          <cell r="Z28" t="str">
            <v>ISO4217:USD</v>
          </cell>
          <cell r="AA28" t="b">
            <v>1</v>
          </cell>
          <cell r="AB28" t="b">
            <v>0</v>
          </cell>
        </row>
        <row r="29">
          <cell r="B29" t="str">
            <v xml:space="preserve">        Change in other assets</v>
          </cell>
          <cell r="C29">
            <v>-55.603999999999999</v>
          </cell>
          <cell r="D29">
            <v>-10.105</v>
          </cell>
          <cell r="E29">
            <v>12.875</v>
          </cell>
          <cell r="G29">
            <v>-56.1</v>
          </cell>
          <cell r="I29">
            <v>-57.954999999999998</v>
          </cell>
          <cell r="K29">
            <v>-42.716000000000001</v>
          </cell>
          <cell r="M29">
            <v>0</v>
          </cell>
          <cell r="O29">
            <v>0</v>
          </cell>
          <cell r="Q29">
            <v>0</v>
          </cell>
          <cell r="S29">
            <v>0</v>
          </cell>
          <cell r="U29">
            <v>0</v>
          </cell>
          <cell r="X29" t="str">
            <v>mstag:netDecreaseInOtherAssets</v>
          </cell>
          <cell r="Y29">
            <v>6</v>
          </cell>
          <cell r="Z29" t="str">
            <v>ISO4217:USD</v>
          </cell>
          <cell r="AA29" t="b">
            <v>0</v>
          </cell>
          <cell r="AB29" t="b">
            <v>0</v>
          </cell>
        </row>
        <row r="30">
          <cell r="B30" t="str">
            <v xml:space="preserve">        Transfer of restricted cash included in other long-term assets</v>
          </cell>
          <cell r="C30">
            <v>0</v>
          </cell>
          <cell r="D30">
            <v>0</v>
          </cell>
          <cell r="E30">
            <v>-630</v>
          </cell>
          <cell r="G30">
            <v>0</v>
          </cell>
          <cell r="I30">
            <v>4.5999999999999996</v>
          </cell>
          <cell r="K30">
            <v>-53</v>
          </cell>
          <cell r="M30">
            <v>0</v>
          </cell>
          <cell r="O30">
            <v>0</v>
          </cell>
          <cell r="Q30">
            <v>0</v>
          </cell>
          <cell r="S30">
            <v>0</v>
          </cell>
          <cell r="U30">
            <v>0</v>
          </cell>
          <cell r="X30" t="str">
            <v>mstag:netDecreaseInOtherAssets</v>
          </cell>
          <cell r="Y30">
            <v>6</v>
          </cell>
          <cell r="Z30" t="str">
            <v>ISO4217:USD</v>
          </cell>
          <cell r="AA30" t="b">
            <v>0</v>
          </cell>
          <cell r="AB30" t="b">
            <v>0</v>
          </cell>
        </row>
        <row r="31">
          <cell r="B31" t="str">
            <v>Net cash used in investing activities</v>
          </cell>
          <cell r="C31">
            <v>-181.24500000000003</v>
          </cell>
          <cell r="D31">
            <v>-789.67</v>
          </cell>
          <cell r="E31">
            <v>-128.49299999999982</v>
          </cell>
          <cell r="G31">
            <v>-1432.18</v>
          </cell>
          <cell r="I31">
            <v>-526.18799999999976</v>
          </cell>
          <cell r="K31">
            <v>-1793.4679999999998</v>
          </cell>
          <cell r="M31">
            <v>-1482.0585000000001</v>
          </cell>
          <cell r="O31">
            <v>-2079.0775170356519</v>
          </cell>
          <cell r="Q31">
            <v>-2179.3767679991643</v>
          </cell>
          <cell r="S31">
            <v>-2875.1623386749061</v>
          </cell>
          <cell r="U31">
            <v>-2828.3507565923301</v>
          </cell>
        </row>
        <row r="32">
          <cell r="B32" t="str">
            <v>CASH FLOWS FROM FINANCING ACTIVITIES</v>
          </cell>
        </row>
        <row r="33">
          <cell r="B33" t="str">
            <v xml:space="preserve">        Stock issuances</v>
          </cell>
          <cell r="C33">
            <v>180.37899999999999</v>
          </cell>
          <cell r="D33">
            <v>106.866</v>
          </cell>
          <cell r="E33">
            <v>74.164000000000001</v>
          </cell>
          <cell r="G33">
            <v>526.86</v>
          </cell>
          <cell r="I33">
            <v>505.37400000000002</v>
          </cell>
          <cell r="K33">
            <v>820.49300000000005</v>
          </cell>
          <cell r="M33">
            <v>720.03708671999993</v>
          </cell>
          <cell r="O33">
            <v>694.32147647999989</v>
          </cell>
          <cell r="Q33">
            <v>720.53905543188478</v>
          </cell>
          <cell r="S33">
            <v>729.31083523714256</v>
          </cell>
          <cell r="U33">
            <v>875.173002284571</v>
          </cell>
          <cell r="X33" t="str">
            <v>mstag:proceedsFromIssuanceFundsUsedToRepurchaseCommonStock</v>
          </cell>
          <cell r="Y33">
            <v>6</v>
          </cell>
          <cell r="Z33" t="str">
            <v>ISO4217:USD</v>
          </cell>
          <cell r="AA33" t="b">
            <v>0</v>
          </cell>
          <cell r="AB33" t="b">
            <v>0</v>
          </cell>
        </row>
        <row r="34">
          <cell r="B34" t="str">
            <v xml:space="preserve">        Stock repurchases</v>
          </cell>
          <cell r="C34">
            <v>0</v>
          </cell>
          <cell r="D34">
            <v>-39.704000000000001</v>
          </cell>
          <cell r="E34">
            <v>-692.75199999999995</v>
          </cell>
          <cell r="G34">
            <v>-201.34</v>
          </cell>
          <cell r="I34">
            <v>-1351.683</v>
          </cell>
          <cell r="K34">
            <v>-2015.912</v>
          </cell>
          <cell r="M34">
            <v>-1970.7352000000001</v>
          </cell>
          <cell r="O34">
            <v>-1719.818379</v>
          </cell>
          <cell r="Q34">
            <v>-1615.2066424968916</v>
          </cell>
          <cell r="S34">
            <v>-1479.5573750774572</v>
          </cell>
          <cell r="U34">
            <v>-1606.7993093341186</v>
          </cell>
          <cell r="X34" t="str">
            <v>mstag:proceedsFromIssuanceFundsUsedToRepurchaseCommonStock</v>
          </cell>
          <cell r="Y34">
            <v>6</v>
          </cell>
          <cell r="Z34" t="str">
            <v>ISO4217:USD</v>
          </cell>
          <cell r="AA34" t="b">
            <v>0</v>
          </cell>
          <cell r="AB34" t="b">
            <v>0</v>
          </cell>
        </row>
        <row r="35">
          <cell r="B35" t="str">
            <v xml:space="preserve">        Tax benefits from stock options</v>
          </cell>
          <cell r="C35">
            <v>0</v>
          </cell>
          <cell r="D35">
            <v>0</v>
          </cell>
          <cell r="E35">
            <v>0</v>
          </cell>
          <cell r="M35">
            <v>466.42246192600749</v>
          </cell>
          <cell r="O35">
            <v>382.51034463996001</v>
          </cell>
          <cell r="Q35">
            <v>333.71100997524758</v>
          </cell>
          <cell r="S35">
            <v>279.84195936043733</v>
          </cell>
          <cell r="U35">
            <v>272.89661252948122</v>
          </cell>
          <cell r="X35" t="str">
            <v>mstag:taxBenefitFromExerciseOfEsosCashFlowStatement</v>
          </cell>
          <cell r="Y35">
            <v>6</v>
          </cell>
          <cell r="Z35" t="str">
            <v>ISO4217:USD</v>
          </cell>
          <cell r="AA35" t="b">
            <v>0</v>
          </cell>
          <cell r="AB35" t="b">
            <v>0</v>
          </cell>
        </row>
        <row r="36">
          <cell r="B36" t="str">
            <v xml:space="preserve">        Debt issuance</v>
          </cell>
          <cell r="C36">
            <v>0</v>
          </cell>
          <cell r="D36">
            <v>0</v>
          </cell>
          <cell r="E36">
            <v>-149.69200000000001</v>
          </cell>
          <cell r="G36">
            <v>0</v>
          </cell>
          <cell r="I36">
            <v>0</v>
          </cell>
          <cell r="K36">
            <v>1562.953</v>
          </cell>
          <cell r="M36">
            <v>0</v>
          </cell>
          <cell r="O36">
            <v>0</v>
          </cell>
          <cell r="Q36">
            <v>0</v>
          </cell>
          <cell r="S36">
            <v>0</v>
          </cell>
          <cell r="U36">
            <v>-500</v>
          </cell>
          <cell r="X36" t="str">
            <v>mstag:proceedsFromIssuanceAndCashUsedToRepayShortTermBorrowings</v>
          </cell>
          <cell r="Y36">
            <v>6</v>
          </cell>
          <cell r="Z36" t="str">
            <v>ISO4217:USD</v>
          </cell>
          <cell r="AA36" t="b">
            <v>0</v>
          </cell>
          <cell r="AB36" t="b">
            <v>0</v>
          </cell>
        </row>
        <row r="37">
          <cell r="B37" t="str">
            <v>Net cash provided by financing activities</v>
          </cell>
          <cell r="C37">
            <v>180.37899999999999</v>
          </cell>
          <cell r="D37">
            <v>67.162000000000006</v>
          </cell>
          <cell r="E37">
            <v>-768.28</v>
          </cell>
          <cell r="G37">
            <v>325.52</v>
          </cell>
          <cell r="I37">
            <v>-846.30899999999997</v>
          </cell>
          <cell r="K37">
            <v>367.53400000000011</v>
          </cell>
          <cell r="M37">
            <v>-784.27565135399266</v>
          </cell>
          <cell r="O37">
            <v>-642.98655788004021</v>
          </cell>
          <cell r="Q37">
            <v>-560.95657708975932</v>
          </cell>
          <cell r="S37">
            <v>-470.40458047987732</v>
          </cell>
          <cell r="U37">
            <v>-958.72969452006635</v>
          </cell>
        </row>
        <row r="38">
          <cell r="B38" t="str">
            <v xml:space="preserve">Change in cash </v>
          </cell>
          <cell r="C38">
            <v>213.62800000000001</v>
          </cell>
          <cell r="D38">
            <v>-156.24099999999987</v>
          </cell>
          <cell r="E38">
            <v>-187.08699999999999</v>
          </cell>
          <cell r="G38">
            <v>163.89584265857752</v>
          </cell>
          <cell r="I38">
            <v>-102.02899999999977</v>
          </cell>
          <cell r="K38">
            <v>955.38800000000037</v>
          </cell>
          <cell r="M38">
            <v>-223.58023554806709</v>
          </cell>
          <cell r="O38">
            <v>233.36725643682394</v>
          </cell>
          <cell r="Q38">
            <v>1060.0026529564179</v>
          </cell>
          <cell r="S38">
            <v>1175.1369641666392</v>
          </cell>
          <cell r="U38">
            <v>1498.0747106899739</v>
          </cell>
        </row>
        <row r="39">
          <cell r="B39" t="str">
            <v>Cash at beginning of year</v>
          </cell>
          <cell r="C39">
            <v>337.68200000000002</v>
          </cell>
          <cell r="D39">
            <v>551.31000000000006</v>
          </cell>
          <cell r="E39">
            <v>395.06900000000019</v>
          </cell>
          <cell r="G39">
            <v>207.9820000000002</v>
          </cell>
          <cell r="I39">
            <v>371.87784265857772</v>
          </cell>
          <cell r="K39">
            <v>270.12299999999999</v>
          </cell>
          <cell r="M39">
            <v>1225.5110000000004</v>
          </cell>
          <cell r="O39">
            <v>1001.9307644519333</v>
          </cell>
          <cell r="Q39">
            <v>1235.2980208887573</v>
          </cell>
          <cell r="S39">
            <v>2295.300673845175</v>
          </cell>
          <cell r="U39">
            <v>3470.4376380118142</v>
          </cell>
        </row>
        <row r="40">
          <cell r="B40" t="str">
            <v>Cash at end of year</v>
          </cell>
          <cell r="C40">
            <v>551.31000000000006</v>
          </cell>
          <cell r="D40">
            <v>395.06900000000019</v>
          </cell>
          <cell r="E40">
            <v>207.9820000000002</v>
          </cell>
          <cell r="G40">
            <v>371.87784265857772</v>
          </cell>
          <cell r="I40">
            <v>270.12299999999999</v>
          </cell>
          <cell r="K40">
            <v>1225.5110000000004</v>
          </cell>
          <cell r="M40">
            <v>1001.9307644519333</v>
          </cell>
          <cell r="O40">
            <v>1235.2980208887573</v>
          </cell>
          <cell r="Q40">
            <v>2295.300673845175</v>
          </cell>
          <cell r="S40">
            <v>3470.4376380118142</v>
          </cell>
          <cell r="U40">
            <v>4968.5123487017881</v>
          </cell>
        </row>
        <row r="41">
          <cell r="B41" t="str">
            <v>Cash and Marketable Securities at end of year</v>
          </cell>
          <cell r="G41">
            <v>2934.3978426585777</v>
          </cell>
          <cell r="I41">
            <v>2780.4319999999998</v>
          </cell>
          <cell r="K41">
            <v>3813.8920000000007</v>
          </cell>
          <cell r="M41">
            <v>3590.3117644519334</v>
          </cell>
          <cell r="O41">
            <v>4323.6790208887569</v>
          </cell>
          <cell r="Q41">
            <v>6383.6816738451744</v>
          </cell>
          <cell r="S41">
            <v>9558.8186380118132</v>
          </cell>
          <cell r="U41">
            <v>13056.893348701788</v>
          </cell>
        </row>
        <row r="45">
          <cell r="G45" t="str">
            <v>2003-FY</v>
          </cell>
          <cell r="I45" t="str">
            <v>2004-FY</v>
          </cell>
          <cell r="K45" t="str">
            <v>2005-FY</v>
          </cell>
          <cell r="M45" t="str">
            <v>2006-FY</v>
          </cell>
          <cell r="O45" t="str">
            <v>2007-FY</v>
          </cell>
          <cell r="Q45" t="str">
            <v>2008-FY</v>
          </cell>
          <cell r="S45" t="str">
            <v>2009-FY</v>
          </cell>
          <cell r="U45" t="str">
            <v>2010-FY</v>
          </cell>
        </row>
        <row r="47">
          <cell r="B47" t="str">
            <v>Free Cash Flow</v>
          </cell>
          <cell r="G47">
            <v>948.60584265857756</v>
          </cell>
          <cell r="I47">
            <v>620.61000000000013</v>
          </cell>
          <cell r="K47">
            <v>981.49800000000005</v>
          </cell>
          <cell r="M47">
            <v>1027.1178777319328</v>
          </cell>
          <cell r="O47">
            <v>1758.8641589568238</v>
          </cell>
          <cell r="Q47">
            <v>2954.6702400214249</v>
          </cell>
          <cell r="S47">
            <v>3925.3835040069539</v>
          </cell>
          <cell r="U47">
            <v>4729.7010177395214</v>
          </cell>
        </row>
      </sheetData>
      <sheetData sheetId="10" refreshError="1"/>
      <sheetData sheetId="11" refreshError="1"/>
      <sheetData sheetId="12" refreshError="1"/>
      <sheetData sheetId="13" refreshError="1"/>
      <sheetData sheetId="14" refreshError="1"/>
      <sheetData sheetId="15" refreshError="1">
        <row r="2">
          <cell r="C2" t="str">
            <v>Patient Growth Rate</v>
          </cell>
          <cell r="D2">
            <v>1.65E-3</v>
          </cell>
        </row>
        <row r="4">
          <cell r="B4" t="str">
            <v>Front - Line</v>
          </cell>
          <cell r="C4">
            <v>38047</v>
          </cell>
          <cell r="D4">
            <v>38078</v>
          </cell>
          <cell r="E4">
            <v>38108</v>
          </cell>
          <cell r="F4">
            <v>38139</v>
          </cell>
          <cell r="G4">
            <v>38169</v>
          </cell>
          <cell r="H4">
            <v>38200</v>
          </cell>
          <cell r="I4">
            <v>38231</v>
          </cell>
          <cell r="J4">
            <v>38261</v>
          </cell>
          <cell r="K4">
            <v>38292</v>
          </cell>
          <cell r="L4">
            <v>38322</v>
          </cell>
          <cell r="M4">
            <v>2004</v>
          </cell>
          <cell r="P4" t="str">
            <v>Front - Line</v>
          </cell>
          <cell r="Q4">
            <v>38353</v>
          </cell>
          <cell r="R4">
            <v>38384</v>
          </cell>
          <cell r="S4">
            <v>38412</v>
          </cell>
          <cell r="T4">
            <v>38443</v>
          </cell>
          <cell r="U4">
            <v>38473</v>
          </cell>
          <cell r="V4">
            <v>38504</v>
          </cell>
          <cell r="W4">
            <v>38534</v>
          </cell>
          <cell r="X4">
            <v>38565</v>
          </cell>
          <cell r="Y4">
            <v>38596</v>
          </cell>
          <cell r="Z4">
            <v>38626</v>
          </cell>
          <cell r="AA4">
            <v>38657</v>
          </cell>
          <cell r="AB4">
            <v>38687</v>
          </cell>
          <cell r="AC4">
            <v>2005</v>
          </cell>
        </row>
        <row r="5">
          <cell r="B5" t="str">
            <v>Previously Diagnosed Patients</v>
          </cell>
          <cell r="C5">
            <v>8000</v>
          </cell>
        </row>
        <row r="6">
          <cell r="B6" t="str">
            <v>New Stage III/IV Diagnoses Per Month</v>
          </cell>
          <cell r="C6">
            <v>3022</v>
          </cell>
          <cell r="D6">
            <v>3026.9862999999996</v>
          </cell>
          <cell r="E6">
            <v>3031.9808273949993</v>
          </cell>
          <cell r="F6">
            <v>3036.9835957602008</v>
          </cell>
          <cell r="G6">
            <v>3041.9946186932048</v>
          </cell>
          <cell r="H6">
            <v>3047.0139098140485</v>
          </cell>
          <cell r="I6">
            <v>3052.0414827652417</v>
          </cell>
          <cell r="J6">
            <v>3057.0773512118039</v>
          </cell>
          <cell r="K6">
            <v>3062.1215288413032</v>
          </cell>
          <cell r="L6">
            <v>3067.1740293638909</v>
          </cell>
          <cell r="M6">
            <v>30445.373643844694</v>
          </cell>
          <cell r="P6" t="str">
            <v>New Stage III/IV Diagnoses Per Month</v>
          </cell>
          <cell r="Q6">
            <v>3072.2348665123409</v>
          </cell>
          <cell r="R6">
            <v>3077.3040540420861</v>
          </cell>
          <cell r="S6">
            <v>3082.3816057312551</v>
          </cell>
          <cell r="T6">
            <v>3087.4675353807115</v>
          </cell>
          <cell r="U6">
            <v>3092.5618568140894</v>
          </cell>
          <cell r="V6">
            <v>3097.6645838778322</v>
          </cell>
          <cell r="W6">
            <v>3102.7757304412303</v>
          </cell>
          <cell r="X6">
            <v>3107.8953103964582</v>
          </cell>
          <cell r="Y6">
            <v>3113.023337658612</v>
          </cell>
          <cell r="Z6">
            <v>3118.1598261657487</v>
          </cell>
          <cell r="AA6">
            <v>3123.3047898789218</v>
          </cell>
          <cell r="AB6">
            <v>3128.458242782222</v>
          </cell>
          <cell r="AC6">
            <v>37203.231739681505</v>
          </cell>
        </row>
        <row r="7">
          <cell r="C7">
            <v>0.40827436037016873</v>
          </cell>
          <cell r="D7">
            <v>0.22</v>
          </cell>
          <cell r="E7">
            <v>0.21</v>
          </cell>
          <cell r="F7">
            <v>0.22</v>
          </cell>
          <cell r="G7">
            <v>0.4</v>
          </cell>
          <cell r="H7">
            <v>0.4</v>
          </cell>
          <cell r="I7">
            <v>0.4</v>
          </cell>
          <cell r="J7">
            <v>0.45</v>
          </cell>
          <cell r="K7">
            <v>0.46</v>
          </cell>
          <cell r="L7">
            <v>0.48</v>
          </cell>
          <cell r="M7">
            <v>0.47244332649680609</v>
          </cell>
          <cell r="Q7">
            <v>0.53</v>
          </cell>
          <cell r="R7">
            <v>0.55000000000000004</v>
          </cell>
          <cell r="S7">
            <v>0.61</v>
          </cell>
          <cell r="T7">
            <v>0.62</v>
          </cell>
          <cell r="U7">
            <v>0.63</v>
          </cell>
          <cell r="V7">
            <v>0.64</v>
          </cell>
          <cell r="W7">
            <v>0.64</v>
          </cell>
          <cell r="X7">
            <v>0.65</v>
          </cell>
          <cell r="Y7">
            <v>0.66</v>
          </cell>
          <cell r="Z7">
            <v>0.67</v>
          </cell>
          <cell r="AA7">
            <v>0.67</v>
          </cell>
          <cell r="AB7">
            <v>0.67</v>
          </cell>
          <cell r="AC7">
            <v>0.62855979730513767</v>
          </cell>
        </row>
        <row r="8">
          <cell r="B8" t="str">
            <v>New Patients Starting Therapy</v>
          </cell>
          <cell r="C8">
            <v>4500</v>
          </cell>
          <cell r="D8">
            <v>665.93698599999993</v>
          </cell>
          <cell r="E8">
            <v>636.71597375294982</v>
          </cell>
          <cell r="F8">
            <v>668.13639106724418</v>
          </cell>
          <cell r="G8">
            <v>1216.7978474772819</v>
          </cell>
          <cell r="H8">
            <v>1218.8055639256195</v>
          </cell>
          <cell r="I8">
            <v>1220.8165931060967</v>
          </cell>
          <cell r="J8">
            <v>1375.6848080453119</v>
          </cell>
          <cell r="K8">
            <v>1408.5759032669996</v>
          </cell>
          <cell r="L8">
            <v>1472.2435340946677</v>
          </cell>
          <cell r="M8">
            <v>14383.713600736173</v>
          </cell>
          <cell r="P8" t="str">
            <v>New Patients Starting Therapy</v>
          </cell>
          <cell r="Q8">
            <v>1628.2844792515407</v>
          </cell>
          <cell r="R8">
            <v>1692.5172297231475</v>
          </cell>
          <cell r="S8">
            <v>1880.2527794960656</v>
          </cell>
          <cell r="T8">
            <v>1914.229871936041</v>
          </cell>
          <cell r="U8">
            <v>1948.3139697928764</v>
          </cell>
          <cell r="V8">
            <v>1982.5053336818128</v>
          </cell>
          <cell r="W8">
            <v>1985.7764674823875</v>
          </cell>
          <cell r="X8">
            <v>2020.1319517576978</v>
          </cell>
          <cell r="Y8">
            <v>2054.5954028546839</v>
          </cell>
          <cell r="Z8">
            <v>2089.1670835310515</v>
          </cell>
          <cell r="AA8">
            <v>2092.6142092188779</v>
          </cell>
          <cell r="AB8">
            <v>2096.0670226640887</v>
          </cell>
          <cell r="AC8">
            <v>23384.455801390272</v>
          </cell>
        </row>
        <row r="9">
          <cell r="B9" t="str">
            <v>Failures</v>
          </cell>
          <cell r="P9" t="str">
            <v>Failures</v>
          </cell>
          <cell r="AE9" t="str">
            <v>Distribution of Failure Timing</v>
          </cell>
        </row>
        <row r="10">
          <cell r="B10" t="str">
            <v>1 Month</v>
          </cell>
          <cell r="C10">
            <v>52.05655526992286</v>
          </cell>
          <cell r="D10">
            <v>7.7036412262210767</v>
          </cell>
          <cell r="E10">
            <v>7.3656089508695972</v>
          </cell>
          <cell r="F10">
            <v>7.7290842154308423</v>
          </cell>
          <cell r="G10">
            <v>14.076067644338734</v>
          </cell>
          <cell r="H10">
            <v>14.099293155951893</v>
          </cell>
          <cell r="I10">
            <v>14.122556989659211</v>
          </cell>
          <cell r="J10">
            <v>15.914091609778668</v>
          </cell>
          <cell r="K10">
            <v>16.294579857844464</v>
          </cell>
          <cell r="L10">
            <v>17.031094867419029</v>
          </cell>
          <cell r="P10" t="str">
            <v>1 Month</v>
          </cell>
          <cell r="Q10">
            <v>18.836195775403421</v>
          </cell>
          <cell r="R10">
            <v>19.579248158751057</v>
          </cell>
          <cell r="S10">
            <v>21.750996163836227</v>
          </cell>
          <cell r="T10">
            <v>22.144047361727974</v>
          </cell>
          <cell r="U10">
            <v>22.538336411485709</v>
          </cell>
          <cell r="V10">
            <v>22.933866327938702</v>
          </cell>
          <cell r="W10">
            <v>22.971707207379797</v>
          </cell>
          <cell r="X10">
            <v>23.369135688713722</v>
          </cell>
          <cell r="Y10">
            <v>23.767813143563174</v>
          </cell>
          <cell r="Z10">
            <v>24.167742611541719</v>
          </cell>
          <cell r="AA10">
            <v>24.207619386850766</v>
          </cell>
          <cell r="AB10">
            <v>24.247561958839064</v>
          </cell>
          <cell r="AE10">
            <v>1</v>
          </cell>
          <cell r="AF10">
            <v>0.9</v>
          </cell>
          <cell r="AG10">
            <v>1.1568123393316192E-2</v>
          </cell>
        </row>
        <row r="11">
          <cell r="B11" t="str">
            <v>2 Months</v>
          </cell>
          <cell r="D11">
            <v>69.408740359897152</v>
          </cell>
          <cell r="E11">
            <v>10.271521634961434</v>
          </cell>
          <cell r="F11">
            <v>9.8208119344927951</v>
          </cell>
          <cell r="G11">
            <v>10.305445620574456</v>
          </cell>
          <cell r="H11">
            <v>18.768090192451641</v>
          </cell>
          <cell r="I11">
            <v>18.799057541269189</v>
          </cell>
          <cell r="J11">
            <v>18.830075986212282</v>
          </cell>
          <cell r="K11">
            <v>21.218788813038223</v>
          </cell>
          <cell r="L11">
            <v>21.726106477125949</v>
          </cell>
          <cell r="P11" t="str">
            <v>2 Months</v>
          </cell>
          <cell r="Q11">
            <v>22.708126489892038</v>
          </cell>
          <cell r="R11">
            <v>25.114927700537894</v>
          </cell>
          <cell r="S11">
            <v>26.105664211668074</v>
          </cell>
          <cell r="T11">
            <v>29.001328218448304</v>
          </cell>
          <cell r="U11">
            <v>29.525396482303965</v>
          </cell>
          <cell r="V11">
            <v>30.05111521531428</v>
          </cell>
          <cell r="W11">
            <v>30.5784884372516</v>
          </cell>
          <cell r="X11">
            <v>30.628942943173062</v>
          </cell>
          <cell r="Y11">
            <v>31.158847584951626</v>
          </cell>
          <cell r="Z11">
            <v>31.690417524750899</v>
          </cell>
          <cell r="AA11">
            <v>32.223656815388956</v>
          </cell>
          <cell r="AB11">
            <v>32.276825849134354</v>
          </cell>
          <cell r="AE11">
            <v>2</v>
          </cell>
          <cell r="AF11">
            <v>1.2</v>
          </cell>
          <cell r="AG11">
            <v>1.5424164524421588E-2</v>
          </cell>
        </row>
        <row r="12">
          <cell r="B12" t="str">
            <v>3 Months</v>
          </cell>
          <cell r="E12">
            <v>86.760925449871436</v>
          </cell>
          <cell r="F12">
            <v>12.839402043701794</v>
          </cell>
          <cell r="G12">
            <v>12.276014918115994</v>
          </cell>
          <cell r="H12">
            <v>12.88180702571807</v>
          </cell>
          <cell r="I12">
            <v>23.460112740564554</v>
          </cell>
          <cell r="J12">
            <v>23.498821926586483</v>
          </cell>
          <cell r="K12">
            <v>23.537594982765352</v>
          </cell>
          <cell r="L12">
            <v>26.523486016297777</v>
          </cell>
          <cell r="P12" t="str">
            <v>3 Months</v>
          </cell>
          <cell r="Q12">
            <v>27.157633096407437</v>
          </cell>
          <cell r="R12">
            <v>28.385158112365048</v>
          </cell>
          <cell r="S12">
            <v>31.393659625672367</v>
          </cell>
          <cell r="T12">
            <v>32.632080264585092</v>
          </cell>
          <cell r="U12">
            <v>36.251660273060381</v>
          </cell>
          <cell r="V12">
            <v>36.906745602879951</v>
          </cell>
          <cell r="W12">
            <v>37.563894019142843</v>
          </cell>
          <cell r="X12">
            <v>38.223110546564499</v>
          </cell>
          <cell r="Y12">
            <v>38.286178678966323</v>
          </cell>
          <cell r="Z12">
            <v>38.948559481189534</v>
          </cell>
          <cell r="AA12">
            <v>39.613021905938623</v>
          </cell>
          <cell r="AB12">
            <v>40.279571019236194</v>
          </cell>
          <cell r="AE12">
            <v>3</v>
          </cell>
          <cell r="AF12">
            <v>1.5</v>
          </cell>
          <cell r="AG12">
            <v>1.9280205655526985E-2</v>
          </cell>
        </row>
        <row r="13">
          <cell r="B13" t="str">
            <v>4 Months</v>
          </cell>
          <cell r="F13">
            <v>115.68123393316191</v>
          </cell>
          <cell r="G13">
            <v>17.119202724935725</v>
          </cell>
          <cell r="H13">
            <v>16.368019890821326</v>
          </cell>
          <cell r="I13">
            <v>17.175742700957429</v>
          </cell>
          <cell r="J13">
            <v>31.280150320752739</v>
          </cell>
          <cell r="K13">
            <v>31.331762568781979</v>
          </cell>
          <cell r="L13">
            <v>31.383459977020468</v>
          </cell>
          <cell r="P13" t="str">
            <v>4 Months</v>
          </cell>
          <cell r="Q13">
            <v>35.364648021730368</v>
          </cell>
          <cell r="R13">
            <v>36.210177461876583</v>
          </cell>
          <cell r="S13">
            <v>37.846877483153399</v>
          </cell>
          <cell r="T13">
            <v>41.858212834229825</v>
          </cell>
          <cell r="U13">
            <v>43.509440352780125</v>
          </cell>
          <cell r="V13">
            <v>48.335547030747172</v>
          </cell>
          <cell r="W13">
            <v>49.208994137173271</v>
          </cell>
          <cell r="X13">
            <v>50.085192025523796</v>
          </cell>
          <cell r="Y13">
            <v>50.964147395419332</v>
          </cell>
          <cell r="Z13">
            <v>51.048238238621764</v>
          </cell>
          <cell r="AA13">
            <v>51.931412641586043</v>
          </cell>
          <cell r="AB13">
            <v>52.817362541251498</v>
          </cell>
          <cell r="AE13">
            <v>4</v>
          </cell>
          <cell r="AF13">
            <v>2</v>
          </cell>
          <cell r="AG13">
            <v>2.570694087403598E-2</v>
          </cell>
        </row>
        <row r="14">
          <cell r="B14" t="str">
            <v>5 Months</v>
          </cell>
          <cell r="G14">
            <v>173.52185089974287</v>
          </cell>
          <cell r="H14">
            <v>25.678804087403588</v>
          </cell>
          <cell r="I14">
            <v>24.552029836231988</v>
          </cell>
          <cell r="J14">
            <v>25.763614051436139</v>
          </cell>
          <cell r="K14">
            <v>46.920225481129108</v>
          </cell>
          <cell r="L14">
            <v>46.997643853172967</v>
          </cell>
          <cell r="P14" t="str">
            <v>5 Months</v>
          </cell>
          <cell r="Q14">
            <v>47.075189965530704</v>
          </cell>
          <cell r="R14">
            <v>53.046972032595555</v>
          </cell>
          <cell r="S14">
            <v>54.315266192814875</v>
          </cell>
          <cell r="T14">
            <v>56.770316224730095</v>
          </cell>
          <cell r="U14">
            <v>62.787319251344734</v>
          </cell>
          <cell r="V14">
            <v>65.264160529170184</v>
          </cell>
          <cell r="W14">
            <v>72.503320546120761</v>
          </cell>
          <cell r="X14">
            <v>73.813491205759902</v>
          </cell>
          <cell r="Y14">
            <v>75.127788038285686</v>
          </cell>
          <cell r="Z14">
            <v>76.446221093128997</v>
          </cell>
          <cell r="AA14">
            <v>76.572357357932646</v>
          </cell>
          <cell r="AB14">
            <v>77.897118962379068</v>
          </cell>
          <cell r="AE14">
            <v>5</v>
          </cell>
          <cell r="AF14">
            <v>3</v>
          </cell>
          <cell r="AG14">
            <v>3.856041131105397E-2</v>
          </cell>
        </row>
        <row r="15">
          <cell r="B15" t="str">
            <v>6 Months</v>
          </cell>
          <cell r="H15">
            <v>231.36246786632381</v>
          </cell>
          <cell r="I15">
            <v>34.238405449871451</v>
          </cell>
          <cell r="J15">
            <v>32.736039781642653</v>
          </cell>
          <cell r="K15">
            <v>34.351485401914857</v>
          </cell>
          <cell r="L15">
            <v>62.560300641505478</v>
          </cell>
          <cell r="P15" t="str">
            <v>6 Months</v>
          </cell>
          <cell r="Q15">
            <v>62.663525137563958</v>
          </cell>
          <cell r="R15">
            <v>62.766919954040937</v>
          </cell>
          <cell r="S15">
            <v>70.729296043460735</v>
          </cell>
          <cell r="T15">
            <v>72.420354923753166</v>
          </cell>
          <cell r="U15">
            <v>75.693754966306798</v>
          </cell>
          <cell r="V15">
            <v>83.71642566845965</v>
          </cell>
          <cell r="W15">
            <v>87.01888070556025</v>
          </cell>
          <cell r="X15">
            <v>96.671094061494344</v>
          </cell>
          <cell r="Y15">
            <v>98.417988274346541</v>
          </cell>
          <cell r="Z15">
            <v>100.17038405104759</v>
          </cell>
          <cell r="AA15">
            <v>101.92829479083866</v>
          </cell>
          <cell r="AB15">
            <v>102.09647647724353</v>
          </cell>
          <cell r="AE15">
            <v>6</v>
          </cell>
          <cell r="AF15">
            <v>4</v>
          </cell>
          <cell r="AG15">
            <v>5.141388174807196E-2</v>
          </cell>
        </row>
        <row r="16">
          <cell r="B16" t="str">
            <v>7 Months</v>
          </cell>
          <cell r="I16">
            <v>318.12339331619529</v>
          </cell>
          <cell r="J16">
            <v>47.077807493573246</v>
          </cell>
          <cell r="K16">
            <v>45.01205469975865</v>
          </cell>
          <cell r="L16">
            <v>47.233292427632925</v>
          </cell>
          <cell r="P16" t="str">
            <v>7 Months</v>
          </cell>
          <cell r="Q16">
            <v>86.020413382070032</v>
          </cell>
          <cell r="R16">
            <v>86.162347064150453</v>
          </cell>
          <cell r="S16">
            <v>86.304514936806285</v>
          </cell>
          <cell r="T16">
            <v>97.252782059758516</v>
          </cell>
          <cell r="U16">
            <v>99.577988020160603</v>
          </cell>
          <cell r="V16">
            <v>104.07891307867185</v>
          </cell>
          <cell r="W16">
            <v>115.11008529413202</v>
          </cell>
          <cell r="X16">
            <v>119.65096097014535</v>
          </cell>
          <cell r="Y16">
            <v>132.92275433455472</v>
          </cell>
          <cell r="Z16">
            <v>135.32473387722652</v>
          </cell>
          <cell r="AA16">
            <v>137.73427807019044</v>
          </cell>
          <cell r="AB16">
            <v>140.15140533740316</v>
          </cell>
          <cell r="AE16">
            <v>7</v>
          </cell>
          <cell r="AF16">
            <v>5.5</v>
          </cell>
          <cell r="AG16">
            <v>7.0694087403598949E-2</v>
          </cell>
        </row>
        <row r="17">
          <cell r="B17" t="str">
            <v>8 Months</v>
          </cell>
          <cell r="J17">
            <v>381.74807197943426</v>
          </cell>
          <cell r="K17">
            <v>56.493368992287891</v>
          </cell>
          <cell r="L17">
            <v>54.014465639710373</v>
          </cell>
          <cell r="P17" t="str">
            <v>8 Months</v>
          </cell>
          <cell r="Q17">
            <v>56.679950913159509</v>
          </cell>
          <cell r="R17">
            <v>103.22449605848404</v>
          </cell>
          <cell r="S17">
            <v>103.39481647698052</v>
          </cell>
          <cell r="T17">
            <v>103.56541792416753</v>
          </cell>
          <cell r="U17">
            <v>116.70333847171021</v>
          </cell>
          <cell r="V17">
            <v>119.49358562419272</v>
          </cell>
          <cell r="W17">
            <v>124.8946956944062</v>
          </cell>
          <cell r="X17">
            <v>138.13210235295841</v>
          </cell>
          <cell r="Y17">
            <v>143.5811531641744</v>
          </cell>
          <cell r="Z17">
            <v>159.50730520146564</v>
          </cell>
          <cell r="AA17">
            <v>162.38968065267179</v>
          </cell>
          <cell r="AB17">
            <v>165.28113368422851</v>
          </cell>
          <cell r="AE17">
            <v>8</v>
          </cell>
          <cell r="AF17">
            <v>6.6</v>
          </cell>
          <cell r="AG17">
            <v>8.483290488431873E-2</v>
          </cell>
        </row>
        <row r="18">
          <cell r="B18" t="str">
            <v>9 Months</v>
          </cell>
          <cell r="K18">
            <v>404.88431876606671</v>
          </cell>
          <cell r="L18">
            <v>59.917209537275042</v>
          </cell>
          <cell r="P18" t="str">
            <v>9 Months</v>
          </cell>
          <cell r="Q18">
            <v>57.288069617874648</v>
          </cell>
          <cell r="R18">
            <v>60.115099453351</v>
          </cell>
          <cell r="S18">
            <v>109.48052612263459</v>
          </cell>
          <cell r="T18">
            <v>109.66116899073694</v>
          </cell>
          <cell r="U18">
            <v>109.84210991957164</v>
          </cell>
          <cell r="V18">
            <v>123.77626807605631</v>
          </cell>
          <cell r="W18">
            <v>126.73562111656805</v>
          </cell>
          <cell r="X18">
            <v>132.46407119103691</v>
          </cell>
          <cell r="Y18">
            <v>146.50374491980438</v>
          </cell>
          <cell r="Z18">
            <v>152.28304123473043</v>
          </cell>
          <cell r="AA18">
            <v>169.17441460761512</v>
          </cell>
          <cell r="AB18">
            <v>172.23147948010646</v>
          </cell>
          <cell r="AE18">
            <v>9</v>
          </cell>
          <cell r="AF18">
            <v>7</v>
          </cell>
          <cell r="AG18">
            <v>8.9974293059125937E-2</v>
          </cell>
        </row>
        <row r="19">
          <cell r="B19" t="str">
            <v>10 Months</v>
          </cell>
          <cell r="L19">
            <v>416.45244215938288</v>
          </cell>
          <cell r="P19" t="str">
            <v>10 Months</v>
          </cell>
          <cell r="Q19">
            <v>61.629129809768614</v>
          </cell>
          <cell r="R19">
            <v>58.924871606956778</v>
          </cell>
          <cell r="S19">
            <v>61.832673723446739</v>
          </cell>
          <cell r="T19">
            <v>112.60854115470987</v>
          </cell>
          <cell r="U19">
            <v>112.79434524761514</v>
          </cell>
          <cell r="V19">
            <v>112.98045591727369</v>
          </cell>
          <cell r="W19">
            <v>127.31273287822934</v>
          </cell>
          <cell r="X19">
            <v>130.35663886275572</v>
          </cell>
          <cell r="Y19">
            <v>136.24875893935223</v>
          </cell>
          <cell r="Z19">
            <v>150.68956620322737</v>
          </cell>
          <cell r="AA19">
            <v>156.63398527000845</v>
          </cell>
          <cell r="AB19">
            <v>174.00796931068982</v>
          </cell>
          <cell r="AE19">
            <v>10</v>
          </cell>
          <cell r="AF19">
            <v>7.2</v>
          </cell>
          <cell r="AG19">
            <v>9.2544987146529534E-2</v>
          </cell>
          <cell r="AH19">
            <v>77.800000000000026</v>
          </cell>
        </row>
        <row r="20">
          <cell r="B20" t="str">
            <v>11 Months</v>
          </cell>
          <cell r="P20" t="str">
            <v>11 Months</v>
          </cell>
          <cell r="Q20">
            <v>416.45244215938288</v>
          </cell>
          <cell r="R20">
            <v>61.629129809768614</v>
          </cell>
          <cell r="S20">
            <v>58.924871606956778</v>
          </cell>
          <cell r="T20">
            <v>61.832673723446739</v>
          </cell>
          <cell r="U20">
            <v>112.60854115470987</v>
          </cell>
          <cell r="V20">
            <v>112.79434524761514</v>
          </cell>
          <cell r="W20">
            <v>112.98045591727369</v>
          </cell>
          <cell r="X20">
            <v>127.31273287822934</v>
          </cell>
          <cell r="Y20">
            <v>130.35663886275572</v>
          </cell>
          <cell r="Z20">
            <v>136.24875893935223</v>
          </cell>
          <cell r="AA20">
            <v>150.68956620322737</v>
          </cell>
          <cell r="AB20">
            <v>156.63398527000845</v>
          </cell>
          <cell r="AE20">
            <v>11</v>
          </cell>
          <cell r="AF20">
            <v>7.2</v>
          </cell>
          <cell r="AG20">
            <v>9.2544987146529534E-2</v>
          </cell>
        </row>
        <row r="21">
          <cell r="B21" t="str">
            <v>12 Months</v>
          </cell>
          <cell r="P21" t="str">
            <v>12 Months</v>
          </cell>
          <cell r="R21">
            <v>404.88431876606671</v>
          </cell>
          <cell r="S21">
            <v>59.917209537275042</v>
          </cell>
          <cell r="T21">
            <v>57.288069617874648</v>
          </cell>
          <cell r="U21">
            <v>60.115099453351</v>
          </cell>
          <cell r="V21">
            <v>109.48052612263459</v>
          </cell>
          <cell r="W21">
            <v>109.66116899073694</v>
          </cell>
          <cell r="X21">
            <v>109.84210991957164</v>
          </cell>
          <cell r="Y21">
            <v>123.77626807605631</v>
          </cell>
          <cell r="Z21">
            <v>126.73562111656805</v>
          </cell>
          <cell r="AA21">
            <v>132.46407119103691</v>
          </cell>
          <cell r="AB21">
            <v>146.50374491980438</v>
          </cell>
          <cell r="AE21">
            <v>12</v>
          </cell>
          <cell r="AF21">
            <v>7</v>
          </cell>
          <cell r="AG21">
            <v>8.9974293059125937E-2</v>
          </cell>
        </row>
        <row r="22">
          <cell r="B22" t="str">
            <v>13 Months</v>
          </cell>
          <cell r="P22" t="str">
            <v>13 Months</v>
          </cell>
          <cell r="S22">
            <v>381.74807197943426</v>
          </cell>
          <cell r="T22">
            <v>56.493368992287891</v>
          </cell>
          <cell r="U22">
            <v>54.014465639710373</v>
          </cell>
          <cell r="V22">
            <v>56.679950913159509</v>
          </cell>
          <cell r="W22">
            <v>103.22449605848404</v>
          </cell>
          <cell r="X22">
            <v>103.39481647698052</v>
          </cell>
          <cell r="Y22">
            <v>103.56541792416753</v>
          </cell>
          <cell r="Z22">
            <v>116.70333847171021</v>
          </cell>
          <cell r="AA22">
            <v>119.49358562419272</v>
          </cell>
          <cell r="AB22">
            <v>124.8946956944062</v>
          </cell>
          <cell r="AE22">
            <v>13</v>
          </cell>
          <cell r="AF22">
            <v>6.6</v>
          </cell>
          <cell r="AG22">
            <v>8.483290488431873E-2</v>
          </cell>
        </row>
        <row r="23">
          <cell r="B23" t="str">
            <v>14 Months</v>
          </cell>
          <cell r="P23" t="str">
            <v>14 Months</v>
          </cell>
          <cell r="T23">
            <v>318.12339331619529</v>
          </cell>
          <cell r="U23">
            <v>47.077807493573246</v>
          </cell>
          <cell r="V23">
            <v>45.01205469975865</v>
          </cell>
          <cell r="W23">
            <v>47.233292427632925</v>
          </cell>
          <cell r="X23">
            <v>86.020413382070032</v>
          </cell>
          <cell r="Y23">
            <v>86.162347064150453</v>
          </cell>
          <cell r="Z23">
            <v>86.304514936806285</v>
          </cell>
          <cell r="AA23">
            <v>97.252782059758516</v>
          </cell>
          <cell r="AB23">
            <v>99.577988020160603</v>
          </cell>
          <cell r="AE23">
            <v>14</v>
          </cell>
          <cell r="AF23">
            <v>5.5</v>
          </cell>
          <cell r="AG23">
            <v>7.0694087403598949E-2</v>
          </cell>
        </row>
        <row r="24">
          <cell r="B24" t="str">
            <v>15 Months</v>
          </cell>
          <cell r="P24" t="str">
            <v>15 Months</v>
          </cell>
          <cell r="U24">
            <v>231.36246786632381</v>
          </cell>
          <cell r="V24">
            <v>34.238405449871451</v>
          </cell>
          <cell r="W24">
            <v>32.736039781642653</v>
          </cell>
          <cell r="X24">
            <v>34.351485401914857</v>
          </cell>
          <cell r="Y24">
            <v>62.560300641505478</v>
          </cell>
          <cell r="Z24">
            <v>62.663525137563958</v>
          </cell>
          <cell r="AA24">
            <v>62.766919954040937</v>
          </cell>
          <cell r="AB24">
            <v>70.729296043460735</v>
          </cell>
          <cell r="AE24">
            <v>15</v>
          </cell>
          <cell r="AF24">
            <v>4</v>
          </cell>
          <cell r="AG24">
            <v>5.141388174807196E-2</v>
          </cell>
        </row>
        <row r="25">
          <cell r="B25" t="str">
            <v>16 Months</v>
          </cell>
          <cell r="P25" t="str">
            <v>16 Months</v>
          </cell>
          <cell r="V25">
            <v>173.52185089974287</v>
          </cell>
          <cell r="W25">
            <v>25.678804087403588</v>
          </cell>
          <cell r="X25">
            <v>24.552029836231988</v>
          </cell>
          <cell r="Y25">
            <v>25.763614051436139</v>
          </cell>
          <cell r="Z25">
            <v>46.920225481129108</v>
          </cell>
          <cell r="AA25">
            <v>46.997643853172967</v>
          </cell>
          <cell r="AB25">
            <v>47.075189965530704</v>
          </cell>
          <cell r="AE25">
            <v>16</v>
          </cell>
          <cell r="AF25">
            <v>3</v>
          </cell>
          <cell r="AG25">
            <v>3.856041131105397E-2</v>
          </cell>
        </row>
        <row r="26">
          <cell r="B26" t="str">
            <v>17 Months</v>
          </cell>
          <cell r="P26" t="str">
            <v>17 Months</v>
          </cell>
          <cell r="W26">
            <v>115.68123393316191</v>
          </cell>
          <cell r="X26">
            <v>17.119202724935725</v>
          </cell>
          <cell r="Y26">
            <v>16.368019890821326</v>
          </cell>
          <cell r="Z26">
            <v>17.175742700957429</v>
          </cell>
          <cell r="AA26">
            <v>31.280150320752739</v>
          </cell>
          <cell r="AB26">
            <v>31.331762568781979</v>
          </cell>
          <cell r="AE26">
            <v>17</v>
          </cell>
          <cell r="AF26">
            <v>2</v>
          </cell>
          <cell r="AG26">
            <v>2.570694087403598E-2</v>
          </cell>
        </row>
        <row r="27">
          <cell r="B27" t="str">
            <v>18 Months</v>
          </cell>
          <cell r="P27" t="str">
            <v>18 Months</v>
          </cell>
          <cell r="X27">
            <v>86.760925449871436</v>
          </cell>
          <cell r="Y27">
            <v>12.839402043701794</v>
          </cell>
          <cell r="Z27">
            <v>12.276014918115994</v>
          </cell>
          <cell r="AA27">
            <v>12.88180702571807</v>
          </cell>
          <cell r="AB27">
            <v>23.460112740564554</v>
          </cell>
          <cell r="AE27">
            <v>18</v>
          </cell>
          <cell r="AF27">
            <v>1.5</v>
          </cell>
          <cell r="AG27">
            <v>1.9280205655526985E-2</v>
          </cell>
        </row>
        <row r="28">
          <cell r="B28" t="str">
            <v>19 Months</v>
          </cell>
          <cell r="P28" t="str">
            <v>19 Months</v>
          </cell>
          <cell r="Y28">
            <v>69.408740359897152</v>
          </cell>
          <cell r="Z28">
            <v>10.271521634961434</v>
          </cell>
          <cell r="AA28">
            <v>9.8208119344927951</v>
          </cell>
          <cell r="AB28">
            <v>10.305445620574456</v>
          </cell>
          <cell r="AE28">
            <v>19</v>
          </cell>
          <cell r="AF28">
            <v>1.2</v>
          </cell>
          <cell r="AG28">
            <v>1.5424164524421588E-2</v>
          </cell>
        </row>
        <row r="29">
          <cell r="B29" t="str">
            <v>20 Months</v>
          </cell>
          <cell r="P29" t="str">
            <v>20 Months</v>
          </cell>
          <cell r="Z29">
            <v>52.05655526992286</v>
          </cell>
          <cell r="AA29">
            <v>7.7036412262210767</v>
          </cell>
          <cell r="AB29">
            <v>7.3656089508695972</v>
          </cell>
          <cell r="AE29">
            <v>20</v>
          </cell>
          <cell r="AF29">
            <v>0.9</v>
          </cell>
          <cell r="AG29">
            <v>1.1568123393316192E-2</v>
          </cell>
        </row>
        <row r="30">
          <cell r="B30" t="str">
            <v>Total Patient Drop-Outs</v>
          </cell>
          <cell r="C30">
            <v>52.05655526992286</v>
          </cell>
          <cell r="D30">
            <v>77.112381586118232</v>
          </cell>
          <cell r="E30">
            <v>104.39805603570247</v>
          </cell>
          <cell r="F30">
            <v>146.07053212678733</v>
          </cell>
          <cell r="G30">
            <v>227.29858180770779</v>
          </cell>
          <cell r="H30">
            <v>319.15848221867031</v>
          </cell>
          <cell r="I30">
            <v>450.47129857474908</v>
          </cell>
          <cell r="J30">
            <v>576.84867314941653</v>
          </cell>
          <cell r="K30">
            <v>680.04417956358725</v>
          </cell>
          <cell r="L30">
            <v>783.83950159654296</v>
          </cell>
          <cell r="P30" t="str">
            <v>Total Patient Drop-Outs</v>
          </cell>
          <cell r="Q30">
            <v>891.87532436878359</v>
          </cell>
          <cell r="R30">
            <v>1000.0436661789447</v>
          </cell>
          <cell r="S30">
            <v>1103.74444410414</v>
          </cell>
          <cell r="T30">
            <v>1171.6517556066519</v>
          </cell>
          <cell r="U30">
            <v>1214.4020710040077</v>
          </cell>
          <cell r="V30">
            <v>1279.2642164034869</v>
          </cell>
          <cell r="W30">
            <v>1341.0939112322997</v>
          </cell>
          <cell r="X30">
            <v>1422.7484559179313</v>
          </cell>
          <cell r="Y30">
            <v>1507.7799233879105</v>
          </cell>
          <cell r="Z30">
            <v>1587.6320281240182</v>
          </cell>
          <cell r="AA30">
            <v>1623.7597008916359</v>
          </cell>
          <cell r="AB30">
            <v>1699.1647344146727</v>
          </cell>
        </row>
        <row r="31">
          <cell r="B31" t="str">
            <v>Patients at Start of Period</v>
          </cell>
          <cell r="C31">
            <v>0</v>
          </cell>
          <cell r="D31">
            <v>4447.9434447300773</v>
          </cell>
          <cell r="E31">
            <v>5036.7680491439587</v>
          </cell>
          <cell r="F31">
            <v>5569.0859668612065</v>
          </cell>
          <cell r="G31">
            <v>6091.151825801664</v>
          </cell>
          <cell r="H31">
            <v>7080.651091471238</v>
          </cell>
          <cell r="I31">
            <v>7980.2981731781874</v>
          </cell>
          <cell r="J31">
            <v>8750.6434677095367</v>
          </cell>
          <cell r="K31">
            <v>9549.4796026054319</v>
          </cell>
          <cell r="L31">
            <v>10278.011326308844</v>
          </cell>
          <cell r="P31" t="str">
            <v>Patients at Start of Period</v>
          </cell>
          <cell r="Q31">
            <v>10966.415358806968</v>
          </cell>
          <cell r="R31">
            <v>11702.824513689724</v>
          </cell>
          <cell r="S31">
            <v>12395.298077233927</v>
          </cell>
          <cell r="T31">
            <v>13171.806412625852</v>
          </cell>
          <cell r="U31">
            <v>13914.384528955241</v>
          </cell>
          <cell r="V31">
            <v>14648.29642774411</v>
          </cell>
          <cell r="W31">
            <v>15351.537545022435</v>
          </cell>
          <cell r="X31">
            <v>15996.220101272524</v>
          </cell>
          <cell r="Y31">
            <v>16593.603597112291</v>
          </cell>
          <cell r="Z31">
            <v>17140.419076579063</v>
          </cell>
          <cell r="AA31">
            <v>17641.954131986095</v>
          </cell>
          <cell r="AB31">
            <v>18110.808640313338</v>
          </cell>
        </row>
        <row r="32">
          <cell r="B32" t="str">
            <v>Patients at End of Period</v>
          </cell>
          <cell r="C32">
            <v>4447.9434447300773</v>
          </cell>
          <cell r="D32">
            <v>5036.7680491439587</v>
          </cell>
          <cell r="E32">
            <v>5569.0859668612065</v>
          </cell>
          <cell r="F32">
            <v>6091.151825801664</v>
          </cell>
          <cell r="G32">
            <v>7080.651091471238</v>
          </cell>
          <cell r="H32">
            <v>7980.2981731781874</v>
          </cell>
          <cell r="I32">
            <v>8750.6434677095367</v>
          </cell>
          <cell r="J32">
            <v>9549.4796026054319</v>
          </cell>
          <cell r="K32">
            <v>10278.011326308844</v>
          </cell>
          <cell r="L32">
            <v>10966.415358806968</v>
          </cell>
          <cell r="P32" t="str">
            <v>Patients at End of Period</v>
          </cell>
          <cell r="Q32">
            <v>11702.824513689724</v>
          </cell>
          <cell r="R32">
            <v>12395.298077233927</v>
          </cell>
          <cell r="S32">
            <v>13171.806412625852</v>
          </cell>
          <cell r="T32">
            <v>13914.384528955241</v>
          </cell>
          <cell r="U32">
            <v>14648.29642774411</v>
          </cell>
          <cell r="V32">
            <v>15351.537545022435</v>
          </cell>
          <cell r="W32">
            <v>15996.220101272524</v>
          </cell>
          <cell r="X32">
            <v>16593.603597112291</v>
          </cell>
          <cell r="Y32">
            <v>17140.419076579063</v>
          </cell>
          <cell r="Z32">
            <v>17641.954131986095</v>
          </cell>
          <cell r="AA32">
            <v>18110.808640313338</v>
          </cell>
          <cell r="AB32">
            <v>18507.710928562756</v>
          </cell>
        </row>
        <row r="34">
          <cell r="B34" t="str">
            <v>Total Patient Days</v>
          </cell>
          <cell r="C34">
            <v>82509.350899742945</v>
          </cell>
          <cell r="D34">
            <v>131450.00183242085</v>
          </cell>
          <cell r="E34">
            <v>146351.83166713189</v>
          </cell>
          <cell r="F34">
            <v>160496.79843688456</v>
          </cell>
          <cell r="G34">
            <v>179945.42295666158</v>
          </cell>
          <cell r="H34">
            <v>205105.32511190866</v>
          </cell>
          <cell r="I34">
            <v>226644.72736962023</v>
          </cell>
          <cell r="J34">
            <v>246681.37251187017</v>
          </cell>
          <cell r="K34">
            <v>266585.24979247933</v>
          </cell>
          <cell r="L34">
            <v>284902.36485847033</v>
          </cell>
          <cell r="P34" t="str">
            <v>Total Patient Days</v>
          </cell>
          <cell r="Q34">
            <v>304256.21414927888</v>
          </cell>
          <cell r="R34">
            <v>322721.48581298249</v>
          </cell>
          <cell r="S34">
            <v>340512.77522210806</v>
          </cell>
          <cell r="T34">
            <v>360793.60723810934</v>
          </cell>
          <cell r="U34">
            <v>380830.17473145231</v>
          </cell>
          <cell r="V34">
            <v>400006.34598871687</v>
          </cell>
          <cell r="W34">
            <v>418008.22700002068</v>
          </cell>
          <cell r="X34">
            <v>434217.91484519071</v>
          </cell>
          <cell r="Y34">
            <v>449010.07333125081</v>
          </cell>
          <cell r="Z34">
            <v>462532.75108846836</v>
          </cell>
          <cell r="AA34">
            <v>475608.79808002932</v>
          </cell>
          <cell r="AB34">
            <v>486670.0973086626</v>
          </cell>
        </row>
        <row r="35">
          <cell r="B35" t="str">
            <v>Average Cost/Day</v>
          </cell>
          <cell r="C35">
            <v>146.66666666666666</v>
          </cell>
          <cell r="D35">
            <v>146.66666666666666</v>
          </cell>
          <cell r="E35">
            <v>146.66666666666666</v>
          </cell>
          <cell r="F35">
            <v>146.66666666666666</v>
          </cell>
          <cell r="G35">
            <v>146.66666666666666</v>
          </cell>
          <cell r="H35">
            <v>146.66666666666666</v>
          </cell>
          <cell r="I35">
            <v>146.66666666666666</v>
          </cell>
          <cell r="J35">
            <v>146.66666666666666</v>
          </cell>
          <cell r="K35">
            <v>146.66666666666666</v>
          </cell>
          <cell r="L35">
            <v>146.66666666666666</v>
          </cell>
          <cell r="P35" t="str">
            <v>Average Cost/Day</v>
          </cell>
          <cell r="Q35">
            <v>146.66666666666666</v>
          </cell>
          <cell r="R35">
            <v>146.66666666666666</v>
          </cell>
          <cell r="S35">
            <v>146.66666666666666</v>
          </cell>
          <cell r="T35">
            <v>146.66666666666666</v>
          </cell>
          <cell r="U35">
            <v>146.66666666666666</v>
          </cell>
          <cell r="V35">
            <v>146.66666666666666</v>
          </cell>
          <cell r="W35">
            <v>146.66666666666666</v>
          </cell>
          <cell r="X35">
            <v>146.66666666666666</v>
          </cell>
          <cell r="Y35">
            <v>146.66666666666666</v>
          </cell>
          <cell r="Z35">
            <v>146.66666666666666</v>
          </cell>
          <cell r="AA35">
            <v>146.66666666666666</v>
          </cell>
          <cell r="AB35">
            <v>146.66666666666666</v>
          </cell>
        </row>
        <row r="37">
          <cell r="B37" t="str">
            <v>Monthly Sales</v>
          </cell>
          <cell r="C37">
            <v>12101.371465295631</v>
          </cell>
          <cell r="D37">
            <v>19279.333602088391</v>
          </cell>
          <cell r="E37">
            <v>21464.935311179343</v>
          </cell>
          <cell r="F37">
            <v>23539.530437409736</v>
          </cell>
          <cell r="G37">
            <v>26391.995366977033</v>
          </cell>
          <cell r="H37">
            <v>30082.114349746604</v>
          </cell>
          <cell r="I37">
            <v>33241.226680877633</v>
          </cell>
          <cell r="J37">
            <v>36179.934635074285</v>
          </cell>
          <cell r="K37">
            <v>39099.169969563634</v>
          </cell>
          <cell r="L37">
            <v>41785.680179242314</v>
          </cell>
          <cell r="M37">
            <v>283165.29199745459</v>
          </cell>
          <cell r="P37" t="str">
            <v>Monthly Sales</v>
          </cell>
          <cell r="Q37">
            <v>44624.244741894232</v>
          </cell>
          <cell r="R37">
            <v>47332.484585904094</v>
          </cell>
          <cell r="S37">
            <v>49941.873699242511</v>
          </cell>
          <cell r="T37">
            <v>52916.39572825603</v>
          </cell>
          <cell r="U37">
            <v>55855.092293946334</v>
          </cell>
          <cell r="V37">
            <v>58667.597411678471</v>
          </cell>
          <cell r="W37">
            <v>61307.873293336364</v>
          </cell>
          <cell r="X37">
            <v>63685.294177294636</v>
          </cell>
          <cell r="Y37">
            <v>65854.810755250117</v>
          </cell>
          <cell r="Z37">
            <v>67838.136826308677</v>
          </cell>
          <cell r="AA37">
            <v>69755.957051737627</v>
          </cell>
          <cell r="AB37">
            <v>71378.280938603843</v>
          </cell>
          <cell r="AC37">
            <v>709158.04150345293</v>
          </cell>
        </row>
        <row r="38">
          <cell r="C38" t="str">
            <v>1Q04</v>
          </cell>
          <cell r="F38" t="str">
            <v>2Q04</v>
          </cell>
          <cell r="I38" t="str">
            <v>3Q04</v>
          </cell>
          <cell r="L38" t="str">
            <v>4Q04</v>
          </cell>
          <cell r="M38">
            <v>2004</v>
          </cell>
          <cell r="S38" t="str">
            <v>1Q05</v>
          </cell>
          <cell r="V38" t="str">
            <v>2Q05</v>
          </cell>
          <cell r="Y38" t="str">
            <v>3Q05</v>
          </cell>
          <cell r="AB38" t="str">
            <v>4Q05</v>
          </cell>
          <cell r="AC38">
            <v>2005</v>
          </cell>
        </row>
        <row r="39">
          <cell r="B39" t="str">
            <v>Front-line Sales</v>
          </cell>
          <cell r="C39">
            <v>12101.371465295631</v>
          </cell>
          <cell r="F39">
            <v>64283.799350677466</v>
          </cell>
          <cell r="I39">
            <v>89715.336397601262</v>
          </cell>
          <cell r="L39">
            <v>117064.78478388023</v>
          </cell>
          <cell r="M39">
            <v>283165.29199745459</v>
          </cell>
          <cell r="P39" t="str">
            <v>Total Sales</v>
          </cell>
          <cell r="S39">
            <v>141898.60302704084</v>
          </cell>
          <cell r="V39">
            <v>167439.08543388083</v>
          </cell>
          <cell r="Y39">
            <v>190847.97822588112</v>
          </cell>
          <cell r="AB39">
            <v>208972.37481665018</v>
          </cell>
          <cell r="AC39">
            <v>709158.04150345293</v>
          </cell>
        </row>
        <row r="41">
          <cell r="B41" t="str">
            <v>Relapsed / Refractory</v>
          </cell>
          <cell r="C41">
            <v>38047</v>
          </cell>
          <cell r="D41">
            <v>38078</v>
          </cell>
          <cell r="E41">
            <v>38108</v>
          </cell>
          <cell r="F41">
            <v>38139</v>
          </cell>
          <cell r="G41">
            <v>38169</v>
          </cell>
          <cell r="H41">
            <v>38200</v>
          </cell>
          <cell r="I41">
            <v>38231</v>
          </cell>
          <cell r="J41">
            <v>38261</v>
          </cell>
          <cell r="K41">
            <v>38292</v>
          </cell>
          <cell r="L41">
            <v>38322</v>
          </cell>
          <cell r="M41">
            <v>2004</v>
          </cell>
          <cell r="P41" t="str">
            <v>Relapsed / Refractory</v>
          </cell>
          <cell r="Q41">
            <v>38353</v>
          </cell>
          <cell r="R41">
            <v>38384</v>
          </cell>
          <cell r="S41">
            <v>38412</v>
          </cell>
          <cell r="T41">
            <v>38443</v>
          </cell>
          <cell r="U41">
            <v>38473</v>
          </cell>
          <cell r="V41">
            <v>38504</v>
          </cell>
          <cell r="W41">
            <v>38534</v>
          </cell>
          <cell r="X41">
            <v>38565</v>
          </cell>
          <cell r="Y41">
            <v>38596</v>
          </cell>
          <cell r="Z41">
            <v>38626</v>
          </cell>
          <cell r="AA41">
            <v>38657</v>
          </cell>
          <cell r="AB41">
            <v>38687</v>
          </cell>
          <cell r="AC41">
            <v>2005</v>
          </cell>
        </row>
        <row r="42">
          <cell r="B42" t="str">
            <v>Previously relapsed Pts Wainting for Therapy</v>
          </cell>
          <cell r="C42">
            <v>25000</v>
          </cell>
        </row>
        <row r="43">
          <cell r="B43" t="str">
            <v>New Relapsing Patients</v>
          </cell>
          <cell r="C43">
            <v>2593</v>
          </cell>
          <cell r="D43">
            <v>2597.2784499999998</v>
          </cell>
          <cell r="E43">
            <v>2601.5639594424997</v>
          </cell>
          <cell r="F43">
            <v>2605.8565399755798</v>
          </cell>
          <cell r="G43">
            <v>2610.1562032665393</v>
          </cell>
          <cell r="H43">
            <v>2614.4629610019288</v>
          </cell>
          <cell r="I43">
            <v>2618.7768248875818</v>
          </cell>
          <cell r="J43">
            <v>2623.0978066486459</v>
          </cell>
          <cell r="K43">
            <v>2627.4259180296158</v>
          </cell>
          <cell r="L43">
            <v>2631.7611707943643</v>
          </cell>
          <cell r="M43">
            <v>26123.379834046755</v>
          </cell>
          <cell r="P43" t="str">
            <v>New Relapsing Patients</v>
          </cell>
          <cell r="Q43">
            <v>2636.1035767261747</v>
          </cell>
          <cell r="R43">
            <v>2640.4531476277725</v>
          </cell>
          <cell r="S43">
            <v>2644.809895321358</v>
          </cell>
          <cell r="T43">
            <v>2649.173831648638</v>
          </cell>
          <cell r="U43">
            <v>2653.5449684708583</v>
          </cell>
          <cell r="V43">
            <v>2657.9233176688349</v>
          </cell>
          <cell r="W43">
            <v>2662.3088911429882</v>
          </cell>
          <cell r="X43">
            <v>2666.7017008133739</v>
          </cell>
          <cell r="Y43">
            <v>2671.1017586197158</v>
          </cell>
          <cell r="Z43">
            <v>2675.5090765214381</v>
          </cell>
          <cell r="AA43">
            <v>2679.9236664976984</v>
          </cell>
          <cell r="AB43">
            <v>2684.3455405474192</v>
          </cell>
          <cell r="AC43">
            <v>31921.899371606272</v>
          </cell>
        </row>
        <row r="44">
          <cell r="C44">
            <v>0.18</v>
          </cell>
          <cell r="D44">
            <v>0.34</v>
          </cell>
          <cell r="E44">
            <v>0.34</v>
          </cell>
          <cell r="F44">
            <v>0.34</v>
          </cell>
          <cell r="G44">
            <v>0.34</v>
          </cell>
          <cell r="H44">
            <v>0.34</v>
          </cell>
          <cell r="I44">
            <v>0.34</v>
          </cell>
          <cell r="J44">
            <v>0.36</v>
          </cell>
          <cell r="K44">
            <v>0.36</v>
          </cell>
          <cell r="L44">
            <v>0.36</v>
          </cell>
          <cell r="Q44">
            <v>0.4</v>
          </cell>
          <cell r="R44">
            <v>0.43</v>
          </cell>
          <cell r="S44">
            <v>0.47</v>
          </cell>
          <cell r="T44">
            <v>0.48</v>
          </cell>
          <cell r="U44">
            <v>0.49</v>
          </cell>
          <cell r="V44">
            <v>0.49</v>
          </cell>
          <cell r="W44">
            <v>0.5</v>
          </cell>
          <cell r="X44">
            <v>0.5</v>
          </cell>
          <cell r="Y44">
            <v>0.5</v>
          </cell>
          <cell r="Z44">
            <v>0.5</v>
          </cell>
          <cell r="AA44">
            <v>0.5</v>
          </cell>
          <cell r="AB44">
            <v>0.5</v>
          </cell>
          <cell r="AC44">
            <v>0.48014264355070313</v>
          </cell>
        </row>
        <row r="45">
          <cell r="B45" t="str">
            <v>New Patients Starting Therapy</v>
          </cell>
          <cell r="C45">
            <v>4600</v>
          </cell>
          <cell r="D45">
            <v>883.07467299999996</v>
          </cell>
          <cell r="E45">
            <v>884.53174621044991</v>
          </cell>
          <cell r="F45">
            <v>885.99122359169723</v>
          </cell>
          <cell r="G45">
            <v>887.45310911062336</v>
          </cell>
          <cell r="H45">
            <v>888.91740674065579</v>
          </cell>
          <cell r="I45">
            <v>890.38412046177791</v>
          </cell>
          <cell r="J45">
            <v>944.31521039351253</v>
          </cell>
          <cell r="K45">
            <v>945.8733304906616</v>
          </cell>
          <cell r="L45">
            <v>947.43402148597113</v>
          </cell>
          <cell r="M45">
            <v>12757.974841485349</v>
          </cell>
          <cell r="P45" t="str">
            <v>New Patients Starting Therapy</v>
          </cell>
          <cell r="Q45">
            <v>1054.4414306904698</v>
          </cell>
          <cell r="R45">
            <v>1135.3948534799422</v>
          </cell>
          <cell r="S45">
            <v>1243.0606508010383</v>
          </cell>
          <cell r="T45">
            <v>1271.6034391913463</v>
          </cell>
          <cell r="U45">
            <v>1300.2370345507206</v>
          </cell>
          <cell r="V45">
            <v>1302.3824256577291</v>
          </cell>
          <cell r="W45">
            <v>1331.1544455714941</v>
          </cell>
          <cell r="X45">
            <v>1333.350850406687</v>
          </cell>
          <cell r="Y45">
            <v>1335.5508793098579</v>
          </cell>
          <cell r="Z45">
            <v>1337.7545382607191</v>
          </cell>
          <cell r="AA45">
            <v>1339.9618332488492</v>
          </cell>
          <cell r="AB45">
            <v>1342.1727702737096</v>
          </cell>
          <cell r="AC45">
            <v>15327.065151442564</v>
          </cell>
        </row>
        <row r="46">
          <cell r="B46" t="str">
            <v>Failures</v>
          </cell>
          <cell r="P46" t="str">
            <v>Failures</v>
          </cell>
          <cell r="AE46" t="str">
            <v>Distribution of Failure Rates</v>
          </cell>
        </row>
        <row r="47">
          <cell r="B47" t="str">
            <v>1 Month</v>
          </cell>
          <cell r="C47">
            <v>8.9008176767992015</v>
          </cell>
          <cell r="D47">
            <v>1.708714491167842</v>
          </cell>
          <cell r="E47">
            <v>1.711533870078269</v>
          </cell>
          <cell r="F47">
            <v>1.7143579009638983</v>
          </cell>
          <cell r="G47">
            <v>1.7171865915004882</v>
          </cell>
          <cell r="H47">
            <v>1.7200199493764639</v>
          </cell>
          <cell r="I47">
            <v>1.7228579822929351</v>
          </cell>
          <cell r="J47">
            <v>1.8272125037262896</v>
          </cell>
          <cell r="K47">
            <v>1.8302274043574376</v>
          </cell>
          <cell r="L47">
            <v>1.8332472795746273</v>
          </cell>
          <cell r="P47" t="str">
            <v>1 Month</v>
          </cell>
          <cell r="Q47">
            <v>2.0403023750954725</v>
          </cell>
          <cell r="R47">
            <v>2.1969440395654583</v>
          </cell>
          <cell r="S47">
            <v>2.4052730899963914</v>
          </cell>
          <cell r="T47">
            <v>2.4605022542245636</v>
          </cell>
          <cell r="U47">
            <v>2.5159071263387016</v>
          </cell>
          <cell r="V47">
            <v>2.52005837309716</v>
          </cell>
          <cell r="W47">
            <v>2.5757310912375204</v>
          </cell>
          <cell r="X47">
            <v>2.579981047538062</v>
          </cell>
          <cell r="Y47">
            <v>2.5842380162664997</v>
          </cell>
          <cell r="Z47">
            <v>2.5885020089933395</v>
          </cell>
          <cell r="AA47">
            <v>2.5927730373081781</v>
          </cell>
          <cell r="AB47">
            <v>2.5970511128197362</v>
          </cell>
          <cell r="AE47">
            <v>1</v>
          </cell>
          <cell r="AF47">
            <v>0.62</v>
          </cell>
          <cell r="AG47">
            <v>1.9349603645215654E-3</v>
          </cell>
        </row>
        <row r="48">
          <cell r="B48" t="str">
            <v>2 Months</v>
          </cell>
          <cell r="D48">
            <v>34.454778103738839</v>
          </cell>
          <cell r="E48">
            <v>6.6143786754884211</v>
          </cell>
          <cell r="F48">
            <v>6.6252924003029765</v>
          </cell>
          <cell r="G48">
            <v>6.636224132763477</v>
          </cell>
          <cell r="H48">
            <v>6.6471739025825354</v>
          </cell>
          <cell r="I48">
            <v>6.6581417395217954</v>
          </cell>
          <cell r="J48">
            <v>6.6691276733920066</v>
          </cell>
          <cell r="K48">
            <v>7.0730806595856377</v>
          </cell>
          <cell r="L48">
            <v>7.0847512426739518</v>
          </cell>
          <cell r="P48" t="str">
            <v>2 Months</v>
          </cell>
          <cell r="Q48">
            <v>7.0964410822243638</v>
          </cell>
          <cell r="R48">
            <v>7.8979446777889253</v>
          </cell>
          <cell r="S48">
            <v>8.5042995079953219</v>
          </cell>
          <cell r="T48">
            <v>9.310734541921514</v>
          </cell>
          <cell r="U48">
            <v>9.5245248550628272</v>
          </cell>
          <cell r="V48">
            <v>9.7389953277627157</v>
          </cell>
          <cell r="W48">
            <v>9.7550646700535228</v>
          </cell>
          <cell r="X48">
            <v>9.9705719660807244</v>
          </cell>
          <cell r="Y48">
            <v>9.9870234098247561</v>
          </cell>
          <cell r="Z48">
            <v>10.003501998450966</v>
          </cell>
          <cell r="AA48">
            <v>10.020007776748411</v>
          </cell>
          <cell r="AB48">
            <v>10.036540789580044</v>
          </cell>
          <cell r="AE48">
            <v>2</v>
          </cell>
          <cell r="AF48">
            <v>2.4</v>
          </cell>
          <cell r="AG48">
            <v>7.4901691529867045E-3</v>
          </cell>
        </row>
        <row r="49">
          <cell r="B49" t="str">
            <v>3 Months</v>
          </cell>
          <cell r="E49">
            <v>117.72049185444104</v>
          </cell>
          <cell r="F49">
            <v>22.599127141252104</v>
          </cell>
          <cell r="G49">
            <v>22.636415701035169</v>
          </cell>
          <cell r="H49">
            <v>22.673765786941878</v>
          </cell>
          <cell r="I49">
            <v>22.711177500490326</v>
          </cell>
          <cell r="J49">
            <v>22.748650943366133</v>
          </cell>
          <cell r="K49">
            <v>22.786186217422689</v>
          </cell>
          <cell r="L49">
            <v>24.166358920250925</v>
          </cell>
          <cell r="P49" t="str">
            <v>3 Months</v>
          </cell>
          <cell r="Q49">
            <v>24.206233412469334</v>
          </cell>
          <cell r="R49">
            <v>24.246173697599907</v>
          </cell>
          <cell r="S49">
            <v>26.984644315778826</v>
          </cell>
          <cell r="T49">
            <v>29.056356652317348</v>
          </cell>
          <cell r="U49">
            <v>31.811676351565172</v>
          </cell>
          <cell r="V49">
            <v>32.542126588131325</v>
          </cell>
          <cell r="W49">
            <v>33.274900703189275</v>
          </cell>
          <cell r="X49">
            <v>33.329804289349532</v>
          </cell>
          <cell r="Y49">
            <v>34.066120884109139</v>
          </cell>
          <cell r="Z49">
            <v>34.122329983567916</v>
          </cell>
          <cell r="AA49">
            <v>34.1786318280408</v>
          </cell>
          <cell r="AB49">
            <v>34.235026570557068</v>
          </cell>
          <cell r="AE49">
            <v>3</v>
          </cell>
          <cell r="AF49">
            <v>8.1999999999999993</v>
          </cell>
          <cell r="AG49">
            <v>2.5591411272704572E-2</v>
          </cell>
        </row>
        <row r="50">
          <cell r="B50" t="str">
            <v>4 Months</v>
          </cell>
          <cell r="F50">
            <v>301.47930840771488</v>
          </cell>
          <cell r="G50">
            <v>57.875813410523683</v>
          </cell>
          <cell r="H50">
            <v>57.971308502651041</v>
          </cell>
          <cell r="I50">
            <v>58.066961161680425</v>
          </cell>
          <cell r="J50">
            <v>58.162771647597182</v>
          </cell>
          <cell r="K50">
            <v>58.258740220815717</v>
          </cell>
          <cell r="L50">
            <v>58.354867142180062</v>
          </cell>
          <cell r="P50" t="str">
            <v>4 Months</v>
          </cell>
          <cell r="Q50">
            <v>61.88945577137433</v>
          </cell>
          <cell r="R50">
            <v>61.991573373397081</v>
          </cell>
          <cell r="S50">
            <v>62.093859469463183</v>
          </cell>
          <cell r="T50">
            <v>69.107015930653091</v>
          </cell>
          <cell r="U50">
            <v>74.412620694959074</v>
          </cell>
          <cell r="V50">
            <v>81.468927241813248</v>
          </cell>
          <cell r="W50">
            <v>83.339592481799741</v>
          </cell>
          <cell r="X50">
            <v>85.216209117923768</v>
          </cell>
          <cell r="Y50">
            <v>85.356815862968318</v>
          </cell>
          <cell r="Z50">
            <v>87.242504703206336</v>
          </cell>
          <cell r="AA50">
            <v>87.386454835966617</v>
          </cell>
          <cell r="AB50">
            <v>87.53064248644597</v>
          </cell>
          <cell r="AE50">
            <v>4</v>
          </cell>
          <cell r="AF50">
            <v>21</v>
          </cell>
          <cell r="AG50">
            <v>6.5538980088633667E-2</v>
          </cell>
        </row>
        <row r="51">
          <cell r="B51" t="str">
            <v>5 Months</v>
          </cell>
          <cell r="G51">
            <v>674.73940453155228</v>
          </cell>
          <cell r="H51">
            <v>129.53158239498157</v>
          </cell>
          <cell r="I51">
            <v>129.74530950593328</v>
          </cell>
          <cell r="J51">
            <v>129.95938926661807</v>
          </cell>
          <cell r="K51">
            <v>130.17382225890796</v>
          </cell>
          <cell r="L51">
            <v>130.38860906563517</v>
          </cell>
          <cell r="P51" t="str">
            <v>5 Months</v>
          </cell>
          <cell r="Q51">
            <v>130.60375027059345</v>
          </cell>
          <cell r="R51">
            <v>138.51449625021871</v>
          </cell>
          <cell r="S51">
            <v>138.74304516903155</v>
          </cell>
          <cell r="T51">
            <v>138.97197119356045</v>
          </cell>
          <cell r="U51">
            <v>154.66808327336645</v>
          </cell>
          <cell r="V51">
            <v>166.54253203157504</v>
          </cell>
          <cell r="W51">
            <v>182.33521811262966</v>
          </cell>
          <cell r="X51">
            <v>186.52194507831368</v>
          </cell>
          <cell r="Y51">
            <v>190.72199183535318</v>
          </cell>
          <cell r="Z51">
            <v>191.03668312188145</v>
          </cell>
          <cell r="AA51">
            <v>195.25703433574751</v>
          </cell>
          <cell r="AB51">
            <v>195.57920844240147</v>
          </cell>
          <cell r="AE51">
            <v>5</v>
          </cell>
          <cell r="AF51">
            <v>47</v>
          </cell>
          <cell r="AG51">
            <v>0.14668247924598962</v>
          </cell>
        </row>
        <row r="52">
          <cell r="B52" t="str">
            <v>6 Months</v>
          </cell>
          <cell r="H52">
            <v>1162.8487610011857</v>
          </cell>
          <cell r="I52">
            <v>223.23528029773419</v>
          </cell>
          <cell r="J52">
            <v>223.60361851022543</v>
          </cell>
          <cell r="K52">
            <v>223.97256448076732</v>
          </cell>
          <cell r="L52">
            <v>224.34211921216055</v>
          </cell>
          <cell r="P52" t="str">
            <v>6 Months</v>
          </cell>
          <cell r="Q52">
            <v>224.71228370886058</v>
          </cell>
          <cell r="R52">
            <v>225.08305897698023</v>
          </cell>
          <cell r="S52">
            <v>238.71647226101524</v>
          </cell>
          <cell r="T52">
            <v>239.11035444024586</v>
          </cell>
          <cell r="U52">
            <v>239.50488652507227</v>
          </cell>
          <cell r="V52">
            <v>266.5556328753762</v>
          </cell>
          <cell r="W52">
            <v>287.02010839484211</v>
          </cell>
          <cell r="X52">
            <v>314.2372907898511</v>
          </cell>
          <cell r="Y52">
            <v>321.45271385837037</v>
          </cell>
          <cell r="Z52">
            <v>328.69109231199161</v>
          </cell>
          <cell r="AA52">
            <v>329.23343261430637</v>
          </cell>
          <cell r="AB52">
            <v>336.5068038552244</v>
          </cell>
          <cell r="AE52">
            <v>6</v>
          </cell>
          <cell r="AF52">
            <v>81</v>
          </cell>
          <cell r="AG52">
            <v>0.25279320891330126</v>
          </cell>
        </row>
        <row r="53">
          <cell r="B53" t="str">
            <v>7 Months</v>
          </cell>
          <cell r="I53">
            <v>1162.8487610011857</v>
          </cell>
          <cell r="J53">
            <v>223.23528029773419</v>
          </cell>
          <cell r="K53">
            <v>223.60361851022543</v>
          </cell>
          <cell r="L53">
            <v>223.97256448076732</v>
          </cell>
          <cell r="P53" t="str">
            <v>7 Months</v>
          </cell>
          <cell r="Q53">
            <v>224.34211921216055</v>
          </cell>
          <cell r="R53">
            <v>224.71228370886058</v>
          </cell>
          <cell r="S53">
            <v>225.08305897698023</v>
          </cell>
          <cell r="T53">
            <v>238.71647226101524</v>
          </cell>
          <cell r="U53">
            <v>239.11035444024586</v>
          </cell>
          <cell r="V53">
            <v>239.50488652507227</v>
          </cell>
          <cell r="W53">
            <v>266.5556328753762</v>
          </cell>
          <cell r="X53">
            <v>287.02010839484211</v>
          </cell>
          <cell r="Y53">
            <v>314.2372907898511</v>
          </cell>
          <cell r="Z53">
            <v>321.45271385837037</v>
          </cell>
          <cell r="AA53">
            <v>328.69109231199161</v>
          </cell>
          <cell r="AB53">
            <v>329.23343261430637</v>
          </cell>
          <cell r="AE53">
            <v>7</v>
          </cell>
          <cell r="AF53">
            <v>81</v>
          </cell>
          <cell r="AG53">
            <v>0.25279320891330126</v>
          </cell>
          <cell r="AH53">
            <v>320.42</v>
          </cell>
        </row>
        <row r="54">
          <cell r="B54" t="str">
            <v>8 Months</v>
          </cell>
          <cell r="J54">
            <v>674.73940453155228</v>
          </cell>
          <cell r="K54">
            <v>129.53158239498157</v>
          </cell>
          <cell r="L54">
            <v>129.74530950593328</v>
          </cell>
          <cell r="P54" t="str">
            <v>8 Months</v>
          </cell>
          <cell r="Q54">
            <v>129.95938926661807</v>
          </cell>
          <cell r="R54">
            <v>130.17382225890796</v>
          </cell>
          <cell r="S54">
            <v>130.38860906563517</v>
          </cell>
          <cell r="T54">
            <v>130.60375027059345</v>
          </cell>
          <cell r="U54">
            <v>138.51449625021871</v>
          </cell>
          <cell r="V54">
            <v>138.74304516903155</v>
          </cell>
          <cell r="W54">
            <v>138.97197119356045</v>
          </cell>
          <cell r="X54">
            <v>154.66808327336645</v>
          </cell>
          <cell r="Y54">
            <v>166.54253203157504</v>
          </cell>
          <cell r="Z54">
            <v>182.33521811262966</v>
          </cell>
          <cell r="AA54">
            <v>186.52194507831368</v>
          </cell>
          <cell r="AB54">
            <v>190.72199183535318</v>
          </cell>
          <cell r="AE54">
            <v>8</v>
          </cell>
          <cell r="AF54">
            <v>47</v>
          </cell>
          <cell r="AG54">
            <v>0.14668247924598962</v>
          </cell>
        </row>
        <row r="55">
          <cell r="B55" t="str">
            <v>9 Months</v>
          </cell>
          <cell r="K55">
            <v>301.47930840771488</v>
          </cell>
          <cell r="L55">
            <v>57.875813410523683</v>
          </cell>
          <cell r="P55" t="str">
            <v>9 Months</v>
          </cell>
          <cell r="Q55">
            <v>57.971308502651041</v>
          </cell>
          <cell r="R55">
            <v>58.066961161680425</v>
          </cell>
          <cell r="S55">
            <v>58.162771647597182</v>
          </cell>
          <cell r="T55">
            <v>58.258740220815717</v>
          </cell>
          <cell r="U55">
            <v>58.354867142180062</v>
          </cell>
          <cell r="V55">
            <v>61.88945577137433</v>
          </cell>
          <cell r="W55">
            <v>61.991573373397081</v>
          </cell>
          <cell r="X55">
            <v>62.093859469463183</v>
          </cell>
          <cell r="Y55">
            <v>69.107015930653091</v>
          </cell>
          <cell r="Z55">
            <v>74.412620694959074</v>
          </cell>
          <cell r="AA55">
            <v>81.468927241813248</v>
          </cell>
          <cell r="AB55">
            <v>83.339592481799741</v>
          </cell>
          <cell r="AE55">
            <v>9</v>
          </cell>
          <cell r="AF55">
            <v>21</v>
          </cell>
          <cell r="AG55">
            <v>6.5538980088633667E-2</v>
          </cell>
        </row>
        <row r="56">
          <cell r="B56" t="str">
            <v>10 Months</v>
          </cell>
          <cell r="L56">
            <v>117.72049185444104</v>
          </cell>
          <cell r="P56" t="str">
            <v>10 Months</v>
          </cell>
          <cell r="Q56">
            <v>22.599127141252104</v>
          </cell>
          <cell r="R56">
            <v>22.636415701035169</v>
          </cell>
          <cell r="S56">
            <v>22.673765786941878</v>
          </cell>
          <cell r="T56">
            <v>22.711177500490326</v>
          </cell>
          <cell r="U56">
            <v>22.748650943366133</v>
          </cell>
          <cell r="V56">
            <v>22.786186217422689</v>
          </cell>
          <cell r="W56">
            <v>24.166358920250925</v>
          </cell>
          <cell r="X56">
            <v>24.206233412469334</v>
          </cell>
          <cell r="Y56">
            <v>24.246173697599907</v>
          </cell>
          <cell r="Z56">
            <v>26.984644315778826</v>
          </cell>
          <cell r="AA56">
            <v>29.056356652317348</v>
          </cell>
          <cell r="AB56">
            <v>31.811676351565172</v>
          </cell>
          <cell r="AE56">
            <v>10</v>
          </cell>
          <cell r="AF56">
            <v>8.1999999999999993</v>
          </cell>
          <cell r="AG56">
            <v>2.5591411272704572E-2</v>
          </cell>
        </row>
        <row r="57">
          <cell r="P57" t="str">
            <v>11 Months</v>
          </cell>
          <cell r="Q57">
            <v>34.454778103738839</v>
          </cell>
          <cell r="R57">
            <v>6.6143786754884211</v>
          </cell>
          <cell r="S57">
            <v>6.6252924003029765</v>
          </cell>
          <cell r="T57">
            <v>6.636224132763477</v>
          </cell>
          <cell r="U57">
            <v>6.6471739025825354</v>
          </cell>
          <cell r="V57">
            <v>6.6581417395217954</v>
          </cell>
          <cell r="W57">
            <v>6.6691276733920066</v>
          </cell>
          <cell r="X57">
            <v>7.0730806595856377</v>
          </cell>
          <cell r="Y57">
            <v>7.0847512426739518</v>
          </cell>
          <cell r="Z57">
            <v>7.0964410822243638</v>
          </cell>
          <cell r="AA57">
            <v>7.8979446777889253</v>
          </cell>
          <cell r="AB57">
            <v>8.5042995079953219</v>
          </cell>
          <cell r="AE57">
            <v>11</v>
          </cell>
          <cell r="AF57">
            <v>2.4</v>
          </cell>
          <cell r="AG57">
            <v>7.4901691529867045E-3</v>
          </cell>
        </row>
        <row r="58">
          <cell r="P58" t="str">
            <v>12 Months</v>
          </cell>
          <cell r="R58">
            <v>8.6136945259347097</v>
          </cell>
          <cell r="S58">
            <v>1.6535946688721053</v>
          </cell>
          <cell r="T58">
            <v>1.6563231000757441</v>
          </cell>
          <cell r="U58">
            <v>1.6590560331908693</v>
          </cell>
          <cell r="V58">
            <v>1.6617934756456338</v>
          </cell>
          <cell r="W58">
            <v>1.6645354348804489</v>
          </cell>
          <cell r="X58">
            <v>1.6672819183480017</v>
          </cell>
          <cell r="Y58">
            <v>1.7682701648964094</v>
          </cell>
          <cell r="Z58">
            <v>1.771187810668488</v>
          </cell>
          <cell r="AA58">
            <v>1.7741102705560909</v>
          </cell>
          <cell r="AB58">
            <v>1.9744861694472313</v>
          </cell>
          <cell r="AE58">
            <v>12</v>
          </cell>
          <cell r="AF58">
            <v>0.6</v>
          </cell>
          <cell r="AG58">
            <v>1.8725422882466761E-3</v>
          </cell>
        </row>
        <row r="59">
          <cell r="B59" t="str">
            <v>Total Patient Drop-Outs</v>
          </cell>
          <cell r="C59">
            <v>8.9008176767992015</v>
          </cell>
          <cell r="D59">
            <v>36.163492594906678</v>
          </cell>
          <cell r="E59">
            <v>126.04640440000773</v>
          </cell>
          <cell r="F59">
            <v>332.41808585023387</v>
          </cell>
          <cell r="G59">
            <v>763.60504436737506</v>
          </cell>
          <cell r="H59">
            <v>1381.3926115377192</v>
          </cell>
          <cell r="I59">
            <v>1604.9884891888387</v>
          </cell>
          <cell r="J59">
            <v>1340.9454553742116</v>
          </cell>
          <cell r="K59">
            <v>1098.7091305547785</v>
          </cell>
          <cell r="L59">
            <v>975.48413211414072</v>
          </cell>
          <cell r="P59" t="str">
            <v>Total Patient Drop-Outs</v>
          </cell>
          <cell r="Q59">
            <v>919.8751888470382</v>
          </cell>
          <cell r="R59">
            <v>910.74774704745766</v>
          </cell>
          <cell r="S59">
            <v>922.03468635961008</v>
          </cell>
          <cell r="T59">
            <v>946.59962249867669</v>
          </cell>
          <cell r="U59">
            <v>979.4722975381485</v>
          </cell>
          <cell r="V59">
            <v>1030.6117813358239</v>
          </cell>
          <cell r="W59">
            <v>1098.3198149246091</v>
          </cell>
          <cell r="X59">
            <v>1168.5844494171315</v>
          </cell>
          <cell r="Y59">
            <v>1227.1549377241417</v>
          </cell>
          <cell r="Z59">
            <v>1267.7374400027222</v>
          </cell>
          <cell r="AA59">
            <v>1294.0787106608987</v>
          </cell>
          <cell r="AB59">
            <v>1312.0707522174955</v>
          </cell>
        </row>
        <row r="60">
          <cell r="B60" t="str">
            <v>Patients at Start of Period</v>
          </cell>
          <cell r="C60">
            <v>0</v>
          </cell>
          <cell r="D60">
            <v>4591.0991823232007</v>
          </cell>
          <cell r="E60">
            <v>5438.0103627282942</v>
          </cell>
          <cell r="F60">
            <v>6196.4957045387364</v>
          </cell>
          <cell r="G60">
            <v>6750.0688422801995</v>
          </cell>
          <cell r="H60">
            <v>6873.9169070234484</v>
          </cell>
          <cell r="I60">
            <v>6381.4417022263851</v>
          </cell>
          <cell r="J60">
            <v>5666.8373334993239</v>
          </cell>
          <cell r="K60">
            <v>5270.2070885186249</v>
          </cell>
          <cell r="L60">
            <v>5117.3712884545084</v>
          </cell>
          <cell r="P60" t="str">
            <v>Patients at Start of Period</v>
          </cell>
          <cell r="Q60">
            <v>5089.3211778263394</v>
          </cell>
          <cell r="R60">
            <v>5223.8874196697716</v>
          </cell>
          <cell r="S60">
            <v>5448.5345261022558</v>
          </cell>
          <cell r="T60">
            <v>5769.5604905436849</v>
          </cell>
          <cell r="U60">
            <v>6094.5643072363546</v>
          </cell>
          <cell r="V60">
            <v>6415.3290442489269</v>
          </cell>
          <cell r="W60">
            <v>6687.0996885708319</v>
          </cell>
          <cell r="X60">
            <v>6919.9343192177166</v>
          </cell>
          <cell r="Y60">
            <v>7084.7007202072718</v>
          </cell>
          <cell r="Z60">
            <v>7193.0966617929889</v>
          </cell>
          <cell r="AA60">
            <v>7263.1137600509865</v>
          </cell>
          <cell r="AB60">
            <v>7308.9968826389377</v>
          </cell>
        </row>
        <row r="61">
          <cell r="B61" t="str">
            <v>Patients at End of Period</v>
          </cell>
          <cell r="C61">
            <v>4591.0991823232007</v>
          </cell>
          <cell r="D61">
            <v>5438.0103627282942</v>
          </cell>
          <cell r="E61">
            <v>6196.4957045387364</v>
          </cell>
          <cell r="F61">
            <v>6750.0688422801995</v>
          </cell>
          <cell r="G61">
            <v>6873.9169070234484</v>
          </cell>
          <cell r="H61">
            <v>6381.4417022263851</v>
          </cell>
          <cell r="I61">
            <v>5666.8373334993239</v>
          </cell>
          <cell r="J61">
            <v>5270.2070885186249</v>
          </cell>
          <cell r="K61">
            <v>5117.3712884545084</v>
          </cell>
          <cell r="L61">
            <v>5089.3211778263394</v>
          </cell>
          <cell r="P61" t="str">
            <v>Patients at End of Period</v>
          </cell>
          <cell r="Q61">
            <v>5223.8874196697716</v>
          </cell>
          <cell r="R61">
            <v>5448.5345261022558</v>
          </cell>
          <cell r="S61">
            <v>5769.5604905436849</v>
          </cell>
          <cell r="T61">
            <v>6094.5643072363546</v>
          </cell>
          <cell r="U61">
            <v>6415.3290442489269</v>
          </cell>
          <cell r="V61">
            <v>6687.0996885708319</v>
          </cell>
          <cell r="W61">
            <v>6919.9343192177166</v>
          </cell>
          <cell r="X61">
            <v>7084.7007202072718</v>
          </cell>
          <cell r="Y61">
            <v>7193.0966617929889</v>
          </cell>
          <cell r="Z61">
            <v>7263.1137600509865</v>
          </cell>
          <cell r="AA61">
            <v>7308.9968826389377</v>
          </cell>
          <cell r="AB61">
            <v>7339.0989006951522</v>
          </cell>
        </row>
        <row r="63">
          <cell r="B63" t="str">
            <v>Total Patient Days</v>
          </cell>
          <cell r="C63">
            <v>85164.889832095359</v>
          </cell>
          <cell r="D63">
            <v>139344.90769040224</v>
          </cell>
          <cell r="E63">
            <v>160189.67694661734</v>
          </cell>
          <cell r="F63">
            <v>175667.75966879056</v>
          </cell>
          <cell r="G63">
            <v>179113.50410454167</v>
          </cell>
          <cell r="H63">
            <v>165302.16069089193</v>
          </cell>
          <cell r="I63">
            <v>145271.16432503134</v>
          </cell>
          <cell r="J63">
            <v>133353.85456209915</v>
          </cell>
          <cell r="K63">
            <v>129051.00245284176</v>
          </cell>
          <cell r="L63">
            <v>128242.11095577363</v>
          </cell>
          <cell r="P63" t="str">
            <v>Total Patient Days</v>
          </cell>
          <cell r="Q63">
            <v>130842.36961975202</v>
          </cell>
          <cell r="R63">
            <v>135948.1400244516</v>
          </cell>
          <cell r="S63">
            <v>142839.63094066753</v>
          </cell>
          <cell r="T63">
            <v>151510.16884278817</v>
          </cell>
          <cell r="U63">
            <v>160060.64586898161</v>
          </cell>
          <cell r="V63">
            <v>167637.93577383447</v>
          </cell>
          <cell r="W63">
            <v>173724.28653224508</v>
          </cell>
          <cell r="X63">
            <v>178304.68986718298</v>
          </cell>
          <cell r="Y63">
            <v>181306.6657965903</v>
          </cell>
          <cell r="Z63">
            <v>183233.9794806038</v>
          </cell>
          <cell r="AA63">
            <v>184485.48712349506</v>
          </cell>
          <cell r="AB63">
            <v>185295.06902684493</v>
          </cell>
        </row>
        <row r="64">
          <cell r="B64" t="str">
            <v>Average Cost/Day</v>
          </cell>
          <cell r="C64">
            <v>146.66666666666666</v>
          </cell>
          <cell r="D64">
            <v>146.66666666666666</v>
          </cell>
          <cell r="E64">
            <v>146.66666666666666</v>
          </cell>
          <cell r="F64">
            <v>146.66666666666666</v>
          </cell>
          <cell r="G64">
            <v>146.66666666666666</v>
          </cell>
          <cell r="H64">
            <v>146.66666666666666</v>
          </cell>
          <cell r="I64">
            <v>146.66666666666666</v>
          </cell>
          <cell r="J64">
            <v>146.66666666666666</v>
          </cell>
          <cell r="K64">
            <v>146.66666666666666</v>
          </cell>
          <cell r="L64">
            <v>146.66666666666666</v>
          </cell>
          <cell r="P64" t="str">
            <v>Average Cost/Day</v>
          </cell>
          <cell r="Q64">
            <v>146.66666666666666</v>
          </cell>
          <cell r="R64">
            <v>146.66666666666666</v>
          </cell>
          <cell r="S64">
            <v>146.66666666666666</v>
          </cell>
          <cell r="T64">
            <v>146.66666666666666</v>
          </cell>
          <cell r="U64">
            <v>146.66666666666666</v>
          </cell>
          <cell r="V64">
            <v>146.66666666666666</v>
          </cell>
          <cell r="W64">
            <v>146.66666666666666</v>
          </cell>
          <cell r="X64">
            <v>146.66666666666666</v>
          </cell>
          <cell r="Y64">
            <v>146.66666666666666</v>
          </cell>
          <cell r="Z64">
            <v>146.66666666666666</v>
          </cell>
          <cell r="AA64">
            <v>146.66666666666666</v>
          </cell>
          <cell r="AB64">
            <v>146.66666666666666</v>
          </cell>
        </row>
        <row r="66">
          <cell r="B66" t="str">
            <v>Monthly Sales</v>
          </cell>
          <cell r="C66">
            <v>12490.850508707319</v>
          </cell>
          <cell r="D66">
            <v>20437.253127925662</v>
          </cell>
          <cell r="E66">
            <v>23494.485952170544</v>
          </cell>
          <cell r="F66">
            <v>25764.604751422616</v>
          </cell>
          <cell r="G66">
            <v>26269.980601999443</v>
          </cell>
          <cell r="H66">
            <v>24244.316901330814</v>
          </cell>
          <cell r="I66">
            <v>21306.437434337928</v>
          </cell>
          <cell r="J66">
            <v>19558.56533577454</v>
          </cell>
          <cell r="K66">
            <v>18927.480359750123</v>
          </cell>
          <cell r="L66">
            <v>18808.84294018013</v>
          </cell>
          <cell r="M66">
            <v>211302.81791359911</v>
          </cell>
          <cell r="P66" t="str">
            <v>Monthly Sales</v>
          </cell>
          <cell r="Q66">
            <v>19190.21421089696</v>
          </cell>
          <cell r="R66">
            <v>19939.060536919569</v>
          </cell>
          <cell r="S66">
            <v>20949.812537964572</v>
          </cell>
          <cell r="T66">
            <v>22221.491430275597</v>
          </cell>
          <cell r="U66">
            <v>23475.5613941173</v>
          </cell>
          <cell r="V66">
            <v>24586.897246829056</v>
          </cell>
          <cell r="W66">
            <v>25479.562024729279</v>
          </cell>
          <cell r="X66">
            <v>26151.354513853501</v>
          </cell>
          <cell r="Y66">
            <v>26591.644316833244</v>
          </cell>
          <cell r="Z66">
            <v>26874.316990488554</v>
          </cell>
          <cell r="AA66">
            <v>27057.871444779274</v>
          </cell>
          <cell r="AB66">
            <v>27176.610123937255</v>
          </cell>
          <cell r="AC66">
            <v>289694.3967716241</v>
          </cell>
        </row>
        <row r="67">
          <cell r="C67" t="str">
            <v>1Q04</v>
          </cell>
          <cell r="F67" t="str">
            <v>2Q04</v>
          </cell>
          <cell r="I67" t="str">
            <v>3Q04</v>
          </cell>
          <cell r="L67" t="str">
            <v>4Q04</v>
          </cell>
          <cell r="M67">
            <v>2004</v>
          </cell>
          <cell r="S67" t="str">
            <v>1Q05</v>
          </cell>
          <cell r="V67" t="str">
            <v>2Q05</v>
          </cell>
          <cell r="Y67" t="str">
            <v>3Q05</v>
          </cell>
          <cell r="AB67" t="str">
            <v>4Q05</v>
          </cell>
          <cell r="AC67">
            <v>2005</v>
          </cell>
        </row>
        <row r="68">
          <cell r="B68" t="str">
            <v>Relapsed/Refractory Sales</v>
          </cell>
          <cell r="C68">
            <v>12490.850508707319</v>
          </cell>
          <cell r="F68">
            <v>69696.34383151881</v>
          </cell>
          <cell r="I68">
            <v>71820.734937668181</v>
          </cell>
          <cell r="L68">
            <v>57294.888635704789</v>
          </cell>
          <cell r="M68">
            <v>211302.81791359911</v>
          </cell>
          <cell r="P68" t="str">
            <v>Total Sales</v>
          </cell>
          <cell r="S68">
            <v>60079.087285781097</v>
          </cell>
          <cell r="V68">
            <v>70283.95007122196</v>
          </cell>
          <cell r="Y68">
            <v>78222.560855416028</v>
          </cell>
          <cell r="AB68">
            <v>81108.798559205083</v>
          </cell>
          <cell r="AC68">
            <v>289694.39677162416</v>
          </cell>
        </row>
        <row r="70">
          <cell r="C70" t="str">
            <v>1Q04</v>
          </cell>
          <cell r="F70" t="str">
            <v>2Q04</v>
          </cell>
          <cell r="I70" t="str">
            <v>3Q04</v>
          </cell>
          <cell r="L70" t="str">
            <v>4Q04</v>
          </cell>
          <cell r="M70">
            <v>2004</v>
          </cell>
          <cell r="S70" t="str">
            <v>1Q05</v>
          </cell>
          <cell r="V70" t="str">
            <v>2Q05</v>
          </cell>
          <cell r="Y70" t="str">
            <v>3Q05</v>
          </cell>
          <cell r="AB70" t="str">
            <v>4Q05</v>
          </cell>
          <cell r="AC70">
            <v>2005</v>
          </cell>
        </row>
        <row r="71">
          <cell r="B71" t="str">
            <v>Total Sales</v>
          </cell>
          <cell r="C71">
            <v>24592.22197400295</v>
          </cell>
          <cell r="F71">
            <v>133980.14318219628</v>
          </cell>
          <cell r="I71">
            <v>161536.07133526943</v>
          </cell>
          <cell r="L71">
            <v>174359.67341958501</v>
          </cell>
          <cell r="M71">
            <v>494468.10991105367</v>
          </cell>
          <cell r="P71" t="str">
            <v>Total Sales</v>
          </cell>
          <cell r="S71">
            <v>201977.69031282194</v>
          </cell>
          <cell r="V71">
            <v>237723.03550510277</v>
          </cell>
          <cell r="Y71">
            <v>269070.53908129712</v>
          </cell>
          <cell r="AB71">
            <v>290081.17337585526</v>
          </cell>
          <cell r="AC71">
            <v>998852.43827507715</v>
          </cell>
        </row>
        <row r="74">
          <cell r="B74" t="str">
            <v>New Diagnoses</v>
          </cell>
          <cell r="C74">
            <v>0.25</v>
          </cell>
          <cell r="D74">
            <v>0.3</v>
          </cell>
          <cell r="E74">
            <v>0.35</v>
          </cell>
          <cell r="F74">
            <v>0.4</v>
          </cell>
        </row>
        <row r="75">
          <cell r="B75" t="str">
            <v>Total Q3 Sales</v>
          </cell>
          <cell r="C75">
            <v>153979.96593385277</v>
          </cell>
          <cell r="D75">
            <v>156638.59668507241</v>
          </cell>
          <cell r="E75">
            <v>159297.22743629201</v>
          </cell>
          <cell r="F75">
            <v>161955.85818751174</v>
          </cell>
        </row>
        <row r="76">
          <cell r="B76" t="str">
            <v>Total Q4 Sales</v>
          </cell>
          <cell r="C76">
            <v>159919.35890491318</v>
          </cell>
          <cell r="D76">
            <v>167772.72580992253</v>
          </cell>
          <cell r="E76">
            <v>175626.09271493187</v>
          </cell>
          <cell r="F76">
            <v>183479.45961994119</v>
          </cell>
        </row>
        <row r="77">
          <cell r="B77" t="str">
            <v>FY2004</v>
          </cell>
          <cell r="C77">
            <v>471721.72845186933</v>
          </cell>
          <cell r="D77">
            <v>482233.7261080984</v>
          </cell>
          <cell r="E77">
            <v>492745.72376432741</v>
          </cell>
          <cell r="F77">
            <v>503257.72142055631</v>
          </cell>
        </row>
        <row r="79">
          <cell r="B79" t="str">
            <v>Relapsing</v>
          </cell>
          <cell r="C79">
            <v>0.25</v>
          </cell>
          <cell r="D79">
            <v>0.3</v>
          </cell>
          <cell r="E79">
            <v>0.35</v>
          </cell>
          <cell r="F79">
            <v>0.4</v>
          </cell>
        </row>
        <row r="80">
          <cell r="B80" t="str">
            <v>Total Q3 Sales</v>
          </cell>
          <cell r="C80">
            <v>149404.15650281997</v>
          </cell>
          <cell r="D80">
            <v>151725.76358521846</v>
          </cell>
          <cell r="E80">
            <v>154047.37066761701</v>
          </cell>
          <cell r="F80">
            <v>156368.9777500155</v>
          </cell>
        </row>
        <row r="81">
          <cell r="B81" t="str">
            <v>Total Q4 Sales</v>
          </cell>
          <cell r="C81">
            <v>153623.49900867679</v>
          </cell>
          <cell r="D81">
            <v>160172.05022159428</v>
          </cell>
          <cell r="E81">
            <v>166720.60143451183</v>
          </cell>
          <cell r="F81">
            <v>173269.15264742935</v>
          </cell>
        </row>
        <row r="82">
          <cell r="B82" t="str">
            <v>FY2004</v>
          </cell>
          <cell r="C82">
            <v>460850.0591246002</v>
          </cell>
          <cell r="D82">
            <v>469720.21741991618</v>
          </cell>
          <cell r="E82">
            <v>478590.37571523222</v>
          </cell>
          <cell r="F82">
            <v>487460.53401054826</v>
          </cell>
        </row>
        <row r="85">
          <cell r="B85" t="str">
            <v xml:space="preserve">Front-Line </v>
          </cell>
        </row>
        <row r="86">
          <cell r="C86" t="str">
            <v>Patients Start of Period</v>
          </cell>
          <cell r="D86" t="str">
            <v>New Patient Additions</v>
          </cell>
          <cell r="E86" t="str">
            <v>Drop-Outs</v>
          </cell>
          <cell r="F86" t="str">
            <v>Patients End of Period</v>
          </cell>
          <cell r="G86" t="str">
            <v>Total Patient Days</v>
          </cell>
          <cell r="H86" t="str">
            <v>Sales</v>
          </cell>
        </row>
        <row r="87">
          <cell r="B87" t="str">
            <v>March</v>
          </cell>
          <cell r="C87">
            <v>0</v>
          </cell>
          <cell r="D87">
            <v>4500</v>
          </cell>
          <cell r="E87">
            <v>52.05655526992286</v>
          </cell>
          <cell r="F87">
            <v>4447.9434447300773</v>
          </cell>
          <cell r="G87">
            <v>82509.350899742945</v>
          </cell>
          <cell r="H87">
            <v>12101.371465295631</v>
          </cell>
        </row>
        <row r="88">
          <cell r="B88" t="str">
            <v>April</v>
          </cell>
          <cell r="C88">
            <v>4447.9434447300773</v>
          </cell>
          <cell r="D88">
            <v>665.93698599999993</v>
          </cell>
          <cell r="E88">
            <v>77.112381586118232</v>
          </cell>
          <cell r="F88">
            <v>5036.7680491439587</v>
          </cell>
          <cell r="G88">
            <v>131450.00183242085</v>
          </cell>
          <cell r="H88">
            <v>19279.333602088391</v>
          </cell>
        </row>
        <row r="89">
          <cell r="B89" t="str">
            <v>May</v>
          </cell>
          <cell r="C89">
            <v>5036.7680491439587</v>
          </cell>
          <cell r="D89">
            <v>636.71597375294982</v>
          </cell>
          <cell r="E89">
            <v>104.39805603570247</v>
          </cell>
          <cell r="F89">
            <v>5569.0859668612065</v>
          </cell>
          <cell r="G89">
            <v>146351.83166713189</v>
          </cell>
          <cell r="H89">
            <v>21464.935311179343</v>
          </cell>
        </row>
        <row r="90">
          <cell r="B90" t="str">
            <v>June</v>
          </cell>
          <cell r="C90">
            <v>5569.0859668612065</v>
          </cell>
          <cell r="D90">
            <v>668.13639106724418</v>
          </cell>
          <cell r="E90">
            <v>146.07053212678733</v>
          </cell>
          <cell r="F90">
            <v>6091.151825801664</v>
          </cell>
          <cell r="G90">
            <v>160496.79843688456</v>
          </cell>
          <cell r="H90">
            <v>23539.530437409736</v>
          </cell>
        </row>
        <row r="91">
          <cell r="B91" t="str">
            <v xml:space="preserve">July </v>
          </cell>
          <cell r="C91">
            <v>6091.151825801664</v>
          </cell>
          <cell r="D91">
            <v>1216.7978474772819</v>
          </cell>
          <cell r="E91">
            <v>227.29858180770779</v>
          </cell>
          <cell r="F91">
            <v>7080.651091471238</v>
          </cell>
          <cell r="G91">
            <v>179945.42295666158</v>
          </cell>
          <cell r="H91">
            <v>26391.995366977033</v>
          </cell>
        </row>
        <row r="92">
          <cell r="B92" t="str">
            <v>August</v>
          </cell>
          <cell r="C92">
            <v>7080.651091471238</v>
          </cell>
          <cell r="D92">
            <v>1218.8055639256195</v>
          </cell>
          <cell r="E92">
            <v>319.15848221867031</v>
          </cell>
          <cell r="F92">
            <v>7980.2981731781874</v>
          </cell>
          <cell r="G92">
            <v>205105.32511190866</v>
          </cell>
          <cell r="H92">
            <v>30082.114349746604</v>
          </cell>
        </row>
        <row r="93">
          <cell r="B93" t="str">
            <v>September</v>
          </cell>
          <cell r="C93">
            <v>7980.2981731781874</v>
          </cell>
          <cell r="D93">
            <v>1220.8165931060967</v>
          </cell>
          <cell r="E93">
            <v>450.47129857474908</v>
          </cell>
          <cell r="F93">
            <v>8750.6434677095367</v>
          </cell>
          <cell r="G93">
            <v>226644.72736962023</v>
          </cell>
          <cell r="H93">
            <v>33241.226680877633</v>
          </cell>
        </row>
        <row r="94">
          <cell r="B94" t="str">
            <v>October</v>
          </cell>
          <cell r="C94">
            <v>8750.6434677095367</v>
          </cell>
          <cell r="D94">
            <v>1375.6848080453119</v>
          </cell>
          <cell r="E94">
            <v>576.84867314941653</v>
          </cell>
          <cell r="F94">
            <v>9549.4796026054319</v>
          </cell>
          <cell r="G94">
            <v>246681.37251187017</v>
          </cell>
          <cell r="H94">
            <v>36179.934635074285</v>
          </cell>
        </row>
        <row r="95">
          <cell r="B95" t="str">
            <v>November</v>
          </cell>
          <cell r="C95">
            <v>9549.4796026054319</v>
          </cell>
          <cell r="D95">
            <v>1408.5759032669996</v>
          </cell>
          <cell r="E95">
            <v>680.04417956358725</v>
          </cell>
          <cell r="F95">
            <v>10278.011326308844</v>
          </cell>
          <cell r="G95">
            <v>266585.24979247933</v>
          </cell>
          <cell r="H95">
            <v>39099.169969563634</v>
          </cell>
        </row>
        <row r="96">
          <cell r="B96" t="str">
            <v>December</v>
          </cell>
          <cell r="C96">
            <v>10278.011326308844</v>
          </cell>
          <cell r="D96">
            <v>1472.2435340946677</v>
          </cell>
          <cell r="E96">
            <v>783.83950159654296</v>
          </cell>
          <cell r="F96">
            <v>10966.415358806968</v>
          </cell>
          <cell r="G96">
            <v>284902.36485847033</v>
          </cell>
          <cell r="H96">
            <v>41785.680179242314</v>
          </cell>
        </row>
        <row r="97">
          <cell r="B97" t="str">
            <v>Relapsed/ Refractory</v>
          </cell>
        </row>
        <row r="98">
          <cell r="C98" t="str">
            <v>Patients Start of Period</v>
          </cell>
          <cell r="D98" t="str">
            <v>New Patient Additions</v>
          </cell>
          <cell r="E98" t="str">
            <v>Drop-Outs</v>
          </cell>
          <cell r="F98" t="str">
            <v>Patients End of Period</v>
          </cell>
          <cell r="G98" t="str">
            <v>Total Patient Days</v>
          </cell>
          <cell r="H98" t="str">
            <v>Sales</v>
          </cell>
        </row>
        <row r="99">
          <cell r="B99" t="str">
            <v>March</v>
          </cell>
          <cell r="C99">
            <v>0</v>
          </cell>
          <cell r="D99">
            <v>4600</v>
          </cell>
          <cell r="E99">
            <v>8.9008176767992015</v>
          </cell>
          <cell r="F99">
            <v>4591.0991823232007</v>
          </cell>
          <cell r="G99">
            <v>85164.889832095359</v>
          </cell>
          <cell r="H99">
            <v>12490.850508707319</v>
          </cell>
        </row>
        <row r="100">
          <cell r="B100" t="str">
            <v>April</v>
          </cell>
          <cell r="C100">
            <v>4591.0991823232007</v>
          </cell>
          <cell r="D100">
            <v>883.07467299999996</v>
          </cell>
          <cell r="E100">
            <v>36.163492594906678</v>
          </cell>
          <cell r="F100">
            <v>5438.0103627282942</v>
          </cell>
          <cell r="G100">
            <v>139344.90769040224</v>
          </cell>
          <cell r="H100">
            <v>20437.253127925662</v>
          </cell>
        </row>
        <row r="101">
          <cell r="B101" t="str">
            <v>May</v>
          </cell>
          <cell r="C101">
            <v>5438.0103627282942</v>
          </cell>
          <cell r="D101">
            <v>884.53174621044991</v>
          </cell>
          <cell r="E101">
            <v>126.04640440000773</v>
          </cell>
          <cell r="F101">
            <v>6196.4957045387364</v>
          </cell>
          <cell r="G101">
            <v>160189.67694661734</v>
          </cell>
          <cell r="H101">
            <v>23494.485952170544</v>
          </cell>
        </row>
        <row r="102">
          <cell r="B102" t="str">
            <v>June</v>
          </cell>
          <cell r="C102">
            <v>6196.4957045387364</v>
          </cell>
          <cell r="D102">
            <v>885.99122359169723</v>
          </cell>
          <cell r="E102">
            <v>332.41808585023387</v>
          </cell>
          <cell r="F102">
            <v>6750.0688422801995</v>
          </cell>
          <cell r="G102">
            <v>175667.75966879056</v>
          </cell>
          <cell r="H102">
            <v>25764.604751422616</v>
          </cell>
        </row>
        <row r="103">
          <cell r="B103" t="str">
            <v xml:space="preserve">July </v>
          </cell>
          <cell r="C103">
            <v>6750.0688422801995</v>
          </cell>
          <cell r="D103">
            <v>887.45310911062336</v>
          </cell>
          <cell r="E103">
            <v>763.60504436737506</v>
          </cell>
          <cell r="F103">
            <v>6873.9169070234484</v>
          </cell>
          <cell r="G103">
            <v>179113.50410454167</v>
          </cell>
          <cell r="H103">
            <v>26269.980601999443</v>
          </cell>
        </row>
        <row r="104">
          <cell r="B104" t="str">
            <v>August</v>
          </cell>
          <cell r="C104">
            <v>6873.9169070234484</v>
          </cell>
          <cell r="D104">
            <v>888.91740674065579</v>
          </cell>
          <cell r="E104">
            <v>1381.3926115377192</v>
          </cell>
          <cell r="F104">
            <v>6381.4417022263851</v>
          </cell>
          <cell r="G104">
            <v>165302.16069089193</v>
          </cell>
          <cell r="H104">
            <v>24244.316901330814</v>
          </cell>
        </row>
        <row r="105">
          <cell r="B105" t="str">
            <v>September</v>
          </cell>
          <cell r="C105">
            <v>6381.4417022263851</v>
          </cell>
          <cell r="D105">
            <v>890.38412046177791</v>
          </cell>
          <cell r="E105">
            <v>1604.9884891888387</v>
          </cell>
          <cell r="F105">
            <v>5666.8373334993239</v>
          </cell>
          <cell r="G105">
            <v>145271.16432503134</v>
          </cell>
          <cell r="H105">
            <v>21306.437434337928</v>
          </cell>
        </row>
        <row r="106">
          <cell r="B106" t="str">
            <v>October</v>
          </cell>
          <cell r="C106">
            <v>5666.8373334993239</v>
          </cell>
          <cell r="D106">
            <v>944.31521039351253</v>
          </cell>
          <cell r="E106">
            <v>1340.9454553742116</v>
          </cell>
          <cell r="F106">
            <v>5270.2070885186249</v>
          </cell>
          <cell r="G106">
            <v>133353.85456209915</v>
          </cell>
          <cell r="H106">
            <v>19558.56533577454</v>
          </cell>
        </row>
        <row r="107">
          <cell r="B107" t="str">
            <v>November</v>
          </cell>
          <cell r="C107">
            <v>5270.2070885186249</v>
          </cell>
          <cell r="D107">
            <v>945.8733304906616</v>
          </cell>
          <cell r="E107">
            <v>1098.7091305547785</v>
          </cell>
          <cell r="F107">
            <v>5117.3712884545084</v>
          </cell>
          <cell r="G107">
            <v>129051.00245284176</v>
          </cell>
          <cell r="H107">
            <v>18927.480359750123</v>
          </cell>
        </row>
        <row r="108">
          <cell r="B108" t="str">
            <v>December</v>
          </cell>
          <cell r="C108">
            <v>5117.3712884545084</v>
          </cell>
          <cell r="D108">
            <v>947.43402148597113</v>
          </cell>
          <cell r="E108">
            <v>975.48413211414072</v>
          </cell>
          <cell r="F108">
            <v>5089.3211778263394</v>
          </cell>
          <cell r="G108">
            <v>128242.11095577363</v>
          </cell>
          <cell r="H108">
            <v>18808.84294018013</v>
          </cell>
        </row>
        <row r="109">
          <cell r="B109" t="str">
            <v>Total Sales</v>
          </cell>
        </row>
        <row r="110">
          <cell r="B110" t="str">
            <v>2Q04</v>
          </cell>
          <cell r="C110">
            <v>133980.14318219628</v>
          </cell>
        </row>
        <row r="111">
          <cell r="B111" t="str">
            <v>3Q04</v>
          </cell>
          <cell r="C111">
            <v>161536.07133526943</v>
          </cell>
        </row>
        <row r="112">
          <cell r="B112" t="str">
            <v>4Q04</v>
          </cell>
          <cell r="C112">
            <v>174359.67341958501</v>
          </cell>
        </row>
        <row r="113">
          <cell r="B113">
            <v>2004</v>
          </cell>
          <cell r="C113">
            <v>494468.10991105367</v>
          </cell>
        </row>
      </sheetData>
      <sheetData sheetId="16" refreshError="1"/>
      <sheetData sheetId="17" refreshError="1">
        <row r="1">
          <cell r="A1" t="str">
            <v>Model data for companies: DNA.N</v>
          </cell>
          <cell r="HX1" t="str">
            <v>ElementName</v>
          </cell>
          <cell r="HY1" t="str">
            <v>ScaleOverride</v>
          </cell>
          <cell r="HZ1" t="str">
            <v>UnitOverride</v>
          </cell>
          <cell r="IA1" t="str">
            <v>ReverseSign</v>
          </cell>
          <cell r="IB1" t="str">
            <v>IsDrivingAssumption</v>
          </cell>
          <cell r="IC1" t="str">
            <v>SegmentID</v>
          </cell>
        </row>
        <row r="2">
          <cell r="A2" t="str">
            <v xml:space="preserve">Model Snapshot type:  </v>
          </cell>
          <cell r="G2" t="str">
            <v>1997-FY</v>
          </cell>
          <cell r="H2" t="str">
            <v>1998-FY</v>
          </cell>
          <cell r="I2" t="str">
            <v>1999-FY</v>
          </cell>
          <cell r="J2" t="str">
            <v>2000-FY</v>
          </cell>
          <cell r="K2" t="str">
            <v>2001-FY</v>
          </cell>
          <cell r="L2" t="str">
            <v>2002-FY</v>
          </cell>
        </row>
        <row r="3">
          <cell r="A3" t="str">
            <v>Default Currency: USD in Millions</v>
          </cell>
        </row>
        <row r="4">
          <cell r="A4" t="str">
            <v>Data as of 2/28/2005 1:22:21 PM</v>
          </cell>
          <cell r="G4" t="str">
            <v>data filled 1997-2002</v>
          </cell>
        </row>
        <row r="5">
          <cell r="A5" t="str">
            <v>Template v1.0</v>
          </cell>
          <cell r="L5" t="str">
            <v>Genentech (DNA.N) ()</v>
          </cell>
        </row>
        <row r="6">
          <cell r="G6" t="str">
            <v>1997-FY
1997-1-1
1997-12-31</v>
          </cell>
          <cell r="H6" t="str">
            <v>1998-FY
1998-1-1
1998-12-31</v>
          </cell>
          <cell r="I6" t="str">
            <v>1999-FY
1999-1-1
1999-12-31</v>
          </cell>
          <cell r="J6" t="str">
            <v>2000-FY
2000-1-1
2000-12-31</v>
          </cell>
          <cell r="K6" t="str">
            <v>2001-FY
2001-1-1
2002-12-31</v>
          </cell>
          <cell r="L6" t="str">
            <v>2002 (A)_x000D_
2002-1-1_x000D_
2002-12-31</v>
          </cell>
          <cell r="M6" t="str">
            <v>2003 (A)_x000D_
2003-1-1_x000D_
2003-12-31</v>
          </cell>
        </row>
        <row r="7">
          <cell r="A7" t="str">
            <v>Validation Formulas</v>
          </cell>
          <cell r="HY7">
            <v>0</v>
          </cell>
          <cell r="HZ7" t="str">
            <v>ms_eqr_gcim_String:ms_eqr_gcim_string</v>
          </cell>
          <cell r="IA7" t="b">
            <v>0</v>
          </cell>
          <cell r="IB7" t="b">
            <v>0</v>
          </cell>
        </row>
        <row r="18">
          <cell r="B18" t="str">
            <v>Balance Sheet Validation</v>
          </cell>
          <cell r="G18" t="b">
            <v>1</v>
          </cell>
          <cell r="H18" t="b">
            <v>1</v>
          </cell>
          <cell r="I18" t="b">
            <v>1</v>
          </cell>
          <cell r="J18" t="b">
            <v>1</v>
          </cell>
          <cell r="K18" t="b">
            <v>1</v>
          </cell>
          <cell r="L18" t="b">
            <v>1</v>
          </cell>
          <cell r="M18" t="b">
            <v>1</v>
          </cell>
          <cell r="HY18">
            <v>0</v>
          </cell>
          <cell r="HZ18" t="str">
            <v>ms_eqr_gcim_Boolean:ms_eqr_gcim_boolean</v>
          </cell>
          <cell r="IA18" t="b">
            <v>0</v>
          </cell>
          <cell r="IB18" t="b">
            <v>0</v>
          </cell>
        </row>
        <row r="29">
          <cell r="C29" t="str">
            <v>Assets</v>
          </cell>
          <cell r="G29">
            <v>2507.6120000000005</v>
          </cell>
          <cell r="H29">
            <v>2855.402</v>
          </cell>
          <cell r="I29">
            <v>6534.7819999999992</v>
          </cell>
          <cell r="J29">
            <v>6716.424</v>
          </cell>
          <cell r="K29">
            <v>7146.8890000000001</v>
          </cell>
          <cell r="L29">
            <v>6758.1189999999997</v>
          </cell>
          <cell r="M29">
            <v>8735.9628426585787</v>
          </cell>
          <cell r="HY29">
            <v>0</v>
          </cell>
          <cell r="HZ29" t="str">
            <v>ISO4217:USD</v>
          </cell>
          <cell r="IA29" t="b">
            <v>0</v>
          </cell>
          <cell r="IB29" t="b">
            <v>0</v>
          </cell>
        </row>
        <row r="40">
          <cell r="C40" t="str">
            <v>Liabilities and Equity</v>
          </cell>
          <cell r="G40">
            <v>2507.6120000000001</v>
          </cell>
          <cell r="H40">
            <v>2855.402</v>
          </cell>
          <cell r="I40">
            <v>6534.7819999999992</v>
          </cell>
          <cell r="J40">
            <v>6716.4240000000009</v>
          </cell>
          <cell r="K40">
            <v>7146.8889999999992</v>
          </cell>
          <cell r="L40">
            <v>6758.1189999999997</v>
          </cell>
          <cell r="M40">
            <v>8736.0156437000005</v>
          </cell>
          <cell r="HY40">
            <v>0</v>
          </cell>
          <cell r="HZ40" t="str">
            <v>ISO4217:USD</v>
          </cell>
          <cell r="IA40" t="b">
            <v>0</v>
          </cell>
          <cell r="IB40" t="b">
            <v>0</v>
          </cell>
        </row>
        <row r="51">
          <cell r="B51" t="str">
            <v>Changes in Shareholders Equity Validation</v>
          </cell>
          <cell r="G51" t="b">
            <v>1</v>
          </cell>
          <cell r="H51" t="b">
            <v>1</v>
          </cell>
          <cell r="I51" t="b">
            <v>1</v>
          </cell>
          <cell r="J51" t="b">
            <v>1</v>
          </cell>
          <cell r="K51" t="b">
            <v>1</v>
          </cell>
          <cell r="L51" t="b">
            <v>1</v>
          </cell>
          <cell r="M51" t="b">
            <v>1</v>
          </cell>
          <cell r="HY51">
            <v>0</v>
          </cell>
          <cell r="HZ51" t="str">
            <v>ms_eqr_gcim_Boolean:ms_eqr_gcim_boolean</v>
          </cell>
          <cell r="IA51" t="b">
            <v>0</v>
          </cell>
          <cell r="IB51" t="b">
            <v>0</v>
          </cell>
        </row>
        <row r="62">
          <cell r="C62" t="str">
            <v>Changes in Shareholders Equity</v>
          </cell>
          <cell r="G62">
            <v>230.16599999999994</v>
          </cell>
          <cell r="H62">
            <v>312.61999999999983</v>
          </cell>
          <cell r="I62">
            <v>2926.0119999999993</v>
          </cell>
          <cell r="J62">
            <v>404.34600000000012</v>
          </cell>
          <cell r="K62">
            <v>245.61100000000016</v>
          </cell>
          <cell r="L62">
            <v>-581.05699999999945</v>
          </cell>
          <cell r="M62">
            <v>1181.4782639664222</v>
          </cell>
          <cell r="HY62">
            <v>0</v>
          </cell>
          <cell r="HZ62" t="str">
            <v>ISO4217:USD</v>
          </cell>
          <cell r="IA62" t="b">
            <v>0</v>
          </cell>
          <cell r="IB62" t="b">
            <v>0</v>
          </cell>
        </row>
        <row r="73">
          <cell r="D73" t="str">
            <v>Net Income (Reported) Less Preferred Dividends</v>
          </cell>
          <cell r="G73">
            <v>129.04399999999993</v>
          </cell>
          <cell r="H73">
            <v>181.90899999999982</v>
          </cell>
          <cell r="I73">
            <v>-1157.4760000000001</v>
          </cell>
          <cell r="J73">
            <v>-74.240999999999914</v>
          </cell>
          <cell r="K73">
            <v>150.23100000000022</v>
          </cell>
          <cell r="L73">
            <v>63.665000000000532</v>
          </cell>
          <cell r="M73">
            <v>562.62846292500024</v>
          </cell>
          <cell r="HY73">
            <v>0</v>
          </cell>
          <cell r="HZ73" t="str">
            <v>ISO4217:USD</v>
          </cell>
          <cell r="IA73" t="b">
            <v>0</v>
          </cell>
          <cell r="IB73" t="b">
            <v>0</v>
          </cell>
        </row>
        <row r="74">
          <cell r="G74">
            <v>169.79499999999993</v>
          </cell>
          <cell r="H74">
            <v>252.65099999999981</v>
          </cell>
          <cell r="I74">
            <v>-1130.577</v>
          </cell>
          <cell r="J74">
            <v>3.9730000000000665</v>
          </cell>
          <cell r="K74">
            <v>282.98100000000022</v>
          </cell>
          <cell r="L74">
            <v>573.53200000000049</v>
          </cell>
          <cell r="M74">
            <v>784.22646292500019</v>
          </cell>
        </row>
        <row r="75">
          <cell r="G75">
            <v>-40.750999999999998</v>
          </cell>
          <cell r="H75">
            <v>-70.74199999999999</v>
          </cell>
          <cell r="I75">
            <v>-26.899000000000029</v>
          </cell>
          <cell r="J75">
            <v>-78.213999999999984</v>
          </cell>
          <cell r="K75">
            <v>-132.75</v>
          </cell>
          <cell r="L75">
            <v>-509.86699999999996</v>
          </cell>
          <cell r="M75">
            <v>-221.59799999999998</v>
          </cell>
        </row>
        <row r="84">
          <cell r="D84" t="str">
            <v>Change in Accumulated Other Comprehensive Income (Loss) or Other Reserves</v>
          </cell>
          <cell r="G84">
            <v>-0.11700000000000001</v>
          </cell>
          <cell r="H84">
            <v>5.431</v>
          </cell>
          <cell r="I84">
            <v>200.23600000000002</v>
          </cell>
          <cell r="J84">
            <v>72.119</v>
          </cell>
          <cell r="K84">
            <v>-19.896000000000001</v>
          </cell>
          <cell r="L84">
            <v>-43.08</v>
          </cell>
          <cell r="M84">
            <v>28.549801041422199</v>
          </cell>
          <cell r="HY84">
            <v>0</v>
          </cell>
          <cell r="HZ84" t="str">
            <v>ISO4217:USD</v>
          </cell>
          <cell r="IA84" t="b">
            <v>0</v>
          </cell>
          <cell r="IB84" t="b">
            <v>0</v>
          </cell>
        </row>
        <row r="95">
          <cell r="D95" t="str">
            <v>Change in Investment in Own Shares (Asset)</v>
          </cell>
          <cell r="G95">
            <v>0</v>
          </cell>
          <cell r="H95">
            <v>0</v>
          </cell>
          <cell r="I95">
            <v>0</v>
          </cell>
          <cell r="J95">
            <v>0</v>
          </cell>
          <cell r="K95">
            <v>0</v>
          </cell>
          <cell r="L95">
            <v>0</v>
          </cell>
          <cell r="M95">
            <v>0</v>
          </cell>
          <cell r="HY95">
            <v>0</v>
          </cell>
          <cell r="HZ95" t="str">
            <v>ISO4217:USD</v>
          </cell>
          <cell r="IA95" t="b">
            <v>0</v>
          </cell>
          <cell r="IB95" t="b">
            <v>0</v>
          </cell>
        </row>
        <row r="106">
          <cell r="B106" t="str">
            <v>Cash Flow Validation</v>
          </cell>
          <cell r="G106" t="b">
            <v>1</v>
          </cell>
          <cell r="H106" t="b">
            <v>1</v>
          </cell>
          <cell r="I106" t="b">
            <v>1</v>
          </cell>
          <cell r="J106" t="b">
            <v>1</v>
          </cell>
          <cell r="K106" t="b">
            <v>1</v>
          </cell>
          <cell r="L106" t="b">
            <v>1</v>
          </cell>
          <cell r="M106" t="b">
            <v>1</v>
          </cell>
          <cell r="HY106">
            <v>0</v>
          </cell>
          <cell r="HZ106" t="str">
            <v>ms_eqr_gcim_Boolean:ms_eqr_gcim_boolean</v>
          </cell>
          <cell r="IA106" t="b">
            <v>0</v>
          </cell>
          <cell r="IB106" t="b">
            <v>0</v>
          </cell>
        </row>
        <row r="117">
          <cell r="C117" t="str">
            <v>Aggregate Cash and Cash Equivalents for Validation</v>
          </cell>
          <cell r="F117">
            <v>207.26400000000001</v>
          </cell>
          <cell r="G117">
            <v>244.46899999999999</v>
          </cell>
          <cell r="H117">
            <v>281.16199999999998</v>
          </cell>
          <cell r="I117">
            <v>337.68200000000002</v>
          </cell>
          <cell r="J117">
            <v>551.38400000000001</v>
          </cell>
          <cell r="K117">
            <v>395.20299999999997</v>
          </cell>
          <cell r="L117">
            <v>208.13</v>
          </cell>
          <cell r="M117">
            <v>371.87784265857795</v>
          </cell>
          <cell r="HY117">
            <v>0</v>
          </cell>
          <cell r="HZ117" t="str">
            <v>ISO4217:USD</v>
          </cell>
          <cell r="IA117" t="b">
            <v>0</v>
          </cell>
          <cell r="IB117" t="b">
            <v>0</v>
          </cell>
        </row>
        <row r="128">
          <cell r="C128" t="str">
            <v>Changes in Cash and Cash Equivalents</v>
          </cell>
          <cell r="G128">
            <v>37.204999999999984</v>
          </cell>
          <cell r="H128">
            <v>36.693000000000012</v>
          </cell>
          <cell r="I128">
            <v>56.519999999999698</v>
          </cell>
          <cell r="J128">
            <v>213.702</v>
          </cell>
          <cell r="K128">
            <v>-156.18100000000004</v>
          </cell>
          <cell r="L128">
            <v>-187.07299999999987</v>
          </cell>
          <cell r="M128">
            <v>163.89584265857809</v>
          </cell>
          <cell r="HY128">
            <v>0</v>
          </cell>
          <cell r="HZ128" t="str">
            <v>ISO4217:USD</v>
          </cell>
          <cell r="IA128" t="b">
            <v>0</v>
          </cell>
          <cell r="IB128" t="b">
            <v>0</v>
          </cell>
        </row>
        <row r="129">
          <cell r="G129">
            <v>39.993000000000023</v>
          </cell>
          <cell r="H129">
            <v>172.93699999999998</v>
          </cell>
          <cell r="I129">
            <v>-218.41600000000022</v>
          </cell>
          <cell r="J129">
            <v>277.20500000000004</v>
          </cell>
          <cell r="K129">
            <v>369.18700000000001</v>
          </cell>
          <cell r="L129">
            <v>31.79299999999995</v>
          </cell>
          <cell r="M129">
            <v>530.46584265857791</v>
          </cell>
        </row>
        <row r="130">
          <cell r="G130">
            <v>-2.7880000000000393</v>
          </cell>
          <cell r="H130">
            <v>-136.24399999999997</v>
          </cell>
          <cell r="I130">
            <v>274.93599999999992</v>
          </cell>
          <cell r="J130">
            <v>-63.503000000000043</v>
          </cell>
          <cell r="K130">
            <v>-525.36800000000005</v>
          </cell>
          <cell r="L130">
            <v>-218.86599999999981</v>
          </cell>
          <cell r="M130">
            <v>-366.56999999999982</v>
          </cell>
        </row>
        <row r="131">
          <cell r="G131">
            <v>0</v>
          </cell>
          <cell r="H131">
            <v>0</v>
          </cell>
          <cell r="I131">
            <v>0</v>
          </cell>
          <cell r="J131">
            <v>0</v>
          </cell>
          <cell r="K131">
            <v>0</v>
          </cell>
          <cell r="L131">
            <v>0</v>
          </cell>
          <cell r="M131">
            <v>0</v>
          </cell>
        </row>
        <row r="139">
          <cell r="B139" t="str">
            <v>Tax Rate Validation (must be between 0% and 100%)</v>
          </cell>
          <cell r="G139">
            <v>0.373</v>
          </cell>
          <cell r="H139">
            <v>0.37965018939169048</v>
          </cell>
          <cell r="I139">
            <v>0.51523455723542122</v>
          </cell>
          <cell r="J139">
            <v>0.59149257488044304</v>
          </cell>
          <cell r="K139">
            <v>0.40731343600036757</v>
          </cell>
          <cell r="L139">
            <v>0.37813035732293521</v>
          </cell>
          <cell r="M139">
            <v>0.32364976429312797</v>
          </cell>
          <cell r="HY139">
            <v>0</v>
          </cell>
          <cell r="HZ139" t="str">
            <v>ms_eqr_gcim_Boolean:ms_eqr_gcim_boolean</v>
          </cell>
          <cell r="IA139" t="b">
            <v>0</v>
          </cell>
          <cell r="IB139" t="b">
            <v>0</v>
          </cell>
        </row>
        <row r="140">
          <cell r="A140" t="str">
            <v>Tagged metrics</v>
          </cell>
          <cell r="HY140">
            <v>0</v>
          </cell>
          <cell r="HZ140" t="str">
            <v>ms_eqr_gcim_String:ms_eqr_gcim_string</v>
          </cell>
          <cell r="IA140" t="b">
            <v>0</v>
          </cell>
          <cell r="IB140" t="b">
            <v>0</v>
          </cell>
        </row>
        <row r="141">
          <cell r="B141" t="str">
            <v>Income statement</v>
          </cell>
          <cell r="HY141">
            <v>0</v>
          </cell>
          <cell r="HZ141" t="str">
            <v>ms_eqr_gcim_String:ms_eqr_gcim_string</v>
          </cell>
          <cell r="IA141" t="b">
            <v>0</v>
          </cell>
          <cell r="IB141" t="b">
            <v>0</v>
          </cell>
        </row>
        <row r="142">
          <cell r="C142" t="str">
            <v>Revenue, net</v>
          </cell>
          <cell r="G142">
            <v>706.476</v>
          </cell>
          <cell r="H142">
            <v>832.58999999999992</v>
          </cell>
          <cell r="I142">
            <v>1122.337</v>
          </cell>
          <cell r="J142">
            <v>1438.7070000000001</v>
          </cell>
          <cell r="K142">
            <v>1779.557</v>
          </cell>
          <cell r="L142">
            <v>2218.1080000000002</v>
          </cell>
          <cell r="M142">
            <v>3300.2629999999999</v>
          </cell>
          <cell r="HX142" t="str">
            <v>mstag:revenueNet</v>
          </cell>
          <cell r="HY142">
            <v>6</v>
          </cell>
          <cell r="HZ142" t="str">
            <v>ISO4217:USD</v>
          </cell>
          <cell r="IA142" t="b">
            <v>0</v>
          </cell>
          <cell r="IB142" t="b">
            <v>0</v>
          </cell>
        </row>
        <row r="143">
          <cell r="D143" t="str">
            <v>Revenue, net of discounts and allowances</v>
          </cell>
          <cell r="G143">
            <v>706.476</v>
          </cell>
          <cell r="H143">
            <v>832.58999999999992</v>
          </cell>
          <cell r="I143">
            <v>1122.337</v>
          </cell>
          <cell r="J143">
            <v>1438.7070000000001</v>
          </cell>
          <cell r="K143">
            <v>1779.557</v>
          </cell>
          <cell r="L143">
            <v>2218.1080000000002</v>
          </cell>
          <cell r="M143" t="str">
            <v/>
          </cell>
          <cell r="HX143" t="str">
            <v>mstag:revenueNetOfDiscountsAndAllowances</v>
          </cell>
          <cell r="HY143">
            <v>6</v>
          </cell>
          <cell r="HZ143" t="str">
            <v>ISO4217:USD</v>
          </cell>
          <cell r="IA143" t="b">
            <v>0</v>
          </cell>
          <cell r="IB143" t="b">
            <v>0</v>
          </cell>
        </row>
        <row r="144">
          <cell r="E144" t="str">
            <v>Revenue, gross</v>
          </cell>
          <cell r="G144">
            <v>706.476</v>
          </cell>
          <cell r="H144">
            <v>832.58999999999992</v>
          </cell>
          <cell r="I144">
            <v>1122.337</v>
          </cell>
          <cell r="J144">
            <v>1438.7070000000001</v>
          </cell>
          <cell r="K144">
            <v>1779.557</v>
          </cell>
          <cell r="L144">
            <v>2218.1080000000002</v>
          </cell>
          <cell r="HX144" t="str">
            <v>mstag:revenueGross</v>
          </cell>
          <cell r="HY144">
            <v>6</v>
          </cell>
          <cell r="HZ144" t="str">
            <v>ISO4217:USD</v>
          </cell>
          <cell r="IA144" t="b">
            <v>0</v>
          </cell>
          <cell r="IB144" t="b">
            <v>0</v>
          </cell>
        </row>
        <row r="145">
          <cell r="E145" t="str">
            <v>Sales discounts</v>
          </cell>
          <cell r="HX145" t="str">
            <v>mstag:salesDiscounts</v>
          </cell>
          <cell r="HY145">
            <v>6</v>
          </cell>
          <cell r="HZ145" t="str">
            <v>ISO4217:USD</v>
          </cell>
          <cell r="IA145" t="b">
            <v>0</v>
          </cell>
          <cell r="IB145" t="b">
            <v>0</v>
          </cell>
        </row>
        <row r="146">
          <cell r="E146" t="str">
            <v>Change in allowance for doubtful accounts, recurring</v>
          </cell>
          <cell r="HX146" t="str">
            <v>mstag:changeInAllowanceForDoubtfulAccountsRecurring</v>
          </cell>
          <cell r="HY146">
            <v>6</v>
          </cell>
          <cell r="HZ146" t="str">
            <v>ISO4217:USD</v>
          </cell>
          <cell r="IA146" t="b">
            <v>0</v>
          </cell>
          <cell r="IB146" t="b">
            <v>0</v>
          </cell>
        </row>
        <row r="147">
          <cell r="E147" t="str">
            <v>Change in allowance for doubtful accounts, one time</v>
          </cell>
          <cell r="HX147" t="str">
            <v>mstag:changeInAllowanceForDoubtfulAccountsOneTime</v>
          </cell>
          <cell r="HY147">
            <v>6</v>
          </cell>
          <cell r="HZ147" t="str">
            <v>ISO4217:USD</v>
          </cell>
          <cell r="IA147" t="b">
            <v>0</v>
          </cell>
          <cell r="IB147" t="b">
            <v>0</v>
          </cell>
        </row>
        <row r="148">
          <cell r="C148" t="str">
            <v>Revenue, region</v>
          </cell>
          <cell r="HX148" t="str">
            <v>mstag:revenueRegion</v>
          </cell>
          <cell r="HY148">
            <v>6</v>
          </cell>
          <cell r="HZ148" t="str">
            <v>ISO4217:USD</v>
          </cell>
          <cell r="IA148" t="b">
            <v>0</v>
          </cell>
          <cell r="IB148" t="b">
            <v>0</v>
          </cell>
        </row>
        <row r="149">
          <cell r="D149" t="str">
            <v>Revenue (Americas)</v>
          </cell>
          <cell r="G149" t="str">
            <v/>
          </cell>
          <cell r="H149" t="str">
            <v/>
          </cell>
          <cell r="I149" t="str">
            <v/>
          </cell>
          <cell r="J149" t="str">
            <v/>
          </cell>
          <cell r="K149" t="str">
            <v/>
          </cell>
          <cell r="L149" t="str">
            <v/>
          </cell>
          <cell r="M149" t="str">
            <v/>
          </cell>
          <cell r="HX149" t="str">
            <v>mstag:americasRevenues</v>
          </cell>
          <cell r="HY149">
            <v>6</v>
          </cell>
          <cell r="HZ149" t="str">
            <v>ISO4217:USD</v>
          </cell>
          <cell r="IA149" t="b">
            <v>0</v>
          </cell>
          <cell r="IB149" t="b">
            <v>0</v>
          </cell>
        </row>
        <row r="150">
          <cell r="E150" t="str">
            <v>Revenue (North America)</v>
          </cell>
          <cell r="HX150" t="str">
            <v>mstag:northAmericaRevenues</v>
          </cell>
          <cell r="HY150">
            <v>6</v>
          </cell>
          <cell r="HZ150" t="str">
            <v>ISO4217:USD</v>
          </cell>
          <cell r="IA150" t="b">
            <v>0</v>
          </cell>
          <cell r="IB150" t="b">
            <v>0</v>
          </cell>
        </row>
        <row r="151">
          <cell r="E151" t="str">
            <v>Revenue (Latin America)</v>
          </cell>
          <cell r="HX151" t="str">
            <v>mstag:latinAmericaRevenues</v>
          </cell>
          <cell r="HY151">
            <v>6</v>
          </cell>
          <cell r="HZ151" t="str">
            <v>ISO4217:USD</v>
          </cell>
          <cell r="IA151" t="b">
            <v>0</v>
          </cell>
          <cell r="IB151" t="b">
            <v>0</v>
          </cell>
        </row>
        <row r="152">
          <cell r="D152" t="str">
            <v>Revenue (Europe, Middle East, and Africa)</v>
          </cell>
          <cell r="G152" t="str">
            <v/>
          </cell>
          <cell r="H152" t="str">
            <v/>
          </cell>
          <cell r="I152" t="str">
            <v/>
          </cell>
          <cell r="J152" t="str">
            <v/>
          </cell>
          <cell r="K152" t="str">
            <v/>
          </cell>
          <cell r="L152" t="str">
            <v/>
          </cell>
          <cell r="M152" t="str">
            <v/>
          </cell>
          <cell r="HX152" t="str">
            <v>mstag:europeMiddleEastAndAfricaEmeaRevenues</v>
          </cell>
          <cell r="HY152">
            <v>6</v>
          </cell>
          <cell r="HZ152" t="str">
            <v>ISO4217:USD</v>
          </cell>
          <cell r="IA152" t="b">
            <v>0</v>
          </cell>
          <cell r="IB152" t="b">
            <v>0</v>
          </cell>
        </row>
        <row r="153">
          <cell r="E153" t="str">
            <v>Revenue (Europe)</v>
          </cell>
          <cell r="HX153" t="str">
            <v>mstag:europeRevenues</v>
          </cell>
          <cell r="HY153">
            <v>6</v>
          </cell>
          <cell r="HZ153" t="str">
            <v>ISO4217:USD</v>
          </cell>
          <cell r="IA153" t="b">
            <v>0</v>
          </cell>
          <cell r="IB153" t="b">
            <v>0</v>
          </cell>
        </row>
        <row r="154">
          <cell r="E154" t="str">
            <v>Revenue (Africa and Middle East)</v>
          </cell>
          <cell r="HX154" t="str">
            <v>mstag:africaAndMiddleEastRevenues</v>
          </cell>
          <cell r="HY154">
            <v>6</v>
          </cell>
          <cell r="HZ154" t="str">
            <v>ISO4217:USD</v>
          </cell>
          <cell r="IA154" t="b">
            <v>0</v>
          </cell>
          <cell r="IB154" t="b">
            <v>0</v>
          </cell>
        </row>
        <row r="155">
          <cell r="D155" t="str">
            <v>Revenue (Asia)</v>
          </cell>
          <cell r="G155" t="str">
            <v/>
          </cell>
          <cell r="H155" t="str">
            <v/>
          </cell>
          <cell r="I155" t="str">
            <v/>
          </cell>
          <cell r="J155" t="str">
            <v/>
          </cell>
          <cell r="K155" t="str">
            <v/>
          </cell>
          <cell r="L155" t="str">
            <v/>
          </cell>
          <cell r="M155" t="str">
            <v/>
          </cell>
          <cell r="HX155" t="str">
            <v>mstag:asiaRevenues</v>
          </cell>
          <cell r="HY155">
            <v>6</v>
          </cell>
          <cell r="HZ155" t="str">
            <v>ISO4217:USD</v>
          </cell>
          <cell r="IA155" t="b">
            <v>0</v>
          </cell>
          <cell r="IB155" t="b">
            <v>0</v>
          </cell>
        </row>
        <row r="156">
          <cell r="E156" t="str">
            <v>Revenue (Japan)</v>
          </cell>
          <cell r="HX156" t="str">
            <v>mstag:japanRevenues</v>
          </cell>
          <cell r="HY156">
            <v>6</v>
          </cell>
          <cell r="HZ156" t="str">
            <v>ISO4217:USD</v>
          </cell>
          <cell r="IA156" t="b">
            <v>0</v>
          </cell>
          <cell r="IB156" t="b">
            <v>0</v>
          </cell>
        </row>
        <row r="157">
          <cell r="E157" t="str">
            <v>Revenue (Asia ex-Japan)</v>
          </cell>
          <cell r="HX157" t="str">
            <v>mstag:nonJapanAsiaRevenues</v>
          </cell>
          <cell r="HY157">
            <v>6</v>
          </cell>
          <cell r="HZ157" t="str">
            <v>ISO4217:USD</v>
          </cell>
          <cell r="IA157" t="b">
            <v>0</v>
          </cell>
          <cell r="IB157" t="b">
            <v>0</v>
          </cell>
        </row>
        <row r="158">
          <cell r="D158" t="str">
            <v>Other revenue, region</v>
          </cell>
          <cell r="HX158" t="str">
            <v>mstag:otherRevenueRegion</v>
          </cell>
          <cell r="HY158">
            <v>6</v>
          </cell>
          <cell r="HZ158" t="str">
            <v>ISO4217:USD</v>
          </cell>
          <cell r="IA158" t="b">
            <v>0</v>
          </cell>
          <cell r="IB158" t="b">
            <v>0</v>
          </cell>
        </row>
        <row r="159">
          <cell r="D159" t="str">
            <v>Intercompany eliminations</v>
          </cell>
          <cell r="HX159" t="str">
            <v>mstag:intercompanyEliminations</v>
          </cell>
          <cell r="HY159">
            <v>6</v>
          </cell>
          <cell r="HZ159" t="str">
            <v>ISO4217:USD</v>
          </cell>
          <cell r="IA159" t="b">
            <v>0</v>
          </cell>
          <cell r="IB159" t="b">
            <v>0</v>
          </cell>
        </row>
        <row r="160">
          <cell r="C160" t="str">
            <v>Royalty, licensee income</v>
          </cell>
          <cell r="G160">
            <v>241.11199999999999</v>
          </cell>
          <cell r="H160">
            <v>229.589</v>
          </cell>
          <cell r="I160">
            <v>189.26999999999998</v>
          </cell>
          <cell r="J160">
            <v>207.24100000000001</v>
          </cell>
          <cell r="K160">
            <v>264.47500000000002</v>
          </cell>
          <cell r="L160">
            <v>365.55</v>
          </cell>
          <cell r="HX160" t="str">
            <v>mstag:royaltyLicenseeIncome</v>
          </cell>
          <cell r="HY160">
            <v>6</v>
          </cell>
          <cell r="HZ160" t="str">
            <v>ISO4217:USD</v>
          </cell>
          <cell r="IA160" t="b">
            <v>0</v>
          </cell>
          <cell r="IB160" t="b">
            <v>0</v>
          </cell>
        </row>
        <row r="161">
          <cell r="C161" t="str">
            <v>Cost of sales, with depreciation</v>
          </cell>
          <cell r="G161">
            <v>102.536</v>
          </cell>
          <cell r="H161">
            <v>138.62299999999999</v>
          </cell>
          <cell r="I161">
            <v>285.54899999999998</v>
          </cell>
          <cell r="J161">
            <v>364.89199999999994</v>
          </cell>
          <cell r="K161">
            <v>354.44200000000001</v>
          </cell>
          <cell r="L161">
            <v>441.63</v>
          </cell>
          <cell r="M161">
            <v>480.2</v>
          </cell>
          <cell r="HX161" t="str">
            <v>mstag:costOfSalesWithDepreciation</v>
          </cell>
          <cell r="HY161">
            <v>6</v>
          </cell>
          <cell r="HZ161" t="str">
            <v>ISO4217:USD</v>
          </cell>
          <cell r="IA161" t="b">
            <v>0</v>
          </cell>
          <cell r="IB161" t="b">
            <v>0</v>
          </cell>
        </row>
        <row r="162">
          <cell r="C162" t="str">
            <v>Cost of sales, without depreciation</v>
          </cell>
          <cell r="HX162" t="str">
            <v>mstag:costOfSalesWithoutDepreciation</v>
          </cell>
          <cell r="HY162">
            <v>6</v>
          </cell>
          <cell r="HZ162" t="str">
            <v>ISO4217:USD</v>
          </cell>
          <cell r="IA162" t="b">
            <v>0</v>
          </cell>
          <cell r="IB162" t="b">
            <v>0</v>
          </cell>
        </row>
        <row r="163">
          <cell r="C163" t="str">
            <v>Cost of materials</v>
          </cell>
          <cell r="HX163" t="str">
            <v>mstag:costOfMaterials</v>
          </cell>
          <cell r="HY163">
            <v>6</v>
          </cell>
          <cell r="HZ163" t="str">
            <v>ISO4217:USD</v>
          </cell>
          <cell r="IA163" t="b">
            <v>0</v>
          </cell>
          <cell r="IB163" t="b">
            <v>0</v>
          </cell>
        </row>
        <row r="164">
          <cell r="C164" t="str">
            <v>Cost of services sold</v>
          </cell>
          <cell r="HX164" t="str">
            <v>mstag:costOfServicesSold</v>
          </cell>
          <cell r="HY164">
            <v>6</v>
          </cell>
          <cell r="HZ164" t="str">
            <v>ISO4217:USD</v>
          </cell>
          <cell r="IA164" t="b">
            <v>0</v>
          </cell>
          <cell r="IB164" t="b">
            <v>0</v>
          </cell>
        </row>
        <row r="165">
          <cell r="C165" t="str">
            <v>Selling, general, and administrative expenses</v>
          </cell>
          <cell r="G165">
            <v>470.923</v>
          </cell>
          <cell r="H165">
            <v>358.93099999999998</v>
          </cell>
          <cell r="I165">
            <v>393.65700000000004</v>
          </cell>
          <cell r="J165">
            <v>368.22399999999999</v>
          </cell>
          <cell r="K165">
            <v>446.90599999999995</v>
          </cell>
          <cell r="L165">
            <v>546.27599999999995</v>
          </cell>
          <cell r="M165">
            <v>794.88499999999999</v>
          </cell>
          <cell r="HX165" t="str">
            <v>mstag:sellingGeneralAndAdministrativeExpenses</v>
          </cell>
          <cell r="HY165">
            <v>6</v>
          </cell>
          <cell r="HZ165" t="str">
            <v>ISO4217:USD</v>
          </cell>
          <cell r="IA165" t="b">
            <v>0</v>
          </cell>
          <cell r="IB165" t="b">
            <v>0</v>
          </cell>
        </row>
        <row r="166">
          <cell r="D166" t="str">
            <v>Marketing and distribution costs</v>
          </cell>
          <cell r="G166">
            <v>41.8</v>
          </cell>
          <cell r="H166">
            <v>47.7</v>
          </cell>
          <cell r="I166">
            <v>80</v>
          </cell>
          <cell r="J166">
            <v>86.5</v>
          </cell>
          <cell r="K166">
            <v>91.9</v>
          </cell>
          <cell r="L166">
            <v>111.7</v>
          </cell>
          <cell r="M166" t="str">
            <v/>
          </cell>
          <cell r="HX166" t="str">
            <v>mstag:marketingAndDistributionCosts</v>
          </cell>
          <cell r="HY166">
            <v>6</v>
          </cell>
          <cell r="HZ166" t="str">
            <v>ISO4217:USD</v>
          </cell>
          <cell r="IA166" t="b">
            <v>0</v>
          </cell>
          <cell r="IB166" t="b">
            <v>0</v>
          </cell>
        </row>
        <row r="167">
          <cell r="E167" t="str">
            <v>Advertising costs</v>
          </cell>
          <cell r="G167">
            <v>41.8</v>
          </cell>
          <cell r="H167">
            <v>47.7</v>
          </cell>
          <cell r="I167">
            <v>80</v>
          </cell>
          <cell r="J167">
            <v>86.5</v>
          </cell>
          <cell r="K167">
            <v>91.9</v>
          </cell>
          <cell r="L167">
            <v>111.7</v>
          </cell>
          <cell r="HX167" t="str">
            <v>mstag:advertisingCosts</v>
          </cell>
          <cell r="HY167">
            <v>6</v>
          </cell>
          <cell r="HZ167" t="str">
            <v>ISO4217:USD</v>
          </cell>
          <cell r="IA167" t="b">
            <v>0</v>
          </cell>
          <cell r="IB167" t="b">
            <v>0</v>
          </cell>
        </row>
        <row r="168">
          <cell r="D168" t="str">
            <v>General and administrative expenses</v>
          </cell>
          <cell r="G168">
            <v>429.12299999999999</v>
          </cell>
          <cell r="H168">
            <v>311.23099999999999</v>
          </cell>
          <cell r="I168">
            <v>313.65700000000004</v>
          </cell>
          <cell r="J168">
            <v>281.72399999999999</v>
          </cell>
          <cell r="K168">
            <v>355.00599999999997</v>
          </cell>
          <cell r="L168">
            <v>434.57599999999996</v>
          </cell>
          <cell r="HX168" t="str">
            <v>mstag:generalAndAdministrativeExpenses</v>
          </cell>
          <cell r="HY168">
            <v>6</v>
          </cell>
          <cell r="HZ168" t="str">
            <v>ISO4217:USD</v>
          </cell>
          <cell r="IA168" t="b">
            <v>0</v>
          </cell>
          <cell r="IB168" t="b">
            <v>0</v>
          </cell>
        </row>
        <row r="169">
          <cell r="C169" t="str">
            <v>Stock compensation</v>
          </cell>
          <cell r="HX169" t="str">
            <v>mstag:stockCompensation</v>
          </cell>
          <cell r="HY169">
            <v>6</v>
          </cell>
          <cell r="HZ169" t="str">
            <v>ISO4217:USD</v>
          </cell>
          <cell r="IA169" t="b">
            <v>0</v>
          </cell>
          <cell r="IB169" t="b">
            <v>0</v>
          </cell>
        </row>
        <row r="170">
          <cell r="C170" t="str">
            <v>Employee expenses</v>
          </cell>
          <cell r="HX170" t="str">
            <v>mstag:employeeExpenses</v>
          </cell>
          <cell r="HY170">
            <v>6</v>
          </cell>
          <cell r="HZ170" t="str">
            <v>ISO4217:USD</v>
          </cell>
          <cell r="IA170" t="b">
            <v>0</v>
          </cell>
          <cell r="IB170" t="b">
            <v>0</v>
          </cell>
        </row>
        <row r="171">
          <cell r="C171" t="str">
            <v>Marketing costs</v>
          </cell>
          <cell r="HX171" t="str">
            <v>mstag:marketingCosts</v>
          </cell>
          <cell r="HY171">
            <v>6</v>
          </cell>
          <cell r="HZ171" t="str">
            <v>ISO4217:USD</v>
          </cell>
          <cell r="IA171" t="b">
            <v>0</v>
          </cell>
          <cell r="IB171" t="b">
            <v>0</v>
          </cell>
        </row>
        <row r="172">
          <cell r="C172" t="str">
            <v>Research and development</v>
          </cell>
          <cell r="G172">
            <v>269.85199999999998</v>
          </cell>
          <cell r="H172">
            <v>396.18599999999998</v>
          </cell>
          <cell r="I172">
            <v>367.33799999999997</v>
          </cell>
          <cell r="J172">
            <v>489.87900000000002</v>
          </cell>
          <cell r="K172">
            <v>526.23</v>
          </cell>
          <cell r="L172">
            <v>623.48199999999997</v>
          </cell>
          <cell r="M172">
            <v>721.96299999999997</v>
          </cell>
          <cell r="HX172" t="str">
            <v>mstag:researchAndDevelopment</v>
          </cell>
          <cell r="HY172">
            <v>6</v>
          </cell>
          <cell r="HZ172" t="str">
            <v>ISO4217:USD</v>
          </cell>
          <cell r="IA172" t="b">
            <v>0</v>
          </cell>
          <cell r="IB172" t="b">
            <v>0</v>
          </cell>
        </row>
        <row r="173">
          <cell r="C173" t="str">
            <v>Acquired in-process R and D, recurring</v>
          </cell>
          <cell r="HX173" t="str">
            <v>mstag:acquiredInProcessRAndDRecurring</v>
          </cell>
          <cell r="HY173">
            <v>6</v>
          </cell>
          <cell r="HZ173" t="str">
            <v>ISO4217:USD</v>
          </cell>
          <cell r="IA173" t="b">
            <v>0</v>
          </cell>
          <cell r="IB173" t="b">
            <v>0</v>
          </cell>
        </row>
        <row r="174">
          <cell r="C174" t="str">
            <v>Acquired in-process R and D, one time</v>
          </cell>
          <cell r="G174">
            <v>0</v>
          </cell>
          <cell r="H174">
            <v>0</v>
          </cell>
          <cell r="I174">
            <v>752.5</v>
          </cell>
          <cell r="J174">
            <v>0</v>
          </cell>
          <cell r="K174">
            <v>0</v>
          </cell>
          <cell r="L174">
            <v>0</v>
          </cell>
          <cell r="M174" t="str">
            <v/>
          </cell>
          <cell r="HX174" t="str">
            <v>mstag:acquiredInProcessRAndDOneTime</v>
          </cell>
          <cell r="HY174">
            <v>6</v>
          </cell>
          <cell r="HZ174" t="str">
            <v>ISO4217:USD</v>
          </cell>
          <cell r="IA174" t="b">
            <v>0</v>
          </cell>
          <cell r="IB174" t="b">
            <v>0</v>
          </cell>
        </row>
        <row r="175">
          <cell r="D175" t="str">
            <v>Acquired in-process R and D, one time, gross of tax</v>
          </cell>
          <cell r="G175">
            <v>0</v>
          </cell>
          <cell r="H175">
            <v>0</v>
          </cell>
          <cell r="I175">
            <v>1015.875</v>
          </cell>
          <cell r="J175">
            <v>0</v>
          </cell>
          <cell r="K175">
            <v>0</v>
          </cell>
          <cell r="L175">
            <v>0</v>
          </cell>
          <cell r="HX175" t="str">
            <v>mstag:acquiredInProcessRAndDOneTimeGrossOfTax</v>
          </cell>
          <cell r="HY175">
            <v>6</v>
          </cell>
          <cell r="HZ175" t="str">
            <v>ISO4217:USD</v>
          </cell>
          <cell r="IA175" t="b">
            <v>0</v>
          </cell>
          <cell r="IB175" t="b">
            <v>0</v>
          </cell>
        </row>
        <row r="176">
          <cell r="D176" t="str">
            <v>Tax on acquired in-process R and D, one time</v>
          </cell>
          <cell r="G176">
            <v>0</v>
          </cell>
          <cell r="H176">
            <v>0</v>
          </cell>
          <cell r="I176">
            <v>263.375</v>
          </cell>
          <cell r="J176">
            <v>0</v>
          </cell>
          <cell r="K176">
            <v>0</v>
          </cell>
          <cell r="L176">
            <v>0</v>
          </cell>
          <cell r="HX176" t="str">
            <v>mstag:taxOnAcquiredInProcessRAndDOneTime</v>
          </cell>
          <cell r="HY176">
            <v>6</v>
          </cell>
          <cell r="HZ176" t="str">
            <v>ISO4217:USD</v>
          </cell>
          <cell r="IA176" t="b">
            <v>0</v>
          </cell>
          <cell r="IB176" t="b">
            <v>0</v>
          </cell>
        </row>
        <row r="177">
          <cell r="C177" t="str">
            <v>Depreciation, in income statement</v>
          </cell>
          <cell r="HX177" t="str">
            <v>mstag:depreciationInIncomeStatement</v>
          </cell>
          <cell r="HY177">
            <v>6</v>
          </cell>
          <cell r="HZ177" t="str">
            <v>ISO4217:USD</v>
          </cell>
          <cell r="IA177" t="b">
            <v>0</v>
          </cell>
          <cell r="IB177" t="b">
            <v>0</v>
          </cell>
        </row>
        <row r="178">
          <cell r="C178" t="str">
            <v>Amortization of goodwill, in income statement</v>
          </cell>
          <cell r="G178">
            <v>0</v>
          </cell>
          <cell r="H178">
            <v>0</v>
          </cell>
          <cell r="I178">
            <v>76.599999999999994</v>
          </cell>
          <cell r="J178">
            <v>153.30000000000001</v>
          </cell>
          <cell r="K178">
            <v>153.30000000000001</v>
          </cell>
          <cell r="L178">
            <v>0</v>
          </cell>
          <cell r="M178" t="str">
            <v/>
          </cell>
          <cell r="HX178" t="str">
            <v>mstag:amortizationOfGoodwillInIncomeStatement</v>
          </cell>
          <cell r="HY178">
            <v>6</v>
          </cell>
          <cell r="HZ178" t="str">
            <v>ISO4217:USD</v>
          </cell>
          <cell r="IA178" t="b">
            <v>0</v>
          </cell>
          <cell r="IB178" t="b">
            <v>0</v>
          </cell>
        </row>
        <row r="179">
          <cell r="D179" t="str">
            <v>Amortization of goodwill, operating, in income statement</v>
          </cell>
          <cell r="G179">
            <v>0</v>
          </cell>
          <cell r="H179">
            <v>0</v>
          </cell>
          <cell r="I179">
            <v>76.599999999999994</v>
          </cell>
          <cell r="J179">
            <v>153.30000000000001</v>
          </cell>
          <cell r="K179">
            <v>153.30000000000001</v>
          </cell>
          <cell r="L179">
            <v>0</v>
          </cell>
          <cell r="HX179" t="str">
            <v>mstag:amortizationOfGoodwillOperatingInIncomeStatement</v>
          </cell>
          <cell r="HY179">
            <v>6</v>
          </cell>
          <cell r="HZ179" t="str">
            <v>ISO4217:USD</v>
          </cell>
          <cell r="IA179" t="b">
            <v>0</v>
          </cell>
          <cell r="IB179" t="b">
            <v>0</v>
          </cell>
        </row>
        <row r="180">
          <cell r="D180" t="str">
            <v>Amortization of goodwill, nonoperating, in income statement</v>
          </cell>
          <cell r="HX180" t="str">
            <v>mstag:amortizationOfGoodwillNonOperatingInIncomeStatement</v>
          </cell>
          <cell r="HY180">
            <v>6</v>
          </cell>
          <cell r="HZ180" t="str">
            <v>ISO4217:USD</v>
          </cell>
          <cell r="IA180" t="b">
            <v>0</v>
          </cell>
          <cell r="IB180" t="b">
            <v>0</v>
          </cell>
        </row>
        <row r="181">
          <cell r="C181" t="str">
            <v>Amortization of intangibles assumed to have indefinite life, in income statement</v>
          </cell>
          <cell r="G181">
            <v>0</v>
          </cell>
          <cell r="H181">
            <v>0</v>
          </cell>
          <cell r="I181">
            <v>0</v>
          </cell>
          <cell r="J181">
            <v>0</v>
          </cell>
          <cell r="K181">
            <v>0</v>
          </cell>
          <cell r="L181">
            <v>0</v>
          </cell>
          <cell r="M181">
            <v>154.30000000000001</v>
          </cell>
          <cell r="HX181" t="str">
            <v>mstag:amortizationOfIntangiblesAssumedToHaveIndefiniteLifeIncomeStatement</v>
          </cell>
          <cell r="HY181">
            <v>6</v>
          </cell>
          <cell r="HZ181" t="str">
            <v>ISO4217:USD</v>
          </cell>
          <cell r="IA181" t="b">
            <v>0</v>
          </cell>
          <cell r="IB181" t="b">
            <v>0</v>
          </cell>
        </row>
        <row r="182">
          <cell r="C182" t="str">
            <v>Amortization of other intangibles, in income statement</v>
          </cell>
          <cell r="G182">
            <v>0</v>
          </cell>
          <cell r="H182">
            <v>0</v>
          </cell>
          <cell r="I182">
            <v>121.142</v>
          </cell>
          <cell r="J182">
            <v>222</v>
          </cell>
          <cell r="K182">
            <v>168.51599999999996</v>
          </cell>
          <cell r="L182">
            <v>155.71299999999999</v>
          </cell>
          <cell r="M182" t="str">
            <v/>
          </cell>
          <cell r="HX182" t="str">
            <v>mstag:amortizationOfOtherIntangiblesInIncomeStatement</v>
          </cell>
          <cell r="HY182">
            <v>6</v>
          </cell>
          <cell r="HZ182" t="str">
            <v>ISO4217:USD</v>
          </cell>
          <cell r="IA182" t="b">
            <v>0</v>
          </cell>
          <cell r="IB182" t="b">
            <v>0</v>
          </cell>
        </row>
        <row r="183">
          <cell r="D183" t="str">
            <v>Amortization of taxable other intangibles, in income statement</v>
          </cell>
          <cell r="G183">
            <v>0</v>
          </cell>
          <cell r="H183">
            <v>0</v>
          </cell>
          <cell r="I183">
            <v>121.142</v>
          </cell>
          <cell r="J183">
            <v>222</v>
          </cell>
          <cell r="K183">
            <v>168.51599999999996</v>
          </cell>
          <cell r="L183">
            <v>155.71299999999999</v>
          </cell>
          <cell r="HX183" t="str">
            <v>mstag:amortizationOfTaxableOtherIntangiblesInIncomeStatement</v>
          </cell>
          <cell r="HY183">
            <v>6</v>
          </cell>
          <cell r="HZ183" t="str">
            <v>ISO4217:USD</v>
          </cell>
          <cell r="IA183" t="b">
            <v>0</v>
          </cell>
          <cell r="IB183" t="b">
            <v>0</v>
          </cell>
        </row>
        <row r="184">
          <cell r="D184" t="str">
            <v>Amortization of nontaxable other intangibles, in income statement</v>
          </cell>
          <cell r="HX184" t="str">
            <v>mstag:amortizationOfNonTaxableOtherIntangiblesInIncomeStatement</v>
          </cell>
          <cell r="HY184">
            <v>6</v>
          </cell>
          <cell r="HZ184" t="str">
            <v>ISO4217:USD</v>
          </cell>
          <cell r="IA184" t="b">
            <v>0</v>
          </cell>
          <cell r="IB184" t="b">
            <v>0</v>
          </cell>
        </row>
        <row r="185">
          <cell r="C185" t="str">
            <v>Goodwill impairment</v>
          </cell>
          <cell r="HX185" t="str">
            <v>mstag:goodwillImpairment</v>
          </cell>
          <cell r="HY185">
            <v>6</v>
          </cell>
          <cell r="HZ185" t="str">
            <v>ISO4217:USD</v>
          </cell>
          <cell r="IA185" t="b">
            <v>0</v>
          </cell>
          <cell r="IB185" t="b">
            <v>0</v>
          </cell>
        </row>
        <row r="186">
          <cell r="C186" t="str">
            <v>Indefinite life intangible impairment</v>
          </cell>
          <cell r="HX186" t="str">
            <v>mstag:indefiniteLifeIntangibleImpairment</v>
          </cell>
          <cell r="HY186">
            <v>6</v>
          </cell>
          <cell r="HZ186" t="str">
            <v>ISO4217:USD</v>
          </cell>
          <cell r="IA186" t="b">
            <v>0</v>
          </cell>
          <cell r="IB186" t="b">
            <v>0</v>
          </cell>
        </row>
        <row r="187">
          <cell r="C187" t="str">
            <v>Asset impairment, nongoodwill, one time</v>
          </cell>
          <cell r="G187" t="str">
            <v/>
          </cell>
          <cell r="H187" t="str">
            <v/>
          </cell>
          <cell r="I187" t="str">
            <v/>
          </cell>
          <cell r="J187" t="str">
            <v/>
          </cell>
          <cell r="K187" t="str">
            <v/>
          </cell>
          <cell r="L187" t="str">
            <v/>
          </cell>
          <cell r="M187" t="str">
            <v/>
          </cell>
          <cell r="HX187" t="str">
            <v>mstag:assetImpairmentNonGoodwillOneTimeIncomeStatement</v>
          </cell>
          <cell r="HY187">
            <v>6</v>
          </cell>
          <cell r="HZ187" t="str">
            <v>ISO4217:USD</v>
          </cell>
          <cell r="IA187" t="b">
            <v>0</v>
          </cell>
          <cell r="IB187" t="b">
            <v>0</v>
          </cell>
        </row>
        <row r="188">
          <cell r="D188" t="str">
            <v>Asset impairment, nongoodwill, one time, gross of tax</v>
          </cell>
          <cell r="HX188" t="str">
            <v>mstag:assetImpairmentNonGoodwillOneTimeGrossOfTax</v>
          </cell>
          <cell r="HY188">
            <v>6</v>
          </cell>
          <cell r="HZ188" t="str">
            <v>ISO4217:USD</v>
          </cell>
          <cell r="IA188" t="b">
            <v>0</v>
          </cell>
          <cell r="IB188" t="b">
            <v>0</v>
          </cell>
        </row>
        <row r="189">
          <cell r="D189" t="str">
            <v>Tax on asset impairment, nongoodwill, one time</v>
          </cell>
          <cell r="HX189" t="str">
            <v>mstag:taxOnAssetImpairmentNonGoodwillOneTime</v>
          </cell>
          <cell r="HY189">
            <v>6</v>
          </cell>
          <cell r="HZ189" t="str">
            <v>ISO4217:USD</v>
          </cell>
          <cell r="IA189" t="b">
            <v>0</v>
          </cell>
          <cell r="IB189" t="b">
            <v>0</v>
          </cell>
        </row>
        <row r="190">
          <cell r="C190" t="str">
            <v>Other operating expense (income)</v>
          </cell>
          <cell r="G190">
            <v>0</v>
          </cell>
          <cell r="H190">
            <v>0</v>
          </cell>
          <cell r="I190">
            <v>529.47199999999998</v>
          </cell>
          <cell r="J190">
            <v>128.81200000000001</v>
          </cell>
          <cell r="K190">
            <v>246.65700000000001</v>
          </cell>
          <cell r="L190">
            <v>350.72500000000002</v>
          </cell>
          <cell r="M190">
            <v>457.53399999999999</v>
          </cell>
          <cell r="HX190" t="str">
            <v>mstag:otherOperatingExpense</v>
          </cell>
          <cell r="HY190">
            <v>6</v>
          </cell>
          <cell r="HZ190" t="str">
            <v>ISO4217:USD</v>
          </cell>
          <cell r="IA190" t="b">
            <v>0</v>
          </cell>
          <cell r="IB190" t="b">
            <v>0</v>
          </cell>
        </row>
        <row r="191">
          <cell r="C191" t="str">
            <v>Interest and dividend income</v>
          </cell>
          <cell r="G191">
            <v>69.16</v>
          </cell>
          <cell r="H191">
            <v>88.763999999999996</v>
          </cell>
          <cell r="I191">
            <v>89.433999999999997</v>
          </cell>
          <cell r="J191">
            <v>90.408000000000001</v>
          </cell>
          <cell r="K191">
            <v>130.5</v>
          </cell>
          <cell r="L191">
            <v>101.4</v>
          </cell>
          <cell r="M191">
            <v>92.845462924999993</v>
          </cell>
          <cell r="HX191" t="str">
            <v>mstag:interestAndDividendIncome</v>
          </cell>
          <cell r="HY191">
            <v>6</v>
          </cell>
          <cell r="HZ191" t="str">
            <v>ISO4217:USD</v>
          </cell>
          <cell r="IA191" t="b">
            <v>0</v>
          </cell>
          <cell r="IB191" t="b">
            <v>0</v>
          </cell>
        </row>
        <row r="192">
          <cell r="D192" t="str">
            <v>Interest income</v>
          </cell>
          <cell r="G192">
            <v>69.16</v>
          </cell>
          <cell r="H192">
            <v>88.763999999999996</v>
          </cell>
          <cell r="I192">
            <v>89.433999999999997</v>
          </cell>
          <cell r="J192">
            <v>90.408000000000001</v>
          </cell>
          <cell r="K192">
            <v>130.5</v>
          </cell>
          <cell r="L192">
            <v>101.4</v>
          </cell>
          <cell r="HX192" t="str">
            <v>mstag:interestIncome</v>
          </cell>
          <cell r="HY192">
            <v>6</v>
          </cell>
          <cell r="HZ192" t="str">
            <v>ISO4217:USD</v>
          </cell>
          <cell r="IA192" t="b">
            <v>0</v>
          </cell>
          <cell r="IB192" t="b">
            <v>0</v>
          </cell>
        </row>
        <row r="193">
          <cell r="D193" t="str">
            <v>Dividend income</v>
          </cell>
          <cell r="HX193" t="str">
            <v>mstag:dividendIncome</v>
          </cell>
          <cell r="HY193">
            <v>6</v>
          </cell>
          <cell r="HZ193" t="str">
            <v>ISO4217:USD</v>
          </cell>
          <cell r="IA193" t="b">
            <v>0</v>
          </cell>
          <cell r="IB193" t="b">
            <v>0</v>
          </cell>
        </row>
        <row r="194">
          <cell r="C194" t="str">
            <v>Interest expense</v>
          </cell>
          <cell r="G194">
            <v>3.6419999999999999</v>
          </cell>
          <cell r="H194">
            <v>4.5519999999999996</v>
          </cell>
          <cell r="I194">
            <v>5.3599999999999994</v>
          </cell>
          <cell r="J194">
            <v>5.2759999999999998</v>
          </cell>
          <cell r="K194">
            <v>5.7</v>
          </cell>
          <cell r="L194">
            <v>0.8</v>
          </cell>
          <cell r="M194" t="str">
            <v/>
          </cell>
          <cell r="HX194" t="str">
            <v>mstag:interestExpense</v>
          </cell>
          <cell r="HY194">
            <v>6</v>
          </cell>
          <cell r="HZ194" t="str">
            <v>ISO4217:USD</v>
          </cell>
          <cell r="IA194" t="b">
            <v>0</v>
          </cell>
          <cell r="IB194" t="b">
            <v>0</v>
          </cell>
        </row>
        <row r="195">
          <cell r="D195" t="str">
            <v>Interest paid or payable</v>
          </cell>
          <cell r="G195">
            <v>7.5419999999999998</v>
          </cell>
          <cell r="H195">
            <v>7.5519999999999996</v>
          </cell>
          <cell r="I195">
            <v>7.4599999999999991</v>
          </cell>
          <cell r="J195">
            <v>7.476</v>
          </cell>
          <cell r="K195">
            <v>7.5</v>
          </cell>
          <cell r="L195">
            <v>1.8</v>
          </cell>
          <cell r="HX195" t="str">
            <v>mstag:interestPaid</v>
          </cell>
          <cell r="HY195">
            <v>6</v>
          </cell>
          <cell r="HZ195" t="str">
            <v>ISO4217:USD</v>
          </cell>
          <cell r="IA195" t="b">
            <v>0</v>
          </cell>
          <cell r="IB195" t="b">
            <v>0</v>
          </cell>
        </row>
        <row r="196">
          <cell r="D196" t="str">
            <v>Interest capitalized</v>
          </cell>
          <cell r="G196">
            <v>3.9</v>
          </cell>
          <cell r="H196">
            <v>3</v>
          </cell>
          <cell r="I196">
            <v>2.1</v>
          </cell>
          <cell r="J196">
            <v>2.2000000000000002</v>
          </cell>
          <cell r="K196">
            <v>1.8</v>
          </cell>
          <cell r="L196">
            <v>1</v>
          </cell>
          <cell r="HX196" t="str">
            <v>mstag:interestCapitalized</v>
          </cell>
          <cell r="HY196">
            <v>6</v>
          </cell>
          <cell r="HZ196" t="str">
            <v>ISO4217:USD</v>
          </cell>
          <cell r="IA196" t="b">
            <v>0</v>
          </cell>
          <cell r="IB196" t="b">
            <v>0</v>
          </cell>
        </row>
        <row r="197">
          <cell r="D197" t="str">
            <v>Net interest cost, FRS 17</v>
          </cell>
          <cell r="HX197" t="str">
            <v>mstag:netInterestCostFrs17</v>
          </cell>
          <cell r="HY197">
            <v>6</v>
          </cell>
          <cell r="HZ197" t="str">
            <v>ISO4217:USD</v>
          </cell>
          <cell r="IA197" t="b">
            <v>0</v>
          </cell>
          <cell r="IB197" t="b">
            <v>0</v>
          </cell>
        </row>
        <row r="198">
          <cell r="C198" t="str">
            <v>Income (losses) from investments, nonoperating</v>
          </cell>
          <cell r="G198">
            <v>0</v>
          </cell>
          <cell r="H198">
            <v>0</v>
          </cell>
          <cell r="I198">
            <v>0</v>
          </cell>
          <cell r="J198">
            <v>0</v>
          </cell>
          <cell r="K198">
            <v>10.199999999999999</v>
          </cell>
          <cell r="L198">
            <v>7.1</v>
          </cell>
          <cell r="HX198" t="str">
            <v>mstag:incomeLossesFromInvestmentsNonOperating</v>
          </cell>
          <cell r="HY198">
            <v>6</v>
          </cell>
          <cell r="HZ198" t="str">
            <v>ISO4217:USD</v>
          </cell>
          <cell r="IA198" t="b">
            <v>0</v>
          </cell>
          <cell r="IB198" t="b">
            <v>0</v>
          </cell>
        </row>
        <row r="199">
          <cell r="C199" t="str">
            <v>Income (loss) from investments under the equity method, operating</v>
          </cell>
          <cell r="G199" t="str">
            <v/>
          </cell>
          <cell r="H199" t="str">
            <v/>
          </cell>
          <cell r="I199" t="str">
            <v/>
          </cell>
          <cell r="J199" t="str">
            <v/>
          </cell>
          <cell r="K199" t="str">
            <v/>
          </cell>
          <cell r="L199" t="str">
            <v/>
          </cell>
          <cell r="M199" t="str">
            <v/>
          </cell>
          <cell r="HX199" t="str">
            <v>mstag:incomeLossFromInvestmentsAccountedForUnderTheEquityMethodOperatingIncomeStatement</v>
          </cell>
          <cell r="HY199">
            <v>6</v>
          </cell>
          <cell r="HZ199" t="str">
            <v>ISO4217:USD</v>
          </cell>
          <cell r="IA199" t="b">
            <v>0</v>
          </cell>
          <cell r="IB199" t="b">
            <v>0</v>
          </cell>
        </row>
        <row r="200">
          <cell r="D200" t="str">
            <v>Share of associate company's or joint venture's operating profit, pre-goodwill, pretax, and preinterest</v>
          </cell>
          <cell r="HX200" t="str">
            <v>mstag:shareOfAssociateCompanysOrJointVenturesOperatingProfitPreGoodwillPreTaxAndPreInterest</v>
          </cell>
          <cell r="HY200">
            <v>6</v>
          </cell>
          <cell r="HZ200" t="str">
            <v>ISO4217:USD</v>
          </cell>
          <cell r="IA200" t="b">
            <v>0</v>
          </cell>
          <cell r="IB200" t="b">
            <v>0</v>
          </cell>
        </row>
        <row r="201">
          <cell r="D201" t="str">
            <v>Share of associate company's or joint venture's operating profit, post-goodwill, pretax, and preinterest</v>
          </cell>
          <cell r="HX201" t="str">
            <v>mstag:shareOfAssociateCompanysOrJointVenturesOperatingProfitPostGoodwillPreTaxAndPreInterest</v>
          </cell>
          <cell r="HY201">
            <v>6</v>
          </cell>
          <cell r="HZ201" t="str">
            <v>ISO4217:USD</v>
          </cell>
          <cell r="IA201" t="b">
            <v>0</v>
          </cell>
          <cell r="IB201" t="b">
            <v>0</v>
          </cell>
        </row>
        <row r="202">
          <cell r="D202" t="str">
            <v>Share of associate company's or joint venture's amortization of goodwill</v>
          </cell>
          <cell r="HX202" t="str">
            <v>mstag:shareOfAssociateAmortizationOfGoodwill</v>
          </cell>
          <cell r="HY202">
            <v>6</v>
          </cell>
          <cell r="HZ202" t="str">
            <v>ISO4217:USD</v>
          </cell>
          <cell r="IA202" t="b">
            <v>0</v>
          </cell>
          <cell r="IB202" t="b">
            <v>0</v>
          </cell>
        </row>
        <row r="203">
          <cell r="D203" t="str">
            <v>Share of associate company's or joint venture's interest expense</v>
          </cell>
          <cell r="HX203" t="str">
            <v>mstag:jointVentureInterestExpense</v>
          </cell>
          <cell r="HY203">
            <v>6</v>
          </cell>
          <cell r="HZ203" t="str">
            <v>ISO4217:USD</v>
          </cell>
          <cell r="IA203" t="b">
            <v>0</v>
          </cell>
          <cell r="IB203" t="b">
            <v>0</v>
          </cell>
        </row>
        <row r="204">
          <cell r="D204" t="str">
            <v>Share of associate company's or joint venture's tax</v>
          </cell>
          <cell r="HX204" t="str">
            <v>mstag:shareOfAssociateCompanysOrJointVenturesTax</v>
          </cell>
          <cell r="HY204">
            <v>6</v>
          </cell>
          <cell r="HZ204" t="str">
            <v>ISO4217:USD</v>
          </cell>
          <cell r="IA204" t="b">
            <v>0</v>
          </cell>
          <cell r="IB204" t="b">
            <v>0</v>
          </cell>
        </row>
        <row r="205">
          <cell r="D205" t="str">
            <v>Other associate company or joint venture net income</v>
          </cell>
          <cell r="HX205" t="str">
            <v>mstag:otherJointVenureNetIncome</v>
          </cell>
          <cell r="HY205">
            <v>6</v>
          </cell>
          <cell r="HZ205" t="str">
            <v>ISO4217:USD</v>
          </cell>
          <cell r="IA205" t="b">
            <v>0</v>
          </cell>
          <cell r="IB205" t="b">
            <v>0</v>
          </cell>
        </row>
        <row r="206">
          <cell r="C206" t="str">
            <v>Income (loss) from investments under the equity method, operating, pretax</v>
          </cell>
          <cell r="HX206" t="str">
            <v>mstag:incomeLossFromInvestmentsUnderTheEquityMethodOperatingPreTax</v>
          </cell>
          <cell r="HY206">
            <v>6</v>
          </cell>
          <cell r="HZ206" t="str">
            <v>ISO4217:USD</v>
          </cell>
          <cell r="IA206" t="b">
            <v>0</v>
          </cell>
          <cell r="IB206" t="b">
            <v>0</v>
          </cell>
        </row>
        <row r="207">
          <cell r="C207" t="str">
            <v>Income (loss) from investments under the equity method, nonoperating</v>
          </cell>
          <cell r="HX207" t="str">
            <v>mstag:incomeLossFromInvestmentsAccountedForUnderTheEquityMethodNonOperatingIncomeStatement</v>
          </cell>
          <cell r="HY207">
            <v>6</v>
          </cell>
          <cell r="HZ207" t="str">
            <v>ISO4217:USD</v>
          </cell>
          <cell r="IA207" t="b">
            <v>0</v>
          </cell>
          <cell r="IB207" t="b">
            <v>0</v>
          </cell>
        </row>
        <row r="208">
          <cell r="C208" t="str">
            <v>Income (loss) from investments under the equity method, nonoperating, pretax</v>
          </cell>
          <cell r="HX208" t="str">
            <v>mstag:incomeLossFromInvestmentsUnderTheEquityMethodNonOperatingPreTax</v>
          </cell>
          <cell r="HY208">
            <v>6</v>
          </cell>
          <cell r="HZ208" t="str">
            <v>ISO4217:USD</v>
          </cell>
          <cell r="IA208" t="b">
            <v>0</v>
          </cell>
          <cell r="IB208" t="b">
            <v>0</v>
          </cell>
        </row>
        <row r="209">
          <cell r="C209" t="str">
            <v>Gains (losses) from sale of PPE and intangibles, recurring</v>
          </cell>
          <cell r="HX209" t="str">
            <v>mstag:gainsLossesFromSaleOfOperatingAssetsRecurringIncomeStatement</v>
          </cell>
          <cell r="HY209">
            <v>6</v>
          </cell>
          <cell r="HZ209" t="str">
            <v>ISO4217:USD</v>
          </cell>
          <cell r="IA209" t="b">
            <v>0</v>
          </cell>
          <cell r="IB209" t="b">
            <v>0</v>
          </cell>
        </row>
        <row r="210">
          <cell r="C210" t="str">
            <v>Gains (losses) from sale of PPE and intangibles, one time</v>
          </cell>
          <cell r="G210" t="str">
            <v/>
          </cell>
          <cell r="H210" t="str">
            <v/>
          </cell>
          <cell r="I210" t="str">
            <v/>
          </cell>
          <cell r="J210" t="str">
            <v/>
          </cell>
          <cell r="K210" t="str">
            <v/>
          </cell>
          <cell r="L210" t="str">
            <v/>
          </cell>
          <cell r="M210" t="str">
            <v/>
          </cell>
          <cell r="HX210" t="str">
            <v>mstag:gainsLossesFromSaleOfOperatingAssetsOneTimeIncomeStatement</v>
          </cell>
          <cell r="HY210">
            <v>6</v>
          </cell>
          <cell r="HZ210" t="str">
            <v>ISO4217:USD</v>
          </cell>
          <cell r="IA210" t="b">
            <v>0</v>
          </cell>
          <cell r="IB210" t="b">
            <v>0</v>
          </cell>
        </row>
        <row r="211">
          <cell r="D211" t="str">
            <v>Gains (losses) from sale of PPE and intangibles, one time, gross of tax</v>
          </cell>
          <cell r="HX211" t="str">
            <v>mstag:gainsLossesFromSaleOfOperatingAssetsOneTimeGrossOfTax</v>
          </cell>
          <cell r="HY211">
            <v>6</v>
          </cell>
          <cell r="HZ211" t="str">
            <v>ISO4217:USD</v>
          </cell>
          <cell r="IA211" t="b">
            <v>0</v>
          </cell>
          <cell r="IB211" t="b">
            <v>0</v>
          </cell>
        </row>
        <row r="212">
          <cell r="D212" t="str">
            <v>Tax on gains (losses) from sale of PPE and intangibles, one time</v>
          </cell>
          <cell r="HX212" t="str">
            <v>mstag:taxOnGainsLossesFromSaleOfOperatingAssetsOneTime</v>
          </cell>
          <cell r="HY212">
            <v>6</v>
          </cell>
          <cell r="HZ212" t="str">
            <v>ISO4217:USD</v>
          </cell>
          <cell r="IA212" t="b">
            <v>0</v>
          </cell>
          <cell r="IB212" t="b">
            <v>0</v>
          </cell>
        </row>
        <row r="213">
          <cell r="C213" t="str">
            <v>Net monetary gains (losses) from inflationary accounting</v>
          </cell>
          <cell r="HX213" t="str">
            <v>mstag:netMonetaryGainsLossesFromInflationaryAccounting</v>
          </cell>
          <cell r="HY213">
            <v>6</v>
          </cell>
          <cell r="HZ213" t="str">
            <v>ISO4217:USD</v>
          </cell>
          <cell r="IA213" t="b">
            <v>0</v>
          </cell>
          <cell r="IB213" t="b">
            <v>0</v>
          </cell>
        </row>
        <row r="214">
          <cell r="C214" t="str">
            <v>Gain (loss) on redemption and extinguishment of debt</v>
          </cell>
          <cell r="HX214" t="str">
            <v>mstag:gainLossOnRedemptionAndExtinguishmentOfDebt</v>
          </cell>
          <cell r="HY214">
            <v>6</v>
          </cell>
          <cell r="HZ214" t="str">
            <v>ISO4217:USD</v>
          </cell>
          <cell r="IA214" t="b">
            <v>0</v>
          </cell>
          <cell r="IB214" t="b">
            <v>0</v>
          </cell>
        </row>
        <row r="215">
          <cell r="C215" t="str">
            <v>Foreign currency exchange gains (losses)</v>
          </cell>
          <cell r="G215" t="str">
            <v/>
          </cell>
          <cell r="H215" t="str">
            <v/>
          </cell>
          <cell r="I215" t="str">
            <v/>
          </cell>
          <cell r="J215" t="str">
            <v/>
          </cell>
          <cell r="K215" t="str">
            <v/>
          </cell>
          <cell r="L215" t="str">
            <v/>
          </cell>
          <cell r="M215" t="str">
            <v/>
          </cell>
          <cell r="HX215" t="str">
            <v>mstag:foreignCurrencyExchangeGainsLosses</v>
          </cell>
          <cell r="HY215">
            <v>6</v>
          </cell>
          <cell r="HZ215" t="str">
            <v>ISO4217:USD</v>
          </cell>
          <cell r="IA215" t="b">
            <v>0</v>
          </cell>
          <cell r="IB215" t="b">
            <v>0</v>
          </cell>
        </row>
        <row r="216">
          <cell r="D216" t="str">
            <v>Foreign currency exchange gains (losses), operating</v>
          </cell>
          <cell r="G216" t="str">
            <v/>
          </cell>
          <cell r="H216" t="str">
            <v/>
          </cell>
          <cell r="I216" t="str">
            <v/>
          </cell>
          <cell r="J216" t="str">
            <v/>
          </cell>
          <cell r="K216" t="str">
            <v/>
          </cell>
          <cell r="L216" t="str">
            <v/>
          </cell>
          <cell r="M216" t="str">
            <v/>
          </cell>
          <cell r="HX216" t="str">
            <v>mstag:foreignCurrencyExchangeGainsLossesOperating</v>
          </cell>
          <cell r="HY216">
            <v>6</v>
          </cell>
          <cell r="HZ216" t="str">
            <v>ISO4217:USD</v>
          </cell>
          <cell r="IA216" t="b">
            <v>0</v>
          </cell>
          <cell r="IB216" t="b">
            <v>0</v>
          </cell>
        </row>
        <row r="217">
          <cell r="E217" t="str">
            <v>Realized foreign currency exchange gains (losses) in net operating assets</v>
          </cell>
          <cell r="HX217" t="str">
            <v>mstag:realizedForeignCurrencyExchangeGainsLossesInNetOperatingAssets</v>
          </cell>
          <cell r="HY217">
            <v>6</v>
          </cell>
          <cell r="HZ217" t="str">
            <v>ISO4217:USD</v>
          </cell>
          <cell r="IA217" t="b">
            <v>0</v>
          </cell>
          <cell r="IB217" t="b">
            <v>0</v>
          </cell>
        </row>
        <row r="218">
          <cell r="E218" t="str">
            <v>Unrealized foreign currency exchange gains (losses) in net operating assets</v>
          </cell>
          <cell r="HX218" t="str">
            <v>mstag:unrealizedForeignCurrencyExchangeGainsLossesInNetOperatingAssets</v>
          </cell>
          <cell r="HY218">
            <v>6</v>
          </cell>
          <cell r="HZ218" t="str">
            <v>ISO4217:USD</v>
          </cell>
          <cell r="IA218" t="b">
            <v>0</v>
          </cell>
          <cell r="IB218" t="b">
            <v>0</v>
          </cell>
        </row>
        <row r="219">
          <cell r="D219" t="str">
            <v>Foreign currency exchange gains (losses), financing</v>
          </cell>
          <cell r="G219" t="str">
            <v/>
          </cell>
          <cell r="H219" t="str">
            <v/>
          </cell>
          <cell r="I219" t="str">
            <v/>
          </cell>
          <cell r="J219" t="str">
            <v/>
          </cell>
          <cell r="K219" t="str">
            <v/>
          </cell>
          <cell r="L219" t="str">
            <v/>
          </cell>
          <cell r="M219" t="str">
            <v/>
          </cell>
          <cell r="HX219" t="str">
            <v>mstag:foreignCurrencyExchangeGainsLossesFinancing</v>
          </cell>
          <cell r="HY219">
            <v>6</v>
          </cell>
          <cell r="HZ219" t="str">
            <v>ISO4217:USD</v>
          </cell>
          <cell r="IA219" t="b">
            <v>0</v>
          </cell>
          <cell r="IB219" t="b">
            <v>0</v>
          </cell>
        </row>
        <row r="220">
          <cell r="E220" t="str">
            <v>Realized foreign currency exchange gains (losses) in net financing obligations</v>
          </cell>
          <cell r="HX220" t="str">
            <v>mstag:realizedForeignCurrencyExchangeGainsLossesInNetFinancingObligations</v>
          </cell>
          <cell r="HY220">
            <v>6</v>
          </cell>
          <cell r="HZ220" t="str">
            <v>ISO4217:USD</v>
          </cell>
          <cell r="IA220" t="b">
            <v>0</v>
          </cell>
          <cell r="IB220" t="b">
            <v>0</v>
          </cell>
        </row>
        <row r="221">
          <cell r="E221" t="str">
            <v>Unrealized foreign currency exchange gains (losses) in net financing obligations</v>
          </cell>
          <cell r="HX221" t="str">
            <v>mstag:unrealizedForeignCurrencyExchangeGainsLossesInNetFinancingObligations</v>
          </cell>
          <cell r="HY221">
            <v>6</v>
          </cell>
          <cell r="HZ221" t="str">
            <v>ISO4217:USD</v>
          </cell>
          <cell r="IA221" t="b">
            <v>0</v>
          </cell>
          <cell r="IB221" t="b">
            <v>0</v>
          </cell>
        </row>
        <row r="222">
          <cell r="C222" t="str">
            <v>Restructuring costs, recurring</v>
          </cell>
          <cell r="HX222" t="str">
            <v>mstag:restructuringCostsRecurring</v>
          </cell>
          <cell r="HY222">
            <v>6</v>
          </cell>
          <cell r="HZ222" t="str">
            <v>ISO4217:USD</v>
          </cell>
          <cell r="IA222" t="b">
            <v>0</v>
          </cell>
          <cell r="IB222" t="b">
            <v>0</v>
          </cell>
        </row>
        <row r="223">
          <cell r="C223" t="str">
            <v>Restructuring costs, one time</v>
          </cell>
          <cell r="G223" t="str">
            <v/>
          </cell>
          <cell r="H223" t="str">
            <v/>
          </cell>
          <cell r="I223" t="str">
            <v/>
          </cell>
          <cell r="J223" t="str">
            <v/>
          </cell>
          <cell r="K223" t="str">
            <v/>
          </cell>
          <cell r="L223" t="str">
            <v/>
          </cell>
          <cell r="M223" t="str">
            <v/>
          </cell>
          <cell r="HX223" t="str">
            <v>mstag:restructuringCostsOneTime</v>
          </cell>
          <cell r="HY223">
            <v>6</v>
          </cell>
          <cell r="HZ223" t="str">
            <v>ISO4217:USD</v>
          </cell>
          <cell r="IA223" t="b">
            <v>0</v>
          </cell>
          <cell r="IB223" t="b">
            <v>0</v>
          </cell>
        </row>
        <row r="224">
          <cell r="D224" t="str">
            <v>Restructuring costs, one time, gross of tax</v>
          </cell>
          <cell r="HX224" t="str">
            <v>mstag:restructuringCostsOneTimeGrossOfTax</v>
          </cell>
          <cell r="HY224">
            <v>6</v>
          </cell>
          <cell r="HZ224" t="str">
            <v>ISO4217:USD</v>
          </cell>
          <cell r="IA224" t="b">
            <v>0</v>
          </cell>
          <cell r="IB224" t="b">
            <v>0</v>
          </cell>
        </row>
        <row r="225">
          <cell r="D225" t="str">
            <v>Tax on restructuring costs, one time</v>
          </cell>
          <cell r="HX225" t="str">
            <v>mstag:taxOnRestructuringCostsOneTime</v>
          </cell>
          <cell r="HY225">
            <v>6</v>
          </cell>
          <cell r="HZ225" t="str">
            <v>ISO4217:USD</v>
          </cell>
          <cell r="IA225" t="b">
            <v>0</v>
          </cell>
          <cell r="IB225" t="b">
            <v>0</v>
          </cell>
        </row>
        <row r="226">
          <cell r="C226" t="str">
            <v>Legal provision, recurring</v>
          </cell>
          <cell r="HX226" t="str">
            <v>mstag:legalProvisionRecurring</v>
          </cell>
          <cell r="HY226">
            <v>6</v>
          </cell>
          <cell r="HZ226" t="str">
            <v>ISO4217:USD</v>
          </cell>
          <cell r="IA226" t="b">
            <v>0</v>
          </cell>
          <cell r="IB226" t="b">
            <v>0</v>
          </cell>
        </row>
        <row r="227">
          <cell r="C227" t="str">
            <v>Legal provision, one time</v>
          </cell>
          <cell r="G227" t="str">
            <v/>
          </cell>
          <cell r="H227" t="str">
            <v/>
          </cell>
          <cell r="I227" t="str">
            <v/>
          </cell>
          <cell r="J227" t="str">
            <v/>
          </cell>
          <cell r="K227" t="str">
            <v/>
          </cell>
          <cell r="L227" t="str">
            <v/>
          </cell>
          <cell r="M227" t="str">
            <v/>
          </cell>
          <cell r="HX227" t="str">
            <v>mstag:legalProvisionOneTime</v>
          </cell>
          <cell r="HY227">
            <v>6</v>
          </cell>
          <cell r="HZ227" t="str">
            <v>ISO4217:USD</v>
          </cell>
          <cell r="IA227" t="b">
            <v>0</v>
          </cell>
          <cell r="IB227" t="b">
            <v>0</v>
          </cell>
        </row>
        <row r="228">
          <cell r="D228" t="str">
            <v>Legal provision, one time, gross of tax</v>
          </cell>
          <cell r="HX228" t="str">
            <v>mstag:legalProvisionOneTimeGrossOfTax</v>
          </cell>
          <cell r="HY228">
            <v>6</v>
          </cell>
          <cell r="HZ228" t="str">
            <v>ISO4217:USD</v>
          </cell>
          <cell r="IA228" t="b">
            <v>0</v>
          </cell>
          <cell r="IB228" t="b">
            <v>0</v>
          </cell>
        </row>
        <row r="229">
          <cell r="D229" t="str">
            <v>Tax on legal provision, one time</v>
          </cell>
          <cell r="HX229" t="str">
            <v>mstag:taxOnLegalProvisionOneTime</v>
          </cell>
          <cell r="HY229">
            <v>6</v>
          </cell>
          <cell r="HZ229" t="str">
            <v>ISO4217:USD</v>
          </cell>
          <cell r="IA229" t="b">
            <v>0</v>
          </cell>
          <cell r="IB229" t="b">
            <v>0</v>
          </cell>
        </row>
        <row r="230">
          <cell r="C230" t="str">
            <v>Environmental provision, recurring</v>
          </cell>
          <cell r="HX230" t="str">
            <v>mstag:environmentalProvisionRecurring</v>
          </cell>
          <cell r="HY230">
            <v>6</v>
          </cell>
          <cell r="HZ230" t="str">
            <v>ISO4217:USD</v>
          </cell>
          <cell r="IA230" t="b">
            <v>0</v>
          </cell>
          <cell r="IB230" t="b">
            <v>0</v>
          </cell>
        </row>
        <row r="231">
          <cell r="C231" t="str">
            <v>Environmental provision, one time</v>
          </cell>
          <cell r="G231" t="str">
            <v/>
          </cell>
          <cell r="H231" t="str">
            <v/>
          </cell>
          <cell r="I231" t="str">
            <v/>
          </cell>
          <cell r="J231" t="str">
            <v/>
          </cell>
          <cell r="K231" t="str">
            <v/>
          </cell>
          <cell r="L231" t="str">
            <v/>
          </cell>
          <cell r="M231" t="str">
            <v/>
          </cell>
          <cell r="HX231" t="str">
            <v>mstag:environmentalProvisionOneTime</v>
          </cell>
          <cell r="HY231">
            <v>6</v>
          </cell>
          <cell r="HZ231" t="str">
            <v>ISO4217:USD</v>
          </cell>
          <cell r="IA231" t="b">
            <v>0</v>
          </cell>
          <cell r="IB231" t="b">
            <v>0</v>
          </cell>
        </row>
        <row r="232">
          <cell r="D232" t="str">
            <v>Environmental provision, one time, gross of tax</v>
          </cell>
          <cell r="HX232" t="str">
            <v>mstag:environmentalProvisionOneTimeGrossOfTax</v>
          </cell>
          <cell r="HY232">
            <v>6</v>
          </cell>
          <cell r="HZ232" t="str">
            <v>ISO4217:USD</v>
          </cell>
          <cell r="IA232" t="b">
            <v>0</v>
          </cell>
          <cell r="IB232" t="b">
            <v>0</v>
          </cell>
        </row>
        <row r="233">
          <cell r="D233" t="str">
            <v>Tax on environmental provision, one time</v>
          </cell>
          <cell r="HX233" t="str">
            <v>mstag:taxOnEnvironmentalProvisionOneTime</v>
          </cell>
          <cell r="HY233">
            <v>6</v>
          </cell>
          <cell r="HZ233" t="str">
            <v>ISO4217:USD</v>
          </cell>
          <cell r="IA233" t="b">
            <v>0</v>
          </cell>
          <cell r="IB233" t="b">
            <v>0</v>
          </cell>
        </row>
        <row r="234">
          <cell r="C234" t="str">
            <v>Other provisions, recurring</v>
          </cell>
          <cell r="HX234" t="str">
            <v>mstag:otherProvisionsRecurring</v>
          </cell>
          <cell r="HY234">
            <v>6</v>
          </cell>
          <cell r="HZ234" t="str">
            <v>ISO4217:USD</v>
          </cell>
          <cell r="IA234" t="b">
            <v>0</v>
          </cell>
          <cell r="IB234" t="b">
            <v>0</v>
          </cell>
        </row>
        <row r="235">
          <cell r="C235" t="str">
            <v>Other provisions, one time</v>
          </cell>
          <cell r="G235">
            <v>0</v>
          </cell>
          <cell r="H235">
            <v>0</v>
          </cell>
          <cell r="I235">
            <v>0</v>
          </cell>
          <cell r="J235">
            <v>0</v>
          </cell>
          <cell r="K235">
            <v>0</v>
          </cell>
          <cell r="L235">
            <v>0</v>
          </cell>
          <cell r="M235">
            <v>-129.1</v>
          </cell>
          <cell r="HX235" t="str">
            <v>mstag:otherProvisionsOneTime</v>
          </cell>
          <cell r="HY235">
            <v>6</v>
          </cell>
          <cell r="HZ235" t="str">
            <v>ISO4217:USD</v>
          </cell>
          <cell r="IA235" t="b">
            <v>0</v>
          </cell>
          <cell r="IB235" t="b">
            <v>0</v>
          </cell>
        </row>
        <row r="236">
          <cell r="D236" t="str">
            <v>Other provisions, one time, gross of tax</v>
          </cell>
          <cell r="G236">
            <v>0</v>
          </cell>
          <cell r="H236">
            <v>0</v>
          </cell>
          <cell r="I236">
            <v>0</v>
          </cell>
          <cell r="J236">
            <v>0</v>
          </cell>
          <cell r="K236">
            <v>0</v>
          </cell>
          <cell r="L236">
            <v>0</v>
          </cell>
          <cell r="M236">
            <v>-115.8</v>
          </cell>
          <cell r="HX236" t="str">
            <v>mstag:otherProvisionsOneTimeGrossOfTax</v>
          </cell>
          <cell r="HY236">
            <v>6</v>
          </cell>
          <cell r="HZ236" t="str">
            <v>ISO4217:USD</v>
          </cell>
          <cell r="IA236" t="b">
            <v>0</v>
          </cell>
          <cell r="IB236" t="b">
            <v>0</v>
          </cell>
        </row>
        <row r="237">
          <cell r="D237" t="str">
            <v>Tax on other provisions, one time</v>
          </cell>
          <cell r="G237">
            <v>0</v>
          </cell>
          <cell r="H237">
            <v>0</v>
          </cell>
          <cell r="I237">
            <v>0</v>
          </cell>
          <cell r="J237">
            <v>0</v>
          </cell>
          <cell r="K237">
            <v>0</v>
          </cell>
          <cell r="L237">
            <v>0</v>
          </cell>
          <cell r="M237">
            <v>13.3</v>
          </cell>
          <cell r="HX237" t="str">
            <v>mstag:taxOnOtherProvisionsOneTime</v>
          </cell>
          <cell r="HY237">
            <v>6</v>
          </cell>
          <cell r="HZ237" t="str">
            <v>ISO4217:USD</v>
          </cell>
          <cell r="IA237" t="b">
            <v>0</v>
          </cell>
          <cell r="IB237" t="b">
            <v>0</v>
          </cell>
        </row>
        <row r="238">
          <cell r="C238" t="str">
            <v>Pension settlement and curtailment gains (losses), one time</v>
          </cell>
          <cell r="G238" t="str">
            <v/>
          </cell>
          <cell r="H238" t="str">
            <v/>
          </cell>
          <cell r="I238" t="str">
            <v/>
          </cell>
          <cell r="J238" t="str">
            <v/>
          </cell>
          <cell r="K238" t="str">
            <v/>
          </cell>
          <cell r="L238" t="str">
            <v/>
          </cell>
          <cell r="M238" t="str">
            <v/>
          </cell>
          <cell r="HX238" t="str">
            <v>mstag:pensionSettlementAndCurtailmentGainsLossesOneTime</v>
          </cell>
          <cell r="HY238">
            <v>6</v>
          </cell>
          <cell r="HZ238" t="str">
            <v>ISO4217:USD</v>
          </cell>
          <cell r="IA238" t="b">
            <v>0</v>
          </cell>
          <cell r="IB238" t="b">
            <v>0</v>
          </cell>
        </row>
        <row r="239">
          <cell r="D239" t="str">
            <v>Daiko Henjo: special settlement gain (loss) (Japan)</v>
          </cell>
          <cell r="HX239" t="str">
            <v>mstag:daikoHenjoSpecialSettlementGainLossJapan</v>
          </cell>
          <cell r="HY239">
            <v>6</v>
          </cell>
          <cell r="HZ239" t="str">
            <v>ISO4217:USD</v>
          </cell>
          <cell r="IA239" t="b">
            <v>0</v>
          </cell>
          <cell r="IB239" t="b">
            <v>0</v>
          </cell>
        </row>
        <row r="240">
          <cell r="D240" t="str">
            <v>Other pension settlement and curtailment gains (losses), one time</v>
          </cell>
          <cell r="HX240" t="str">
            <v>mstag:otherPensionSettlementAndCurtailmentGainsLossesOneTime</v>
          </cell>
          <cell r="HY240">
            <v>6</v>
          </cell>
          <cell r="HZ240" t="str">
            <v>ISO4217:USD</v>
          </cell>
          <cell r="IA240" t="b">
            <v>0</v>
          </cell>
          <cell r="IB240" t="b">
            <v>0</v>
          </cell>
        </row>
        <row r="241">
          <cell r="C241" t="str">
            <v>Other nonoperating income (expense)</v>
          </cell>
          <cell r="G241">
            <v>0</v>
          </cell>
          <cell r="H241">
            <v>0</v>
          </cell>
          <cell r="I241">
            <v>-230.00800000000001</v>
          </cell>
          <cell r="J241">
            <v>0</v>
          </cell>
          <cell r="K241">
            <v>0</v>
          </cell>
          <cell r="L241">
            <v>-543.90499999999997</v>
          </cell>
          <cell r="HX241" t="str">
            <v>mstag:otherNonOperatingIncomeExpense</v>
          </cell>
          <cell r="HY241">
            <v>6</v>
          </cell>
          <cell r="HZ241" t="str">
            <v>ISO4217:USD</v>
          </cell>
          <cell r="IA241" t="b">
            <v>0</v>
          </cell>
          <cell r="IB241" t="b">
            <v>0</v>
          </cell>
        </row>
        <row r="242">
          <cell r="C242" t="str">
            <v>Tax expense (income)</v>
          </cell>
          <cell r="G242">
            <v>40.750999999999998</v>
          </cell>
          <cell r="H242">
            <v>70.74199999999999</v>
          </cell>
          <cell r="I242">
            <v>-203.10899999999998</v>
          </cell>
          <cell r="J242">
            <v>20.413999999999987</v>
          </cell>
          <cell r="K242">
            <v>127.11199999999999</v>
          </cell>
          <cell r="L242">
            <v>-34.038000000000011</v>
          </cell>
          <cell r="M242">
            <v>303.69799999999998</v>
          </cell>
          <cell r="HX242" t="str">
            <v>mstag:taxExpenseIncome</v>
          </cell>
          <cell r="HY242">
            <v>6</v>
          </cell>
          <cell r="HZ242" t="str">
            <v>ISO4217:USD</v>
          </cell>
          <cell r="IA242" t="b">
            <v>0</v>
          </cell>
          <cell r="IB242" t="b">
            <v>0</v>
          </cell>
        </row>
        <row r="243">
          <cell r="D243" t="str">
            <v>Current income tax expense</v>
          </cell>
          <cell r="G243">
            <v>31.050999999999998</v>
          </cell>
          <cell r="H243">
            <v>40.948999999999998</v>
          </cell>
          <cell r="I243">
            <v>-38.971000000000004</v>
          </cell>
          <cell r="J243">
            <v>217.196</v>
          </cell>
          <cell r="K243">
            <v>97.754999999999995</v>
          </cell>
          <cell r="L243">
            <v>162.60599999999999</v>
          </cell>
          <cell r="HX243" t="str">
            <v>mstag:currentIncomeTax</v>
          </cell>
          <cell r="HY243">
            <v>6</v>
          </cell>
          <cell r="HZ243" t="str">
            <v>ISO4217:USD</v>
          </cell>
          <cell r="IA243" t="b">
            <v>0</v>
          </cell>
          <cell r="IB243" t="b">
            <v>0</v>
          </cell>
        </row>
        <row r="244">
          <cell r="D244" t="str">
            <v>Deferred income tax expense</v>
          </cell>
          <cell r="G244">
            <v>9.6999999999999993</v>
          </cell>
          <cell r="H244">
            <v>29.792999999999999</v>
          </cell>
          <cell r="I244">
            <v>-164.13799999999998</v>
          </cell>
          <cell r="J244">
            <v>-196.78200000000001</v>
          </cell>
          <cell r="K244">
            <v>29.356999999999999</v>
          </cell>
          <cell r="L244">
            <v>-196.64400000000001</v>
          </cell>
          <cell r="M244" t="str">
            <v/>
          </cell>
          <cell r="HX244" t="str">
            <v>mstag:deferredIncomeTax</v>
          </cell>
          <cell r="HY244">
            <v>6</v>
          </cell>
          <cell r="HZ244" t="str">
            <v>ISO4217:USD</v>
          </cell>
          <cell r="IA244" t="b">
            <v>0</v>
          </cell>
          <cell r="IB244" t="b">
            <v>0</v>
          </cell>
        </row>
        <row r="245">
          <cell r="E245" t="str">
            <v>Deferred income tax expense, benefit for NOLs</v>
          </cell>
          <cell r="HX245" t="str">
            <v>mstag:deferredIncomeTaxBenefitForNols</v>
          </cell>
          <cell r="HY245">
            <v>6</v>
          </cell>
          <cell r="HZ245" t="str">
            <v>ISO4217:USD</v>
          </cell>
          <cell r="IA245" t="b">
            <v>0</v>
          </cell>
          <cell r="IB245" t="b">
            <v>0</v>
          </cell>
        </row>
        <row r="246">
          <cell r="E246" t="str">
            <v>Other deferred income tax expense</v>
          </cell>
          <cell r="G246">
            <v>9.6999999999999993</v>
          </cell>
          <cell r="H246">
            <v>29.792999999999999</v>
          </cell>
          <cell r="I246">
            <v>-164.13799999999998</v>
          </cell>
          <cell r="J246">
            <v>-196.78200000000001</v>
          </cell>
          <cell r="K246">
            <v>29.356999999999999</v>
          </cell>
          <cell r="L246">
            <v>-196.64400000000001</v>
          </cell>
          <cell r="HX246" t="str">
            <v>mstag:otherDeferredIncomeTax</v>
          </cell>
          <cell r="HY246">
            <v>6</v>
          </cell>
          <cell r="HZ246" t="str">
            <v>ISO4217:USD</v>
          </cell>
          <cell r="IA246" t="b">
            <v>0</v>
          </cell>
          <cell r="IB246" t="b">
            <v>0</v>
          </cell>
        </row>
        <row r="247">
          <cell r="C247" t="str">
            <v>Minority interests in net income</v>
          </cell>
          <cell r="HX247" t="str">
            <v>mstag:minorityInterestsInNetIncome</v>
          </cell>
          <cell r="HY247">
            <v>6</v>
          </cell>
          <cell r="HZ247" t="str">
            <v>ISO4217:USD</v>
          </cell>
          <cell r="IA247" t="b">
            <v>0</v>
          </cell>
          <cell r="IB247" t="b">
            <v>0</v>
          </cell>
        </row>
        <row r="248">
          <cell r="C248" t="str">
            <v>Cumulative effect of change in accounting principle, net of tax</v>
          </cell>
          <cell r="G248">
            <v>0</v>
          </cell>
          <cell r="H248">
            <v>0</v>
          </cell>
          <cell r="I248">
            <v>0</v>
          </cell>
          <cell r="J248">
            <v>-57.8</v>
          </cell>
          <cell r="K248">
            <v>-5.6379999999999999</v>
          </cell>
          <cell r="L248">
            <v>0</v>
          </cell>
          <cell r="M248">
            <v>-47</v>
          </cell>
          <cell r="HX248" t="str">
            <v>mstag:cumulativeEffectOfChangeInAccountingPrincipleNetOfTax</v>
          </cell>
          <cell r="HY248">
            <v>6</v>
          </cell>
          <cell r="HZ248" t="str">
            <v>ISO4217:USD</v>
          </cell>
          <cell r="IA248" t="b">
            <v>0</v>
          </cell>
          <cell r="IB248" t="b">
            <v>0</v>
          </cell>
        </row>
        <row r="249">
          <cell r="C249" t="str">
            <v>Income (loss) from extraordinary items, net of tax</v>
          </cell>
          <cell r="G249" t="str">
            <v/>
          </cell>
          <cell r="H249" t="str">
            <v/>
          </cell>
          <cell r="I249" t="str">
            <v/>
          </cell>
          <cell r="J249" t="str">
            <v/>
          </cell>
          <cell r="K249" t="str">
            <v/>
          </cell>
          <cell r="L249" t="str">
            <v/>
          </cell>
          <cell r="M249" t="str">
            <v/>
          </cell>
          <cell r="HX249" t="str">
            <v>mstag:incomeLossFromExtraordinaryItemsNetOfTax</v>
          </cell>
          <cell r="HY249">
            <v>6</v>
          </cell>
          <cell r="HZ249" t="str">
            <v>ISO4217:USD</v>
          </cell>
          <cell r="IA249" t="b">
            <v>0</v>
          </cell>
          <cell r="IB249" t="b">
            <v>0</v>
          </cell>
        </row>
        <row r="250">
          <cell r="D250" t="str">
            <v>Income (loss) from extraordinary items, pretax</v>
          </cell>
          <cell r="HX250" t="str">
            <v>mstag:incomeLossFromExtraordinaryItemsPretax</v>
          </cell>
          <cell r="HY250">
            <v>6</v>
          </cell>
          <cell r="HZ250" t="str">
            <v>ISO4217:USD</v>
          </cell>
          <cell r="IA250" t="b">
            <v>0</v>
          </cell>
          <cell r="IB250" t="b">
            <v>0</v>
          </cell>
        </row>
        <row r="251">
          <cell r="D251" t="str">
            <v>Tax on income (loss) from extraordinary items</v>
          </cell>
          <cell r="HX251" t="str">
            <v>mstag:taxOnIncomeLossFromExtraordinaryItems</v>
          </cell>
          <cell r="HY251">
            <v>6</v>
          </cell>
          <cell r="HZ251" t="str">
            <v>ISO4217:USD</v>
          </cell>
          <cell r="IA251" t="b">
            <v>0</v>
          </cell>
          <cell r="IB251" t="b">
            <v>0</v>
          </cell>
        </row>
        <row r="252">
          <cell r="C252" t="str">
            <v>Income (loss) from discontinued operations, net of tax</v>
          </cell>
          <cell r="G252" t="str">
            <v/>
          </cell>
          <cell r="H252" t="str">
            <v/>
          </cell>
          <cell r="I252" t="str">
            <v/>
          </cell>
          <cell r="J252" t="str">
            <v/>
          </cell>
          <cell r="K252" t="str">
            <v/>
          </cell>
          <cell r="L252" t="str">
            <v/>
          </cell>
          <cell r="M252" t="str">
            <v/>
          </cell>
          <cell r="HX252" t="str">
            <v>mstag:incomeLossFromDiscontinuedOperationsNetOfTax</v>
          </cell>
          <cell r="HY252">
            <v>6</v>
          </cell>
          <cell r="HZ252" t="str">
            <v>ISO4217:USD</v>
          </cell>
          <cell r="IA252" t="b">
            <v>0</v>
          </cell>
          <cell r="IB252" t="b">
            <v>0</v>
          </cell>
        </row>
        <row r="253">
          <cell r="D253" t="str">
            <v>Income (loss) from discontinued operations, pretax</v>
          </cell>
          <cell r="HX253" t="str">
            <v>mstag:incomeLossFromDiscontinuedOperationsPretax</v>
          </cell>
          <cell r="HY253">
            <v>6</v>
          </cell>
          <cell r="HZ253" t="str">
            <v>ISO4217:USD</v>
          </cell>
          <cell r="IA253" t="b">
            <v>0</v>
          </cell>
          <cell r="IB253" t="b">
            <v>0</v>
          </cell>
        </row>
        <row r="254">
          <cell r="D254" t="str">
            <v>Tax on income (loss) from discontinued operations</v>
          </cell>
          <cell r="HX254" t="str">
            <v>mstag:taxOnIncomeLossFromDiscontinuedOperations</v>
          </cell>
          <cell r="HY254">
            <v>6</v>
          </cell>
          <cell r="HZ254" t="str">
            <v>ISO4217:USD</v>
          </cell>
          <cell r="IA254" t="b">
            <v>0</v>
          </cell>
          <cell r="IB254" t="b">
            <v>0</v>
          </cell>
        </row>
        <row r="255">
          <cell r="C255" t="str">
            <v>Preferred dividends paid</v>
          </cell>
          <cell r="HX255" t="str">
            <v>mstag:preferredDividendsPaid</v>
          </cell>
          <cell r="HY255">
            <v>6</v>
          </cell>
          <cell r="HZ255" t="str">
            <v>ISO4217:USD</v>
          </cell>
          <cell r="IA255" t="b">
            <v>0</v>
          </cell>
          <cell r="IB255" t="b">
            <v>0</v>
          </cell>
        </row>
        <row r="256">
          <cell r="C256" t="str">
            <v>Preferred dividends attributable to current period earnings</v>
          </cell>
          <cell r="HX256" t="str">
            <v>mstag:preferredDividendsAttributableToCurrentPeriodEarnings</v>
          </cell>
          <cell r="HY256">
            <v>6</v>
          </cell>
          <cell r="HZ256" t="str">
            <v>ISO4217:USD</v>
          </cell>
          <cell r="IA256" t="b">
            <v>0</v>
          </cell>
          <cell r="IB256" t="b">
            <v>0</v>
          </cell>
        </row>
        <row r="257">
          <cell r="C257" t="str">
            <v>Adjustment to net income for dilutive items</v>
          </cell>
          <cell r="G257" t="str">
            <v/>
          </cell>
          <cell r="H257" t="str">
            <v/>
          </cell>
          <cell r="I257" t="str">
            <v/>
          </cell>
          <cell r="J257" t="str">
            <v/>
          </cell>
          <cell r="K257" t="str">
            <v/>
          </cell>
          <cell r="L257" t="str">
            <v/>
          </cell>
          <cell r="M257" t="str">
            <v/>
          </cell>
          <cell r="HX257" t="str">
            <v>mstag:adjustmentToNetIncomeForDilutiveItems</v>
          </cell>
          <cell r="HY257">
            <v>6</v>
          </cell>
          <cell r="HZ257" t="str">
            <v>ISO4217:USD</v>
          </cell>
          <cell r="IA257" t="b">
            <v>0</v>
          </cell>
          <cell r="IB257" t="b">
            <v>0</v>
          </cell>
        </row>
        <row r="258">
          <cell r="D258" t="str">
            <v>Impact of assumed conversion of preferred stock</v>
          </cell>
          <cell r="HX258" t="str">
            <v>mstag:impactOfAssumedConversionOfPreferredStock</v>
          </cell>
          <cell r="HY258">
            <v>6</v>
          </cell>
          <cell r="HZ258" t="str">
            <v>ISO4217:USD</v>
          </cell>
          <cell r="IA258" t="b">
            <v>0</v>
          </cell>
          <cell r="IB258" t="b">
            <v>0</v>
          </cell>
        </row>
        <row r="259">
          <cell r="D259" t="str">
            <v>Impact of assumed conversion of convertible bonds</v>
          </cell>
          <cell r="HX259" t="str">
            <v>mstag:impactOfAssumedConversionOfConvertibleBonds</v>
          </cell>
          <cell r="HY259">
            <v>6</v>
          </cell>
          <cell r="HZ259" t="str">
            <v>ISO4217:USD</v>
          </cell>
          <cell r="IA259" t="b">
            <v>0</v>
          </cell>
          <cell r="IB259" t="b">
            <v>0</v>
          </cell>
        </row>
        <row r="260">
          <cell r="D260" t="str">
            <v>Impact of stock options compensation</v>
          </cell>
          <cell r="HX260" t="str">
            <v>mstag:impactOfStockOptionsCompensation</v>
          </cell>
          <cell r="HY260">
            <v>6</v>
          </cell>
          <cell r="HZ260" t="str">
            <v>ISO4217:USD</v>
          </cell>
          <cell r="IA260" t="b">
            <v>0</v>
          </cell>
          <cell r="IB260" t="b">
            <v>0</v>
          </cell>
        </row>
        <row r="261">
          <cell r="C261" t="str">
            <v>Company-reported revenue</v>
          </cell>
          <cell r="HX261" t="str">
            <v>mstag:companyReportedRevenue</v>
          </cell>
          <cell r="HY261">
            <v>6</v>
          </cell>
          <cell r="HZ261" t="str">
            <v>ISO4217:USD</v>
          </cell>
          <cell r="IA261" t="b">
            <v>0</v>
          </cell>
          <cell r="IB261" t="b">
            <v>0</v>
          </cell>
        </row>
        <row r="262">
          <cell r="C262" t="str">
            <v>Japan-specific operating metrics</v>
          </cell>
          <cell r="HX262" t="str">
            <v>mstag:japanSpecificOperatingMetrics</v>
          </cell>
          <cell r="HY262">
            <v>6</v>
          </cell>
          <cell r="HZ262" t="str">
            <v>ISO4217:USD</v>
          </cell>
          <cell r="IA262" t="b">
            <v>0</v>
          </cell>
          <cell r="IB262" t="b">
            <v>0</v>
          </cell>
        </row>
        <row r="263">
          <cell r="D263" t="str">
            <v>Operating income (expense) classified by company as nonoperating (Japan)</v>
          </cell>
          <cell r="HX263" t="str">
            <v>mstag:operatingIncomeExpenseClassifiedByCompanyAsNonOperatingJapan</v>
          </cell>
          <cell r="HY263">
            <v>6</v>
          </cell>
          <cell r="HZ263" t="str">
            <v>ISO4217:USD</v>
          </cell>
          <cell r="IA263" t="b">
            <v>0</v>
          </cell>
          <cell r="IB263" t="b">
            <v>0</v>
          </cell>
        </row>
        <row r="264">
          <cell r="D264" t="str">
            <v>Operating income (expense) classified by company as extraordinary (Japan)</v>
          </cell>
          <cell r="HX264" t="str">
            <v>mstag:operatingIncomeExpenseClassifiedByCompanyAsExtraordinaryJapan</v>
          </cell>
          <cell r="HY264">
            <v>6</v>
          </cell>
          <cell r="HZ264" t="str">
            <v>ISO4217:USD</v>
          </cell>
          <cell r="IA264" t="b">
            <v>0</v>
          </cell>
          <cell r="IB264" t="b">
            <v>0</v>
          </cell>
        </row>
        <row r="265">
          <cell r="D265" t="str">
            <v>Nonoperating income (expense) classified by company as operating (Japan)</v>
          </cell>
          <cell r="HX265" t="str">
            <v>mstag:nonOperatingIncomeExpenseClassifiedByCompanyAsOperatingJapan</v>
          </cell>
          <cell r="HY265">
            <v>6</v>
          </cell>
          <cell r="HZ265" t="str">
            <v>ISO4217:USD</v>
          </cell>
          <cell r="IA265" t="b">
            <v>0</v>
          </cell>
          <cell r="IB265" t="b">
            <v>0</v>
          </cell>
        </row>
        <row r="266">
          <cell r="D266" t="str">
            <v>Nonoperating income (expense) classified by company as extraordinary (Japan)</v>
          </cell>
          <cell r="HX266" t="str">
            <v>mstag:recurringIncomeExpenseClassifiedByCompanyAsExtraordinaryJapan</v>
          </cell>
          <cell r="HY266">
            <v>6</v>
          </cell>
          <cell r="HZ266" t="str">
            <v>ISO4217:USD</v>
          </cell>
          <cell r="IA266" t="b">
            <v>0</v>
          </cell>
          <cell r="IB266" t="b">
            <v>0</v>
          </cell>
        </row>
        <row r="267">
          <cell r="D267" t="str">
            <v>One-time income (expense), gross of tax, classified by company as operating (Japan)</v>
          </cell>
          <cell r="HX267" t="str">
            <v>mstag:oneTimeIncomeExpenseGrossOfTaxClassifiedByCompanyAsOperatingJapan</v>
          </cell>
          <cell r="HY267">
            <v>6</v>
          </cell>
          <cell r="HZ267" t="str">
            <v>ISO4217:USD</v>
          </cell>
          <cell r="IA267" t="b">
            <v>0</v>
          </cell>
          <cell r="IB267" t="b">
            <v>0</v>
          </cell>
        </row>
        <row r="268">
          <cell r="D268" t="str">
            <v>One-time income (expense), gross of tax, classified by company as nonoperating (Japan)</v>
          </cell>
          <cell r="HX268" t="str">
            <v>mstag:oneTimeIncomeExpenseGrossOfTaxClassifiedByCompanyAsNonOperatingJapan</v>
          </cell>
          <cell r="HY268">
            <v>6</v>
          </cell>
          <cell r="HZ268" t="str">
            <v>ISO4217:USD</v>
          </cell>
          <cell r="IA268" t="b">
            <v>0</v>
          </cell>
          <cell r="IB268" t="b">
            <v>0</v>
          </cell>
        </row>
        <row r="269">
          <cell r="D269" t="str">
            <v>Recurring profit (Japan)</v>
          </cell>
          <cell r="HX269" t="str">
            <v>mstag:recurringProfitJapan</v>
          </cell>
          <cell r="HY269">
            <v>6</v>
          </cell>
          <cell r="HZ269" t="str">
            <v>ISO4217:USD</v>
          </cell>
          <cell r="IA269" t="b">
            <v>0</v>
          </cell>
          <cell r="IB269" t="b">
            <v>0</v>
          </cell>
        </row>
        <row r="270">
          <cell r="C270" t="str">
            <v>EPS adjusted for consensus</v>
          </cell>
          <cell r="HX270" t="str">
            <v>mstag:adjEpsForConsensus</v>
          </cell>
          <cell r="HY270">
            <v>0</v>
          </cell>
          <cell r="HZ270" t="str">
            <v>ISO4217:USD</v>
          </cell>
          <cell r="IA270" t="b">
            <v>0</v>
          </cell>
          <cell r="IB270" t="b">
            <v>0</v>
          </cell>
        </row>
        <row r="271">
          <cell r="C271" t="str">
            <v>Period-end diluted shares outstanding</v>
          </cell>
          <cell r="HX271" t="str">
            <v>mstag:periodEndDilutedSharesOutstanding</v>
          </cell>
          <cell r="HY271">
            <v>6</v>
          </cell>
          <cell r="HZ271" t="str">
            <v>ms_eqr_gcim_Decimal:ms_eqr_gcim_decimal</v>
          </cell>
          <cell r="IA271" t="b">
            <v>0</v>
          </cell>
          <cell r="IB271" t="b">
            <v>0</v>
          </cell>
        </row>
        <row r="272">
          <cell r="C272" t="str">
            <v>Period-end basic shares outstanding</v>
          </cell>
          <cell r="G272">
            <v>993.82235200000002</v>
          </cell>
          <cell r="H272">
            <v>1016.9171200000001</v>
          </cell>
          <cell r="I272">
            <v>1032.4410559999999</v>
          </cell>
          <cell r="J272">
            <v>1050.953542</v>
          </cell>
          <cell r="K272">
            <v>1056.6265719999999</v>
          </cell>
          <cell r="L272">
            <v>1025.6204499999999</v>
          </cell>
          <cell r="M272">
            <v>1049.4000000000001</v>
          </cell>
          <cell r="HX272" t="str">
            <v>mstag:periodEndBasicSharesOutstanding</v>
          </cell>
          <cell r="HY272">
            <v>6</v>
          </cell>
          <cell r="HZ272" t="str">
            <v>ms_eqr_gcim_Decimal:ms_eqr_gcim_decimal</v>
          </cell>
          <cell r="IA272" t="b">
            <v>0</v>
          </cell>
          <cell r="IB272" t="b">
            <v>0</v>
          </cell>
        </row>
        <row r="273">
          <cell r="C273" t="str">
            <v>Current diluted shares outstanding</v>
          </cell>
          <cell r="HX273" t="str">
            <v>mstag:currentDilutedSharesOutstanding</v>
          </cell>
          <cell r="HY273">
            <v>6</v>
          </cell>
          <cell r="HZ273" t="str">
            <v>ms_eqr_gcim_Decimal:ms_eqr_gcim_decimal</v>
          </cell>
          <cell r="IA273" t="b">
            <v>0</v>
          </cell>
          <cell r="IB273" t="b">
            <v>0</v>
          </cell>
        </row>
        <row r="274">
          <cell r="C274" t="str">
            <v>Current basic shares outstanding</v>
          </cell>
          <cell r="HX274" t="str">
            <v>mstag:currentBasicSharesOutstanding</v>
          </cell>
          <cell r="HY274">
            <v>6</v>
          </cell>
          <cell r="HZ274" t="str">
            <v>ms_eqr_gcim_Decimal:ms_eqr_gcim_decimal</v>
          </cell>
          <cell r="IA274" t="b">
            <v>0</v>
          </cell>
          <cell r="IB274" t="b">
            <v>0</v>
          </cell>
        </row>
        <row r="275">
          <cell r="C275" t="str">
            <v>Average diluted shares outstanding</v>
          </cell>
          <cell r="G275">
            <v>1011.176</v>
          </cell>
          <cell r="H275">
            <v>1038.9760000000001</v>
          </cell>
          <cell r="I275">
            <v>1026.704</v>
          </cell>
          <cell r="J275">
            <v>1044.3579999999999</v>
          </cell>
          <cell r="K275">
            <v>1070.5820000000001</v>
          </cell>
          <cell r="L275">
            <v>1048.816</v>
          </cell>
          <cell r="M275">
            <v>1054.3219999999999</v>
          </cell>
          <cell r="HX275" t="str">
            <v>mstag:averageDilutedSharesOutstanding</v>
          </cell>
          <cell r="HY275">
            <v>6</v>
          </cell>
          <cell r="HZ275" t="str">
            <v>ms_eqr_gcim_Decimal:ms_eqr_gcim_decimal</v>
          </cell>
          <cell r="IA275" t="b">
            <v>0</v>
          </cell>
          <cell r="IB275" t="b">
            <v>0</v>
          </cell>
        </row>
        <row r="276">
          <cell r="C276" t="str">
            <v>Number of preferred shares outstanding</v>
          </cell>
          <cell r="HX276" t="str">
            <v>mstag:numberOfPreferredSharesOutstanding</v>
          </cell>
          <cell r="HY276">
            <v>6</v>
          </cell>
          <cell r="HZ276" t="str">
            <v>ms_eqr_gcim_Decimal:ms_eqr_gcim_decimal</v>
          </cell>
          <cell r="IA276" t="b">
            <v>0</v>
          </cell>
          <cell r="IB276" t="b">
            <v>0</v>
          </cell>
        </row>
        <row r="277">
          <cell r="C277" t="str">
            <v>Average basic shares outstanding</v>
          </cell>
          <cell r="G277">
            <v>984.32</v>
          </cell>
          <cell r="H277">
            <v>1006.136</v>
          </cell>
          <cell r="I277">
            <v>1026.704</v>
          </cell>
          <cell r="J277">
            <v>1044.3579999999999</v>
          </cell>
          <cell r="K277">
            <v>1054.0440000000001</v>
          </cell>
          <cell r="L277">
            <v>1038.384</v>
          </cell>
          <cell r="M277">
            <v>1034.4565</v>
          </cell>
          <cell r="HX277" t="str">
            <v>mstag:averageBasicSharesOutstanding</v>
          </cell>
          <cell r="HY277">
            <v>6</v>
          </cell>
          <cell r="HZ277" t="str">
            <v>ms_eqr_gcim_Decimal:ms_eqr_gcim_decimal</v>
          </cell>
          <cell r="IA277" t="b">
            <v>0</v>
          </cell>
          <cell r="IB277" t="b">
            <v>0</v>
          </cell>
        </row>
        <row r="278">
          <cell r="C278" t="str">
            <v>ADR ratio</v>
          </cell>
          <cell r="HX278" t="str">
            <v>mstag:adrRatioNew</v>
          </cell>
          <cell r="HY278">
            <v>0</v>
          </cell>
          <cell r="HZ278" t="str">
            <v>ms_eqr_gcim_Decimal:ms_eqr_gcim_decimal</v>
          </cell>
          <cell r="IA278" t="b">
            <v>0</v>
          </cell>
          <cell r="IB278" t="b">
            <v>0</v>
          </cell>
        </row>
        <row r="279">
          <cell r="C279" t="str">
            <v>Current ADR ratio</v>
          </cell>
          <cell r="HX279" t="str">
            <v>mstag:currentAdrRatio</v>
          </cell>
          <cell r="HY279">
            <v>0</v>
          </cell>
          <cell r="HZ279" t="str">
            <v>ms_eqr_gcim_Decimal:ms_eqr_gcim_decimal</v>
          </cell>
          <cell r="IA279" t="b">
            <v>0</v>
          </cell>
          <cell r="IB279" t="b">
            <v>0</v>
          </cell>
        </row>
        <row r="280">
          <cell r="C280" t="str">
            <v>Analyst's average FX rate</v>
          </cell>
          <cell r="HX280" t="str">
            <v>mstag:analystsAverageFxRate</v>
          </cell>
          <cell r="HY280">
            <v>0</v>
          </cell>
          <cell r="HZ280" t="str">
            <v>ms_eqr_gcim_Decimal:ms_eqr_gcim_decimal</v>
          </cell>
          <cell r="IA280" t="b">
            <v>0</v>
          </cell>
          <cell r="IB280" t="b">
            <v>0</v>
          </cell>
        </row>
        <row r="281">
          <cell r="C281" t="str">
            <v>Analyst's period-end FX rate</v>
          </cell>
          <cell r="HX281" t="str">
            <v>mstag:analystsPeriodEndFxRate</v>
          </cell>
          <cell r="HY281">
            <v>0</v>
          </cell>
          <cell r="HZ281" t="str">
            <v>ms_eqr_gcim_Decimal:ms_eqr_gcim_decimal</v>
          </cell>
          <cell r="IA281" t="b">
            <v>0</v>
          </cell>
          <cell r="IB281" t="b">
            <v>0</v>
          </cell>
        </row>
        <row r="282">
          <cell r="C282" t="str">
            <v>Percent ownership</v>
          </cell>
          <cell r="HX282" t="str">
            <v>mstag:percentOwnership</v>
          </cell>
          <cell r="HY282">
            <v>0</v>
          </cell>
          <cell r="HZ282" t="str">
            <v>ms_eqr_gcim_Decimal:ms_eqr_gcim_decimal</v>
          </cell>
          <cell r="IA282" t="b">
            <v>0</v>
          </cell>
          <cell r="IB282" t="b">
            <v>0</v>
          </cell>
        </row>
        <row r="283">
          <cell r="C283" t="str">
            <v>Statutory tax rate</v>
          </cell>
          <cell r="G283">
            <v>0.373</v>
          </cell>
          <cell r="H283">
            <v>0.37965018939169048</v>
          </cell>
          <cell r="I283">
            <v>0.51523455723542122</v>
          </cell>
          <cell r="J283">
            <v>0.59149257488044304</v>
          </cell>
          <cell r="K283">
            <v>0.40731343600036757</v>
          </cell>
          <cell r="L283">
            <v>0.37813035732293521</v>
          </cell>
          <cell r="M283">
            <v>0.32364976429312797</v>
          </cell>
          <cell r="HX283" t="str">
            <v>mstag:statutoryTaxRate</v>
          </cell>
          <cell r="HY283">
            <v>0</v>
          </cell>
          <cell r="HZ283" t="str">
            <v>ms_eqr_gcim_Decimal:ms_eqr_gcim_decimal</v>
          </cell>
          <cell r="IA283" t="b">
            <v>0</v>
          </cell>
          <cell r="IB283" t="b">
            <v>0</v>
          </cell>
        </row>
        <row r="284">
          <cell r="C284" t="str">
            <v>Dividends per share</v>
          </cell>
          <cell r="G284">
            <v>0</v>
          </cell>
          <cell r="H284">
            <v>0</v>
          </cell>
          <cell r="I284">
            <v>0</v>
          </cell>
          <cell r="J284">
            <v>0</v>
          </cell>
          <cell r="K284">
            <v>0</v>
          </cell>
          <cell r="L284">
            <v>0</v>
          </cell>
          <cell r="HX284" t="str">
            <v>mstag:dividendsPerShare</v>
          </cell>
          <cell r="HY284">
            <v>0</v>
          </cell>
          <cell r="HZ284" t="str">
            <v>ISO4217:USD</v>
          </cell>
          <cell r="IA284" t="b">
            <v>0</v>
          </cell>
          <cell r="IB284" t="b">
            <v>0</v>
          </cell>
        </row>
        <row r="285">
          <cell r="B285" t="str">
            <v>Balance sheet</v>
          </cell>
          <cell r="HY285">
            <v>0</v>
          </cell>
          <cell r="HZ285" t="str">
            <v>ms_eqr_gcim_String:ms_eqr_gcim_string</v>
          </cell>
          <cell r="IA285" t="b">
            <v>0</v>
          </cell>
          <cell r="IB285" t="b">
            <v>0</v>
          </cell>
        </row>
        <row r="286">
          <cell r="C286" t="str">
            <v>Assets</v>
          </cell>
          <cell r="M286">
            <v>8735.9628426585768</v>
          </cell>
          <cell r="HX286" t="str">
            <v>mstag:assets</v>
          </cell>
          <cell r="HY286">
            <v>6</v>
          </cell>
          <cell r="HZ286" t="str">
            <v>ISO4217:USD</v>
          </cell>
          <cell r="IA286" t="b">
            <v>0</v>
          </cell>
          <cell r="IB286" t="b">
            <v>0</v>
          </cell>
        </row>
        <row r="287">
          <cell r="D287" t="str">
            <v>Cash and cash equivalents</v>
          </cell>
          <cell r="F287">
            <v>207.26400000000001</v>
          </cell>
          <cell r="G287">
            <v>244.46899999999999</v>
          </cell>
          <cell r="H287">
            <v>281.16199999999998</v>
          </cell>
          <cell r="I287">
            <v>337.68200000000002</v>
          </cell>
          <cell r="J287">
            <v>551.38400000000001</v>
          </cell>
          <cell r="K287">
            <v>395.20299999999997</v>
          </cell>
          <cell r="L287">
            <v>208.13</v>
          </cell>
          <cell r="M287">
            <v>371.87784265857795</v>
          </cell>
          <cell r="HX287" t="str">
            <v>mstag:cashAndCashEquivalents</v>
          </cell>
          <cell r="HY287">
            <v>6</v>
          </cell>
          <cell r="HZ287" t="str">
            <v>ISO4217:USD</v>
          </cell>
          <cell r="IA287" t="b">
            <v>0</v>
          </cell>
          <cell r="IB287" t="b">
            <v>0</v>
          </cell>
        </row>
        <row r="288">
          <cell r="D288" t="str">
            <v>Restricted cash required for operations</v>
          </cell>
          <cell r="HX288" t="str">
            <v>mstag:restrictedCashRequiredForOperations</v>
          </cell>
          <cell r="HY288">
            <v>6</v>
          </cell>
          <cell r="HZ288" t="str">
            <v>ISO4217:USD</v>
          </cell>
          <cell r="IA288" t="b">
            <v>0</v>
          </cell>
          <cell r="IB288" t="b">
            <v>0</v>
          </cell>
        </row>
        <row r="289">
          <cell r="D289" t="str">
            <v>Trade receivables</v>
          </cell>
          <cell r="G289">
            <v>71.41500000000002</v>
          </cell>
          <cell r="H289">
            <v>79.411000000000001</v>
          </cell>
          <cell r="I289">
            <v>120.49700000000001</v>
          </cell>
          <cell r="J289">
            <v>162.12100000000001</v>
          </cell>
          <cell r="K289">
            <v>193.203</v>
          </cell>
          <cell r="L289">
            <v>242.90700000000004</v>
          </cell>
          <cell r="M289">
            <v>574.1</v>
          </cell>
          <cell r="HX289" t="str">
            <v>mstag:tradeReceivables</v>
          </cell>
          <cell r="HY289">
            <v>6</v>
          </cell>
          <cell r="HZ289" t="str">
            <v>ISO4217:USD</v>
          </cell>
          <cell r="IA289" t="b">
            <v>0</v>
          </cell>
          <cell r="IB289" t="b">
            <v>0</v>
          </cell>
        </row>
        <row r="290">
          <cell r="E290" t="str">
            <v>Trade receivables, current</v>
          </cell>
          <cell r="G290">
            <v>71.41500000000002</v>
          </cell>
          <cell r="H290">
            <v>79.411000000000001</v>
          </cell>
          <cell r="I290">
            <v>120.49700000000001</v>
          </cell>
          <cell r="J290">
            <v>162.12100000000001</v>
          </cell>
          <cell r="K290">
            <v>193.203</v>
          </cell>
          <cell r="L290">
            <v>242.90700000000004</v>
          </cell>
          <cell r="M290" t="str">
            <v/>
          </cell>
          <cell r="HX290" t="str">
            <v>mstag:tradeReceivablesCurrent</v>
          </cell>
          <cell r="HY290">
            <v>6</v>
          </cell>
          <cell r="HZ290" t="str">
            <v>ISO4217:USD</v>
          </cell>
          <cell r="IA290" t="b">
            <v>0</v>
          </cell>
          <cell r="IB290" t="b">
            <v>0</v>
          </cell>
        </row>
        <row r="291">
          <cell r="F291" t="str">
            <v>Trade receivables, gross, current</v>
          </cell>
          <cell r="G291">
            <v>80.241000000000014</v>
          </cell>
          <cell r="H291">
            <v>94.072000000000003</v>
          </cell>
          <cell r="I291">
            <v>136.26400000000001</v>
          </cell>
          <cell r="J291">
            <v>176.24700000000001</v>
          </cell>
          <cell r="K291">
            <v>210.54</v>
          </cell>
          <cell r="L291">
            <v>259.73400000000004</v>
          </cell>
          <cell r="HX291" t="str">
            <v>mstag:tradeReceivablesGrossCurrent</v>
          </cell>
          <cell r="HY291">
            <v>6</v>
          </cell>
          <cell r="HZ291" t="str">
            <v>ISO4217:USD</v>
          </cell>
          <cell r="IA291" t="b">
            <v>0</v>
          </cell>
          <cell r="IB291" t="b">
            <v>0</v>
          </cell>
        </row>
        <row r="292">
          <cell r="F292" t="str">
            <v>Allowance for doubtful accounts, current</v>
          </cell>
          <cell r="G292">
            <v>8.8260000000000005</v>
          </cell>
          <cell r="H292">
            <v>14.661</v>
          </cell>
          <cell r="I292">
            <v>15.766999999999999</v>
          </cell>
          <cell r="J292">
            <v>14.125999999999999</v>
          </cell>
          <cell r="K292">
            <v>17.337</v>
          </cell>
          <cell r="L292">
            <v>16.827000000000002</v>
          </cell>
          <cell r="HX292" t="str">
            <v>mstag:allowanceForDoubtfulAccountsCurrent</v>
          </cell>
          <cell r="HY292">
            <v>6</v>
          </cell>
          <cell r="HZ292" t="str">
            <v>ISO4217:USD</v>
          </cell>
          <cell r="IA292" t="b">
            <v>0</v>
          </cell>
          <cell r="IB292" t="b">
            <v>0</v>
          </cell>
        </row>
        <row r="293">
          <cell r="E293" t="str">
            <v>Trade receivables, noncurrent</v>
          </cell>
          <cell r="G293" t="str">
            <v/>
          </cell>
          <cell r="H293" t="str">
            <v/>
          </cell>
          <cell r="I293" t="str">
            <v/>
          </cell>
          <cell r="J293" t="str">
            <v/>
          </cell>
          <cell r="K293" t="str">
            <v/>
          </cell>
          <cell r="L293" t="str">
            <v/>
          </cell>
          <cell r="M293" t="str">
            <v/>
          </cell>
          <cell r="HX293" t="str">
            <v>mstag:tradeReceivablesNonCurrent</v>
          </cell>
          <cell r="HY293">
            <v>6</v>
          </cell>
          <cell r="HZ293" t="str">
            <v>ISO4217:USD</v>
          </cell>
          <cell r="IA293" t="b">
            <v>0</v>
          </cell>
          <cell r="IB293" t="b">
            <v>0</v>
          </cell>
        </row>
        <row r="294">
          <cell r="F294" t="str">
            <v>Trade receivables, gross, noncurrent</v>
          </cell>
          <cell r="HX294" t="str">
            <v>mstag:tradeReceivablesGrossNonCurrent</v>
          </cell>
          <cell r="HY294">
            <v>6</v>
          </cell>
          <cell r="HZ294" t="str">
            <v>ISO4217:USD</v>
          </cell>
          <cell r="IA294" t="b">
            <v>0</v>
          </cell>
          <cell r="IB294" t="b">
            <v>0</v>
          </cell>
        </row>
        <row r="295">
          <cell r="F295" t="str">
            <v>Allowance for doubtful accounts, noncurrent</v>
          </cell>
          <cell r="HX295" t="str">
            <v>mstag:allowanceForDoubtfulAccountsNonCurrent</v>
          </cell>
          <cell r="HY295">
            <v>6</v>
          </cell>
          <cell r="HZ295" t="str">
            <v>ISO4217:USD</v>
          </cell>
          <cell r="IA295" t="b">
            <v>0</v>
          </cell>
          <cell r="IB295" t="b">
            <v>0</v>
          </cell>
        </row>
        <row r="296">
          <cell r="D296" t="str">
            <v>Finance lease receivables</v>
          </cell>
          <cell r="G296" t="str">
            <v/>
          </cell>
          <cell r="H296" t="str">
            <v/>
          </cell>
          <cell r="I296" t="str">
            <v/>
          </cell>
          <cell r="J296" t="str">
            <v/>
          </cell>
          <cell r="K296" t="str">
            <v/>
          </cell>
          <cell r="L296" t="str">
            <v/>
          </cell>
          <cell r="M296" t="str">
            <v/>
          </cell>
          <cell r="HX296" t="str">
            <v>mstag:financeLeaseReceivables</v>
          </cell>
          <cell r="HY296">
            <v>6</v>
          </cell>
          <cell r="HZ296" t="str">
            <v>ISO4217:USD</v>
          </cell>
          <cell r="IA296" t="b">
            <v>0</v>
          </cell>
          <cell r="IB296" t="b">
            <v>0</v>
          </cell>
        </row>
        <row r="297">
          <cell r="E297" t="str">
            <v>Finance lease receivables, current</v>
          </cell>
          <cell r="HX297" t="str">
            <v>mstag:financeLeaseReceivablesCurrent</v>
          </cell>
          <cell r="HY297">
            <v>6</v>
          </cell>
          <cell r="HZ297" t="str">
            <v>ISO4217:USD</v>
          </cell>
          <cell r="IA297" t="b">
            <v>0</v>
          </cell>
          <cell r="IB297" t="b">
            <v>0</v>
          </cell>
        </row>
        <row r="298">
          <cell r="E298" t="str">
            <v>Finance lease receivables, noncurrent</v>
          </cell>
          <cell r="HX298" t="str">
            <v>mstag:financeLeaseReceivablesNonCurrent</v>
          </cell>
          <cell r="HY298">
            <v>6</v>
          </cell>
          <cell r="HZ298" t="str">
            <v>ISO4217:USD</v>
          </cell>
          <cell r="IA298" t="b">
            <v>0</v>
          </cell>
          <cell r="IB298" t="b">
            <v>0</v>
          </cell>
        </row>
        <row r="299">
          <cell r="D299" t="str">
            <v>Notes receivable</v>
          </cell>
          <cell r="G299" t="str">
            <v/>
          </cell>
          <cell r="H299" t="str">
            <v/>
          </cell>
          <cell r="I299" t="str">
            <v/>
          </cell>
          <cell r="J299" t="str">
            <v/>
          </cell>
          <cell r="K299" t="str">
            <v/>
          </cell>
          <cell r="L299" t="str">
            <v/>
          </cell>
          <cell r="M299" t="str">
            <v/>
          </cell>
          <cell r="HX299" t="str">
            <v>mstag:notesReceivable</v>
          </cell>
          <cell r="HY299">
            <v>6</v>
          </cell>
          <cell r="HZ299" t="str">
            <v>ISO4217:USD</v>
          </cell>
          <cell r="IA299" t="b">
            <v>0</v>
          </cell>
          <cell r="IB299" t="b">
            <v>0</v>
          </cell>
        </row>
        <row r="300">
          <cell r="E300" t="str">
            <v>Notes receivable, current</v>
          </cell>
          <cell r="HX300" t="str">
            <v>mstag:notesReceivableCurrent</v>
          </cell>
          <cell r="HY300">
            <v>6</v>
          </cell>
          <cell r="HZ300" t="str">
            <v>ISO4217:USD</v>
          </cell>
          <cell r="IA300" t="b">
            <v>0</v>
          </cell>
          <cell r="IB300" t="b">
            <v>0</v>
          </cell>
        </row>
        <row r="301">
          <cell r="E301" t="str">
            <v>Notes receivable, noncurrent</v>
          </cell>
          <cell r="HX301" t="str">
            <v>mstag:notesReceivableNonCurrent</v>
          </cell>
          <cell r="HY301">
            <v>6</v>
          </cell>
          <cell r="HZ301" t="str">
            <v>ISO4217:USD</v>
          </cell>
          <cell r="IA301" t="b">
            <v>0</v>
          </cell>
          <cell r="IB301" t="b">
            <v>0</v>
          </cell>
        </row>
        <row r="302">
          <cell r="D302" t="str">
            <v>Unbilled receivables</v>
          </cell>
          <cell r="G302" t="str">
            <v/>
          </cell>
          <cell r="H302" t="str">
            <v/>
          </cell>
          <cell r="I302" t="str">
            <v/>
          </cell>
          <cell r="J302" t="str">
            <v/>
          </cell>
          <cell r="K302" t="str">
            <v/>
          </cell>
          <cell r="L302" t="str">
            <v/>
          </cell>
          <cell r="M302" t="str">
            <v/>
          </cell>
          <cell r="HX302" t="str">
            <v>mstag:unbilledReceivables</v>
          </cell>
          <cell r="HY302">
            <v>6</v>
          </cell>
          <cell r="HZ302" t="str">
            <v>ISO4217:USD</v>
          </cell>
          <cell r="IA302" t="b">
            <v>0</v>
          </cell>
          <cell r="IB302" t="b">
            <v>0</v>
          </cell>
        </row>
        <row r="303">
          <cell r="E303" t="str">
            <v>Unbilled receivables, current</v>
          </cell>
          <cell r="HX303" t="str">
            <v>mstag:unbilledReceivablesCurrent</v>
          </cell>
          <cell r="HY303">
            <v>6</v>
          </cell>
          <cell r="HZ303" t="str">
            <v>ISO4217:USD</v>
          </cell>
          <cell r="IA303" t="b">
            <v>0</v>
          </cell>
          <cell r="IB303" t="b">
            <v>0</v>
          </cell>
        </row>
        <row r="304">
          <cell r="E304" t="str">
            <v>Unbilled receivables, noncurrent</v>
          </cell>
          <cell r="HX304" t="str">
            <v>mstag:unbilledReceivablesNonCurrent</v>
          </cell>
          <cell r="HY304">
            <v>6</v>
          </cell>
          <cell r="HZ304" t="str">
            <v>ISO4217:USD</v>
          </cell>
          <cell r="IA304" t="b">
            <v>0</v>
          </cell>
          <cell r="IB304" t="b">
            <v>0</v>
          </cell>
        </row>
        <row r="305">
          <cell r="D305" t="str">
            <v>Other receivables</v>
          </cell>
          <cell r="G305">
            <v>117.83000000000001</v>
          </cell>
          <cell r="H305">
            <v>70.33</v>
          </cell>
          <cell r="I305">
            <v>94.288000000000011</v>
          </cell>
          <cell r="J305">
            <v>99.561000000000007</v>
          </cell>
          <cell r="K305">
            <v>122.137</v>
          </cell>
          <cell r="L305">
            <v>175.57400000000001</v>
          </cell>
          <cell r="M305" t="str">
            <v/>
          </cell>
          <cell r="HX305" t="str">
            <v>mstag:otherReceivables</v>
          </cell>
          <cell r="HY305">
            <v>6</v>
          </cell>
          <cell r="HZ305" t="str">
            <v>ISO4217:USD</v>
          </cell>
          <cell r="IA305" t="b">
            <v>0</v>
          </cell>
          <cell r="IB305" t="b">
            <v>0</v>
          </cell>
        </row>
        <row r="306">
          <cell r="E306" t="str">
            <v>Other receivables, current</v>
          </cell>
          <cell r="G306">
            <v>117.83000000000001</v>
          </cell>
          <cell r="H306">
            <v>70.33</v>
          </cell>
          <cell r="I306">
            <v>94.288000000000011</v>
          </cell>
          <cell r="J306">
            <v>99.561000000000007</v>
          </cell>
          <cell r="K306">
            <v>122.137</v>
          </cell>
          <cell r="L306">
            <v>175.57400000000001</v>
          </cell>
          <cell r="HX306" t="str">
            <v>mstag:otherReceivablesCurrent</v>
          </cell>
          <cell r="HY306">
            <v>6</v>
          </cell>
          <cell r="HZ306" t="str">
            <v>ISO4217:USD</v>
          </cell>
          <cell r="IA306" t="b">
            <v>0</v>
          </cell>
          <cell r="IB306" t="b">
            <v>0</v>
          </cell>
        </row>
        <row r="307">
          <cell r="E307" t="str">
            <v>Other receivables, noncurrent</v>
          </cell>
          <cell r="HX307" t="str">
            <v>mstag:otherReceivablesNonCurrent</v>
          </cell>
          <cell r="HY307">
            <v>6</v>
          </cell>
          <cell r="HZ307" t="str">
            <v>ISO4217:USD</v>
          </cell>
          <cell r="IA307" t="b">
            <v>0</v>
          </cell>
          <cell r="IB307" t="b">
            <v>0</v>
          </cell>
        </row>
        <row r="308">
          <cell r="D308" t="str">
            <v>Prepaid expenses</v>
          </cell>
          <cell r="G308">
            <v>55.325000000000003</v>
          </cell>
          <cell r="H308">
            <v>17.036000000000001</v>
          </cell>
          <cell r="I308">
            <v>11.87</v>
          </cell>
          <cell r="J308">
            <v>31.431999999999999</v>
          </cell>
          <cell r="K308">
            <v>38.896000000000001</v>
          </cell>
          <cell r="L308">
            <v>50.741999999999997</v>
          </cell>
          <cell r="M308">
            <v>79.44</v>
          </cell>
          <cell r="HX308" t="str">
            <v>mstag:prepaidExpenses</v>
          </cell>
          <cell r="HY308">
            <v>6</v>
          </cell>
          <cell r="HZ308" t="str">
            <v>ISO4217:USD</v>
          </cell>
          <cell r="IA308" t="b">
            <v>0</v>
          </cell>
          <cell r="IB308" t="b">
            <v>0</v>
          </cell>
        </row>
        <row r="309">
          <cell r="E309" t="str">
            <v>Prepaid expenses, current</v>
          </cell>
          <cell r="G309">
            <v>55.325000000000003</v>
          </cell>
          <cell r="H309">
            <v>17.036000000000001</v>
          </cell>
          <cell r="I309">
            <v>11.87</v>
          </cell>
          <cell r="J309">
            <v>31.431999999999999</v>
          </cell>
          <cell r="K309">
            <v>38.896000000000001</v>
          </cell>
          <cell r="L309">
            <v>50.741999999999997</v>
          </cell>
          <cell r="HX309" t="str">
            <v>mstag:prepaidExpensesCurrent</v>
          </cell>
          <cell r="HY309">
            <v>6</v>
          </cell>
          <cell r="HZ309" t="str">
            <v>ISO4217:USD</v>
          </cell>
          <cell r="IA309" t="b">
            <v>0</v>
          </cell>
          <cell r="IB309" t="b">
            <v>0</v>
          </cell>
        </row>
        <row r="310">
          <cell r="E310" t="str">
            <v>Prepaid expenses, noncurrent</v>
          </cell>
          <cell r="HX310" t="str">
            <v>mstag:prepaidExpensesNonCurrent</v>
          </cell>
          <cell r="HY310">
            <v>6</v>
          </cell>
          <cell r="HZ310" t="str">
            <v>ISO4217:USD</v>
          </cell>
          <cell r="IA310" t="b">
            <v>0</v>
          </cell>
          <cell r="IB310" t="b">
            <v>0</v>
          </cell>
        </row>
        <row r="311">
          <cell r="D311" t="str">
            <v>Income tax receivable</v>
          </cell>
          <cell r="G311" t="str">
            <v/>
          </cell>
          <cell r="H311" t="str">
            <v/>
          </cell>
          <cell r="I311" t="str">
            <v/>
          </cell>
          <cell r="J311" t="str">
            <v/>
          </cell>
          <cell r="K311" t="str">
            <v/>
          </cell>
          <cell r="L311" t="str">
            <v/>
          </cell>
          <cell r="M311" t="str">
            <v/>
          </cell>
          <cell r="HX311" t="str">
            <v>mstag:incomeTaxReceivable</v>
          </cell>
          <cell r="HY311">
            <v>6</v>
          </cell>
          <cell r="HZ311" t="str">
            <v>ISO4217:USD</v>
          </cell>
          <cell r="IA311" t="b">
            <v>0</v>
          </cell>
          <cell r="IB311" t="b">
            <v>0</v>
          </cell>
        </row>
        <row r="312">
          <cell r="E312" t="str">
            <v>Income tax receivable, operating</v>
          </cell>
          <cell r="HX312" t="str">
            <v>mstag:incomeTaxReceivableOperating</v>
          </cell>
          <cell r="HY312">
            <v>6</v>
          </cell>
          <cell r="HZ312" t="str">
            <v>ISO4217:USD</v>
          </cell>
          <cell r="IA312" t="b">
            <v>0</v>
          </cell>
          <cell r="IB312" t="b">
            <v>0</v>
          </cell>
        </row>
        <row r="313">
          <cell r="E313" t="str">
            <v>Income tax receivable, financing</v>
          </cell>
          <cell r="HX313" t="str">
            <v>mstag:incomeTaxReceivableFinancing</v>
          </cell>
          <cell r="HY313">
            <v>6</v>
          </cell>
          <cell r="HZ313" t="str">
            <v>ISO4217:USD</v>
          </cell>
          <cell r="IA313" t="b">
            <v>0</v>
          </cell>
          <cell r="IB313" t="b">
            <v>0</v>
          </cell>
        </row>
        <row r="314">
          <cell r="E314" t="str">
            <v>Income tax receivable, other</v>
          </cell>
          <cell r="HX314" t="str">
            <v>mstag:incomeTaxReceivableOther</v>
          </cell>
          <cell r="HY314">
            <v>6</v>
          </cell>
          <cell r="HZ314" t="str">
            <v>ISO4217:USD</v>
          </cell>
          <cell r="IA314" t="b">
            <v>0</v>
          </cell>
          <cell r="IB314" t="b">
            <v>0</v>
          </cell>
        </row>
        <row r="315">
          <cell r="D315" t="str">
            <v>Inventories</v>
          </cell>
          <cell r="G315">
            <v>116.026</v>
          </cell>
          <cell r="H315">
            <v>148.626</v>
          </cell>
          <cell r="I315">
            <v>275.245</v>
          </cell>
          <cell r="J315">
            <v>265.83000000000004</v>
          </cell>
          <cell r="K315">
            <v>356.94599999999997</v>
          </cell>
          <cell r="L315">
            <v>393.54200000000003</v>
          </cell>
          <cell r="M315">
            <v>469.64</v>
          </cell>
          <cell r="HX315" t="str">
            <v>mstag:inventories</v>
          </cell>
          <cell r="HY315">
            <v>6</v>
          </cell>
          <cell r="HZ315" t="str">
            <v>ISO4217:USD</v>
          </cell>
          <cell r="IA315" t="b">
            <v>0</v>
          </cell>
          <cell r="IB315" t="b">
            <v>0</v>
          </cell>
        </row>
        <row r="316">
          <cell r="E316" t="str">
            <v>Raw materials</v>
          </cell>
          <cell r="G316">
            <v>17.544</v>
          </cell>
          <cell r="H316">
            <v>21.414000000000001</v>
          </cell>
          <cell r="I316">
            <v>19.902999999999999</v>
          </cell>
          <cell r="J316">
            <v>17.620999999999999</v>
          </cell>
          <cell r="K316">
            <v>23.632999999999999</v>
          </cell>
          <cell r="L316">
            <v>30.181000000000001</v>
          </cell>
          <cell r="HX316" t="str">
            <v>mstag:rawMaterials</v>
          </cell>
          <cell r="HY316">
            <v>6</v>
          </cell>
          <cell r="HZ316" t="str">
            <v>ISO4217:USD</v>
          </cell>
          <cell r="IA316" t="b">
            <v>0</v>
          </cell>
          <cell r="IB316" t="b">
            <v>0</v>
          </cell>
        </row>
        <row r="317">
          <cell r="E317" t="str">
            <v>Production supplies</v>
          </cell>
          <cell r="HX317" t="str">
            <v>mstag:productionSupplies</v>
          </cell>
          <cell r="HY317">
            <v>6</v>
          </cell>
          <cell r="HZ317" t="str">
            <v>ISO4217:USD</v>
          </cell>
          <cell r="IA317" t="b">
            <v>0</v>
          </cell>
          <cell r="IB317" t="b">
            <v>0</v>
          </cell>
        </row>
        <row r="318">
          <cell r="E318" t="str">
            <v>Work in progress</v>
          </cell>
          <cell r="G318">
            <v>84.831000000000003</v>
          </cell>
          <cell r="H318">
            <v>106.383</v>
          </cell>
          <cell r="I318">
            <v>228.09200000000001</v>
          </cell>
          <cell r="J318">
            <v>233.12100000000001</v>
          </cell>
          <cell r="K318">
            <v>299.71699999999998</v>
          </cell>
          <cell r="L318">
            <v>329.81900000000002</v>
          </cell>
          <cell r="HX318" t="str">
            <v>mstag:workInProgress</v>
          </cell>
          <cell r="HY318">
            <v>6</v>
          </cell>
          <cell r="HZ318" t="str">
            <v>ISO4217:USD</v>
          </cell>
          <cell r="IA318" t="b">
            <v>0</v>
          </cell>
          <cell r="IB318" t="b">
            <v>0</v>
          </cell>
        </row>
        <row r="319">
          <cell r="E319" t="str">
            <v>Finished goods</v>
          </cell>
          <cell r="G319">
            <v>13.651</v>
          </cell>
          <cell r="H319">
            <v>20.829000000000001</v>
          </cell>
          <cell r="I319">
            <v>27.25</v>
          </cell>
          <cell r="J319">
            <v>15.087999999999999</v>
          </cell>
          <cell r="K319">
            <v>33.595999999999997</v>
          </cell>
          <cell r="L319">
            <v>33.542000000000002</v>
          </cell>
          <cell r="HX319" t="str">
            <v>mstag:finishedGoods</v>
          </cell>
          <cell r="HY319">
            <v>6</v>
          </cell>
          <cell r="HZ319" t="str">
            <v>ISO4217:USD</v>
          </cell>
          <cell r="IA319" t="b">
            <v>0</v>
          </cell>
          <cell r="IB319" t="b">
            <v>0</v>
          </cell>
        </row>
        <row r="320">
          <cell r="E320" t="str">
            <v>Other inventories</v>
          </cell>
          <cell r="HX320" t="str">
            <v>mstag:otherInventories</v>
          </cell>
          <cell r="HY320">
            <v>6</v>
          </cell>
          <cell r="HZ320" t="str">
            <v>ISO4217:USD</v>
          </cell>
          <cell r="IA320" t="b">
            <v>0</v>
          </cell>
          <cell r="IB320" t="b">
            <v>0</v>
          </cell>
        </row>
        <row r="321">
          <cell r="D321" t="str">
            <v>Property, plant, and equipment, net</v>
          </cell>
          <cell r="G321">
            <v>680.03399999999999</v>
          </cell>
          <cell r="H321">
            <v>696.68399999999997</v>
          </cell>
          <cell r="I321">
            <v>725.43099999999993</v>
          </cell>
          <cell r="J321">
            <v>734.43600000000004</v>
          </cell>
          <cell r="K321">
            <v>835.03599999999994</v>
          </cell>
          <cell r="L321">
            <v>1015.1449999999999</v>
          </cell>
          <cell r="M321">
            <v>3040.8</v>
          </cell>
          <cell r="HX321" t="str">
            <v>mstag:propertyPlantAndEquipmentNet</v>
          </cell>
          <cell r="HY321">
            <v>6</v>
          </cell>
          <cell r="HZ321" t="str">
            <v>ISO4217:USD</v>
          </cell>
          <cell r="IA321" t="b">
            <v>0</v>
          </cell>
          <cell r="IB321" t="b">
            <v>0</v>
          </cell>
        </row>
        <row r="322">
          <cell r="E322" t="str">
            <v>Property, plant, and equipment, gross</v>
          </cell>
          <cell r="G322">
            <v>1056.125</v>
          </cell>
          <cell r="H322">
            <v>1141.8989999999999</v>
          </cell>
          <cell r="I322">
            <v>1244.9269999999999</v>
          </cell>
          <cell r="J322">
            <v>1338.768</v>
          </cell>
          <cell r="K322">
            <v>1471.2629999999999</v>
          </cell>
          <cell r="L322">
            <v>1742.7569999999998</v>
          </cell>
          <cell r="M322" t="str">
            <v/>
          </cell>
          <cell r="HX322" t="str">
            <v>mstag:propertyPlantAndEquipmentGross</v>
          </cell>
          <cell r="HY322">
            <v>6</v>
          </cell>
          <cell r="HZ322" t="str">
            <v>ISO4217:USD</v>
          </cell>
          <cell r="IA322" t="b">
            <v>0</v>
          </cell>
          <cell r="IB322" t="b">
            <v>0</v>
          </cell>
        </row>
        <row r="323">
          <cell r="F323" t="str">
            <v>Property</v>
          </cell>
          <cell r="G323">
            <v>339.70800000000003</v>
          </cell>
          <cell r="H323">
            <v>378.13299999999998</v>
          </cell>
          <cell r="I323">
            <v>380.23599999999999</v>
          </cell>
          <cell r="J323">
            <v>392.11900000000003</v>
          </cell>
          <cell r="K323">
            <v>402.47300000000001</v>
          </cell>
          <cell r="L323">
            <v>422.79</v>
          </cell>
          <cell r="HX323" t="str">
            <v>mstag:property</v>
          </cell>
          <cell r="HY323">
            <v>6</v>
          </cell>
          <cell r="HZ323" t="str">
            <v>ISO4217:USD</v>
          </cell>
          <cell r="IA323" t="b">
            <v>0</v>
          </cell>
          <cell r="IB323" t="b">
            <v>0</v>
          </cell>
        </row>
        <row r="324">
          <cell r="F324" t="str">
            <v>Plant and equipment</v>
          </cell>
          <cell r="G324">
            <v>494.87400000000002</v>
          </cell>
          <cell r="H324">
            <v>607.36900000000003</v>
          </cell>
          <cell r="I324">
            <v>667.88400000000001</v>
          </cell>
          <cell r="J324">
            <v>761.69600000000003</v>
          </cell>
          <cell r="K324">
            <v>788.19799999999998</v>
          </cell>
          <cell r="L324">
            <v>880.62400000000002</v>
          </cell>
          <cell r="HX324" t="str">
            <v>mstag:plantAndEquipment</v>
          </cell>
          <cell r="HY324">
            <v>6</v>
          </cell>
          <cell r="HZ324" t="str">
            <v>ISO4217:USD</v>
          </cell>
          <cell r="IA324" t="b">
            <v>0</v>
          </cell>
          <cell r="IB324" t="b">
            <v>0</v>
          </cell>
        </row>
        <row r="325">
          <cell r="F325" t="str">
            <v>Land</v>
          </cell>
          <cell r="G325">
            <v>69.010000000000005</v>
          </cell>
          <cell r="H325">
            <v>69.436999999999998</v>
          </cell>
          <cell r="I325">
            <v>89.983000000000004</v>
          </cell>
          <cell r="J325">
            <v>90.274000000000001</v>
          </cell>
          <cell r="K325">
            <v>125.029</v>
          </cell>
          <cell r="L325">
            <v>149.53299999999999</v>
          </cell>
          <cell r="HX325" t="str">
            <v>mstag:land</v>
          </cell>
          <cell r="HY325">
            <v>6</v>
          </cell>
          <cell r="HZ325" t="str">
            <v>ISO4217:USD</v>
          </cell>
          <cell r="IA325" t="b">
            <v>0</v>
          </cell>
          <cell r="IB325" t="b">
            <v>0</v>
          </cell>
        </row>
        <row r="326">
          <cell r="F326" t="str">
            <v>Construction in progress</v>
          </cell>
          <cell r="G326">
            <v>152.53299999999999</v>
          </cell>
          <cell r="H326">
            <v>86.96</v>
          </cell>
          <cell r="I326">
            <v>106.824</v>
          </cell>
          <cell r="J326">
            <v>94.679000000000002</v>
          </cell>
          <cell r="K326">
            <v>155.56299999999999</v>
          </cell>
          <cell r="L326">
            <v>289.81</v>
          </cell>
          <cell r="HX326" t="str">
            <v>mstag:constructionInProgress</v>
          </cell>
          <cell r="HY326">
            <v>6</v>
          </cell>
          <cell r="HZ326" t="str">
            <v>ISO4217:USD</v>
          </cell>
          <cell r="IA326" t="b">
            <v>0</v>
          </cell>
          <cell r="IB326" t="b">
            <v>0</v>
          </cell>
        </row>
        <row r="327">
          <cell r="E327" t="str">
            <v>Accumulated depreciation</v>
          </cell>
          <cell r="G327">
            <v>376.09100000000001</v>
          </cell>
          <cell r="H327">
            <v>445.21499999999997</v>
          </cell>
          <cell r="I327">
            <v>519.49599999999998</v>
          </cell>
          <cell r="J327">
            <v>604.33199999999999</v>
          </cell>
          <cell r="K327">
            <v>636.22699999999998</v>
          </cell>
          <cell r="L327">
            <v>727.61199999999997</v>
          </cell>
          <cell r="HX327" t="str">
            <v>mstag:accumulatedDepreciation</v>
          </cell>
          <cell r="HY327">
            <v>6</v>
          </cell>
          <cell r="HZ327" t="str">
            <v>ISO4217:USD</v>
          </cell>
          <cell r="IA327" t="b">
            <v>0</v>
          </cell>
          <cell r="IB327" t="b">
            <v>0</v>
          </cell>
        </row>
        <row r="328">
          <cell r="D328" t="str">
            <v>Goodwill</v>
          </cell>
          <cell r="G328">
            <v>0</v>
          </cell>
          <cell r="H328">
            <v>0</v>
          </cell>
          <cell r="I328">
            <v>1609.0630000000001</v>
          </cell>
          <cell r="J328">
            <v>1455.7779999999998</v>
          </cell>
          <cell r="K328">
            <v>1302.4929999999999</v>
          </cell>
          <cell r="L328">
            <v>1315.019</v>
          </cell>
          <cell r="M328">
            <v>1315.09</v>
          </cell>
          <cell r="HX328" t="str">
            <v>mstag:goodwill</v>
          </cell>
          <cell r="HY328">
            <v>6</v>
          </cell>
          <cell r="HZ328" t="str">
            <v>ISO4217:USD</v>
          </cell>
          <cell r="IA328" t="b">
            <v>0</v>
          </cell>
          <cell r="IB328" t="b">
            <v>0</v>
          </cell>
        </row>
        <row r="329">
          <cell r="E329" t="str">
            <v>Gross goodwill</v>
          </cell>
          <cell r="G329">
            <v>0</v>
          </cell>
          <cell r="H329">
            <v>0</v>
          </cell>
          <cell r="I329">
            <v>2299.2719999999999</v>
          </cell>
          <cell r="J329">
            <v>2299.2719999999999</v>
          </cell>
          <cell r="K329">
            <v>1302.4929999999999</v>
          </cell>
          <cell r="L329">
            <v>1315.019</v>
          </cell>
          <cell r="HX329" t="str">
            <v>mstag:grossGoodwill</v>
          </cell>
          <cell r="HY329">
            <v>6</v>
          </cell>
          <cell r="HZ329" t="str">
            <v>ISO4217:USD</v>
          </cell>
          <cell r="IA329" t="b">
            <v>0</v>
          </cell>
          <cell r="IB329" t="b">
            <v>0</v>
          </cell>
        </row>
        <row r="330">
          <cell r="E330" t="str">
            <v>Accumulated amortization of goodwill</v>
          </cell>
          <cell r="G330">
            <v>0</v>
          </cell>
          <cell r="H330">
            <v>0</v>
          </cell>
          <cell r="I330">
            <v>690.20899999999995</v>
          </cell>
          <cell r="J330">
            <v>843.49400000000003</v>
          </cell>
          <cell r="K330">
            <v>0</v>
          </cell>
          <cell r="L330">
            <v>0</v>
          </cell>
          <cell r="HX330" t="str">
            <v>mstag:accumulatedAmortizationOfGoodwill</v>
          </cell>
          <cell r="HY330">
            <v>6</v>
          </cell>
          <cell r="HZ330" t="str">
            <v>ISO4217:USD</v>
          </cell>
          <cell r="IA330" t="b">
            <v>0</v>
          </cell>
          <cell r="IB330" t="b">
            <v>0</v>
          </cell>
        </row>
        <row r="331">
          <cell r="D331" t="str">
            <v>Other intangible assets</v>
          </cell>
          <cell r="G331">
            <v>0</v>
          </cell>
          <cell r="H331">
            <v>65.033000000000001</v>
          </cell>
          <cell r="I331">
            <v>1453.268</v>
          </cell>
          <cell r="J331">
            <v>1280.3589999999999</v>
          </cell>
          <cell r="K331">
            <v>1113.299</v>
          </cell>
          <cell r="L331">
            <v>927.53800000000001</v>
          </cell>
          <cell r="M331">
            <v>810.81</v>
          </cell>
          <cell r="HX331" t="str">
            <v>mstag:otherIntangibleAssets</v>
          </cell>
          <cell r="HY331">
            <v>6</v>
          </cell>
          <cell r="HZ331" t="str">
            <v>ISO4217:USD</v>
          </cell>
          <cell r="IA331" t="b">
            <v>0</v>
          </cell>
          <cell r="IB331" t="b">
            <v>0</v>
          </cell>
        </row>
        <row r="332">
          <cell r="E332" t="str">
            <v>Other finite life intangible assets</v>
          </cell>
          <cell r="G332">
            <v>0</v>
          </cell>
          <cell r="H332">
            <v>65.033000000000001</v>
          </cell>
          <cell r="I332">
            <v>1453.268</v>
          </cell>
          <cell r="J332">
            <v>1280.3589999999999</v>
          </cell>
          <cell r="K332">
            <v>1113.299</v>
          </cell>
          <cell r="L332">
            <v>927.53800000000001</v>
          </cell>
          <cell r="HX332" t="str">
            <v>mstag:otherFiniteLifeIntangibleAssets</v>
          </cell>
          <cell r="HY332">
            <v>6</v>
          </cell>
          <cell r="HZ332" t="str">
            <v>ISO4217:USD</v>
          </cell>
          <cell r="IA332" t="b">
            <v>0</v>
          </cell>
          <cell r="IB332" t="b">
            <v>0</v>
          </cell>
        </row>
        <row r="333">
          <cell r="E333" t="str">
            <v>Other indefinite life intangible assets</v>
          </cell>
          <cell r="HX333" t="str">
            <v>mstag:otherIndefiniteLifeIntangibleAssets</v>
          </cell>
          <cell r="HY333">
            <v>6</v>
          </cell>
          <cell r="HZ333" t="str">
            <v>ISO4217:USD</v>
          </cell>
          <cell r="IA333" t="b">
            <v>0</v>
          </cell>
          <cell r="IB333" t="b">
            <v>0</v>
          </cell>
        </row>
        <row r="334">
          <cell r="D334" t="str">
            <v>Investments, nonoperating</v>
          </cell>
          <cell r="G334">
            <v>1042.0409999999999</v>
          </cell>
          <cell r="H334">
            <v>1323.432</v>
          </cell>
          <cell r="I334">
            <v>1563.16</v>
          </cell>
          <cell r="J334">
            <v>1851.3900000000003</v>
          </cell>
          <cell r="K334">
            <v>2469.6880000000001</v>
          </cell>
          <cell r="L334">
            <v>1393.7280000000001</v>
          </cell>
          <cell r="M334">
            <v>1139.6199999999999</v>
          </cell>
          <cell r="HX334" t="str">
            <v>mstag:investmentsNonOperating</v>
          </cell>
          <cell r="HY334">
            <v>6</v>
          </cell>
          <cell r="HZ334" t="str">
            <v>ISO4217:USD</v>
          </cell>
          <cell r="IA334" t="b">
            <v>0</v>
          </cell>
          <cell r="IB334" t="b">
            <v>0</v>
          </cell>
        </row>
        <row r="335">
          <cell r="E335" t="str">
            <v>Short-term investments</v>
          </cell>
          <cell r="G335">
            <v>588.85299999999995</v>
          </cell>
          <cell r="H335">
            <v>606.54399999999998</v>
          </cell>
          <cell r="I335">
            <v>405.00299999999999</v>
          </cell>
          <cell r="J335">
            <v>642.47500000000002</v>
          </cell>
          <cell r="K335">
            <v>952.875</v>
          </cell>
          <cell r="L335">
            <v>826.44200000000001</v>
          </cell>
          <cell r="HX335" t="str">
            <v>mstag:shortTermInvestments</v>
          </cell>
          <cell r="HY335">
            <v>6</v>
          </cell>
          <cell r="HZ335" t="str">
            <v>ISO4217:USD</v>
          </cell>
          <cell r="IA335" t="b">
            <v>0</v>
          </cell>
          <cell r="IB335" t="b">
            <v>0</v>
          </cell>
        </row>
        <row r="336">
          <cell r="E336" t="str">
            <v>Long-term investments, nonoperating</v>
          </cell>
          <cell r="G336">
            <v>453.18799999999999</v>
          </cell>
          <cell r="H336">
            <v>716.88800000000003</v>
          </cell>
          <cell r="I336">
            <v>1158.1570000000002</v>
          </cell>
          <cell r="J336">
            <v>1208.9150000000002</v>
          </cell>
          <cell r="K336">
            <v>1516.8130000000001</v>
          </cell>
          <cell r="L336">
            <v>567.28599999999994</v>
          </cell>
          <cell r="HX336" t="str">
            <v>mstag:longTermInvestmentsNonOperating</v>
          </cell>
          <cell r="HY336">
            <v>6</v>
          </cell>
          <cell r="HZ336" t="str">
            <v>ISO4217:USD</v>
          </cell>
          <cell r="IA336" t="b">
            <v>0</v>
          </cell>
          <cell r="IB336" t="b">
            <v>0</v>
          </cell>
        </row>
        <row r="337">
          <cell r="D337" t="str">
            <v>Investments under the equity method, operating</v>
          </cell>
          <cell r="G337" t="str">
            <v/>
          </cell>
          <cell r="H337" t="str">
            <v/>
          </cell>
          <cell r="I337" t="str">
            <v/>
          </cell>
          <cell r="J337" t="str">
            <v/>
          </cell>
          <cell r="K337" t="str">
            <v/>
          </cell>
          <cell r="L337" t="str">
            <v/>
          </cell>
          <cell r="M337" t="str">
            <v/>
          </cell>
          <cell r="HX337" t="str">
            <v>mstag:investmentsUnderTheEquityMethodOperating</v>
          </cell>
          <cell r="HY337">
            <v>6</v>
          </cell>
          <cell r="HZ337" t="str">
            <v>ISO4217:USD</v>
          </cell>
          <cell r="IA337" t="b">
            <v>0</v>
          </cell>
          <cell r="IB337" t="b">
            <v>0</v>
          </cell>
        </row>
        <row r="338">
          <cell r="E338" t="str">
            <v>Investments in subsidiaries</v>
          </cell>
          <cell r="HX338" t="str">
            <v>mstag:investmentsInSubsidiaries</v>
          </cell>
          <cell r="HY338">
            <v>6</v>
          </cell>
          <cell r="HZ338" t="str">
            <v>ISO4217:USD</v>
          </cell>
          <cell r="IA338" t="b">
            <v>0</v>
          </cell>
          <cell r="IB338" t="b">
            <v>0</v>
          </cell>
        </row>
        <row r="339">
          <cell r="E339" t="str">
            <v>Investments in associates</v>
          </cell>
          <cell r="HX339" t="str">
            <v>mstag:investmentsInAssociates</v>
          </cell>
          <cell r="HY339">
            <v>6</v>
          </cell>
          <cell r="HZ339" t="str">
            <v>ISO4217:USD</v>
          </cell>
          <cell r="IA339" t="b">
            <v>0</v>
          </cell>
          <cell r="IB339" t="b">
            <v>0</v>
          </cell>
        </row>
        <row r="340">
          <cell r="E340" t="str">
            <v>Investments in joint ventures</v>
          </cell>
          <cell r="HX340" t="str">
            <v>mstag:investmentsInJointVentures</v>
          </cell>
          <cell r="HY340">
            <v>6</v>
          </cell>
          <cell r="HZ340" t="str">
            <v>ISO4217:USD</v>
          </cell>
          <cell r="IA340" t="b">
            <v>0</v>
          </cell>
          <cell r="IB340" t="b">
            <v>0</v>
          </cell>
        </row>
        <row r="341">
          <cell r="D341" t="str">
            <v>Investments under the equity method, nonoperating</v>
          </cell>
          <cell r="HX341" t="str">
            <v>mstag:investmentsUnderTheEquityMethodNonOperating</v>
          </cell>
          <cell r="HY341">
            <v>6</v>
          </cell>
          <cell r="HZ341" t="str">
            <v>ISO4217:USD</v>
          </cell>
          <cell r="IA341" t="b">
            <v>0</v>
          </cell>
          <cell r="IB341" t="b">
            <v>0</v>
          </cell>
        </row>
        <row r="342">
          <cell r="D342" t="str">
            <v>Deferred tax assets</v>
          </cell>
          <cell r="G342">
            <v>0</v>
          </cell>
          <cell r="H342">
            <v>38.848999999999997</v>
          </cell>
          <cell r="I342">
            <v>81.921999999999997</v>
          </cell>
          <cell r="J342">
            <v>40.619</v>
          </cell>
          <cell r="K342">
            <v>139.56700000000001</v>
          </cell>
          <cell r="L342">
            <v>82.299000000000007</v>
          </cell>
          <cell r="M342">
            <v>121.88500000000001</v>
          </cell>
          <cell r="HX342" t="str">
            <v>mstag:deferredTaxAssets</v>
          </cell>
          <cell r="HY342">
            <v>6</v>
          </cell>
          <cell r="HZ342" t="str">
            <v>ISO4217:USD</v>
          </cell>
          <cell r="IA342" t="b">
            <v>0</v>
          </cell>
          <cell r="IB342" t="b">
            <v>0</v>
          </cell>
        </row>
        <row r="343">
          <cell r="E343" t="str">
            <v>Deferred tax assets, current</v>
          </cell>
          <cell r="G343">
            <v>0</v>
          </cell>
          <cell r="H343">
            <v>38.848999999999997</v>
          </cell>
          <cell r="I343">
            <v>81.921999999999997</v>
          </cell>
          <cell r="J343">
            <v>40.619</v>
          </cell>
          <cell r="K343">
            <v>139.56700000000001</v>
          </cell>
          <cell r="L343">
            <v>82.299000000000007</v>
          </cell>
          <cell r="HX343" t="str">
            <v>mstag:deferredTaxAssetsCurrent</v>
          </cell>
          <cell r="HY343">
            <v>6</v>
          </cell>
          <cell r="HZ343" t="str">
            <v>ISO4217:USD</v>
          </cell>
          <cell r="IA343" t="b">
            <v>0</v>
          </cell>
          <cell r="IB343" t="b">
            <v>0</v>
          </cell>
        </row>
        <row r="344">
          <cell r="E344" t="str">
            <v>Deferred tax assets, noncurrent</v>
          </cell>
          <cell r="HX344" t="str">
            <v>mstag:deferredTaxAssetsNonCurrent</v>
          </cell>
          <cell r="HY344">
            <v>6</v>
          </cell>
          <cell r="HZ344" t="str">
            <v>ISO4217:USD</v>
          </cell>
          <cell r="IA344" t="b">
            <v>0</v>
          </cell>
          <cell r="IB344" t="b">
            <v>0</v>
          </cell>
        </row>
        <row r="345">
          <cell r="D345" t="str">
            <v>Pension and other postretirement assets</v>
          </cell>
          <cell r="HX345" t="str">
            <v>mstag:pensionAndOtherPostRetirementAssets</v>
          </cell>
          <cell r="HY345">
            <v>6</v>
          </cell>
          <cell r="HZ345" t="str">
            <v>ISO4217:USD</v>
          </cell>
          <cell r="IA345" t="b">
            <v>0</v>
          </cell>
          <cell r="IB345" t="b">
            <v>0</v>
          </cell>
        </row>
        <row r="346">
          <cell r="D346" t="str">
            <v>Investment in own shares, asset</v>
          </cell>
          <cell r="G346" t="str">
            <v/>
          </cell>
          <cell r="H346" t="str">
            <v/>
          </cell>
          <cell r="I346" t="str">
            <v/>
          </cell>
          <cell r="J346" t="str">
            <v/>
          </cell>
          <cell r="K346" t="str">
            <v/>
          </cell>
          <cell r="L346" t="str">
            <v/>
          </cell>
          <cell r="M346" t="str">
            <v/>
          </cell>
          <cell r="HX346" t="str">
            <v>mstag:investmentInOwnSharesAsset</v>
          </cell>
          <cell r="HY346">
            <v>6</v>
          </cell>
          <cell r="HZ346" t="str">
            <v>ISO4217:USD</v>
          </cell>
          <cell r="IA346" t="b">
            <v>0</v>
          </cell>
          <cell r="IB346" t="b">
            <v>0</v>
          </cell>
        </row>
        <row r="347">
          <cell r="E347" t="str">
            <v>Investment in ESOP trusts</v>
          </cell>
          <cell r="HX347" t="str">
            <v>mstag:investmentInEsopTrusts</v>
          </cell>
          <cell r="HY347">
            <v>6</v>
          </cell>
          <cell r="HZ347" t="str">
            <v>ISO4217:USD</v>
          </cell>
          <cell r="IA347" t="b">
            <v>0</v>
          </cell>
          <cell r="IB347" t="b">
            <v>0</v>
          </cell>
        </row>
        <row r="348">
          <cell r="D348" t="str">
            <v>Other assets, operating</v>
          </cell>
          <cell r="G348">
            <v>180.47200000000001</v>
          </cell>
          <cell r="H348">
            <v>134.839</v>
          </cell>
          <cell r="I348">
            <v>262.35599999999999</v>
          </cell>
          <cell r="J348">
            <v>243.51399999999998</v>
          </cell>
          <cell r="K348">
            <v>180.42099999999999</v>
          </cell>
          <cell r="L348">
            <v>953.49500000000012</v>
          </cell>
          <cell r="M348" t="str">
            <v/>
          </cell>
          <cell r="HX348" t="str">
            <v>mstag:otherAssets</v>
          </cell>
          <cell r="HY348">
            <v>6</v>
          </cell>
          <cell r="HZ348" t="str">
            <v>ISO4217:USD</v>
          </cell>
          <cell r="IA348" t="b">
            <v>0</v>
          </cell>
          <cell r="IB348" t="b">
            <v>0</v>
          </cell>
        </row>
        <row r="349">
          <cell r="E349" t="str">
            <v>Other assets, operating, current</v>
          </cell>
          <cell r="G349">
            <v>0</v>
          </cell>
          <cell r="H349">
            <v>0</v>
          </cell>
          <cell r="I349">
            <v>56.6</v>
          </cell>
          <cell r="J349">
            <v>56.6</v>
          </cell>
          <cell r="K349">
            <v>79.167000000000002</v>
          </cell>
          <cell r="L349">
            <v>789.74800000000005</v>
          </cell>
          <cell r="HX349" t="str">
            <v>mstag:otherAssetsOperatingCurrent</v>
          </cell>
          <cell r="HY349">
            <v>6</v>
          </cell>
          <cell r="HZ349" t="str">
            <v>ISO4217:USD</v>
          </cell>
          <cell r="IA349" t="b">
            <v>0</v>
          </cell>
          <cell r="IB349" t="b">
            <v>0</v>
          </cell>
        </row>
        <row r="350">
          <cell r="E350" t="str">
            <v>Other assets, operating, noncurrent</v>
          </cell>
          <cell r="G350">
            <v>180.47200000000001</v>
          </cell>
          <cell r="H350">
            <v>134.839</v>
          </cell>
          <cell r="I350">
            <v>205.756</v>
          </cell>
          <cell r="J350">
            <v>186.91399999999999</v>
          </cell>
          <cell r="K350">
            <v>101.254</v>
          </cell>
          <cell r="L350">
            <v>163.74700000000001</v>
          </cell>
          <cell r="HX350" t="str">
            <v>mstag:otherAssetsOperatingNonCurrent</v>
          </cell>
          <cell r="HY350">
            <v>6</v>
          </cell>
          <cell r="HZ350" t="str">
            <v>ISO4217:USD</v>
          </cell>
          <cell r="IA350" t="b">
            <v>0</v>
          </cell>
          <cell r="IB350" t="b">
            <v>0</v>
          </cell>
        </row>
        <row r="351">
          <cell r="D351" t="str">
            <v>Other assets, nonoperating</v>
          </cell>
          <cell r="G351" t="str">
            <v/>
          </cell>
          <cell r="H351" t="str">
            <v/>
          </cell>
          <cell r="I351" t="str">
            <v/>
          </cell>
          <cell r="J351" t="str">
            <v/>
          </cell>
          <cell r="K351" t="str">
            <v/>
          </cell>
          <cell r="L351" t="str">
            <v/>
          </cell>
          <cell r="M351">
            <v>812.7</v>
          </cell>
          <cell r="HX351" t="str">
            <v>mstag:otherAssetsNonOperating</v>
          </cell>
          <cell r="HY351">
            <v>6</v>
          </cell>
          <cell r="HZ351" t="str">
            <v>ISO4217:USD</v>
          </cell>
          <cell r="IA351" t="b">
            <v>0</v>
          </cell>
          <cell r="IB351" t="b">
            <v>0</v>
          </cell>
        </row>
        <row r="352">
          <cell r="E352" t="str">
            <v>Other assets, nonoperating, current</v>
          </cell>
          <cell r="HX352" t="str">
            <v>mstag:otherAssetsNonOperatingCurrent</v>
          </cell>
          <cell r="HY352">
            <v>6</v>
          </cell>
          <cell r="HZ352" t="str">
            <v>ISO4217:USD</v>
          </cell>
          <cell r="IA352" t="b">
            <v>0</v>
          </cell>
          <cell r="IB352" t="b">
            <v>0</v>
          </cell>
        </row>
        <row r="353">
          <cell r="E353" t="str">
            <v>Other assets, nonoperating, noncurrent</v>
          </cell>
          <cell r="HX353" t="str">
            <v>mstag:otherAssetsNonOperatingNonCurrent</v>
          </cell>
          <cell r="HY353">
            <v>6</v>
          </cell>
          <cell r="HZ353" t="str">
            <v>ISO4217:USD</v>
          </cell>
          <cell r="IA353" t="b">
            <v>0</v>
          </cell>
          <cell r="IB353" t="b">
            <v>0</v>
          </cell>
        </row>
        <row r="354">
          <cell r="D354" t="str">
            <v>Assets of discontinued operations</v>
          </cell>
          <cell r="HX354" t="str">
            <v>mstag:assetsOfDiscontinuedOperations</v>
          </cell>
          <cell r="HY354">
            <v>6</v>
          </cell>
          <cell r="HZ354" t="str">
            <v>ISO4217:USD</v>
          </cell>
          <cell r="IA354" t="b">
            <v>0</v>
          </cell>
          <cell r="IB354" t="b">
            <v>0</v>
          </cell>
        </row>
        <row r="355">
          <cell r="C355" t="str">
            <v>Liabilities and equity</v>
          </cell>
          <cell r="M355">
            <v>8736.0156437000005</v>
          </cell>
          <cell r="HX355" t="str">
            <v>mstag:liabilitiesAndEquity</v>
          </cell>
          <cell r="HY355">
            <v>6</v>
          </cell>
          <cell r="HZ355" t="str">
            <v>ISO4217:USD</v>
          </cell>
          <cell r="IA355" t="b">
            <v>0</v>
          </cell>
          <cell r="IB355" t="b">
            <v>0</v>
          </cell>
        </row>
        <row r="356">
          <cell r="D356" t="str">
            <v>Trade and other payables</v>
          </cell>
          <cell r="G356">
            <v>48.991999999999997</v>
          </cell>
          <cell r="H356">
            <v>40.895000000000003</v>
          </cell>
          <cell r="I356">
            <v>33.122999999999998</v>
          </cell>
          <cell r="J356">
            <v>39.113999999999997</v>
          </cell>
          <cell r="K356">
            <v>33.347999999999999</v>
          </cell>
          <cell r="L356">
            <v>51.38</v>
          </cell>
          <cell r="M356">
            <v>59.7</v>
          </cell>
          <cell r="HX356" t="str">
            <v>mstag:tradeAndOtherPayables</v>
          </cell>
          <cell r="HY356">
            <v>6</v>
          </cell>
          <cell r="HZ356" t="str">
            <v>ISO4217:USD</v>
          </cell>
          <cell r="IA356" t="b">
            <v>0</v>
          </cell>
          <cell r="IB356" t="b">
            <v>0</v>
          </cell>
        </row>
        <row r="357">
          <cell r="E357" t="str">
            <v>Trade and other payables, current</v>
          </cell>
          <cell r="G357">
            <v>48.991999999999997</v>
          </cell>
          <cell r="H357">
            <v>40.895000000000003</v>
          </cell>
          <cell r="I357">
            <v>33.122999999999998</v>
          </cell>
          <cell r="J357">
            <v>39.113999999999997</v>
          </cell>
          <cell r="K357">
            <v>33.347999999999999</v>
          </cell>
          <cell r="L357">
            <v>51.38</v>
          </cell>
          <cell r="M357" t="str">
            <v/>
          </cell>
          <cell r="HX357" t="str">
            <v>mstag:tradeAndOtherPayablesCurrent</v>
          </cell>
          <cell r="HY357">
            <v>6</v>
          </cell>
          <cell r="HZ357" t="str">
            <v>ISO4217:USD</v>
          </cell>
          <cell r="IA357" t="b">
            <v>0</v>
          </cell>
          <cell r="IB357" t="b">
            <v>0</v>
          </cell>
        </row>
        <row r="358">
          <cell r="F358" t="str">
            <v>Trade payables, current</v>
          </cell>
          <cell r="G358">
            <v>48.991999999999997</v>
          </cell>
          <cell r="H358">
            <v>40.895000000000003</v>
          </cell>
          <cell r="I358">
            <v>33.122999999999998</v>
          </cell>
          <cell r="J358">
            <v>39.113999999999997</v>
          </cell>
          <cell r="K358">
            <v>33.347999999999999</v>
          </cell>
          <cell r="L358">
            <v>51.38</v>
          </cell>
          <cell r="HX358" t="str">
            <v>mstag:tradePayablesCurrent</v>
          </cell>
          <cell r="HY358">
            <v>6</v>
          </cell>
          <cell r="HZ358" t="str">
            <v>ISO4217:USD</v>
          </cell>
          <cell r="IA358" t="b">
            <v>0</v>
          </cell>
          <cell r="IB358" t="b">
            <v>0</v>
          </cell>
        </row>
        <row r="359">
          <cell r="F359" t="str">
            <v>Other payables, current</v>
          </cell>
          <cell r="HX359" t="str">
            <v>mstag:otherPayablesCurrent</v>
          </cell>
          <cell r="HY359">
            <v>6</v>
          </cell>
          <cell r="HZ359" t="str">
            <v>ISO4217:USD</v>
          </cell>
          <cell r="IA359" t="b">
            <v>0</v>
          </cell>
          <cell r="IB359" t="b">
            <v>0</v>
          </cell>
        </row>
        <row r="360">
          <cell r="E360" t="str">
            <v>Trade and other payables, noncurrent</v>
          </cell>
          <cell r="G360" t="str">
            <v/>
          </cell>
          <cell r="H360" t="str">
            <v/>
          </cell>
          <cell r="I360" t="str">
            <v/>
          </cell>
          <cell r="J360" t="str">
            <v/>
          </cell>
          <cell r="K360" t="str">
            <v/>
          </cell>
          <cell r="L360" t="str">
            <v/>
          </cell>
          <cell r="M360" t="str">
            <v/>
          </cell>
          <cell r="HX360" t="str">
            <v>mstag:tradeAndOtherPayablesNonCurrent</v>
          </cell>
          <cell r="HY360">
            <v>6</v>
          </cell>
          <cell r="HZ360" t="str">
            <v>ISO4217:USD</v>
          </cell>
          <cell r="IA360" t="b">
            <v>0</v>
          </cell>
          <cell r="IB360" t="b">
            <v>0</v>
          </cell>
        </row>
        <row r="361">
          <cell r="F361" t="str">
            <v>Trade payables, noncurrent</v>
          </cell>
          <cell r="HX361" t="str">
            <v>mstag:tradePayablesNonCurrent</v>
          </cell>
          <cell r="HY361">
            <v>6</v>
          </cell>
          <cell r="HZ361" t="str">
            <v>ISO4217:USD</v>
          </cell>
          <cell r="IA361" t="b">
            <v>0</v>
          </cell>
          <cell r="IB361" t="b">
            <v>0</v>
          </cell>
        </row>
        <row r="362">
          <cell r="F362" t="str">
            <v>Other payables, noncurrent</v>
          </cell>
          <cell r="HX362" t="str">
            <v>mstag:otherPayablesNonCurrent</v>
          </cell>
          <cell r="HY362">
            <v>6</v>
          </cell>
          <cell r="HZ362" t="str">
            <v>ISO4217:USD</v>
          </cell>
          <cell r="IA362" t="b">
            <v>0</v>
          </cell>
          <cell r="IB362" t="b">
            <v>0</v>
          </cell>
        </row>
        <row r="363">
          <cell r="D363" t="str">
            <v>Dividends payable</v>
          </cell>
          <cell r="HX363" t="str">
            <v>mstag:dividendsPayable</v>
          </cell>
          <cell r="HY363">
            <v>6</v>
          </cell>
          <cell r="HZ363" t="str">
            <v>ISO4217:USD</v>
          </cell>
          <cell r="IA363" t="b">
            <v>0</v>
          </cell>
          <cell r="IB363" t="b">
            <v>0</v>
          </cell>
        </row>
        <row r="364">
          <cell r="D364" t="str">
            <v>Short-term borrowings, up to 1 year</v>
          </cell>
          <cell r="G364">
            <v>0</v>
          </cell>
          <cell r="H364">
            <v>0</v>
          </cell>
          <cell r="I364">
            <v>0</v>
          </cell>
          <cell r="J364">
            <v>0</v>
          </cell>
          <cell r="K364">
            <v>149.69200000000001</v>
          </cell>
          <cell r="L364">
            <v>0</v>
          </cell>
          <cell r="HX364" t="str">
            <v>mstag:shortTermBorrowings</v>
          </cell>
          <cell r="HY364">
            <v>6</v>
          </cell>
          <cell r="HZ364" t="str">
            <v>ISO4217:USD</v>
          </cell>
          <cell r="IA364" t="b">
            <v>0</v>
          </cell>
          <cell r="IB364" t="b">
            <v>0</v>
          </cell>
        </row>
        <row r="365">
          <cell r="D365" t="str">
            <v>Other interest bearing liabilities</v>
          </cell>
          <cell r="G365" t="str">
            <v/>
          </cell>
          <cell r="H365" t="str">
            <v/>
          </cell>
          <cell r="I365" t="str">
            <v/>
          </cell>
          <cell r="J365" t="str">
            <v/>
          </cell>
          <cell r="K365" t="str">
            <v/>
          </cell>
          <cell r="L365" t="str">
            <v/>
          </cell>
          <cell r="M365" t="str">
            <v/>
          </cell>
          <cell r="HX365" t="str">
            <v>mstag:otherInterestBearingLiabilities</v>
          </cell>
          <cell r="HY365">
            <v>6</v>
          </cell>
          <cell r="HZ365" t="str">
            <v>ISO4217:USD</v>
          </cell>
          <cell r="IA365" t="b">
            <v>0</v>
          </cell>
          <cell r="IB365" t="b">
            <v>0</v>
          </cell>
        </row>
        <row r="366">
          <cell r="E366" t="str">
            <v>Asset retirement obligations</v>
          </cell>
          <cell r="HX366" t="str">
            <v>mstag:assetRetirementObligations</v>
          </cell>
          <cell r="HY366">
            <v>6</v>
          </cell>
          <cell r="HZ366" t="str">
            <v>ISO4217:USD</v>
          </cell>
          <cell r="IA366" t="b">
            <v>0</v>
          </cell>
          <cell r="IB366" t="b">
            <v>0</v>
          </cell>
        </row>
        <row r="367">
          <cell r="E367" t="str">
            <v>Decommissioning, restoration, and similar liabilities</v>
          </cell>
          <cell r="HX367" t="str">
            <v>mstag:decommissioningRestorationAndSimilarLiabilities</v>
          </cell>
          <cell r="HY367">
            <v>6</v>
          </cell>
          <cell r="HZ367" t="str">
            <v>ISO4217:USD</v>
          </cell>
          <cell r="IA367" t="b">
            <v>0</v>
          </cell>
          <cell r="IB367" t="b">
            <v>0</v>
          </cell>
        </row>
        <row r="368">
          <cell r="E368" t="str">
            <v>Environmental liabilities, interest bearing</v>
          </cell>
          <cell r="HX368" t="str">
            <v>mstag:environmentalLiabilitiesInterestBearing</v>
          </cell>
          <cell r="HY368">
            <v>6</v>
          </cell>
          <cell r="HZ368" t="str">
            <v>ISO4217:USD</v>
          </cell>
          <cell r="IA368" t="b">
            <v>0</v>
          </cell>
          <cell r="IB368" t="b">
            <v>0</v>
          </cell>
        </row>
        <row r="369">
          <cell r="E369" t="str">
            <v>Other interest bearing provisions</v>
          </cell>
          <cell r="HX369" t="str">
            <v>mstag:otherInterestBearingProvisions</v>
          </cell>
          <cell r="HY369">
            <v>6</v>
          </cell>
          <cell r="HZ369" t="str">
            <v>ISO4217:USD</v>
          </cell>
          <cell r="IA369" t="b">
            <v>0</v>
          </cell>
          <cell r="IB369" t="b">
            <v>0</v>
          </cell>
        </row>
        <row r="370">
          <cell r="D370" t="str">
            <v>Income tax payable</v>
          </cell>
          <cell r="G370">
            <v>40.292999999999999</v>
          </cell>
          <cell r="H370">
            <v>46.447000000000003</v>
          </cell>
          <cell r="I370">
            <v>0</v>
          </cell>
          <cell r="J370">
            <v>29.021999999999998</v>
          </cell>
          <cell r="K370">
            <v>64.227000000000004</v>
          </cell>
          <cell r="L370">
            <v>85.405000000000001</v>
          </cell>
          <cell r="M370" t="str">
            <v/>
          </cell>
          <cell r="HX370" t="str">
            <v>mstag:incomeTaxPayable</v>
          </cell>
          <cell r="HY370">
            <v>6</v>
          </cell>
          <cell r="HZ370" t="str">
            <v>ISO4217:USD</v>
          </cell>
          <cell r="IA370" t="b">
            <v>0</v>
          </cell>
          <cell r="IB370" t="b">
            <v>0</v>
          </cell>
        </row>
        <row r="371">
          <cell r="E371" t="str">
            <v>Income tax payable, operating</v>
          </cell>
          <cell r="G371">
            <v>40.292999999999999</v>
          </cell>
          <cell r="H371">
            <v>46.447000000000003</v>
          </cell>
          <cell r="I371">
            <v>0</v>
          </cell>
          <cell r="J371">
            <v>29.021999999999998</v>
          </cell>
          <cell r="K371">
            <v>64.227000000000004</v>
          </cell>
          <cell r="L371">
            <v>85.405000000000001</v>
          </cell>
          <cell r="HX371" t="str">
            <v>mstag:incomeTaxPayableOperating</v>
          </cell>
          <cell r="HY371">
            <v>6</v>
          </cell>
          <cell r="HZ371" t="str">
            <v>ISO4217:USD</v>
          </cell>
          <cell r="IA371" t="b">
            <v>0</v>
          </cell>
          <cell r="IB371" t="b">
            <v>0</v>
          </cell>
        </row>
        <row r="372">
          <cell r="E372" t="str">
            <v>Income tax payable, financing</v>
          </cell>
          <cell r="HX372" t="str">
            <v>mstag:incomeTaxPayableFinancing</v>
          </cell>
          <cell r="HY372">
            <v>6</v>
          </cell>
          <cell r="HZ372" t="str">
            <v>ISO4217:USD</v>
          </cell>
          <cell r="IA372" t="b">
            <v>0</v>
          </cell>
          <cell r="IB372" t="b">
            <v>0</v>
          </cell>
        </row>
        <row r="373">
          <cell r="E373" t="str">
            <v>Income tax payable, other</v>
          </cell>
          <cell r="HX373" t="str">
            <v>mstag:incomeTaxPayableOther</v>
          </cell>
          <cell r="HY373">
            <v>6</v>
          </cell>
          <cell r="HZ373" t="str">
            <v>ISO4217:USD</v>
          </cell>
          <cell r="IA373" t="b">
            <v>0</v>
          </cell>
          <cell r="IB373" t="b">
            <v>0</v>
          </cell>
        </row>
        <row r="374">
          <cell r="D374" t="str">
            <v>Accrued expenses</v>
          </cell>
          <cell r="G374">
            <v>129.167</v>
          </cell>
          <cell r="H374">
            <v>115.401</v>
          </cell>
          <cell r="I374">
            <v>346.31399999999996</v>
          </cell>
          <cell r="J374">
            <v>258.94800000000004</v>
          </cell>
          <cell r="K374">
            <v>274.63800000000003</v>
          </cell>
          <cell r="L374">
            <v>366.18299999999999</v>
          </cell>
          <cell r="M374">
            <v>765.85</v>
          </cell>
          <cell r="HX374" t="str">
            <v>mstag:accruedExpenses</v>
          </cell>
          <cell r="HY374">
            <v>6</v>
          </cell>
          <cell r="HZ374" t="str">
            <v>ISO4217:USD</v>
          </cell>
          <cell r="IA374" t="b">
            <v>0</v>
          </cell>
          <cell r="IB374" t="b">
            <v>0</v>
          </cell>
        </row>
        <row r="375">
          <cell r="E375" t="str">
            <v>Payroll and benefits-related liabilities</v>
          </cell>
          <cell r="G375">
            <v>44.624000000000002</v>
          </cell>
          <cell r="H375">
            <v>47.057000000000002</v>
          </cell>
          <cell r="I375">
            <v>52.005000000000003</v>
          </cell>
          <cell r="J375">
            <v>56.027999999999999</v>
          </cell>
          <cell r="K375">
            <v>63.103000000000002</v>
          </cell>
          <cell r="L375">
            <v>77.238</v>
          </cell>
          <cell r="HX375" t="str">
            <v>mstag:payrollAndBenefitsRelatedLiabilities</v>
          </cell>
          <cell r="HY375">
            <v>6</v>
          </cell>
          <cell r="HZ375" t="str">
            <v>ISO4217:USD</v>
          </cell>
          <cell r="IA375" t="b">
            <v>0</v>
          </cell>
          <cell r="IB375" t="b">
            <v>0</v>
          </cell>
        </row>
        <row r="376">
          <cell r="E376" t="str">
            <v>Accrued taxes, other than income tax</v>
          </cell>
          <cell r="HX376" t="str">
            <v>mstag:accruedTaxesOtherThanIncomeTax</v>
          </cell>
          <cell r="HY376">
            <v>6</v>
          </cell>
          <cell r="HZ376" t="str">
            <v>ISO4217:USD</v>
          </cell>
          <cell r="IA376" t="b">
            <v>0</v>
          </cell>
          <cell r="IB376" t="b">
            <v>0</v>
          </cell>
        </row>
        <row r="377">
          <cell r="E377" t="str">
            <v>Other accrued expenses</v>
          </cell>
          <cell r="G377">
            <v>84.543000000000006</v>
          </cell>
          <cell r="H377">
            <v>68.343999999999994</v>
          </cell>
          <cell r="I377">
            <v>294.30899999999997</v>
          </cell>
          <cell r="J377">
            <v>202.92000000000002</v>
          </cell>
          <cell r="K377">
            <v>211.53500000000003</v>
          </cell>
          <cell r="L377">
            <v>288.94499999999999</v>
          </cell>
          <cell r="HX377" t="str">
            <v>mstag:otherAccruedExpenses</v>
          </cell>
          <cell r="HY377">
            <v>6</v>
          </cell>
          <cell r="HZ377" t="str">
            <v>ISO4217:USD</v>
          </cell>
          <cell r="IA377" t="b">
            <v>0</v>
          </cell>
          <cell r="IB377" t="b">
            <v>0</v>
          </cell>
        </row>
        <row r="378">
          <cell r="D378" t="str">
            <v>Long-term debt, greater than 1 year</v>
          </cell>
          <cell r="G378">
            <v>150</v>
          </cell>
          <cell r="H378">
            <v>149.99</v>
          </cell>
          <cell r="I378">
            <v>149.708</v>
          </cell>
          <cell r="J378">
            <v>149.69200000000001</v>
          </cell>
          <cell r="K378">
            <v>0</v>
          </cell>
          <cell r="L378">
            <v>0</v>
          </cell>
          <cell r="M378">
            <v>412.25</v>
          </cell>
          <cell r="HX378" t="str">
            <v>mstag:longTermDebt</v>
          </cell>
          <cell r="HY378">
            <v>6</v>
          </cell>
          <cell r="HZ378" t="str">
            <v>ISO4217:USD</v>
          </cell>
          <cell r="IA378" t="b">
            <v>0</v>
          </cell>
          <cell r="IB378" t="b">
            <v>0</v>
          </cell>
        </row>
        <row r="379">
          <cell r="E379" t="str">
            <v>Senior debt</v>
          </cell>
          <cell r="HX379" t="str">
            <v>mstag:seniorDebtCi</v>
          </cell>
          <cell r="HY379">
            <v>6</v>
          </cell>
          <cell r="HZ379" t="str">
            <v>ISO4217:USD</v>
          </cell>
          <cell r="IA379" t="b">
            <v>0</v>
          </cell>
          <cell r="IB379" t="b">
            <v>0</v>
          </cell>
        </row>
        <row r="380">
          <cell r="E380" t="str">
            <v>Subordinated debt</v>
          </cell>
          <cell r="HX380" t="str">
            <v>mstag:subordinatedDebtBalSheetCi</v>
          </cell>
          <cell r="HY380">
            <v>6</v>
          </cell>
          <cell r="HZ380" t="str">
            <v>ISO4217:USD</v>
          </cell>
          <cell r="IA380" t="b">
            <v>0</v>
          </cell>
          <cell r="IB380" t="b">
            <v>0</v>
          </cell>
        </row>
        <row r="381">
          <cell r="E381" t="str">
            <v>Capital lease obligations</v>
          </cell>
          <cell r="HX381" t="str">
            <v>mstag:capitalLeaseObligationsCi</v>
          </cell>
          <cell r="HY381">
            <v>6</v>
          </cell>
          <cell r="HZ381" t="str">
            <v>ISO4217:USD</v>
          </cell>
          <cell r="IA381" t="b">
            <v>0</v>
          </cell>
          <cell r="IB381" t="b">
            <v>0</v>
          </cell>
        </row>
        <row r="382">
          <cell r="E382" t="str">
            <v>Other long-term debt</v>
          </cell>
          <cell r="G382">
            <v>150</v>
          </cell>
          <cell r="H382">
            <v>149.99</v>
          </cell>
          <cell r="I382">
            <v>149.708</v>
          </cell>
          <cell r="J382">
            <v>149.69200000000001</v>
          </cell>
          <cell r="K382">
            <v>0</v>
          </cell>
          <cell r="L382">
            <v>0</v>
          </cell>
          <cell r="HX382" t="str">
            <v>mstag:otherLongTermDebtCi</v>
          </cell>
          <cell r="HY382">
            <v>6</v>
          </cell>
          <cell r="HZ382" t="str">
            <v>ISO4217:USD</v>
          </cell>
          <cell r="IA382" t="b">
            <v>0</v>
          </cell>
          <cell r="IB382" t="b">
            <v>0</v>
          </cell>
        </row>
        <row r="383">
          <cell r="D383" t="str">
            <v>Provisions and reserves</v>
          </cell>
          <cell r="G383" t="str">
            <v/>
          </cell>
          <cell r="H383" t="str">
            <v/>
          </cell>
          <cell r="I383" t="str">
            <v/>
          </cell>
          <cell r="J383" t="str">
            <v/>
          </cell>
          <cell r="K383" t="str">
            <v/>
          </cell>
          <cell r="L383" t="str">
            <v/>
          </cell>
          <cell r="M383" t="str">
            <v/>
          </cell>
          <cell r="HX383" t="str">
            <v>mstag:provisionsAndReserves</v>
          </cell>
          <cell r="HY383">
            <v>6</v>
          </cell>
          <cell r="HZ383" t="str">
            <v>ISO4217:USD</v>
          </cell>
          <cell r="IA383" t="b">
            <v>0</v>
          </cell>
          <cell r="IB383" t="b">
            <v>0</v>
          </cell>
        </row>
        <row r="384">
          <cell r="E384" t="str">
            <v>Warranty provision</v>
          </cell>
          <cell r="HX384" t="str">
            <v>mstag:warrantyProvision</v>
          </cell>
          <cell r="HY384">
            <v>6</v>
          </cell>
          <cell r="HZ384" t="str">
            <v>ISO4217:USD</v>
          </cell>
          <cell r="IA384" t="b">
            <v>0</v>
          </cell>
          <cell r="IB384" t="b">
            <v>0</v>
          </cell>
        </row>
        <row r="385">
          <cell r="E385" t="str">
            <v>Restructuring provision</v>
          </cell>
          <cell r="HX385" t="str">
            <v>mstag:restructuringProvision</v>
          </cell>
          <cell r="HY385">
            <v>6</v>
          </cell>
          <cell r="HZ385" t="str">
            <v>ISO4217:USD</v>
          </cell>
          <cell r="IA385" t="b">
            <v>0</v>
          </cell>
          <cell r="IB385" t="b">
            <v>0</v>
          </cell>
        </row>
        <row r="386">
          <cell r="E386" t="str">
            <v>Legal proceedings provision</v>
          </cell>
          <cell r="HX386" t="str">
            <v>mstag:legalProceedingsProvision</v>
          </cell>
          <cell r="HY386">
            <v>6</v>
          </cell>
          <cell r="HZ386" t="str">
            <v>ISO4217:USD</v>
          </cell>
          <cell r="IA386" t="b">
            <v>0</v>
          </cell>
          <cell r="IB386" t="b">
            <v>0</v>
          </cell>
        </row>
        <row r="387">
          <cell r="E387" t="str">
            <v>Onerous contracts provision</v>
          </cell>
          <cell r="HX387" t="str">
            <v>mstag:onerousContractsProvision</v>
          </cell>
          <cell r="HY387">
            <v>6</v>
          </cell>
          <cell r="HZ387" t="str">
            <v>ISO4217:USD</v>
          </cell>
          <cell r="IA387" t="b">
            <v>0</v>
          </cell>
          <cell r="IB387" t="b">
            <v>0</v>
          </cell>
        </row>
        <row r="388">
          <cell r="E388" t="str">
            <v>Environmental liability</v>
          </cell>
          <cell r="HX388" t="str">
            <v>mstag:environmentalLiability</v>
          </cell>
          <cell r="HY388">
            <v>6</v>
          </cell>
          <cell r="HZ388" t="str">
            <v>ISO4217:USD</v>
          </cell>
          <cell r="IA388" t="b">
            <v>0</v>
          </cell>
          <cell r="IB388" t="b">
            <v>0</v>
          </cell>
        </row>
        <row r="389">
          <cell r="E389" t="str">
            <v>Asset retirement obligation</v>
          </cell>
          <cell r="HX389" t="str">
            <v>mstag:assetRetirementObligation</v>
          </cell>
          <cell r="HY389">
            <v>6</v>
          </cell>
          <cell r="HZ389" t="str">
            <v>ISO4217:USD</v>
          </cell>
          <cell r="IA389" t="b">
            <v>0</v>
          </cell>
          <cell r="IB389" t="b">
            <v>0</v>
          </cell>
        </row>
        <row r="390">
          <cell r="E390" t="str">
            <v>Other provisions</v>
          </cell>
          <cell r="HX390" t="str">
            <v>mstag:otherProvisions</v>
          </cell>
          <cell r="HY390">
            <v>6</v>
          </cell>
          <cell r="HZ390" t="str">
            <v>ISO4217:USD</v>
          </cell>
          <cell r="IA390" t="b">
            <v>0</v>
          </cell>
          <cell r="IB390" t="b">
            <v>0</v>
          </cell>
        </row>
        <row r="391">
          <cell r="D391" t="str">
            <v>Deferred tax liabilities</v>
          </cell>
          <cell r="G391">
            <v>0</v>
          </cell>
          <cell r="H391">
            <v>43.781999999999996</v>
          </cell>
          <cell r="I391">
            <v>626.46600000000001</v>
          </cell>
          <cell r="J391">
            <v>349.84800000000001</v>
          </cell>
          <cell r="K391">
            <v>447.80900000000003</v>
          </cell>
          <cell r="L391">
            <v>148.31399999999999</v>
          </cell>
          <cell r="M391">
            <v>26.055999999999997</v>
          </cell>
          <cell r="HX391" t="str">
            <v>mstag:deferredTaxLiabilities</v>
          </cell>
          <cell r="HY391">
            <v>6</v>
          </cell>
          <cell r="HZ391" t="str">
            <v>ISO4217:USD</v>
          </cell>
          <cell r="IA391" t="b">
            <v>0</v>
          </cell>
          <cell r="IB391" t="b">
            <v>0</v>
          </cell>
        </row>
        <row r="392">
          <cell r="E392" t="str">
            <v>Deferred tax liabilities, current</v>
          </cell>
          <cell r="HX392" t="str">
            <v>mstag:deferredTaxLiabilitiesCurrent</v>
          </cell>
          <cell r="HY392">
            <v>6</v>
          </cell>
          <cell r="HZ392" t="str">
            <v>ISO4217:USD</v>
          </cell>
          <cell r="IA392" t="b">
            <v>0</v>
          </cell>
          <cell r="IB392" t="b">
            <v>0</v>
          </cell>
        </row>
        <row r="393">
          <cell r="E393" t="str">
            <v>Deferred tax liabilities, noncurrent</v>
          </cell>
          <cell r="G393">
            <v>0</v>
          </cell>
          <cell r="H393">
            <v>43.781999999999996</v>
          </cell>
          <cell r="I393">
            <v>626.46600000000001</v>
          </cell>
          <cell r="J393">
            <v>349.84800000000001</v>
          </cell>
          <cell r="K393">
            <v>447.80900000000003</v>
          </cell>
          <cell r="L393">
            <v>148.31399999999999</v>
          </cell>
          <cell r="HX393" t="str">
            <v>mstag:deferredTaxLiabilitiesNonCurrent</v>
          </cell>
          <cell r="HY393">
            <v>6</v>
          </cell>
          <cell r="HZ393" t="str">
            <v>ISO4217:USD</v>
          </cell>
          <cell r="IA393" t="b">
            <v>0</v>
          </cell>
          <cell r="IB393" t="b">
            <v>0</v>
          </cell>
        </row>
        <row r="394">
          <cell r="D394" t="str">
            <v>Deferred revenue</v>
          </cell>
          <cell r="G394">
            <v>0</v>
          </cell>
          <cell r="H394">
            <v>0</v>
          </cell>
          <cell r="I394">
            <v>4.9719999999999995</v>
          </cell>
          <cell r="J394">
            <v>103.03299999999999</v>
          </cell>
          <cell r="K394">
            <v>87.575999999999993</v>
          </cell>
          <cell r="L394">
            <v>89.576999999999998</v>
          </cell>
          <cell r="M394">
            <v>328.68</v>
          </cell>
          <cell r="HX394" t="str">
            <v>mstag:deferredRevenue</v>
          </cell>
          <cell r="HY394">
            <v>6</v>
          </cell>
          <cell r="HZ394" t="str">
            <v>ISO4217:USD</v>
          </cell>
          <cell r="IA394" t="b">
            <v>0</v>
          </cell>
          <cell r="IB394" t="b">
            <v>0</v>
          </cell>
        </row>
        <row r="395">
          <cell r="E395" t="str">
            <v>Deferred revenue, current</v>
          </cell>
          <cell r="G395">
            <v>0</v>
          </cell>
          <cell r="H395">
            <v>0</v>
          </cell>
          <cell r="I395">
            <v>2</v>
          </cell>
          <cell r="J395">
            <v>15.433</v>
          </cell>
          <cell r="K395">
            <v>19.542999999999999</v>
          </cell>
          <cell r="L395">
            <v>20.044</v>
          </cell>
          <cell r="HX395" t="str">
            <v>mstag:deferredRevenueCurrent</v>
          </cell>
          <cell r="HY395">
            <v>6</v>
          </cell>
          <cell r="HZ395" t="str">
            <v>ISO4217:USD</v>
          </cell>
          <cell r="IA395" t="b">
            <v>0</v>
          </cell>
          <cell r="IB395" t="b">
            <v>0</v>
          </cell>
        </row>
        <row r="396">
          <cell r="E396" t="str">
            <v>Deferred revenue, noncurrent</v>
          </cell>
          <cell r="G396">
            <v>0</v>
          </cell>
          <cell r="H396">
            <v>0</v>
          </cell>
          <cell r="I396">
            <v>2.972</v>
          </cell>
          <cell r="J396">
            <v>87.6</v>
          </cell>
          <cell r="K396">
            <v>68.033000000000001</v>
          </cell>
          <cell r="L396">
            <v>69.533000000000001</v>
          </cell>
          <cell r="HX396" t="str">
            <v>mstag:deferredRevenueNonCurrent</v>
          </cell>
          <cell r="HY396">
            <v>6</v>
          </cell>
          <cell r="HZ396" t="str">
            <v>ISO4217:USD</v>
          </cell>
          <cell r="IA396" t="b">
            <v>0</v>
          </cell>
          <cell r="IB396" t="b">
            <v>0</v>
          </cell>
        </row>
        <row r="397">
          <cell r="D397" t="str">
            <v>Pension and other postretirement obligations</v>
          </cell>
          <cell r="HX397" t="str">
            <v>mstag:pensionAndOtherPostRetirementObligations</v>
          </cell>
          <cell r="HY397">
            <v>6</v>
          </cell>
          <cell r="HZ397" t="str">
            <v>ISO4217:USD</v>
          </cell>
          <cell r="IA397" t="b">
            <v>0</v>
          </cell>
          <cell r="IB397" t="b">
            <v>0</v>
          </cell>
        </row>
        <row r="398">
          <cell r="D398" t="str">
            <v>Deferred compensation</v>
          </cell>
          <cell r="HX398" t="str">
            <v>mstag:deferredCompensation</v>
          </cell>
          <cell r="HY398">
            <v>6</v>
          </cell>
          <cell r="HZ398" t="str">
            <v>ISO4217:USD</v>
          </cell>
          <cell r="IA398" t="b">
            <v>0</v>
          </cell>
          <cell r="IB398" t="b">
            <v>0</v>
          </cell>
        </row>
        <row r="399">
          <cell r="D399" t="str">
            <v>Other liabilities, operating</v>
          </cell>
          <cell r="G399">
            <v>107.93499999999999</v>
          </cell>
          <cell r="H399">
            <v>115.042</v>
          </cell>
          <cell r="I399">
            <v>104.34200000000001</v>
          </cell>
          <cell r="J399">
            <v>112.56399999999999</v>
          </cell>
          <cell r="K399">
            <v>169.78</v>
          </cell>
          <cell r="L399">
            <v>678.37599999999998</v>
          </cell>
          <cell r="M399" t="str">
            <v/>
          </cell>
          <cell r="HX399" t="str">
            <v>mstag:otherLiabilitiesOperating</v>
          </cell>
          <cell r="HY399">
            <v>6</v>
          </cell>
          <cell r="HZ399" t="str">
            <v>ISO4217:USD</v>
          </cell>
          <cell r="IA399" t="b">
            <v>0</v>
          </cell>
          <cell r="IB399" t="b">
            <v>0</v>
          </cell>
        </row>
        <row r="400">
          <cell r="E400" t="str">
            <v>Other liabilities, operating, current</v>
          </cell>
          <cell r="G400">
            <v>71.10499999999999</v>
          </cell>
          <cell r="H400">
            <v>88.584000000000003</v>
          </cell>
          <cell r="I400">
            <v>95.979000000000013</v>
          </cell>
          <cell r="J400">
            <v>110.77499999999999</v>
          </cell>
          <cell r="K400">
            <v>122.349</v>
          </cell>
          <cell r="L400">
            <v>123.648</v>
          </cell>
          <cell r="HX400" t="str">
            <v>mstag:otherLiabilitiesOperatingCurrent</v>
          </cell>
          <cell r="HY400">
            <v>6</v>
          </cell>
          <cell r="HZ400" t="str">
            <v>ISO4217:USD</v>
          </cell>
          <cell r="IA400" t="b">
            <v>0</v>
          </cell>
          <cell r="IB400" t="b">
            <v>0</v>
          </cell>
        </row>
        <row r="401">
          <cell r="E401" t="str">
            <v>Other liabilities, operating, noncurrent</v>
          </cell>
          <cell r="G401">
            <v>36.83</v>
          </cell>
          <cell r="H401">
            <v>26.457999999999998</v>
          </cell>
          <cell r="I401">
            <v>8.3629999999999995</v>
          </cell>
          <cell r="J401">
            <v>1.7889999999999999</v>
          </cell>
          <cell r="K401">
            <v>47.430999999999997</v>
          </cell>
          <cell r="L401">
            <v>554.72799999999995</v>
          </cell>
          <cell r="HX401" t="str">
            <v>mstag:otherLiabilitiesOperatingNonCurrent</v>
          </cell>
          <cell r="HY401">
            <v>6</v>
          </cell>
          <cell r="HZ401" t="str">
            <v>ISO4217:USD</v>
          </cell>
          <cell r="IA401" t="b">
            <v>0</v>
          </cell>
          <cell r="IB401" t="b">
            <v>0</v>
          </cell>
        </row>
        <row r="402">
          <cell r="D402" t="str">
            <v>Other liabilities, nonoperating</v>
          </cell>
          <cell r="G402">
            <v>0</v>
          </cell>
          <cell r="H402">
            <v>0</v>
          </cell>
          <cell r="I402">
            <v>0</v>
          </cell>
          <cell r="J402">
            <v>0</v>
          </cell>
          <cell r="K402">
            <v>0</v>
          </cell>
          <cell r="L402">
            <v>0</v>
          </cell>
          <cell r="M402">
            <v>623.29</v>
          </cell>
          <cell r="HX402" t="str">
            <v>mstag:otherLiabilitiesNonOperating</v>
          </cell>
          <cell r="HY402">
            <v>6</v>
          </cell>
          <cell r="HZ402" t="str">
            <v>ISO4217:USD</v>
          </cell>
          <cell r="IA402" t="b">
            <v>0</v>
          </cell>
          <cell r="IB402" t="b">
            <v>0</v>
          </cell>
        </row>
        <row r="403">
          <cell r="E403" t="str">
            <v>Other liabilities, nonoperating, current</v>
          </cell>
          <cell r="G403">
            <v>0</v>
          </cell>
          <cell r="H403">
            <v>0</v>
          </cell>
          <cell r="I403">
            <v>0</v>
          </cell>
          <cell r="J403">
            <v>0</v>
          </cell>
          <cell r="K403">
            <v>0</v>
          </cell>
          <cell r="L403">
            <v>0</v>
          </cell>
          <cell r="HX403" t="str">
            <v>mstag:otherLiabilitiesNonOperatingCurrent</v>
          </cell>
          <cell r="HY403">
            <v>6</v>
          </cell>
          <cell r="HZ403" t="str">
            <v>ISO4217:USD</v>
          </cell>
          <cell r="IA403" t="b">
            <v>0</v>
          </cell>
          <cell r="IB403" t="b">
            <v>0</v>
          </cell>
        </row>
        <row r="404">
          <cell r="E404" t="str">
            <v>Other liabilities, nonoperating, noncurrent</v>
          </cell>
          <cell r="HX404" t="str">
            <v>mstag:otherLiabilitiesNonOperatingNonCurrent</v>
          </cell>
          <cell r="HY404">
            <v>6</v>
          </cell>
          <cell r="HZ404" t="str">
            <v>ISO4217:USD</v>
          </cell>
          <cell r="IA404" t="b">
            <v>0</v>
          </cell>
          <cell r="IB404" t="b">
            <v>0</v>
          </cell>
        </row>
        <row r="405">
          <cell r="D405" t="str">
            <v>Liabilities of discontinued operations</v>
          </cell>
          <cell r="HX405" t="str">
            <v>mstag:liabilitiesOfDiscontinuedOperations</v>
          </cell>
          <cell r="HY405">
            <v>6</v>
          </cell>
          <cell r="HZ405" t="str">
            <v>ISO4217:USD</v>
          </cell>
          <cell r="IA405" t="b">
            <v>0</v>
          </cell>
          <cell r="IB405" t="b">
            <v>0</v>
          </cell>
        </row>
        <row r="406">
          <cell r="D406" t="str">
            <v>Minority interests in shareholders' equity</v>
          </cell>
          <cell r="HX406" t="str">
            <v>mstag:minorityInterestsInShareholdersEquity</v>
          </cell>
          <cell r="HY406">
            <v>6</v>
          </cell>
          <cell r="HZ406" t="str">
            <v>ISO4217:USD</v>
          </cell>
          <cell r="IA406" t="b">
            <v>0</v>
          </cell>
          <cell r="IB406" t="b">
            <v>0</v>
          </cell>
        </row>
        <row r="407">
          <cell r="D407" t="str">
            <v>Preferred equity</v>
          </cell>
          <cell r="HX407" t="str">
            <v>mstag:preferredEquity</v>
          </cell>
          <cell r="HY407">
            <v>6</v>
          </cell>
          <cell r="HZ407" t="str">
            <v>ISO4217:USD</v>
          </cell>
          <cell r="IA407" t="b">
            <v>0</v>
          </cell>
          <cell r="IB407" t="b">
            <v>0</v>
          </cell>
        </row>
        <row r="408">
          <cell r="D408" t="str">
            <v>Common equity</v>
          </cell>
          <cell r="F408">
            <v>1801.059</v>
          </cell>
          <cell r="G408">
            <v>2031.2250000000001</v>
          </cell>
          <cell r="H408">
            <v>2343.8449999999998</v>
          </cell>
          <cell r="I408">
            <v>5269.8569999999991</v>
          </cell>
          <cell r="J408">
            <v>5674.2030000000004</v>
          </cell>
          <cell r="K408">
            <v>5919.8189999999995</v>
          </cell>
          <cell r="L408">
            <v>5338.884</v>
          </cell>
          <cell r="M408">
            <v>6520.1896436999996</v>
          </cell>
          <cell r="HX408" t="str">
            <v>mstag:commonEquity</v>
          </cell>
          <cell r="HY408">
            <v>6</v>
          </cell>
          <cell r="HZ408" t="str">
            <v>ISO4217:USD</v>
          </cell>
          <cell r="IA408" t="b">
            <v>0</v>
          </cell>
          <cell r="IB408" t="b">
            <v>0</v>
          </cell>
        </row>
        <row r="409">
          <cell r="E409" t="str">
            <v>Total share capital</v>
          </cell>
          <cell r="G409">
            <v>1466.252</v>
          </cell>
          <cell r="H409">
            <v>1591.5319999999999</v>
          </cell>
          <cell r="I409">
            <v>6255.4699999999993</v>
          </cell>
          <cell r="J409">
            <v>6661.9380000000001</v>
          </cell>
          <cell r="K409">
            <v>6805.3969999999999</v>
          </cell>
          <cell r="L409">
            <v>6660.6080000000002</v>
          </cell>
          <cell r="M409">
            <v>7380.7550000000001</v>
          </cell>
          <cell r="HX409" t="str">
            <v>mstag:totalShareCapital</v>
          </cell>
          <cell r="HY409">
            <v>6</v>
          </cell>
          <cell r="HZ409" t="str">
            <v>ISO4217:USD</v>
          </cell>
          <cell r="IA409" t="b">
            <v>0</v>
          </cell>
          <cell r="IB409" t="b">
            <v>0</v>
          </cell>
        </row>
        <row r="410">
          <cell r="F410" t="str">
            <v>Common stock</v>
          </cell>
          <cell r="G410">
            <v>2.484</v>
          </cell>
          <cell r="H410">
            <v>2.5419999999999998</v>
          </cell>
          <cell r="I410">
            <v>10.324</v>
          </cell>
          <cell r="J410">
            <v>10.51</v>
          </cell>
          <cell r="K410">
            <v>10.566000000000001</v>
          </cell>
          <cell r="L410">
            <v>10.256</v>
          </cell>
          <cell r="M410">
            <v>10.494999999999999</v>
          </cell>
          <cell r="HX410" t="str">
            <v>mstag:commonStock</v>
          </cell>
          <cell r="HY410">
            <v>6</v>
          </cell>
          <cell r="HZ410" t="str">
            <v>ISO4217:USD</v>
          </cell>
          <cell r="IA410" t="b">
            <v>0</v>
          </cell>
          <cell r="IB410" t="b">
            <v>0</v>
          </cell>
        </row>
        <row r="411">
          <cell r="F411" t="str">
            <v>Additional paid in capital</v>
          </cell>
          <cell r="G411">
            <v>1463.768</v>
          </cell>
          <cell r="H411">
            <v>1588.99</v>
          </cell>
          <cell r="I411">
            <v>6245.1459999999997</v>
          </cell>
          <cell r="J411">
            <v>6651.4279999999999</v>
          </cell>
          <cell r="K411">
            <v>6794.8310000000001</v>
          </cell>
          <cell r="L411">
            <v>6650.3519999999999</v>
          </cell>
          <cell r="M411">
            <v>7370.26</v>
          </cell>
          <cell r="HX411" t="str">
            <v>mstag:additionalPaidInCapital</v>
          </cell>
          <cell r="HY411">
            <v>6</v>
          </cell>
          <cell r="HZ411" t="str">
            <v>ISO4217:USD</v>
          </cell>
          <cell r="IA411" t="b">
            <v>0</v>
          </cell>
          <cell r="IB411" t="b">
            <v>0</v>
          </cell>
        </row>
        <row r="412">
          <cell r="E412" t="str">
            <v>Retained earnings</v>
          </cell>
          <cell r="G412">
            <v>511.14100000000002</v>
          </cell>
          <cell r="H412">
            <v>693.05</v>
          </cell>
          <cell r="I412">
            <v>-1245.1120000000001</v>
          </cell>
          <cell r="J412">
            <v>-1319.3530000000001</v>
          </cell>
          <cell r="K412">
            <v>-1197.3</v>
          </cell>
          <cell r="L412">
            <v>-1590.366</v>
          </cell>
          <cell r="M412">
            <v>-1157.4679999999998</v>
          </cell>
          <cell r="HX412" t="str">
            <v>mstag:retainedEarnings</v>
          </cell>
          <cell r="HY412">
            <v>6</v>
          </cell>
          <cell r="HZ412" t="str">
            <v>ISO4217:USD</v>
          </cell>
          <cell r="IA412" t="b">
            <v>0</v>
          </cell>
          <cell r="IB412" t="b">
            <v>0</v>
          </cell>
        </row>
        <row r="413">
          <cell r="E413" t="str">
            <v>Accumulated other comprehensive income (loss) and reserves</v>
          </cell>
          <cell r="G413">
            <v>53.832000000000001</v>
          </cell>
          <cell r="H413">
            <v>59.262999999999998</v>
          </cell>
          <cell r="I413">
            <v>259.49900000000002</v>
          </cell>
          <cell r="J413">
            <v>331.61800000000005</v>
          </cell>
          <cell r="K413">
            <v>311.72199999999998</v>
          </cell>
          <cell r="L413">
            <v>268.642</v>
          </cell>
          <cell r="M413">
            <v>296.9026437</v>
          </cell>
          <cell r="HX413" t="str">
            <v>mstag:accumulatedOtherComprehensiveIncomeLossAndReserves</v>
          </cell>
          <cell r="HY413">
            <v>6</v>
          </cell>
          <cell r="HZ413" t="str">
            <v>ISO4217:USD</v>
          </cell>
          <cell r="IA413" t="b">
            <v>0</v>
          </cell>
          <cell r="IB413" t="b">
            <v>0</v>
          </cell>
        </row>
        <row r="414">
          <cell r="F414" t="str">
            <v>Cumulative translation adjustment</v>
          </cell>
          <cell r="HX414" t="str">
            <v>mstag:cumulativeTranslationAdjustment</v>
          </cell>
          <cell r="HY414">
            <v>6</v>
          </cell>
          <cell r="HZ414" t="str">
            <v>ISO4217:USD</v>
          </cell>
          <cell r="IA414" t="b">
            <v>0</v>
          </cell>
          <cell r="IB414" t="b">
            <v>0</v>
          </cell>
        </row>
        <row r="415">
          <cell r="F415" t="str">
            <v>Unrealized gains and losses on securities and other financial instruments</v>
          </cell>
          <cell r="G415">
            <v>53.832000000000001</v>
          </cell>
          <cell r="H415">
            <v>59.262999999999998</v>
          </cell>
          <cell r="I415">
            <v>259.49900000000002</v>
          </cell>
          <cell r="J415">
            <v>72.119</v>
          </cell>
          <cell r="K415">
            <v>303.89999999999998</v>
          </cell>
          <cell r="L415">
            <v>265.10000000000002</v>
          </cell>
          <cell r="HX415" t="str">
            <v>mstag:unrealizedGainsAndLossesOnSecuritiesAndOtherFinancialInstruments</v>
          </cell>
          <cell r="HY415">
            <v>6</v>
          </cell>
          <cell r="HZ415" t="str">
            <v>ISO4217:USD</v>
          </cell>
          <cell r="IA415" t="b">
            <v>0</v>
          </cell>
          <cell r="IB415" t="b">
            <v>0</v>
          </cell>
        </row>
        <row r="416">
          <cell r="F416" t="str">
            <v>Minimum pension liability</v>
          </cell>
          <cell r="HX416" t="str">
            <v>mstag:minimumPensionLiability</v>
          </cell>
          <cell r="HY416">
            <v>6</v>
          </cell>
          <cell r="HZ416" t="str">
            <v>ISO4217:USD</v>
          </cell>
          <cell r="IA416" t="b">
            <v>0</v>
          </cell>
          <cell r="IB416" t="b">
            <v>0</v>
          </cell>
        </row>
        <row r="417">
          <cell r="F417" t="str">
            <v>Cash flow hedges</v>
          </cell>
          <cell r="G417">
            <v>0</v>
          </cell>
          <cell r="H417">
            <v>0</v>
          </cell>
          <cell r="I417">
            <v>0</v>
          </cell>
          <cell r="J417">
            <v>0</v>
          </cell>
          <cell r="K417">
            <v>7.8220000000000001</v>
          </cell>
          <cell r="L417">
            <v>3.5419999999999998</v>
          </cell>
          <cell r="HX417" t="str">
            <v>mstag:cashFlowHedges</v>
          </cell>
          <cell r="HY417">
            <v>6</v>
          </cell>
          <cell r="HZ417" t="str">
            <v>ISO4217:USD</v>
          </cell>
          <cell r="IA417" t="b">
            <v>0</v>
          </cell>
          <cell r="IB417" t="b">
            <v>0</v>
          </cell>
        </row>
        <row r="418">
          <cell r="F418" t="str">
            <v>Other accumulated OCI and reserves</v>
          </cell>
          <cell r="G418">
            <v>0</v>
          </cell>
          <cell r="H418">
            <v>0</v>
          </cell>
          <cell r="I418">
            <v>0</v>
          </cell>
          <cell r="J418">
            <v>259.49900000000002</v>
          </cell>
          <cell r="K418">
            <v>0</v>
          </cell>
          <cell r="L418">
            <v>0</v>
          </cell>
          <cell r="HX418" t="str">
            <v>mstag:otherAccumulatedOciAndReserves</v>
          </cell>
          <cell r="HY418">
            <v>6</v>
          </cell>
          <cell r="HZ418" t="str">
            <v>ISO4217:USD</v>
          </cell>
          <cell r="IA418" t="b">
            <v>0</v>
          </cell>
          <cell r="IB418" t="b">
            <v>0</v>
          </cell>
        </row>
        <row r="419">
          <cell r="F419" t="str">
            <v>Revaluation reserves</v>
          </cell>
          <cell r="HX419" t="str">
            <v>mstag:revaluationReserves</v>
          </cell>
          <cell r="HY419">
            <v>6</v>
          </cell>
          <cell r="HZ419" t="str">
            <v>ISO4217:USD</v>
          </cell>
          <cell r="IA419" t="b">
            <v>0</v>
          </cell>
          <cell r="IB419" t="b">
            <v>0</v>
          </cell>
        </row>
        <row r="420">
          <cell r="F420" t="str">
            <v>Unearned compensation reserve</v>
          </cell>
          <cell r="HX420" t="str">
            <v>mstag:unearnedCompensationReserve</v>
          </cell>
          <cell r="HY420">
            <v>6</v>
          </cell>
          <cell r="HZ420" t="str">
            <v>ISO4217:USD</v>
          </cell>
          <cell r="IA420" t="b">
            <v>0</v>
          </cell>
          <cell r="IB420" t="b">
            <v>0</v>
          </cell>
        </row>
        <row r="421">
          <cell r="E421" t="str">
            <v>Treasury stock and investment in own shares</v>
          </cell>
          <cell r="HX421" t="str">
            <v>mstag:treasuryStockAndInvestmentInOwnShares</v>
          </cell>
          <cell r="HY421">
            <v>6</v>
          </cell>
          <cell r="HZ421" t="str">
            <v>ISO4217:USD</v>
          </cell>
          <cell r="IA421" t="b">
            <v>0</v>
          </cell>
          <cell r="IB421" t="b">
            <v>0</v>
          </cell>
        </row>
        <row r="422">
          <cell r="E422" t="str">
            <v>Warrants and rights outstanding, equity</v>
          </cell>
          <cell r="HX422" t="str">
            <v>mstag:warrantsAndRightsOutstandingEquity</v>
          </cell>
          <cell r="HY422">
            <v>6</v>
          </cell>
          <cell r="HZ422" t="str">
            <v>ISO4217:USD</v>
          </cell>
          <cell r="IA422" t="b">
            <v>0</v>
          </cell>
          <cell r="IB422" t="b">
            <v>0</v>
          </cell>
        </row>
        <row r="423">
          <cell r="E423" t="str">
            <v>Other equity items</v>
          </cell>
          <cell r="HX423" t="str">
            <v>mstag:otherEquityItems</v>
          </cell>
          <cell r="HY423">
            <v>6</v>
          </cell>
          <cell r="HZ423" t="str">
            <v>ISO4217:USD</v>
          </cell>
          <cell r="IA423" t="b">
            <v>0</v>
          </cell>
          <cell r="IB423" t="b">
            <v>0</v>
          </cell>
        </row>
        <row r="424">
          <cell r="B424" t="str">
            <v>Cash flow</v>
          </cell>
          <cell r="HY424">
            <v>0</v>
          </cell>
          <cell r="HZ424" t="str">
            <v>ms_eqr_gcim_String:ms_eqr_gcim_string</v>
          </cell>
          <cell r="IA424" t="b">
            <v>0</v>
          </cell>
          <cell r="IB424" t="b">
            <v>0</v>
          </cell>
        </row>
        <row r="425">
          <cell r="C425" t="str">
            <v>Net income, reported, cash flow statement</v>
          </cell>
          <cell r="G425">
            <v>129.04400000000001</v>
          </cell>
          <cell r="H425">
            <v>181.90899999999999</v>
          </cell>
          <cell r="I425">
            <v>-1157.4760000000001</v>
          </cell>
          <cell r="J425">
            <v>-74.241</v>
          </cell>
          <cell r="K425">
            <v>150.23599999999999</v>
          </cell>
          <cell r="L425">
            <v>63.786999999999999</v>
          </cell>
          <cell r="M425">
            <v>562.45584265857804</v>
          </cell>
          <cell r="HX425" t="str">
            <v>mstag:netIncomeReported</v>
          </cell>
          <cell r="HY425">
            <v>6</v>
          </cell>
          <cell r="HZ425" t="str">
            <v>ISO4217:USD</v>
          </cell>
          <cell r="IA425" t="b">
            <v>0</v>
          </cell>
          <cell r="IB425" t="b">
            <v>0</v>
          </cell>
        </row>
        <row r="426">
          <cell r="C426" t="str">
            <v>Depreciation, cash flow statement</v>
          </cell>
          <cell r="G426">
            <v>65.533000000000001</v>
          </cell>
          <cell r="H426">
            <v>78.100999999999999</v>
          </cell>
          <cell r="I426">
            <v>90.282000000000011</v>
          </cell>
          <cell r="J426">
            <v>88.80400000000003</v>
          </cell>
          <cell r="K426">
            <v>96.290999999999997</v>
          </cell>
          <cell r="L426">
            <v>104.55499999999998</v>
          </cell>
          <cell r="M426">
            <v>125</v>
          </cell>
          <cell r="HX426" t="str">
            <v>mstag:depreciation</v>
          </cell>
          <cell r="HY426">
            <v>6</v>
          </cell>
          <cell r="HZ426" t="str">
            <v>ISO4217:USD</v>
          </cell>
          <cell r="IA426" t="b">
            <v>0</v>
          </cell>
          <cell r="IB426" t="b">
            <v>0</v>
          </cell>
        </row>
        <row r="427">
          <cell r="C427" t="str">
            <v>Amortization of goodwill, cash flow statement</v>
          </cell>
          <cell r="G427">
            <v>0</v>
          </cell>
          <cell r="H427">
            <v>0</v>
          </cell>
          <cell r="I427">
            <v>76.599999999999994</v>
          </cell>
          <cell r="J427">
            <v>211</v>
          </cell>
          <cell r="K427">
            <v>153.30000000000001</v>
          </cell>
          <cell r="L427">
            <v>0</v>
          </cell>
          <cell r="HX427" t="str">
            <v>mstag:amortizationOfGoodwillCashFlowStatement</v>
          </cell>
          <cell r="HY427">
            <v>6</v>
          </cell>
          <cell r="HZ427" t="str">
            <v>ISO4217:USD</v>
          </cell>
          <cell r="IA427" t="b">
            <v>0</v>
          </cell>
          <cell r="IB427" t="b">
            <v>0</v>
          </cell>
        </row>
        <row r="428">
          <cell r="C428" t="str">
            <v>Amortization of intangibles assumed to have indefinite life, cash flow statement</v>
          </cell>
          <cell r="G428">
            <v>0</v>
          </cell>
          <cell r="H428">
            <v>0</v>
          </cell>
          <cell r="I428">
            <v>113.8</v>
          </cell>
          <cell r="J428">
            <v>158</v>
          </cell>
          <cell r="K428">
            <v>169.8</v>
          </cell>
          <cell r="L428">
            <v>162.19999999999999</v>
          </cell>
          <cell r="M428">
            <v>170.4</v>
          </cell>
          <cell r="HX428" t="str">
            <v>mstag:amortizationOfIntangiblesAssumedToHaveIndefiniteLife</v>
          </cell>
          <cell r="HY428">
            <v>6</v>
          </cell>
          <cell r="HZ428" t="str">
            <v>ISO4217:USD</v>
          </cell>
          <cell r="IA428" t="b">
            <v>0</v>
          </cell>
          <cell r="IB428" t="b">
            <v>0</v>
          </cell>
        </row>
        <row r="429">
          <cell r="C429" t="str">
            <v>Amortization of other intangibles, cash flow statement</v>
          </cell>
          <cell r="G429">
            <v>0</v>
          </cell>
          <cell r="H429">
            <v>0</v>
          </cell>
          <cell r="I429">
            <v>0</v>
          </cell>
          <cell r="J429">
            <v>5.2</v>
          </cell>
          <cell r="K429">
            <v>8.6999999999999993</v>
          </cell>
          <cell r="L429">
            <v>8.1999999999999993</v>
          </cell>
          <cell r="M429" t="str">
            <v/>
          </cell>
          <cell r="HX429" t="str">
            <v>mstag:amortizationOfOtherIntangibles</v>
          </cell>
          <cell r="HY429">
            <v>6</v>
          </cell>
          <cell r="HZ429" t="str">
            <v>ISO4217:USD</v>
          </cell>
          <cell r="IA429" t="b">
            <v>0</v>
          </cell>
          <cell r="IB429" t="b">
            <v>0</v>
          </cell>
        </row>
        <row r="430">
          <cell r="D430" t="str">
            <v>Amortization of taxable other intangibles, cash flow statement</v>
          </cell>
          <cell r="HX430" t="str">
            <v>mstag:amortizationOfTaxableOtherIntangiblesCashFlowStatement</v>
          </cell>
          <cell r="HY430">
            <v>6</v>
          </cell>
          <cell r="HZ430" t="str">
            <v>ISO4217:USD</v>
          </cell>
          <cell r="IA430" t="b">
            <v>0</v>
          </cell>
          <cell r="IB430" t="b">
            <v>0</v>
          </cell>
        </row>
        <row r="431">
          <cell r="D431" t="str">
            <v>Amortization of nontaxable other intangibles, cash flow statement</v>
          </cell>
          <cell r="HX431" t="str">
            <v>mstag:amortizationOfNonTaxableOtherIntangiblesCashFlowStatement</v>
          </cell>
          <cell r="HY431">
            <v>6</v>
          </cell>
          <cell r="HZ431" t="str">
            <v>ISO4217:USD</v>
          </cell>
          <cell r="IA431" t="b">
            <v>0</v>
          </cell>
          <cell r="IB431" t="b">
            <v>0</v>
          </cell>
        </row>
        <row r="432">
          <cell r="C432" t="str">
            <v>Restructuring costs, recurring, cash flow statement</v>
          </cell>
          <cell r="HX432" t="str">
            <v>mstag:restructuringCostsRecurringCashFlowStatement</v>
          </cell>
          <cell r="HY432">
            <v>6</v>
          </cell>
          <cell r="HZ432" t="str">
            <v>ISO4217:USD</v>
          </cell>
          <cell r="IA432" t="b">
            <v>0</v>
          </cell>
          <cell r="IB432" t="b">
            <v>0</v>
          </cell>
        </row>
        <row r="433">
          <cell r="C433" t="str">
            <v>Restructuring costs, one time, cash flow statement</v>
          </cell>
          <cell r="HX433" t="str">
            <v>mstag:restructuringCostsOneTimeCashFlowStatement</v>
          </cell>
          <cell r="HY433">
            <v>6</v>
          </cell>
          <cell r="HZ433" t="str">
            <v>ISO4217:USD</v>
          </cell>
          <cell r="IA433" t="b">
            <v>0</v>
          </cell>
          <cell r="IB433" t="b">
            <v>0</v>
          </cell>
        </row>
        <row r="434">
          <cell r="C434" t="str">
            <v>Legal provision, recurring, cash flow statement</v>
          </cell>
          <cell r="HX434" t="str">
            <v>mstag:legalProvisionRecurringCashFlowStatement</v>
          </cell>
          <cell r="HY434">
            <v>6</v>
          </cell>
          <cell r="HZ434" t="str">
            <v>ISO4217:USD</v>
          </cell>
          <cell r="IA434" t="b">
            <v>0</v>
          </cell>
          <cell r="IB434" t="b">
            <v>0</v>
          </cell>
        </row>
        <row r="435">
          <cell r="C435" t="str">
            <v>Legal provision, one time, cash flow statement</v>
          </cell>
          <cell r="HX435" t="str">
            <v>mstag:legalProvisionOneTimeCashFlowStatement</v>
          </cell>
          <cell r="HY435">
            <v>6</v>
          </cell>
          <cell r="HZ435" t="str">
            <v>ISO4217:USD</v>
          </cell>
          <cell r="IA435" t="b">
            <v>0</v>
          </cell>
          <cell r="IB435" t="b">
            <v>0</v>
          </cell>
        </row>
        <row r="436">
          <cell r="C436" t="str">
            <v>Environmental provision, recurring, cash flow statement</v>
          </cell>
          <cell r="HX436" t="str">
            <v>mstag:environmentalProvisionRecurringCashFlowStatement</v>
          </cell>
          <cell r="HY436">
            <v>6</v>
          </cell>
          <cell r="HZ436" t="str">
            <v>ISO4217:USD</v>
          </cell>
          <cell r="IA436" t="b">
            <v>0</v>
          </cell>
          <cell r="IB436" t="b">
            <v>0</v>
          </cell>
        </row>
        <row r="437">
          <cell r="C437" t="str">
            <v>Environmental provision, one time, cash flow statement</v>
          </cell>
          <cell r="HX437" t="str">
            <v>mstag:environmentalProvisionOneTimeCashFlowStatement</v>
          </cell>
          <cell r="HY437">
            <v>6</v>
          </cell>
          <cell r="HZ437" t="str">
            <v>ISO4217:USD</v>
          </cell>
          <cell r="IA437" t="b">
            <v>0</v>
          </cell>
          <cell r="IB437" t="b">
            <v>0</v>
          </cell>
        </row>
        <row r="438">
          <cell r="C438" t="str">
            <v>Other provisions, recurring, cash flow statement</v>
          </cell>
          <cell r="HX438" t="str">
            <v>mstag:otherProvisionsRecurringCashFlowStatement</v>
          </cell>
          <cell r="HY438">
            <v>6</v>
          </cell>
          <cell r="HZ438" t="str">
            <v>ISO4217:USD</v>
          </cell>
          <cell r="IA438" t="b">
            <v>0</v>
          </cell>
          <cell r="IB438" t="b">
            <v>0</v>
          </cell>
        </row>
        <row r="439">
          <cell r="C439" t="str">
            <v>Other provisions, one time, cash flow statement</v>
          </cell>
          <cell r="HX439" t="str">
            <v>mstag:otherProvisionsOneTimeCashFlowStatement</v>
          </cell>
          <cell r="HY439">
            <v>6</v>
          </cell>
          <cell r="HZ439" t="str">
            <v>ISO4217:USD</v>
          </cell>
          <cell r="IA439" t="b">
            <v>0</v>
          </cell>
          <cell r="IB439" t="b">
            <v>0</v>
          </cell>
        </row>
        <row r="440">
          <cell r="C440" t="str">
            <v>Goodwill impairment, cash flow statement</v>
          </cell>
          <cell r="HX440" t="str">
            <v>mstag:goodwillImpairmentCashFlowStatement</v>
          </cell>
          <cell r="HY440">
            <v>6</v>
          </cell>
          <cell r="HZ440" t="str">
            <v>ISO4217:USD</v>
          </cell>
          <cell r="IA440" t="b">
            <v>0</v>
          </cell>
          <cell r="IB440" t="b">
            <v>0</v>
          </cell>
        </row>
        <row r="441">
          <cell r="C441" t="str">
            <v>Indefinite life intangible impairment, cash flow statement</v>
          </cell>
          <cell r="HX441" t="str">
            <v>mstag:indefiniteLifeIntangibleImpairmentCashFlowStatement</v>
          </cell>
          <cell r="HY441">
            <v>6</v>
          </cell>
          <cell r="HZ441" t="str">
            <v>ISO4217:USD</v>
          </cell>
          <cell r="IA441" t="b">
            <v>0</v>
          </cell>
          <cell r="IB441" t="b">
            <v>0</v>
          </cell>
        </row>
        <row r="442">
          <cell r="C442" t="str">
            <v>Asset impairment, nongoodwill, one time, cash flow statement</v>
          </cell>
          <cell r="G442">
            <v>0</v>
          </cell>
          <cell r="H442">
            <v>0</v>
          </cell>
          <cell r="I442">
            <v>0</v>
          </cell>
          <cell r="J442">
            <v>0</v>
          </cell>
          <cell r="K442">
            <v>0</v>
          </cell>
          <cell r="L442">
            <v>0</v>
          </cell>
          <cell r="M442">
            <v>3.8</v>
          </cell>
          <cell r="HX442" t="str">
            <v>mstag:assetImpairmentNonGoodwillOneTime</v>
          </cell>
          <cell r="HY442">
            <v>6</v>
          </cell>
          <cell r="HZ442" t="str">
            <v>ISO4217:USD</v>
          </cell>
          <cell r="IA442" t="b">
            <v>0</v>
          </cell>
          <cell r="IB442" t="b">
            <v>0</v>
          </cell>
        </row>
        <row r="443">
          <cell r="C443" t="str">
            <v>Gains (losses) from sale of PPE and intangibles, recurring, cash flow statement</v>
          </cell>
          <cell r="G443">
            <v>-0.318</v>
          </cell>
          <cell r="H443">
            <v>-1.0149999999999999</v>
          </cell>
          <cell r="I443">
            <v>-0.88600000000000001</v>
          </cell>
          <cell r="J443">
            <v>-1.123</v>
          </cell>
          <cell r="K443">
            <v>-4.2110000000000003</v>
          </cell>
          <cell r="L443">
            <v>-15.882999999999999</v>
          </cell>
          <cell r="M443">
            <v>-10.76</v>
          </cell>
          <cell r="HX443" t="str">
            <v>mstag:gainsLossesFromSaleOfOperatingAssetsRecurring</v>
          </cell>
          <cell r="HY443">
            <v>6</v>
          </cell>
          <cell r="HZ443" t="str">
            <v>ISO4217:USD</v>
          </cell>
          <cell r="IA443" t="b">
            <v>0</v>
          </cell>
          <cell r="IB443" t="b">
            <v>0</v>
          </cell>
        </row>
        <row r="444">
          <cell r="C444" t="str">
            <v>Gains (losses) from sale of PPE and intangibles, one time, cash flow statement</v>
          </cell>
          <cell r="G444">
            <v>0</v>
          </cell>
          <cell r="H444">
            <v>0</v>
          </cell>
          <cell r="I444">
            <v>0</v>
          </cell>
          <cell r="J444">
            <v>0</v>
          </cell>
          <cell r="K444">
            <v>0</v>
          </cell>
          <cell r="L444">
            <v>0</v>
          </cell>
          <cell r="M444">
            <v>20</v>
          </cell>
          <cell r="HX444" t="str">
            <v>mstag:gainsLossesFromSaleOfOperatingAssetsOneTime</v>
          </cell>
          <cell r="HY444">
            <v>6</v>
          </cell>
          <cell r="HZ444" t="str">
            <v>ISO4217:USD</v>
          </cell>
          <cell r="IA444" t="b">
            <v>0</v>
          </cell>
          <cell r="IB444" t="b">
            <v>0</v>
          </cell>
        </row>
        <row r="445">
          <cell r="C445" t="str">
            <v>Bonus paid to directors and corporate auditors (Japan)</v>
          </cell>
          <cell r="HX445" t="str">
            <v>mstag:bonusPaidToDirectorsAndCorporateAuditorsJapan</v>
          </cell>
          <cell r="HY445">
            <v>6</v>
          </cell>
          <cell r="HZ445" t="str">
            <v>ISO4217:USD</v>
          </cell>
          <cell r="IA445" t="b">
            <v>0</v>
          </cell>
          <cell r="IB445" t="b">
            <v>0</v>
          </cell>
        </row>
        <row r="446">
          <cell r="C446" t="str">
            <v>Bonus to directors and supervisors, cash flow statement (Taiwan)</v>
          </cell>
          <cell r="HX446" t="str">
            <v>mstag:bonusToDirectorsAndSupervisorsTaiwanCashFlow</v>
          </cell>
          <cell r="HY446">
            <v>6</v>
          </cell>
          <cell r="HZ446" t="str">
            <v>ISO4217:USD</v>
          </cell>
          <cell r="IA446" t="b">
            <v>0</v>
          </cell>
          <cell r="IB446" t="b">
            <v>0</v>
          </cell>
        </row>
        <row r="447">
          <cell r="C447" t="str">
            <v>Employee cash bonus, cash flow statement (Taiwan)</v>
          </cell>
          <cell r="HX447" t="str">
            <v>mstag:employeeCashBonusTaiwanCashFlow</v>
          </cell>
          <cell r="HY447">
            <v>6</v>
          </cell>
          <cell r="HZ447" t="str">
            <v>ISO4217:USD</v>
          </cell>
          <cell r="IA447" t="b">
            <v>0</v>
          </cell>
          <cell r="IB447" t="b">
            <v>0</v>
          </cell>
        </row>
        <row r="448">
          <cell r="C448" t="str">
            <v>Acquired in-process R and D, cash flow statement</v>
          </cell>
          <cell r="G448">
            <v>0</v>
          </cell>
          <cell r="H448">
            <v>0</v>
          </cell>
          <cell r="I448">
            <v>752.5</v>
          </cell>
          <cell r="J448">
            <v>0</v>
          </cell>
          <cell r="K448">
            <v>0</v>
          </cell>
          <cell r="L448">
            <v>0</v>
          </cell>
          <cell r="M448">
            <v>0</v>
          </cell>
          <cell r="HX448" t="str">
            <v>mstag:acquiredInProcessRAndD</v>
          </cell>
          <cell r="HY448">
            <v>6</v>
          </cell>
          <cell r="HZ448" t="str">
            <v>ISO4217:USD</v>
          </cell>
          <cell r="IA448" t="b">
            <v>0</v>
          </cell>
          <cell r="IB448" t="b">
            <v>0</v>
          </cell>
        </row>
        <row r="449">
          <cell r="C449" t="str">
            <v>Capital expenditures</v>
          </cell>
          <cell r="G449">
            <v>154.90199999999999</v>
          </cell>
          <cell r="H449">
            <v>88.087999999999994</v>
          </cell>
          <cell r="I449">
            <v>95.007999999999996</v>
          </cell>
          <cell r="J449">
            <v>112.681</v>
          </cell>
          <cell r="K449">
            <v>213.351</v>
          </cell>
          <cell r="L449">
            <v>322.83199999999999</v>
          </cell>
          <cell r="M449">
            <v>321.95</v>
          </cell>
          <cell r="HX449" t="str">
            <v>mstag:capitalExpenditures</v>
          </cell>
          <cell r="HY449">
            <v>6</v>
          </cell>
          <cell r="HZ449" t="str">
            <v>ISO4217:USD</v>
          </cell>
          <cell r="IA449" t="b">
            <v>0</v>
          </cell>
          <cell r="IB449" t="b">
            <v>0</v>
          </cell>
        </row>
        <row r="450">
          <cell r="D450" t="str">
            <v>Capital expenditures, sustaining</v>
          </cell>
          <cell r="G450">
            <v>154.90199999999999</v>
          </cell>
          <cell r="H450">
            <v>88.087999999999994</v>
          </cell>
          <cell r="I450">
            <v>95.007999999999996</v>
          </cell>
          <cell r="J450">
            <v>112.681</v>
          </cell>
          <cell r="K450">
            <v>213.351</v>
          </cell>
          <cell r="L450">
            <v>322.83199999999999</v>
          </cell>
          <cell r="HX450" t="str">
            <v>mstag:capitalExpendituresMaintenance</v>
          </cell>
          <cell r="HY450">
            <v>6</v>
          </cell>
          <cell r="HZ450" t="str">
            <v>ISO4217:USD</v>
          </cell>
          <cell r="IA450" t="b">
            <v>0</v>
          </cell>
          <cell r="IB450" t="b">
            <v>0</v>
          </cell>
        </row>
        <row r="451">
          <cell r="D451" t="str">
            <v>Capital expenditures, growth</v>
          </cell>
          <cell r="HX451" t="str">
            <v>mstag:capitalExpendituresGrowth</v>
          </cell>
          <cell r="HY451">
            <v>6</v>
          </cell>
          <cell r="HZ451" t="str">
            <v>ISO4217:USD</v>
          </cell>
          <cell r="IA451" t="b">
            <v>0</v>
          </cell>
          <cell r="IB451" t="b">
            <v>0</v>
          </cell>
        </row>
        <row r="452">
          <cell r="C452" t="str">
            <v>Capital expenditures, related to lessor financing</v>
          </cell>
          <cell r="HX452" t="str">
            <v>mstag:capitalExpendituresRelatedToLessorFinancing</v>
          </cell>
          <cell r="HY452">
            <v>6</v>
          </cell>
          <cell r="HZ452" t="str">
            <v>ISO4217:USD</v>
          </cell>
          <cell r="IA452" t="b">
            <v>0</v>
          </cell>
          <cell r="IB452" t="b">
            <v>0</v>
          </cell>
        </row>
        <row r="453">
          <cell r="C453" t="str">
            <v>Unrealized foreign currency exchange gain (loss), cash flow statement</v>
          </cell>
          <cell r="HX453" t="str">
            <v>mstag:unrealizedForeignCurrencyExchangeGainLossCashFlowStatement</v>
          </cell>
          <cell r="HY453">
            <v>6</v>
          </cell>
          <cell r="HZ453" t="str">
            <v>ISO4217:USD</v>
          </cell>
          <cell r="IA453" t="b">
            <v>0</v>
          </cell>
          <cell r="IB453" t="b">
            <v>0</v>
          </cell>
        </row>
        <row r="454">
          <cell r="C454" t="str">
            <v>Proceeds from sale of PPE and intangible assets</v>
          </cell>
          <cell r="HX454" t="str">
            <v>mstag:proceedsFromSaleOfPpeAndIntangibleAssets</v>
          </cell>
          <cell r="HY454">
            <v>6</v>
          </cell>
          <cell r="HZ454" t="str">
            <v>ISO4217:USD</v>
          </cell>
          <cell r="IA454" t="b">
            <v>0</v>
          </cell>
          <cell r="IB454" t="b">
            <v>0</v>
          </cell>
        </row>
        <row r="455">
          <cell r="C455" t="str">
            <v>Amortization of discount (premium) on debt</v>
          </cell>
          <cell r="HX455" t="str">
            <v>mstag:amortizationOfDiscountPremiumOnDebtCashFlowStatement</v>
          </cell>
          <cell r="HY455">
            <v>6</v>
          </cell>
          <cell r="HZ455" t="str">
            <v>ISO4217:USD</v>
          </cell>
          <cell r="IA455" t="b">
            <v>0</v>
          </cell>
          <cell r="IB455" t="b">
            <v>0</v>
          </cell>
        </row>
        <row r="456">
          <cell r="C456" t="str">
            <v>Net pension and OPEB expense, cash flow statement</v>
          </cell>
          <cell r="HX456" t="str">
            <v>mstag:netPensionAndOpebExpenseCashFlowStatement</v>
          </cell>
          <cell r="HY456">
            <v>6</v>
          </cell>
          <cell r="HZ456" t="str">
            <v>ISO4217:USD</v>
          </cell>
          <cell r="IA456" t="b">
            <v>0</v>
          </cell>
          <cell r="IB456" t="b">
            <v>0</v>
          </cell>
        </row>
        <row r="457">
          <cell r="C457" t="str">
            <v>Net disposals (acquisitions)</v>
          </cell>
          <cell r="G457" t="str">
            <v/>
          </cell>
          <cell r="H457" t="str">
            <v/>
          </cell>
          <cell r="I457" t="str">
            <v/>
          </cell>
          <cell r="J457" t="str">
            <v/>
          </cell>
          <cell r="K457" t="str">
            <v/>
          </cell>
          <cell r="L457" t="str">
            <v/>
          </cell>
          <cell r="M457" t="str">
            <v/>
          </cell>
          <cell r="HX457" t="str">
            <v>mstag:netDisposalsAcquisitions</v>
          </cell>
          <cell r="HY457">
            <v>6</v>
          </cell>
          <cell r="HZ457" t="str">
            <v>ISO4217:USD</v>
          </cell>
          <cell r="IA457" t="b">
            <v>0</v>
          </cell>
          <cell r="IB457" t="b">
            <v>0</v>
          </cell>
        </row>
        <row r="458">
          <cell r="D458" t="str">
            <v>Capital expenditures reflected in cost of acquisitions</v>
          </cell>
          <cell r="G458" t="str">
            <v/>
          </cell>
          <cell r="H458" t="str">
            <v/>
          </cell>
          <cell r="I458" t="str">
            <v/>
          </cell>
          <cell r="J458" t="str">
            <v/>
          </cell>
          <cell r="K458" t="str">
            <v/>
          </cell>
          <cell r="L458" t="str">
            <v/>
          </cell>
          <cell r="M458" t="str">
            <v/>
          </cell>
          <cell r="HX458" t="str">
            <v>mstag:capitalExpendituresReflectedInCostOfAcquisitions</v>
          </cell>
          <cell r="HY458">
            <v>6</v>
          </cell>
          <cell r="HZ458" t="str">
            <v>ISO4217:USD</v>
          </cell>
          <cell r="IA458" t="b">
            <v>0</v>
          </cell>
          <cell r="IB458" t="b">
            <v>0</v>
          </cell>
        </row>
        <row r="459">
          <cell r="E459" t="str">
            <v>Capital expenditures reflected in cost of acquisitions, sustaining</v>
          </cell>
          <cell r="HX459" t="str">
            <v>mstag:capitalExpendituresReflectedInCostOfAcquisitionsMaintenance</v>
          </cell>
          <cell r="HY459">
            <v>6</v>
          </cell>
          <cell r="HZ459" t="str">
            <v>ISO4217:USD</v>
          </cell>
          <cell r="IA459" t="b">
            <v>0</v>
          </cell>
          <cell r="IB459" t="b">
            <v>0</v>
          </cell>
        </row>
        <row r="460">
          <cell r="E460" t="str">
            <v>Capital expenditures reflected in cost of acquisitions, growth</v>
          </cell>
          <cell r="HX460" t="str">
            <v>mstag:capitalExpendituresReflectedInCostOfAcquisitionsGrowth</v>
          </cell>
          <cell r="HY460">
            <v>6</v>
          </cell>
          <cell r="HZ460" t="str">
            <v>ISO4217:USD</v>
          </cell>
          <cell r="IA460" t="b">
            <v>0</v>
          </cell>
          <cell r="IB460" t="b">
            <v>0</v>
          </cell>
        </row>
        <row r="461">
          <cell r="D461" t="str">
            <v>Investment in intangible assets reflected in cost of acquisitions</v>
          </cell>
          <cell r="G461" t="str">
            <v/>
          </cell>
          <cell r="H461" t="str">
            <v/>
          </cell>
          <cell r="I461" t="str">
            <v/>
          </cell>
          <cell r="J461" t="str">
            <v/>
          </cell>
          <cell r="K461" t="str">
            <v/>
          </cell>
          <cell r="L461" t="str">
            <v/>
          </cell>
          <cell r="M461" t="str">
            <v/>
          </cell>
          <cell r="HX461" t="str">
            <v>mstag:investmentInIntangibleAssetsReflectedInCostOfAcquisitions</v>
          </cell>
          <cell r="HY461">
            <v>6</v>
          </cell>
          <cell r="HZ461" t="str">
            <v>ISO4217:USD</v>
          </cell>
          <cell r="IA461" t="b">
            <v>0</v>
          </cell>
          <cell r="IB461" t="b">
            <v>0</v>
          </cell>
        </row>
        <row r="462">
          <cell r="E462" t="str">
            <v>Investment in intangible assets reflected in cost of acquisitions, sustaining</v>
          </cell>
          <cell r="HX462" t="str">
            <v>mstag:investmentInIntangibleAssetsReflectedInCostOfAcquisitionsMaintenance</v>
          </cell>
          <cell r="HY462">
            <v>6</v>
          </cell>
          <cell r="HZ462" t="str">
            <v>ISO4217:USD</v>
          </cell>
          <cell r="IA462" t="b">
            <v>0</v>
          </cell>
          <cell r="IB462" t="b">
            <v>0</v>
          </cell>
        </row>
        <row r="463">
          <cell r="E463" t="str">
            <v>Investment in intangible assets reflected in cost of acquisitions, growth</v>
          </cell>
          <cell r="HX463" t="str">
            <v>mstag:investmentInIntangibleAssetsReflectedInCostOfAcquisitionsGrowth</v>
          </cell>
          <cell r="HY463">
            <v>6</v>
          </cell>
          <cell r="HZ463" t="str">
            <v>ISO4217:USD</v>
          </cell>
          <cell r="IA463" t="b">
            <v>0</v>
          </cell>
          <cell r="IB463" t="b">
            <v>0</v>
          </cell>
        </row>
        <row r="464">
          <cell r="D464" t="str">
            <v>Premium (goodwill) on acquisitions</v>
          </cell>
          <cell r="G464" t="str">
            <v/>
          </cell>
          <cell r="H464" t="str">
            <v/>
          </cell>
          <cell r="I464" t="str">
            <v/>
          </cell>
          <cell r="J464" t="str">
            <v/>
          </cell>
          <cell r="K464" t="str">
            <v/>
          </cell>
          <cell r="L464" t="str">
            <v/>
          </cell>
          <cell r="M464" t="str">
            <v/>
          </cell>
          <cell r="HX464" t="str">
            <v>mstag:premiumGoodwillOnAcquisions</v>
          </cell>
          <cell r="HY464">
            <v>6</v>
          </cell>
          <cell r="HZ464" t="str">
            <v>ISO4217:USD</v>
          </cell>
          <cell r="IA464" t="b">
            <v>0</v>
          </cell>
          <cell r="IB464" t="b">
            <v>0</v>
          </cell>
        </row>
        <row r="465">
          <cell r="E465" t="str">
            <v>Premium (goodwill) on acquisitions, sustaining</v>
          </cell>
          <cell r="HX465" t="str">
            <v>mstag:premiumGoodwillOnAcquisitionsSustaining</v>
          </cell>
          <cell r="HY465">
            <v>6</v>
          </cell>
          <cell r="HZ465" t="str">
            <v>ISO4217:USD</v>
          </cell>
          <cell r="IA465" t="b">
            <v>0</v>
          </cell>
          <cell r="IB465" t="b">
            <v>0</v>
          </cell>
        </row>
        <row r="466">
          <cell r="E466" t="str">
            <v>Premium (goodwill) on acquisitions, growth</v>
          </cell>
          <cell r="HX466" t="str">
            <v>mstag:premiumGoodwillOnAcquisitionsGrowth</v>
          </cell>
          <cell r="HY466">
            <v>6</v>
          </cell>
          <cell r="HZ466" t="str">
            <v>ISO4217:USD</v>
          </cell>
          <cell r="IA466" t="b">
            <v>0</v>
          </cell>
          <cell r="IB466" t="b">
            <v>0</v>
          </cell>
        </row>
        <row r="467">
          <cell r="D467" t="str">
            <v>Other assets (liabilities) acquired included in ending balance sheet totals</v>
          </cell>
          <cell r="HX467" t="str">
            <v>mstag:otherAssetsLiabilitiesIncludedInEndingBalanceSheetTotals</v>
          </cell>
          <cell r="HY467">
            <v>6</v>
          </cell>
          <cell r="HZ467" t="str">
            <v>ISO4217:USD</v>
          </cell>
          <cell r="IA467" t="b">
            <v>0</v>
          </cell>
          <cell r="IB467" t="b">
            <v>0</v>
          </cell>
        </row>
        <row r="468">
          <cell r="D468" t="str">
            <v>Acquired in-process R and D, acquisitions</v>
          </cell>
          <cell r="HX468" t="str">
            <v>mstag:acquiredInProcessRAndDAcquisitions</v>
          </cell>
          <cell r="HY468">
            <v>6</v>
          </cell>
          <cell r="HZ468" t="str">
            <v>ISO4217:USD</v>
          </cell>
          <cell r="IA468" t="b">
            <v>0</v>
          </cell>
          <cell r="IB468" t="b">
            <v>0</v>
          </cell>
        </row>
        <row r="469">
          <cell r="D469" t="str">
            <v>Principal debt acquired</v>
          </cell>
          <cell r="HX469" t="str">
            <v>mstag:principalDebtAcquired</v>
          </cell>
          <cell r="HY469">
            <v>6</v>
          </cell>
          <cell r="HZ469" t="str">
            <v>ISO4217:USD</v>
          </cell>
          <cell r="IA469" t="b">
            <v>0</v>
          </cell>
          <cell r="IB469" t="b">
            <v>0</v>
          </cell>
        </row>
        <row r="470">
          <cell r="D470" t="str">
            <v>Equity issued on acquisition</v>
          </cell>
          <cell r="HX470" t="str">
            <v>mstag:equityIssuedOnAcquisition</v>
          </cell>
          <cell r="HY470">
            <v>6</v>
          </cell>
          <cell r="HZ470" t="str">
            <v>ISO4217:USD</v>
          </cell>
          <cell r="IA470" t="b">
            <v>0</v>
          </cell>
          <cell r="IB470" t="b">
            <v>0</v>
          </cell>
        </row>
        <row r="471">
          <cell r="C471" t="str">
            <v>Investment in intangible assets</v>
          </cell>
          <cell r="G471" t="str">
            <v/>
          </cell>
          <cell r="H471" t="str">
            <v/>
          </cell>
          <cell r="I471" t="str">
            <v/>
          </cell>
          <cell r="J471" t="str">
            <v/>
          </cell>
          <cell r="K471" t="str">
            <v/>
          </cell>
          <cell r="L471" t="str">
            <v/>
          </cell>
          <cell r="M471" t="str">
            <v/>
          </cell>
          <cell r="HX471" t="str">
            <v>mstag:investmentInIntangibleAssets</v>
          </cell>
          <cell r="HY471">
            <v>6</v>
          </cell>
          <cell r="HZ471" t="str">
            <v>ISO4217:USD</v>
          </cell>
          <cell r="IA471" t="b">
            <v>0</v>
          </cell>
          <cell r="IB471" t="b">
            <v>0</v>
          </cell>
        </row>
        <row r="472">
          <cell r="D472" t="str">
            <v>Investment in indefinite life intangibles</v>
          </cell>
          <cell r="G472" t="str">
            <v/>
          </cell>
          <cell r="H472" t="str">
            <v/>
          </cell>
          <cell r="I472" t="str">
            <v/>
          </cell>
          <cell r="J472" t="str">
            <v/>
          </cell>
          <cell r="K472" t="str">
            <v/>
          </cell>
          <cell r="L472" t="str">
            <v/>
          </cell>
          <cell r="M472" t="str">
            <v/>
          </cell>
          <cell r="HX472" t="str">
            <v>mstag:investmentInIndefiniteLifeIntangibles</v>
          </cell>
          <cell r="HY472">
            <v>6</v>
          </cell>
          <cell r="HZ472" t="str">
            <v>ISO4217:USD</v>
          </cell>
          <cell r="IA472" t="b">
            <v>0</v>
          </cell>
          <cell r="IB472" t="b">
            <v>0</v>
          </cell>
        </row>
        <row r="473">
          <cell r="E473" t="str">
            <v>Investment in indefinite life intangibles, sustaining</v>
          </cell>
          <cell r="HX473" t="str">
            <v>mstag:investmentInIndefiniteLifeIntangiblesMaintenance</v>
          </cell>
          <cell r="HY473">
            <v>6</v>
          </cell>
          <cell r="HZ473" t="str">
            <v>ISO4217:USD</v>
          </cell>
          <cell r="IA473" t="b">
            <v>0</v>
          </cell>
          <cell r="IB473" t="b">
            <v>0</v>
          </cell>
        </row>
        <row r="474">
          <cell r="E474" t="str">
            <v>Investment in indefinite life intangibles, growth</v>
          </cell>
          <cell r="HX474" t="str">
            <v>mstag:investmentInIndefiniteLifeIntangiblesGrowth</v>
          </cell>
          <cell r="HY474">
            <v>6</v>
          </cell>
          <cell r="HZ474" t="str">
            <v>ISO4217:USD</v>
          </cell>
          <cell r="IA474" t="b">
            <v>0</v>
          </cell>
          <cell r="IB474" t="b">
            <v>0</v>
          </cell>
        </row>
        <row r="475">
          <cell r="D475" t="str">
            <v>Investment in definite life intangibles</v>
          </cell>
          <cell r="G475" t="str">
            <v/>
          </cell>
          <cell r="H475" t="str">
            <v/>
          </cell>
          <cell r="I475" t="str">
            <v/>
          </cell>
          <cell r="J475" t="str">
            <v/>
          </cell>
          <cell r="K475" t="str">
            <v/>
          </cell>
          <cell r="L475" t="str">
            <v/>
          </cell>
          <cell r="M475" t="str">
            <v/>
          </cell>
          <cell r="HX475" t="str">
            <v>mstag:investmentInDefiniteLifeIntangibles</v>
          </cell>
          <cell r="HY475">
            <v>6</v>
          </cell>
          <cell r="HZ475" t="str">
            <v>ISO4217:USD</v>
          </cell>
          <cell r="IA475" t="b">
            <v>0</v>
          </cell>
          <cell r="IB475" t="b">
            <v>0</v>
          </cell>
        </row>
        <row r="476">
          <cell r="E476" t="str">
            <v>Investment in definite life intangibles, sustaining</v>
          </cell>
          <cell r="HX476" t="str">
            <v>mstag:investmentInDefiniteLifeIntangiblesMaintenance</v>
          </cell>
          <cell r="HY476">
            <v>6</v>
          </cell>
          <cell r="HZ476" t="str">
            <v>ISO4217:USD</v>
          </cell>
          <cell r="IA476" t="b">
            <v>0</v>
          </cell>
          <cell r="IB476" t="b">
            <v>0</v>
          </cell>
        </row>
        <row r="477">
          <cell r="E477" t="str">
            <v>Investment in definite life intangibles, growth</v>
          </cell>
          <cell r="HX477" t="str">
            <v>mstag:investmentInDefiniteLifeIntangiblesGrowth</v>
          </cell>
          <cell r="HY477">
            <v>6</v>
          </cell>
          <cell r="HZ477" t="str">
            <v>ISO4217:USD</v>
          </cell>
          <cell r="IA477" t="b">
            <v>0</v>
          </cell>
          <cell r="IB477" t="b">
            <v>0</v>
          </cell>
        </row>
        <row r="478">
          <cell r="C478" t="str">
            <v>Income (loss) from investments under the equity method, operating, cash flow statement</v>
          </cell>
          <cell r="HX478" t="str">
            <v>mstag:incomeLossFromInvestmentsAccountedForUnderTheEquityMethodOperating</v>
          </cell>
          <cell r="HY478">
            <v>6</v>
          </cell>
          <cell r="HZ478" t="str">
            <v>ISO4217:USD</v>
          </cell>
          <cell r="IA478" t="b">
            <v>0</v>
          </cell>
          <cell r="IB478" t="b">
            <v>0</v>
          </cell>
        </row>
        <row r="479">
          <cell r="C479" t="str">
            <v>Income (loss) from investments under the equity method, nonoperating, cash flow statement</v>
          </cell>
          <cell r="HX479" t="str">
            <v>mstag:incomeLossFromInvestmentsAccountedForUnderTheEquityMethodNonOperating</v>
          </cell>
          <cell r="HY479">
            <v>6</v>
          </cell>
          <cell r="HZ479" t="str">
            <v>ISO4217:USD</v>
          </cell>
          <cell r="IA479" t="b">
            <v>0</v>
          </cell>
          <cell r="IB479" t="b">
            <v>0</v>
          </cell>
        </row>
        <row r="480">
          <cell r="C480" t="str">
            <v>Dividends from investments under the equity method, operating, cash flow statement</v>
          </cell>
          <cell r="HX480" t="str">
            <v>mstag:dividendsFromInvestmentsAccountedForUnderTheEquityMethodOperating</v>
          </cell>
          <cell r="HY480">
            <v>6</v>
          </cell>
          <cell r="HZ480" t="str">
            <v>ISO4217:USD</v>
          </cell>
          <cell r="IA480" t="b">
            <v>0</v>
          </cell>
          <cell r="IB480" t="b">
            <v>0</v>
          </cell>
        </row>
        <row r="481">
          <cell r="C481" t="str">
            <v>Dividends from investments under the equity method, nonoperating, cash flow statement</v>
          </cell>
          <cell r="HX481" t="str">
            <v>mstag:dividendsFromInvestmentsAccountedForUnderTheEquityMethodNonOperating</v>
          </cell>
          <cell r="HY481">
            <v>6</v>
          </cell>
          <cell r="HZ481" t="str">
            <v>ISO4217:USD</v>
          </cell>
          <cell r="IA481" t="b">
            <v>0</v>
          </cell>
          <cell r="IB481" t="b">
            <v>0</v>
          </cell>
        </row>
        <row r="482">
          <cell r="C482" t="str">
            <v>Net increase in deferred tax liabilities (assets)</v>
          </cell>
          <cell r="G482">
            <v>19.66</v>
          </cell>
          <cell r="H482">
            <v>29.792000000000002</v>
          </cell>
          <cell r="I482">
            <v>-144.29500000000002</v>
          </cell>
          <cell r="J482">
            <v>-196.78200000000001</v>
          </cell>
          <cell r="K482">
            <v>29.356999999999999</v>
          </cell>
          <cell r="L482">
            <v>-196.64400000000001</v>
          </cell>
          <cell r="M482">
            <v>-149</v>
          </cell>
          <cell r="HX482" t="str">
            <v>mstag:deferredTax</v>
          </cell>
          <cell r="HY482">
            <v>6</v>
          </cell>
          <cell r="HZ482" t="str">
            <v>ISO4217:USD</v>
          </cell>
          <cell r="IA482" t="b">
            <v>0</v>
          </cell>
          <cell r="IB482" t="b">
            <v>0</v>
          </cell>
        </row>
        <row r="483">
          <cell r="D483" t="str">
            <v>Net decrease in deferred tax asset from exercise of ESOs in the period</v>
          </cell>
          <cell r="HX483" t="str">
            <v>mstag:netDecreaseInDeferredTaxAssetFromExerciseOfEsosInThePeriod</v>
          </cell>
          <cell r="HY483">
            <v>6</v>
          </cell>
          <cell r="HZ483" t="str">
            <v>ISO4217:USD</v>
          </cell>
          <cell r="IA483" t="b">
            <v>0</v>
          </cell>
          <cell r="IB483" t="b">
            <v>0</v>
          </cell>
        </row>
        <row r="484">
          <cell r="C484" t="str">
            <v>Net increase in income tax payable (receivable)</v>
          </cell>
          <cell r="HX484" t="str">
            <v>mstag:netIncreaseInIncomeTaxPayableReceivable</v>
          </cell>
          <cell r="HY484">
            <v>6</v>
          </cell>
          <cell r="HZ484" t="str">
            <v>ISO4217:USD</v>
          </cell>
          <cell r="IA484" t="b">
            <v>0</v>
          </cell>
          <cell r="IB484" t="b">
            <v>0</v>
          </cell>
        </row>
        <row r="485">
          <cell r="D485" t="str">
            <v>Net decrease in income tax payable due to tax benefit from exercise of ESOs</v>
          </cell>
          <cell r="HX485" t="str">
            <v>mstag:netDecreaseInIncomeTaxPayableDueToTaxBenefitFromExerciseOfEsos</v>
          </cell>
          <cell r="HY485">
            <v>6</v>
          </cell>
          <cell r="HZ485" t="str">
            <v>ISO4217:USD</v>
          </cell>
          <cell r="IA485" t="b">
            <v>0</v>
          </cell>
          <cell r="IB485" t="b">
            <v>0</v>
          </cell>
        </row>
        <row r="486">
          <cell r="C486" t="str">
            <v>Stock-based compensation charge, pretax</v>
          </cell>
          <cell r="HX486" t="str">
            <v>mstag:stockBasedCompensationChargePreTax</v>
          </cell>
          <cell r="HY486">
            <v>6</v>
          </cell>
          <cell r="HZ486" t="str">
            <v>ISO4217:USD</v>
          </cell>
          <cell r="IA486" t="b">
            <v>0</v>
          </cell>
          <cell r="IB486" t="b">
            <v>0</v>
          </cell>
        </row>
        <row r="487">
          <cell r="C487" t="str">
            <v>Tax benefit from exercise of ESOs</v>
          </cell>
          <cell r="G487">
            <v>0</v>
          </cell>
          <cell r="H487">
            <v>0</v>
          </cell>
          <cell r="I487">
            <v>119.15300000000001</v>
          </cell>
          <cell r="J487">
            <v>0</v>
          </cell>
          <cell r="K487">
            <v>0</v>
          </cell>
          <cell r="L487">
            <v>0</v>
          </cell>
          <cell r="M487">
            <v>0</v>
          </cell>
          <cell r="HX487" t="str">
            <v>mstag:taxBenefitFromExerciseOfEsosCashFlowStatement</v>
          </cell>
          <cell r="HY487">
            <v>6</v>
          </cell>
          <cell r="HZ487" t="str">
            <v>ISO4217:USD</v>
          </cell>
          <cell r="IA487" t="b">
            <v>0</v>
          </cell>
          <cell r="IB487" t="b">
            <v>0</v>
          </cell>
        </row>
        <row r="488">
          <cell r="C488" t="str">
            <v>Net decrease in other assets, operating</v>
          </cell>
          <cell r="G488">
            <v>-61.529000000000003</v>
          </cell>
          <cell r="H488">
            <v>-17.151</v>
          </cell>
          <cell r="I488">
            <v>-23.551000000000002</v>
          </cell>
          <cell r="J488">
            <v>-55.603999999999999</v>
          </cell>
          <cell r="K488">
            <v>-10.105</v>
          </cell>
          <cell r="L488">
            <v>12.875</v>
          </cell>
          <cell r="M488">
            <v>-1110.23</v>
          </cell>
          <cell r="HX488" t="str">
            <v>mstag:netDecreaseInOtherAssets</v>
          </cell>
          <cell r="HY488">
            <v>6</v>
          </cell>
          <cell r="HZ488" t="str">
            <v>ISO4217:USD</v>
          </cell>
          <cell r="IA488" t="b">
            <v>0</v>
          </cell>
          <cell r="IB488" t="b">
            <v>0</v>
          </cell>
        </row>
        <row r="489">
          <cell r="C489" t="str">
            <v>Net decrease in trade receivables</v>
          </cell>
          <cell r="G489">
            <v>11.194000000000001</v>
          </cell>
          <cell r="H489">
            <v>33.767000000000003</v>
          </cell>
          <cell r="I489">
            <v>-70.994</v>
          </cell>
          <cell r="J489">
            <v>-103.863</v>
          </cell>
          <cell r="K489">
            <v>-59.512</v>
          </cell>
          <cell r="L489">
            <v>-107.483</v>
          </cell>
          <cell r="M489">
            <v>-146.1</v>
          </cell>
          <cell r="HX489" t="str">
            <v>mstag:netDecreaseInTradeReceivables</v>
          </cell>
          <cell r="HY489">
            <v>6</v>
          </cell>
          <cell r="HZ489" t="str">
            <v>ISO4217:USD</v>
          </cell>
          <cell r="IA489" t="b">
            <v>0</v>
          </cell>
          <cell r="IB489" t="b">
            <v>0</v>
          </cell>
        </row>
        <row r="490">
          <cell r="C490" t="str">
            <v>Net decrease in finance lease receivables</v>
          </cell>
          <cell r="HX490" t="str">
            <v>mstag:netDecreaseInFinanceLeaseReceivables</v>
          </cell>
          <cell r="HY490">
            <v>6</v>
          </cell>
          <cell r="HZ490" t="str">
            <v>ISO4217:USD</v>
          </cell>
          <cell r="IA490" t="b">
            <v>0</v>
          </cell>
          <cell r="IB490" t="b">
            <v>0</v>
          </cell>
        </row>
        <row r="491">
          <cell r="C491" t="str">
            <v>Net decrease in unbilled receivables</v>
          </cell>
          <cell r="HX491" t="str">
            <v>mstag:netDecreaseInUnbilledReceivables</v>
          </cell>
          <cell r="HY491">
            <v>6</v>
          </cell>
          <cell r="HZ491" t="str">
            <v>ISO4217:USD</v>
          </cell>
          <cell r="IA491" t="b">
            <v>0</v>
          </cell>
          <cell r="IB491" t="b">
            <v>0</v>
          </cell>
        </row>
        <row r="492">
          <cell r="C492" t="str">
            <v>Net decrease in other receivables</v>
          </cell>
          <cell r="HX492" t="str">
            <v>mstag:netDecreaseInOtherReceivables</v>
          </cell>
          <cell r="HY492">
            <v>6</v>
          </cell>
          <cell r="HZ492" t="str">
            <v>ISO4217:USD</v>
          </cell>
          <cell r="IA492" t="b">
            <v>0</v>
          </cell>
          <cell r="IB492" t="b">
            <v>0</v>
          </cell>
        </row>
        <row r="493">
          <cell r="C493" t="str">
            <v>Net decrease in prepaid expenses</v>
          </cell>
          <cell r="HX493" t="str">
            <v>mstag:netDecreaseInPrepaidExpenses</v>
          </cell>
          <cell r="HY493">
            <v>6</v>
          </cell>
          <cell r="HZ493" t="str">
            <v>ISO4217:USD</v>
          </cell>
          <cell r="IA493" t="b">
            <v>0</v>
          </cell>
          <cell r="IB493" t="b">
            <v>0</v>
          </cell>
        </row>
        <row r="494">
          <cell r="C494" t="str">
            <v>Net decrease in inventories</v>
          </cell>
          <cell r="G494">
            <v>-24.082999999999998</v>
          </cell>
          <cell r="H494">
            <v>-32.6</v>
          </cell>
          <cell r="I494">
            <v>59.561</v>
          </cell>
          <cell r="J494">
            <v>9.4149999999999991</v>
          </cell>
          <cell r="K494">
            <v>-91.116</v>
          </cell>
          <cell r="L494">
            <v>-36.595999999999997</v>
          </cell>
          <cell r="M494">
            <v>-93.26</v>
          </cell>
          <cell r="HX494" t="str">
            <v>mstag:netDecreaseInInventories</v>
          </cell>
          <cell r="HY494">
            <v>6</v>
          </cell>
          <cell r="HZ494" t="str">
            <v>ISO4217:USD</v>
          </cell>
          <cell r="IA494" t="b">
            <v>0</v>
          </cell>
          <cell r="IB494" t="b">
            <v>0</v>
          </cell>
        </row>
        <row r="495">
          <cell r="C495" t="str">
            <v>Net increase in trade and other payables</v>
          </cell>
          <cell r="G495">
            <v>32.896999999999998</v>
          </cell>
          <cell r="H495">
            <v>15.936999999999999</v>
          </cell>
          <cell r="I495">
            <v>166.41199999999998</v>
          </cell>
          <cell r="J495">
            <v>239.38800000000001</v>
          </cell>
          <cell r="K495">
            <v>124.774</v>
          </cell>
          <cell r="L495">
            <v>148.68100000000001</v>
          </cell>
          <cell r="M495">
            <v>463.6</v>
          </cell>
          <cell r="HX495" t="str">
            <v>mstag:netIncreaseInTradeAndOtherPayables</v>
          </cell>
          <cell r="HY495">
            <v>6</v>
          </cell>
          <cell r="HZ495" t="str">
            <v>ISO4217:USD</v>
          </cell>
          <cell r="IA495" t="b">
            <v>0</v>
          </cell>
          <cell r="IB495" t="b">
            <v>0</v>
          </cell>
        </row>
        <row r="496">
          <cell r="C496" t="str">
            <v>Net increase in deferred revenue</v>
          </cell>
          <cell r="G496">
            <v>0</v>
          </cell>
          <cell r="H496">
            <v>0</v>
          </cell>
          <cell r="I496">
            <v>0</v>
          </cell>
          <cell r="J496">
            <v>0</v>
          </cell>
          <cell r="K496">
            <v>-15.457000000000001</v>
          </cell>
          <cell r="L496">
            <v>2.0009999999999999</v>
          </cell>
          <cell r="M496">
            <v>239.14500000000001</v>
          </cell>
          <cell r="HX496" t="str">
            <v>mstag:netIncreaseInDeferredRevenue</v>
          </cell>
          <cell r="HY496">
            <v>6</v>
          </cell>
          <cell r="HZ496" t="str">
            <v>ISO4217:USD</v>
          </cell>
          <cell r="IA496" t="b">
            <v>0</v>
          </cell>
          <cell r="IB496" t="b">
            <v>0</v>
          </cell>
        </row>
        <row r="497">
          <cell r="C497" t="str">
            <v>Net increase in accrued expenses</v>
          </cell>
          <cell r="HX497" t="str">
            <v>mstag:netIncreaseInAccruedExpenses</v>
          </cell>
          <cell r="HY497">
            <v>6</v>
          </cell>
          <cell r="HZ497" t="str">
            <v>ISO4217:USD</v>
          </cell>
          <cell r="IA497" t="b">
            <v>0</v>
          </cell>
          <cell r="IB497" t="b">
            <v>0</v>
          </cell>
        </row>
        <row r="498">
          <cell r="C498" t="str">
            <v>Net increase in deferred compensation</v>
          </cell>
          <cell r="HX498" t="str">
            <v>mstag:netIncreaseInDeferredCompensation</v>
          </cell>
          <cell r="HY498">
            <v>6</v>
          </cell>
          <cell r="HZ498" t="str">
            <v>ISO4217:USD</v>
          </cell>
          <cell r="IA498" t="b">
            <v>0</v>
          </cell>
          <cell r="IB498" t="b">
            <v>0</v>
          </cell>
        </row>
        <row r="499">
          <cell r="C499" t="str">
            <v>Proceeds from issuance and cash used to repay short term borrowings</v>
          </cell>
          <cell r="G499">
            <v>0</v>
          </cell>
          <cell r="H499">
            <v>0</v>
          </cell>
          <cell r="I499">
            <v>0</v>
          </cell>
          <cell r="J499">
            <v>0</v>
          </cell>
          <cell r="K499">
            <v>0</v>
          </cell>
          <cell r="L499">
            <v>-149.69200000000001</v>
          </cell>
          <cell r="M499">
            <v>0</v>
          </cell>
          <cell r="HX499" t="str">
            <v>mstag:proceedsFromIssuanceAndCashUsedToRepayShortTermBorrowings</v>
          </cell>
          <cell r="HY499">
            <v>6</v>
          </cell>
          <cell r="HZ499" t="str">
            <v>ISO4217:USD</v>
          </cell>
          <cell r="IA499" t="b">
            <v>0</v>
          </cell>
          <cell r="IB499" t="b">
            <v>0</v>
          </cell>
        </row>
        <row r="500">
          <cell r="C500" t="str">
            <v>Proceeds from issuance and cash used to repay long term debt</v>
          </cell>
          <cell r="HX500" t="str">
            <v>mstag:proceedsFromIssuanceAndCashUsedToRepayLongTermDebt</v>
          </cell>
          <cell r="HY500">
            <v>6</v>
          </cell>
          <cell r="HZ500" t="str">
            <v>ISO4217:USD</v>
          </cell>
          <cell r="IA500" t="b">
            <v>0</v>
          </cell>
          <cell r="IB500" t="b">
            <v>0</v>
          </cell>
        </row>
        <row r="501">
          <cell r="C501" t="str">
            <v>Net increase in other liabilities, operating</v>
          </cell>
          <cell r="G501">
            <v>0</v>
          </cell>
          <cell r="H501">
            <v>0</v>
          </cell>
          <cell r="I501">
            <v>0</v>
          </cell>
          <cell r="J501">
            <v>0</v>
          </cell>
          <cell r="K501">
            <v>0</v>
          </cell>
          <cell r="L501">
            <v>552.18499999999995</v>
          </cell>
          <cell r="HX501" t="str">
            <v>mstag:netIncreaseInOtherLiabilitiesOperating</v>
          </cell>
          <cell r="HY501">
            <v>6</v>
          </cell>
          <cell r="HZ501" t="str">
            <v>ISO4217:USD</v>
          </cell>
          <cell r="IA501" t="b">
            <v>0</v>
          </cell>
          <cell r="IB501" t="b">
            <v>0</v>
          </cell>
        </row>
        <row r="502">
          <cell r="C502" t="str">
            <v>Net increase in minority interests in shareholders' equity</v>
          </cell>
          <cell r="HX502" t="str">
            <v>mstag:netIncreaseInMinorityInterestsInShareholdersEquity</v>
          </cell>
          <cell r="HY502">
            <v>6</v>
          </cell>
          <cell r="HZ502" t="str">
            <v>ISO4217:USD</v>
          </cell>
          <cell r="IA502" t="b">
            <v>0</v>
          </cell>
          <cell r="IB502" t="b">
            <v>0</v>
          </cell>
        </row>
        <row r="503">
          <cell r="C503" t="str">
            <v>Net issuance of preferred stock</v>
          </cell>
          <cell r="G503" t="str">
            <v/>
          </cell>
          <cell r="H503" t="str">
            <v/>
          </cell>
          <cell r="I503" t="str">
            <v/>
          </cell>
          <cell r="J503" t="str">
            <v/>
          </cell>
          <cell r="K503" t="str">
            <v/>
          </cell>
          <cell r="L503" t="str">
            <v/>
          </cell>
          <cell r="M503" t="str">
            <v/>
          </cell>
          <cell r="HX503" t="str">
            <v>mstag:netIssuanceOfPreferredStock</v>
          </cell>
          <cell r="HY503">
            <v>6</v>
          </cell>
          <cell r="HZ503" t="str">
            <v>ISO4217:USD</v>
          </cell>
          <cell r="IA503" t="b">
            <v>0</v>
          </cell>
          <cell r="IB503" t="b">
            <v>0</v>
          </cell>
        </row>
        <row r="504">
          <cell r="D504" t="str">
            <v>Issuances of preferred stock</v>
          </cell>
          <cell r="HX504" t="str">
            <v>mstag:issuancesOfPreferredStock</v>
          </cell>
          <cell r="HY504">
            <v>6</v>
          </cell>
          <cell r="HZ504" t="str">
            <v>ISO4217:USD</v>
          </cell>
          <cell r="IA504" t="b">
            <v>0</v>
          </cell>
          <cell r="IB504" t="b">
            <v>0</v>
          </cell>
        </row>
        <row r="505">
          <cell r="D505" t="str">
            <v>Redemptions, retirements and repurchases of preferred stock</v>
          </cell>
          <cell r="HX505" t="str">
            <v>mstag:redemptionsRetirementsAndRepurchasesOfPreferredStock</v>
          </cell>
          <cell r="HY505">
            <v>6</v>
          </cell>
          <cell r="HZ505" t="str">
            <v>ISO4217:USD</v>
          </cell>
          <cell r="IA505" t="b">
            <v>0</v>
          </cell>
          <cell r="IB505" t="b">
            <v>0</v>
          </cell>
        </row>
        <row r="506">
          <cell r="C506" t="str">
            <v>Proceeds from issuance/(funds used to repurchase) common stock</v>
          </cell>
          <cell r="G506">
            <v>87.259</v>
          </cell>
          <cell r="H506">
            <v>107.938</v>
          </cell>
          <cell r="I506">
            <v>160.203</v>
          </cell>
          <cell r="J506">
            <v>180.37899999999999</v>
          </cell>
          <cell r="K506">
            <v>67.162000000000006</v>
          </cell>
          <cell r="L506">
            <v>-618.58799999999997</v>
          </cell>
          <cell r="M506">
            <v>325.52</v>
          </cell>
          <cell r="HX506" t="str">
            <v>mstag:proceedsFromIssuanceFundsUsedToRepurchaseCommonStock</v>
          </cell>
          <cell r="HY506">
            <v>6</v>
          </cell>
          <cell r="HZ506" t="str">
            <v>ISO4217:USD</v>
          </cell>
          <cell r="IA506" t="b">
            <v>0</v>
          </cell>
          <cell r="IB506" t="b">
            <v>0</v>
          </cell>
        </row>
        <row r="507">
          <cell r="D507" t="str">
            <v>Proceeds from issuance of common stock</v>
          </cell>
          <cell r="G507">
            <v>87.259</v>
          </cell>
          <cell r="H507">
            <v>107.938</v>
          </cell>
          <cell r="I507">
            <v>160.203</v>
          </cell>
          <cell r="J507">
            <v>180.37899999999999</v>
          </cell>
          <cell r="K507">
            <v>106.866</v>
          </cell>
          <cell r="L507">
            <v>74.164000000000001</v>
          </cell>
          <cell r="HX507" t="str">
            <v>mstag:proceedsFromIssuanceOfCommonStock</v>
          </cell>
          <cell r="HY507">
            <v>6</v>
          </cell>
          <cell r="HZ507" t="str">
            <v>ISO4217:USD</v>
          </cell>
          <cell r="IA507" t="b">
            <v>0</v>
          </cell>
          <cell r="IB507" t="b">
            <v>0</v>
          </cell>
        </row>
        <row r="508">
          <cell r="D508" t="str">
            <v>Funds used to repurchase common stock</v>
          </cell>
          <cell r="G508">
            <v>0</v>
          </cell>
          <cell r="H508">
            <v>0</v>
          </cell>
          <cell r="I508">
            <v>0</v>
          </cell>
          <cell r="J508">
            <v>0</v>
          </cell>
          <cell r="K508">
            <v>39.704000000000001</v>
          </cell>
          <cell r="L508">
            <v>692.75199999999995</v>
          </cell>
          <cell r="HX508" t="str">
            <v>mstag:fundsUsedToRepurchaseCommonStock</v>
          </cell>
          <cell r="HY508">
            <v>6</v>
          </cell>
          <cell r="HZ508" t="str">
            <v>ISO4217:USD</v>
          </cell>
          <cell r="IA508" t="b">
            <v>0</v>
          </cell>
          <cell r="IB508" t="b">
            <v>0</v>
          </cell>
        </row>
        <row r="509">
          <cell r="C509" t="str">
            <v>Cash dividends paid</v>
          </cell>
          <cell r="HX509" t="str">
            <v>mstag:cashDividendsPaid</v>
          </cell>
          <cell r="HY509">
            <v>6</v>
          </cell>
          <cell r="HZ509" t="str">
            <v>ISO4217:USD</v>
          </cell>
          <cell r="IA509" t="b">
            <v>0</v>
          </cell>
          <cell r="IB509" t="b">
            <v>0</v>
          </cell>
        </row>
        <row r="510">
          <cell r="C510" t="str">
            <v>Net decrease in notes receivable</v>
          </cell>
          <cell r="HX510" t="str">
            <v>mstag:netDecreaseInNotesReceivable</v>
          </cell>
          <cell r="HY510">
            <v>6</v>
          </cell>
          <cell r="HZ510" t="str">
            <v>ISO4217:USD</v>
          </cell>
          <cell r="IA510" t="b">
            <v>0</v>
          </cell>
          <cell r="IB510" t="b">
            <v>0</v>
          </cell>
        </row>
        <row r="511">
          <cell r="C511" t="str">
            <v>Net decrease in other assets, nonoperating</v>
          </cell>
          <cell r="HX511" t="str">
            <v>mstag:netDecreaseInOtherAssetsNonOperating</v>
          </cell>
          <cell r="HY511">
            <v>6</v>
          </cell>
          <cell r="HZ511" t="str">
            <v>ISO4217:USD</v>
          </cell>
          <cell r="IA511" t="b">
            <v>0</v>
          </cell>
          <cell r="IB511" t="b">
            <v>0</v>
          </cell>
        </row>
        <row r="512">
          <cell r="C512" t="str">
            <v>Net increase in dividends payable</v>
          </cell>
          <cell r="HX512" t="str">
            <v>mstag:netIncreaseInDividendsPayable</v>
          </cell>
          <cell r="HY512">
            <v>6</v>
          </cell>
          <cell r="HZ512" t="str">
            <v>ISO4217:USD</v>
          </cell>
          <cell r="IA512" t="b">
            <v>0</v>
          </cell>
          <cell r="IB512" t="b">
            <v>0</v>
          </cell>
        </row>
        <row r="513">
          <cell r="C513" t="str">
            <v>Net increase in other liabilities, nonoperating</v>
          </cell>
          <cell r="G513">
            <v>0</v>
          </cell>
          <cell r="H513">
            <v>0</v>
          </cell>
          <cell r="I513">
            <v>0</v>
          </cell>
          <cell r="J513">
            <v>0</v>
          </cell>
          <cell r="K513">
            <v>0</v>
          </cell>
          <cell r="L513">
            <v>0</v>
          </cell>
          <cell r="M513">
            <v>56.1</v>
          </cell>
          <cell r="HX513" t="str">
            <v>mstag:netIncreaseInOtherLiabilitiesNonOperating</v>
          </cell>
          <cell r="HY513">
            <v>6</v>
          </cell>
          <cell r="HZ513" t="str">
            <v>ISO4217:USD</v>
          </cell>
          <cell r="IA513" t="b">
            <v>0</v>
          </cell>
          <cell r="IB513" t="b">
            <v>0</v>
          </cell>
        </row>
        <row r="514">
          <cell r="C514" t="str">
            <v>Contribution to pension and other post retirement plan assets</v>
          </cell>
          <cell r="HX514" t="str">
            <v>mstag:contributionToPensionAndOtherPostRetirementPlanAssets</v>
          </cell>
          <cell r="HY514">
            <v>6</v>
          </cell>
          <cell r="HZ514" t="str">
            <v>ISO4217:USD</v>
          </cell>
          <cell r="IA514" t="b">
            <v>0</v>
          </cell>
          <cell r="IB514" t="b">
            <v>0</v>
          </cell>
        </row>
        <row r="515">
          <cell r="C515" t="str">
            <v>Net increase in securitized assets, cash flow statement</v>
          </cell>
          <cell r="HX515" t="str">
            <v>mstag:netIncreaseInSecuritizedAssetsCashFlowStatement</v>
          </cell>
          <cell r="HY515">
            <v>6</v>
          </cell>
          <cell r="HZ515" t="str">
            <v>ISO4217:USD</v>
          </cell>
          <cell r="IA515" t="b">
            <v>0</v>
          </cell>
          <cell r="IB515" t="b">
            <v>0</v>
          </cell>
        </row>
        <row r="516">
          <cell r="C516" t="str">
            <v>Net decrease in investments, nonoperating</v>
          </cell>
          <cell r="G516">
            <v>-68.186000000000035</v>
          </cell>
          <cell r="H516">
            <v>-273.92699999999996</v>
          </cell>
          <cell r="I516">
            <v>8.4469999999999459</v>
          </cell>
          <cell r="J516">
            <v>-136.43600000000004</v>
          </cell>
          <cell r="K516">
            <v>-576.10900000000004</v>
          </cell>
          <cell r="L516">
            <v>174.39500000000021</v>
          </cell>
          <cell r="HX516" t="str">
            <v>mstag:netDecreaseInInvestmentsNonOperating</v>
          </cell>
          <cell r="HY516">
            <v>6</v>
          </cell>
          <cell r="HZ516" t="str">
            <v>ISO4217:USD</v>
          </cell>
          <cell r="IA516" t="b">
            <v>0</v>
          </cell>
          <cell r="IB516" t="b">
            <v>0</v>
          </cell>
        </row>
        <row r="517">
          <cell r="C517" t="str">
            <v>Net cash flow from discontinued operations</v>
          </cell>
          <cell r="HX517" t="str">
            <v>mstag:netCashFlowFromDiscontinuedOperations</v>
          </cell>
          <cell r="HY517">
            <v>6</v>
          </cell>
          <cell r="HZ517" t="str">
            <v>ISO4217:USD</v>
          </cell>
          <cell r="IA517" t="b">
            <v>0</v>
          </cell>
          <cell r="IB517" t="b">
            <v>0</v>
          </cell>
        </row>
        <row r="518">
          <cell r="C518" t="str">
            <v>Other cash flow</v>
          </cell>
          <cell r="G518">
            <v>0</v>
          </cell>
          <cell r="H518">
            <v>0</v>
          </cell>
          <cell r="I518">
            <v>0</v>
          </cell>
          <cell r="J518">
            <v>0</v>
          </cell>
          <cell r="K518">
            <v>5.6379999999999999</v>
          </cell>
          <cell r="L518">
            <v>0</v>
          </cell>
          <cell r="M518">
            <v>47.655000000000001</v>
          </cell>
          <cell r="HX518" t="str">
            <v>mstag:otherCashFlow</v>
          </cell>
          <cell r="HY518">
            <v>6</v>
          </cell>
          <cell r="HZ518" t="str">
            <v>ISO4217:USD</v>
          </cell>
          <cell r="IA518" t="b">
            <v>0</v>
          </cell>
          <cell r="IB518" t="b">
            <v>0</v>
          </cell>
        </row>
        <row r="519">
          <cell r="C519" t="str">
            <v>Effect of foreign exchange rates on cash</v>
          </cell>
          <cell r="HX519" t="str">
            <v>mstag:effectOfForeignExchangeRatesOnCash</v>
          </cell>
          <cell r="HY519">
            <v>6</v>
          </cell>
          <cell r="HZ519" t="str">
            <v>ISO4217:USD</v>
          </cell>
          <cell r="IA519" t="b">
            <v>0</v>
          </cell>
          <cell r="IB519" t="b">
            <v>0</v>
          </cell>
        </row>
        <row r="520">
          <cell r="B520" t="str">
            <v>Changes in shareholders equity</v>
          </cell>
          <cell r="HY520">
            <v>0</v>
          </cell>
          <cell r="HZ520" t="str">
            <v>ms_eqr_gcim_String:ms_eqr_gcim_string</v>
          </cell>
          <cell r="IA520" t="b">
            <v>0</v>
          </cell>
          <cell r="IB520" t="b">
            <v>0</v>
          </cell>
        </row>
        <row r="521">
          <cell r="C521" t="str">
            <v>Common dividends</v>
          </cell>
          <cell r="G521">
            <v>0</v>
          </cell>
          <cell r="H521">
            <v>0</v>
          </cell>
          <cell r="I521">
            <v>0</v>
          </cell>
          <cell r="J521">
            <v>0</v>
          </cell>
          <cell r="K521">
            <v>0</v>
          </cell>
          <cell r="L521">
            <v>0</v>
          </cell>
          <cell r="M521">
            <v>0</v>
          </cell>
          <cell r="HX521" t="str">
            <v>mstag:commonDividends</v>
          </cell>
          <cell r="HY521">
            <v>6</v>
          </cell>
          <cell r="HZ521" t="str">
            <v>ISO4217:USD</v>
          </cell>
          <cell r="IA521" t="b">
            <v>0</v>
          </cell>
          <cell r="IB521" t="b">
            <v>0</v>
          </cell>
        </row>
        <row r="522">
          <cell r="C522" t="str">
            <v>Common dividends attributable to current-period earnings</v>
          </cell>
          <cell r="HX522" t="str">
            <v>mstag:commonDividendsAttributableToCurrentPeriodEarnings</v>
          </cell>
          <cell r="HY522">
            <v>6</v>
          </cell>
          <cell r="HZ522" t="str">
            <v>ISO4217:USD</v>
          </cell>
          <cell r="IA522" t="b">
            <v>0</v>
          </cell>
          <cell r="IB522" t="b">
            <v>0</v>
          </cell>
        </row>
        <row r="523">
          <cell r="C523" t="str">
            <v>Net issuance (repurchase) of common stock</v>
          </cell>
          <cell r="G523">
            <v>101.239</v>
          </cell>
          <cell r="H523">
            <v>125.28</v>
          </cell>
          <cell r="I523">
            <v>3883.2519999999995</v>
          </cell>
          <cell r="J523">
            <v>406.46800000000002</v>
          </cell>
          <cell r="K523">
            <v>115.27599999999998</v>
          </cell>
          <cell r="L523">
            <v>-601.64199999999994</v>
          </cell>
          <cell r="M523">
            <v>590.29999999999995</v>
          </cell>
          <cell r="HX523" t="str">
            <v>mstag:netIssuanceRepurchaseOfCommonStock</v>
          </cell>
          <cell r="HY523">
            <v>6</v>
          </cell>
          <cell r="HZ523" t="str">
            <v>ISO4217:USD</v>
          </cell>
          <cell r="IA523" t="b">
            <v>0</v>
          </cell>
          <cell r="IB523" t="b">
            <v>0</v>
          </cell>
        </row>
        <row r="524">
          <cell r="D524" t="str">
            <v>Issuance of common stock</v>
          </cell>
          <cell r="G524">
            <v>101.239</v>
          </cell>
          <cell r="H524">
            <v>125.28</v>
          </cell>
          <cell r="I524">
            <v>3883.2519999999995</v>
          </cell>
          <cell r="J524">
            <v>406.46800000000002</v>
          </cell>
          <cell r="K524">
            <v>154.97999999999999</v>
          </cell>
          <cell r="L524">
            <v>91.11</v>
          </cell>
          <cell r="M524" t="str">
            <v/>
          </cell>
          <cell r="HX524" t="str">
            <v>mstag:issuanceOfCommonStock</v>
          </cell>
          <cell r="HY524">
            <v>6</v>
          </cell>
          <cell r="HZ524" t="str">
            <v>ISO4217:USD</v>
          </cell>
          <cell r="IA524" t="b">
            <v>0</v>
          </cell>
          <cell r="IB524" t="b">
            <v>0</v>
          </cell>
        </row>
        <row r="525">
          <cell r="E525" t="str">
            <v>Share issuance related to employee stock purchase and option plans</v>
          </cell>
          <cell r="G525">
            <v>87.259</v>
          </cell>
          <cell r="H525">
            <v>107.94800000000001</v>
          </cell>
          <cell r="I525">
            <v>160.54500000000002</v>
          </cell>
          <cell r="J525">
            <v>180.39500000000001</v>
          </cell>
          <cell r="K525">
            <v>106.866</v>
          </cell>
          <cell r="L525">
            <v>74.164000000000001</v>
          </cell>
          <cell r="HX525" t="str">
            <v>mstag:shareIssuanceRelatedToEmployeeStockPurchaseAndOptionPlans</v>
          </cell>
          <cell r="HY525">
            <v>6</v>
          </cell>
          <cell r="HZ525" t="str">
            <v>ISO4217:USD</v>
          </cell>
          <cell r="IA525" t="b">
            <v>0</v>
          </cell>
          <cell r="IB525" t="b">
            <v>0</v>
          </cell>
        </row>
        <row r="526">
          <cell r="E526" t="str">
            <v>Other share issuance</v>
          </cell>
          <cell r="HX526" t="str">
            <v>mstag:otherShareIssuance</v>
          </cell>
          <cell r="HY526">
            <v>6</v>
          </cell>
          <cell r="HZ526" t="str">
            <v>ISO4217:USD</v>
          </cell>
          <cell r="IA526" t="b">
            <v>0</v>
          </cell>
          <cell r="IB526" t="b">
            <v>0</v>
          </cell>
        </row>
        <row r="527">
          <cell r="E527" t="str">
            <v>Amortization of deferred compensation expense</v>
          </cell>
          <cell r="HX527" t="str">
            <v>mstag:amortizationOfDeferredCompensationExpense</v>
          </cell>
          <cell r="HY527">
            <v>6</v>
          </cell>
          <cell r="HZ527" t="str">
            <v>ISO4217:USD</v>
          </cell>
          <cell r="IA527" t="b">
            <v>0</v>
          </cell>
          <cell r="IB527" t="b">
            <v>0</v>
          </cell>
        </row>
        <row r="528">
          <cell r="E528" t="str">
            <v>Tax benefit from exercise of employee stock options</v>
          </cell>
          <cell r="G528">
            <v>13.98</v>
          </cell>
          <cell r="H528">
            <v>17.332000000000001</v>
          </cell>
          <cell r="I528">
            <v>82.987000000000009</v>
          </cell>
          <cell r="J528">
            <v>226.07300000000001</v>
          </cell>
          <cell r="K528">
            <v>48.113999999999997</v>
          </cell>
          <cell r="L528">
            <v>16.946000000000002</v>
          </cell>
          <cell r="HX528" t="str">
            <v>mstag:taxBenefitFromExerciseOfEsos</v>
          </cell>
          <cell r="HY528">
            <v>6</v>
          </cell>
          <cell r="HZ528" t="str">
            <v>ISO4217:USD</v>
          </cell>
          <cell r="IA528" t="b">
            <v>0</v>
          </cell>
          <cell r="IB528" t="b">
            <v>0</v>
          </cell>
        </row>
        <row r="529">
          <cell r="E529" t="str">
            <v>Other changes in share capital</v>
          </cell>
          <cell r="G529">
            <v>0</v>
          </cell>
          <cell r="H529">
            <v>0</v>
          </cell>
          <cell r="I529">
            <v>3639.7199999999993</v>
          </cell>
          <cell r="J529">
            <v>0</v>
          </cell>
          <cell r="K529">
            <v>0</v>
          </cell>
          <cell r="L529">
            <v>0</v>
          </cell>
          <cell r="HX529" t="str">
            <v>mstag:otherChangesInShareCapital</v>
          </cell>
          <cell r="HY529">
            <v>6</v>
          </cell>
          <cell r="HZ529" t="str">
            <v>ISO4217:USD</v>
          </cell>
          <cell r="IA529" t="b">
            <v>0</v>
          </cell>
          <cell r="IB529" t="b">
            <v>0</v>
          </cell>
        </row>
        <row r="530">
          <cell r="D530" t="str">
            <v>Repurchase of common stock</v>
          </cell>
          <cell r="G530">
            <v>0</v>
          </cell>
          <cell r="H530">
            <v>0</v>
          </cell>
          <cell r="I530">
            <v>0</v>
          </cell>
          <cell r="J530">
            <v>0</v>
          </cell>
          <cell r="K530">
            <v>39.704000000000001</v>
          </cell>
          <cell r="L530">
            <v>692.75199999999995</v>
          </cell>
          <cell r="HX530" t="str">
            <v>mstag:repurchaseOfCommonStock</v>
          </cell>
          <cell r="HY530">
            <v>6</v>
          </cell>
          <cell r="HZ530" t="str">
            <v>ISO4217:USD</v>
          </cell>
          <cell r="IA530" t="b">
            <v>0</v>
          </cell>
          <cell r="IB530" t="b">
            <v>0</v>
          </cell>
        </row>
        <row r="531">
          <cell r="C531" t="str">
            <v>Bonus to directors and corporate auditors (Japan)</v>
          </cell>
          <cell r="HX531" t="str">
            <v>mstag:bonusToDirectorsAndCorporateAuditorsJapan</v>
          </cell>
          <cell r="HY531">
            <v>6</v>
          </cell>
          <cell r="HZ531" t="str">
            <v>ISO4217:USD</v>
          </cell>
          <cell r="IA531" t="b">
            <v>0</v>
          </cell>
          <cell r="IB531" t="b">
            <v>0</v>
          </cell>
        </row>
        <row r="532">
          <cell r="C532" t="str">
            <v>Bonus to directors and supervisors (Taiwan)</v>
          </cell>
          <cell r="HX532" t="str">
            <v>mstag:bonusToDirectorsAndSupervisorsTaiwan</v>
          </cell>
          <cell r="HY532">
            <v>6</v>
          </cell>
          <cell r="HZ532" t="str">
            <v>ISO4217:USD</v>
          </cell>
          <cell r="IA532" t="b">
            <v>0</v>
          </cell>
          <cell r="IB532" t="b">
            <v>0</v>
          </cell>
        </row>
        <row r="533">
          <cell r="C533" t="str">
            <v>Employee cash bonus (Taiwan)</v>
          </cell>
          <cell r="HX533" t="str">
            <v>mstag:employeeCashBonusTaiwan</v>
          </cell>
          <cell r="HY533">
            <v>6</v>
          </cell>
          <cell r="HZ533" t="str">
            <v>ISO4217:USD</v>
          </cell>
          <cell r="IA533" t="b">
            <v>0</v>
          </cell>
          <cell r="IB533" t="b">
            <v>0</v>
          </cell>
        </row>
        <row r="534">
          <cell r="C534" t="str">
            <v>Employee stock bonus (Taiwan)</v>
          </cell>
          <cell r="HX534" t="str">
            <v>mstag:employeeStockBonusTaiwan</v>
          </cell>
          <cell r="HY534">
            <v>6</v>
          </cell>
          <cell r="HZ534" t="str">
            <v>ISO4217:USD</v>
          </cell>
          <cell r="IA534" t="b">
            <v>0</v>
          </cell>
          <cell r="IB534" t="b">
            <v>0</v>
          </cell>
        </row>
        <row r="535">
          <cell r="C535" t="str">
            <v>Change in accumulated other comprehensive income (loss) or other reserves</v>
          </cell>
          <cell r="G535">
            <v>-0.11700000000000001</v>
          </cell>
          <cell r="H535">
            <v>5.431</v>
          </cell>
          <cell r="I535">
            <v>200.23600000000002</v>
          </cell>
          <cell r="J535">
            <v>72.119</v>
          </cell>
          <cell r="K535">
            <v>-19.896000000000001</v>
          </cell>
          <cell r="L535">
            <v>-43.08</v>
          </cell>
          <cell r="M535">
            <v>28.549801041422199</v>
          </cell>
          <cell r="HX535" t="str">
            <v>mstag:changeInAccumulatedOtherComprehensiveIncomeLossOrOtherReserves</v>
          </cell>
          <cell r="HY535">
            <v>6</v>
          </cell>
          <cell r="HZ535" t="str">
            <v>ISO4217:USD</v>
          </cell>
          <cell r="IA535" t="b">
            <v>0</v>
          </cell>
          <cell r="IB535" t="b">
            <v>0</v>
          </cell>
        </row>
        <row r="536">
          <cell r="D536" t="str">
            <v>Change in unrealized gains (losses) on AFS securities</v>
          </cell>
          <cell r="G536">
            <v>-0.11700000000000001</v>
          </cell>
          <cell r="H536">
            <v>5.431</v>
          </cell>
          <cell r="I536">
            <v>220.57300000000001</v>
          </cell>
          <cell r="J536">
            <v>72.119</v>
          </cell>
          <cell r="K536">
            <v>-27.741</v>
          </cell>
          <cell r="L536">
            <v>-38.777999999999999</v>
          </cell>
          <cell r="HX536" t="str">
            <v>mstag:changeInUnrealizedGainsLossesOnAfsSecurities</v>
          </cell>
          <cell r="HY536">
            <v>6</v>
          </cell>
          <cell r="HZ536" t="str">
            <v>ISO4217:USD</v>
          </cell>
          <cell r="IA536" t="b">
            <v>0</v>
          </cell>
          <cell r="IB536" t="b">
            <v>0</v>
          </cell>
        </row>
        <row r="537">
          <cell r="D537" t="str">
            <v>Change in foreign currency translation</v>
          </cell>
          <cell r="HX537" t="str">
            <v>mstag:changeInForeignCurrencyTranslation</v>
          </cell>
          <cell r="HY537">
            <v>6</v>
          </cell>
          <cell r="HZ537" t="str">
            <v>ISO4217:USD</v>
          </cell>
          <cell r="IA537" t="b">
            <v>0</v>
          </cell>
          <cell r="IB537" t="b">
            <v>0</v>
          </cell>
        </row>
        <row r="538">
          <cell r="D538" t="str">
            <v>Change in minimum pension liability</v>
          </cell>
          <cell r="HX538" t="str">
            <v>mstag:changeInMinimumPensionLiability</v>
          </cell>
          <cell r="HY538">
            <v>6</v>
          </cell>
          <cell r="HZ538" t="str">
            <v>ISO4217:USD</v>
          </cell>
          <cell r="IA538" t="b">
            <v>0</v>
          </cell>
          <cell r="IB538" t="b">
            <v>0</v>
          </cell>
        </row>
        <row r="539">
          <cell r="D539" t="str">
            <v>Change in cash flow hedges</v>
          </cell>
          <cell r="G539">
            <v>0</v>
          </cell>
          <cell r="H539">
            <v>0</v>
          </cell>
          <cell r="I539">
            <v>0</v>
          </cell>
          <cell r="J539">
            <v>0</v>
          </cell>
          <cell r="K539">
            <v>7.8449999999999998</v>
          </cell>
          <cell r="L539">
            <v>-4.3019999999999996</v>
          </cell>
          <cell r="HX539" t="str">
            <v>mstag:changeInCashFlowHedges</v>
          </cell>
          <cell r="HY539">
            <v>6</v>
          </cell>
          <cell r="HZ539" t="str">
            <v>ISO4217:USD</v>
          </cell>
          <cell r="IA539" t="b">
            <v>0</v>
          </cell>
          <cell r="IB539" t="b">
            <v>0</v>
          </cell>
        </row>
        <row r="540">
          <cell r="D540" t="str">
            <v>Other change in accumulated other comprehensive income (loss)</v>
          </cell>
          <cell r="G540">
            <v>0</v>
          </cell>
          <cell r="H540">
            <v>0</v>
          </cell>
          <cell r="I540">
            <v>-20.337</v>
          </cell>
          <cell r="J540">
            <v>0</v>
          </cell>
          <cell r="K540">
            <v>0</v>
          </cell>
          <cell r="L540">
            <v>0</v>
          </cell>
          <cell r="HX540" t="str">
            <v>mstag:otherChangeInAccumulatedOtherComprehensiveIncomeLoss</v>
          </cell>
          <cell r="HY540">
            <v>6</v>
          </cell>
          <cell r="HZ540" t="str">
            <v>ISO4217:USD</v>
          </cell>
          <cell r="IA540" t="b">
            <v>0</v>
          </cell>
          <cell r="IB540" t="b">
            <v>0</v>
          </cell>
        </row>
        <row r="541">
          <cell r="D541" t="str">
            <v>Change in revaluation reserves</v>
          </cell>
          <cell r="HX541" t="str">
            <v>mstag:changeInRevaluationReserves</v>
          </cell>
          <cell r="HY541">
            <v>6</v>
          </cell>
          <cell r="HZ541" t="str">
            <v>ISO4217:USD</v>
          </cell>
          <cell r="IA541" t="b">
            <v>0</v>
          </cell>
          <cell r="IB541" t="b">
            <v>0</v>
          </cell>
        </row>
        <row r="542">
          <cell r="D542" t="str">
            <v>Change in unearned compensation reserve</v>
          </cell>
          <cell r="HX542" t="str">
            <v>mstag:changeInUnearnedCompensationReserve</v>
          </cell>
          <cell r="HY542">
            <v>6</v>
          </cell>
          <cell r="HZ542" t="str">
            <v>ISO4217:USD</v>
          </cell>
          <cell r="IA542" t="b">
            <v>0</v>
          </cell>
          <cell r="IB542" t="b">
            <v>0</v>
          </cell>
        </row>
        <row r="543">
          <cell r="B543" t="str">
            <v>Operating metrics</v>
          </cell>
          <cell r="HY543">
            <v>0</v>
          </cell>
          <cell r="HZ543" t="str">
            <v>ms_eqr_gcim_String:ms_eqr_gcim_string</v>
          </cell>
          <cell r="IA543" t="b">
            <v>0</v>
          </cell>
          <cell r="IB543" t="b">
            <v>0</v>
          </cell>
        </row>
        <row r="544">
          <cell r="C544" t="str">
            <v>Cumulative unrecognized gain (loss) on other investments, gross of tax, operating</v>
          </cell>
          <cell r="HX544" t="str">
            <v>mstag:cumulativeUnrealizedGainLossOnOtherInvestmentsGrossOfTaxOperating</v>
          </cell>
          <cell r="HY544">
            <v>6</v>
          </cell>
          <cell r="HZ544" t="str">
            <v>ISO4217:USD</v>
          </cell>
          <cell r="IA544" t="b">
            <v>0</v>
          </cell>
          <cell r="IB544" t="b">
            <v>0</v>
          </cell>
        </row>
        <row r="545">
          <cell r="C545" t="str">
            <v>Cumulative unrecognized gain (loss) on other investments, gross of tax, nonoperating</v>
          </cell>
          <cell r="HX545" t="str">
            <v>mstag:cumulativeUnrealizedGainLossOnOtherInvestmentsGrossOfTaxNonOperating</v>
          </cell>
          <cell r="HY545">
            <v>6</v>
          </cell>
          <cell r="HZ545" t="str">
            <v>ISO4217:USD</v>
          </cell>
          <cell r="IA545" t="b">
            <v>0</v>
          </cell>
          <cell r="IB545" t="b">
            <v>0</v>
          </cell>
        </row>
        <row r="546">
          <cell r="C546" t="str">
            <v>Current period unrecognized gain (loss) on other investments, gross of tax, operating</v>
          </cell>
          <cell r="G546" t="str">
            <v/>
          </cell>
          <cell r="H546" t="str">
            <v/>
          </cell>
          <cell r="I546" t="str">
            <v/>
          </cell>
          <cell r="J546" t="str">
            <v/>
          </cell>
          <cell r="K546" t="str">
            <v/>
          </cell>
          <cell r="L546" t="str">
            <v/>
          </cell>
          <cell r="M546" t="str">
            <v/>
          </cell>
          <cell r="HX546" t="str">
            <v>mstag:unrealizedGainLossOnOtherInvestmentsGrossOfTaxOperating</v>
          </cell>
          <cell r="HY546">
            <v>6</v>
          </cell>
          <cell r="HZ546" t="str">
            <v>ISO4217:USD</v>
          </cell>
          <cell r="IA546" t="b">
            <v>0</v>
          </cell>
          <cell r="IB546" t="b">
            <v>0</v>
          </cell>
        </row>
        <row r="547">
          <cell r="D547" t="str">
            <v>Current period unrecognized gain (loss) on other investments, gross of tax, operating, recurring</v>
          </cell>
          <cell r="HX547" t="str">
            <v>mstag:currentPeriodUnrecognizedGainLossOnOtherInvestmentsGrossOfTaxOperatingRecurring</v>
          </cell>
          <cell r="HY547">
            <v>6</v>
          </cell>
          <cell r="HZ547" t="str">
            <v>ISO4217:USD</v>
          </cell>
          <cell r="IA547" t="b">
            <v>0</v>
          </cell>
          <cell r="IB547" t="b">
            <v>0</v>
          </cell>
        </row>
        <row r="548">
          <cell r="D548" t="str">
            <v>Current period unrecognized gain (loss) on other investments, gross of tax, operating, one time</v>
          </cell>
          <cell r="HX548" t="str">
            <v>mstag:currentPeriodUnrecognizedGainLossOnOtherInvestmentsGrossOfTaxOperatingOneTime</v>
          </cell>
          <cell r="HY548">
            <v>6</v>
          </cell>
          <cell r="HZ548" t="str">
            <v>ISO4217:USD</v>
          </cell>
          <cell r="IA548" t="b">
            <v>0</v>
          </cell>
          <cell r="IB548" t="b">
            <v>0</v>
          </cell>
        </row>
        <row r="549">
          <cell r="C549" t="str">
            <v>Current period unrecognized gain (loss) on other investments, gross of tax, nonoperating</v>
          </cell>
          <cell r="G549" t="str">
            <v/>
          </cell>
          <cell r="H549" t="str">
            <v/>
          </cell>
          <cell r="I549" t="str">
            <v/>
          </cell>
          <cell r="J549" t="str">
            <v/>
          </cell>
          <cell r="K549" t="str">
            <v/>
          </cell>
          <cell r="L549" t="str">
            <v/>
          </cell>
          <cell r="M549" t="str">
            <v/>
          </cell>
          <cell r="HX549" t="str">
            <v>mstag:unrealizedGainLossOnOtherInvestmentsGrossOfTaxNonOperating</v>
          </cell>
          <cell r="HY549">
            <v>6</v>
          </cell>
          <cell r="HZ549" t="str">
            <v>ISO4217:USD</v>
          </cell>
          <cell r="IA549" t="b">
            <v>0</v>
          </cell>
          <cell r="IB549" t="b">
            <v>0</v>
          </cell>
        </row>
        <row r="550">
          <cell r="D550" t="str">
            <v>Current period unrecognized gain (loss) on other investments, gross of tax, nonoperating, recurring</v>
          </cell>
          <cell r="HX550" t="str">
            <v>mstag:currentPeriodUnrecognizedGainLossOnOtherInvestmentsGrossOfTaxNonOperatingRecurring</v>
          </cell>
          <cell r="HY550">
            <v>6</v>
          </cell>
          <cell r="HZ550" t="str">
            <v>ISO4217:USD</v>
          </cell>
          <cell r="IA550" t="b">
            <v>0</v>
          </cell>
          <cell r="IB550" t="b">
            <v>0</v>
          </cell>
        </row>
        <row r="551">
          <cell r="D551" t="str">
            <v>Current period unrecognized gain (loss) on other investments, gross of tax, nonoperating, one time</v>
          </cell>
          <cell r="HX551" t="str">
            <v>mstag:currentPeriodUnrecognizedGainLossOnOtherInvestmentsGrossOfTaxNonOperatingOneTime</v>
          </cell>
          <cell r="HY551">
            <v>6</v>
          </cell>
          <cell r="HZ551" t="str">
            <v>ISO4217:USD</v>
          </cell>
          <cell r="IA551" t="b">
            <v>0</v>
          </cell>
          <cell r="IB551" t="b">
            <v>0</v>
          </cell>
        </row>
        <row r="552">
          <cell r="C552" t="str">
            <v>Distribution metrics</v>
          </cell>
          <cell r="HY552">
            <v>0</v>
          </cell>
          <cell r="HZ552" t="str">
            <v>ms_eqr_gcim_String:ms_eqr_gcim_string</v>
          </cell>
          <cell r="IA552" t="b">
            <v>0</v>
          </cell>
          <cell r="IB552" t="b">
            <v>0</v>
          </cell>
        </row>
        <row r="553">
          <cell r="D553" t="str">
            <v>Number of gas customers, average</v>
          </cell>
          <cell r="HX553" t="str">
            <v>mstag:numberOfGasCustomersAverage</v>
          </cell>
          <cell r="HY553">
            <v>6</v>
          </cell>
          <cell r="HZ553" t="str">
            <v>ms_eqr_gcim_Decimal:ms_eqr_gcim_decimal</v>
          </cell>
          <cell r="IA553" t="b">
            <v>0</v>
          </cell>
          <cell r="IB553" t="b">
            <v>0</v>
          </cell>
        </row>
        <row r="554">
          <cell r="D554" t="str">
            <v>Number of gas customers, end of period</v>
          </cell>
          <cell r="HX554" t="str">
            <v>mstag:numberOfGasCustomersEndOfPeriod</v>
          </cell>
          <cell r="HY554">
            <v>6</v>
          </cell>
          <cell r="HZ554" t="str">
            <v>ms_eqr_gcim_Decimal:ms_eqr_gcim_decimal</v>
          </cell>
          <cell r="IA554" t="b">
            <v>0</v>
          </cell>
          <cell r="IB554" t="b">
            <v>0</v>
          </cell>
        </row>
        <row r="555">
          <cell r="C555" t="str">
            <v>Heating degree days</v>
          </cell>
          <cell r="HX555" t="str">
            <v>mstag:heatingDegreeDays</v>
          </cell>
          <cell r="HY555">
            <v>6</v>
          </cell>
          <cell r="HZ555" t="str">
            <v>ms_eqr_gcim_Decimal:ms_eqr_gcim_decimal</v>
          </cell>
          <cell r="IA555" t="b">
            <v>0</v>
          </cell>
          <cell r="IB555" t="b">
            <v>0</v>
          </cell>
        </row>
        <row r="556">
          <cell r="C556" t="str">
            <v>Revenue concentration metrics</v>
          </cell>
          <cell r="HY556">
            <v>0</v>
          </cell>
          <cell r="HZ556" t="str">
            <v>ms_eqr_gcim_String:ms_eqr_gcim_string</v>
          </cell>
          <cell r="IA556" t="b">
            <v>0</v>
          </cell>
          <cell r="IB556" t="b">
            <v>0</v>
          </cell>
        </row>
        <row r="557">
          <cell r="D557" t="str">
            <v>Top 3 drugs as percent of total sales</v>
          </cell>
          <cell r="G557">
            <v>0.39169088733116775</v>
          </cell>
          <cell r="H557">
            <v>0.56714962385065482</v>
          </cell>
          <cell r="I557">
            <v>0.66307381387739395</v>
          </cell>
          <cell r="J557">
            <v>0.74051474614722679</v>
          </cell>
          <cell r="K557">
            <v>0.81215216019278214</v>
          </cell>
          <cell r="L557">
            <v>0.85288408208541333</v>
          </cell>
          <cell r="HX557" t="str">
            <v>mstag:top3DrugsAsPercentOfTotalSales</v>
          </cell>
          <cell r="HY557">
            <v>0</v>
          </cell>
          <cell r="HZ557" t="str">
            <v>ms_eqr_gcim_Decimal:ms_eqr_gcim_decimal</v>
          </cell>
          <cell r="IA557" t="b">
            <v>0</v>
          </cell>
          <cell r="IB557" t="b">
            <v>0</v>
          </cell>
        </row>
        <row r="558">
          <cell r="D558" t="str">
            <v>Top 10 drugs as percent of total sales</v>
          </cell>
          <cell r="HX558" t="str">
            <v>mstag:top10DrugsAsPercentOfTotalSales</v>
          </cell>
          <cell r="HY558">
            <v>0</v>
          </cell>
          <cell r="HZ558" t="str">
            <v>ms_eqr_gcim_Decimal:ms_eqr_gcim_decimal</v>
          </cell>
          <cell r="IA558" t="b">
            <v>0</v>
          </cell>
          <cell r="IB558" t="b">
            <v>0</v>
          </cell>
        </row>
        <row r="559">
          <cell r="D559" t="str">
            <v>Generic products as percent of total sales</v>
          </cell>
          <cell r="HX559" t="str">
            <v>mstag:genericProductsAsPercentOfTotalSales</v>
          </cell>
          <cell r="HY559">
            <v>0</v>
          </cell>
          <cell r="HZ559" t="str">
            <v>ms_eqr_gcim_Decimal:ms_eqr_gcim_decimal</v>
          </cell>
          <cell r="IA559" t="b">
            <v>0</v>
          </cell>
          <cell r="IB559" t="b">
            <v>0</v>
          </cell>
        </row>
        <row r="560">
          <cell r="D560" t="str">
            <v>Nongeneric (patented) products as percent of total sales</v>
          </cell>
          <cell r="HX560" t="str">
            <v>mstag:nonGenericPatentedProductsAsPercentOfTotalSales</v>
          </cell>
          <cell r="HY560">
            <v>0</v>
          </cell>
          <cell r="HZ560" t="str">
            <v>ms_eqr_gcim_Decimal:ms_eqr_gcim_decimal</v>
          </cell>
          <cell r="IA560" t="b">
            <v>0</v>
          </cell>
          <cell r="IB560" t="b">
            <v>0</v>
          </cell>
        </row>
        <row r="561">
          <cell r="D561" t="str">
            <v>Hospital products as percent of total sales</v>
          </cell>
          <cell r="HX561" t="str">
            <v>mstag:hospitalProductsAsPercentOfTotalSales</v>
          </cell>
          <cell r="HY561">
            <v>0</v>
          </cell>
          <cell r="HZ561" t="str">
            <v>ms_eqr_gcim_Decimal:ms_eqr_gcim_decimal</v>
          </cell>
          <cell r="IA561" t="b">
            <v>0</v>
          </cell>
          <cell r="IB561" t="b">
            <v>0</v>
          </cell>
        </row>
        <row r="562">
          <cell r="D562" t="str">
            <v>Primary care products as percent of total sales</v>
          </cell>
          <cell r="HX562" t="str">
            <v>mstag:primaryCareProductsAsPercentOfTotalSales</v>
          </cell>
          <cell r="HY562">
            <v>0</v>
          </cell>
          <cell r="HZ562" t="str">
            <v>ms_eqr_gcim_Decimal:ms_eqr_gcim_decimal</v>
          </cell>
          <cell r="IA562" t="b">
            <v>0</v>
          </cell>
          <cell r="IB562" t="b">
            <v>0</v>
          </cell>
        </row>
        <row r="563">
          <cell r="D563" t="str">
            <v>Pills/tablets/capsules as percent of total sales</v>
          </cell>
          <cell r="HX563" t="str">
            <v>mstag:pillstabletscapsulesAsPercentOfTotalSales</v>
          </cell>
          <cell r="HY563">
            <v>0</v>
          </cell>
          <cell r="HZ563" t="str">
            <v>ms_eqr_gcim_Decimal:ms_eqr_gcim_decimal</v>
          </cell>
          <cell r="IA563" t="b">
            <v>0</v>
          </cell>
          <cell r="IB563" t="b">
            <v>0</v>
          </cell>
        </row>
        <row r="564">
          <cell r="D564" t="str">
            <v>Biological products as percent of total sales</v>
          </cell>
          <cell r="HX564" t="str">
            <v>mstag:biologicalProductsAsPercentOfTotalSales</v>
          </cell>
          <cell r="HY564">
            <v>0</v>
          </cell>
          <cell r="HZ564" t="str">
            <v>ms_eqr_gcim_Decimal:ms_eqr_gcim_decimal</v>
          </cell>
          <cell r="IA564" t="b">
            <v>0</v>
          </cell>
          <cell r="IB564" t="b">
            <v>0</v>
          </cell>
        </row>
        <row r="565">
          <cell r="D565" t="str">
            <v>Chemical products as percent of total sales</v>
          </cell>
          <cell r="HX565" t="str">
            <v>mstag:chemicalProductsAsPercentOfTotalSales</v>
          </cell>
          <cell r="HY565">
            <v>0</v>
          </cell>
          <cell r="HZ565" t="str">
            <v>ms_eqr_gcim_Decimal:ms_eqr_gcim_decimal</v>
          </cell>
          <cell r="IA565" t="b">
            <v>0</v>
          </cell>
          <cell r="IB565" t="b">
            <v>0</v>
          </cell>
        </row>
        <row r="566">
          <cell r="D566" t="str">
            <v>Other products as a percent of total sales</v>
          </cell>
          <cell r="HX566" t="str">
            <v>mstag:otherProductsAsAPercentOfTotalSales</v>
          </cell>
          <cell r="HY566">
            <v>0</v>
          </cell>
          <cell r="HZ566" t="str">
            <v>ms_eqr_gcim_Decimal:ms_eqr_gcim_decimal</v>
          </cell>
          <cell r="IA566" t="b">
            <v>0</v>
          </cell>
          <cell r="IB566" t="b">
            <v>0</v>
          </cell>
        </row>
        <row r="567">
          <cell r="C567" t="str">
            <v>Pipeline segmentation</v>
          </cell>
          <cell r="HY567">
            <v>0</v>
          </cell>
          <cell r="HZ567" t="str">
            <v>ms_eqr_gcim_String:ms_eqr_gcim_string</v>
          </cell>
          <cell r="IA567" t="b">
            <v>0</v>
          </cell>
          <cell r="IB567" t="b">
            <v>0</v>
          </cell>
        </row>
        <row r="568">
          <cell r="D568" t="str">
            <v>Total number of drugs in Phase 1 trials</v>
          </cell>
          <cell r="G568">
            <v>2</v>
          </cell>
          <cell r="H568">
            <v>1</v>
          </cell>
          <cell r="I568">
            <v>1</v>
          </cell>
          <cell r="J568">
            <v>4</v>
          </cell>
          <cell r="K568">
            <v>1</v>
          </cell>
          <cell r="L568">
            <v>0</v>
          </cell>
          <cell r="HX568" t="str">
            <v>mstag:totalNumberOfDrugsInPhase1Trials</v>
          </cell>
          <cell r="HY568">
            <v>0</v>
          </cell>
          <cell r="HZ568" t="str">
            <v>ms_eqr_gcim_Decimal:ms_eqr_gcim_decimal</v>
          </cell>
          <cell r="IA568" t="b">
            <v>0</v>
          </cell>
          <cell r="IB568" t="b">
            <v>0</v>
          </cell>
        </row>
        <row r="569">
          <cell r="D569" t="str">
            <v>Total number of drugs in Phase 2 trials</v>
          </cell>
          <cell r="G569">
            <v>5</v>
          </cell>
          <cell r="H569">
            <v>7</v>
          </cell>
          <cell r="I569">
            <v>5</v>
          </cell>
          <cell r="J569">
            <v>4</v>
          </cell>
          <cell r="K569">
            <v>3</v>
          </cell>
          <cell r="L569">
            <v>2</v>
          </cell>
          <cell r="HX569" t="str">
            <v>mstag:totalNumberOfDrugsInPhase2Trials</v>
          </cell>
          <cell r="HY569">
            <v>0</v>
          </cell>
          <cell r="HZ569" t="str">
            <v>ms_eqr_gcim_Decimal:ms_eqr_gcim_decimal</v>
          </cell>
          <cell r="IA569" t="b">
            <v>0</v>
          </cell>
          <cell r="IB569" t="b">
            <v>0</v>
          </cell>
        </row>
        <row r="570">
          <cell r="D570" t="str">
            <v>Total number of drugs in Phase 3 trials</v>
          </cell>
          <cell r="G570">
            <v>9</v>
          </cell>
          <cell r="H570">
            <v>7</v>
          </cell>
          <cell r="I570">
            <v>5</v>
          </cell>
          <cell r="J570">
            <v>8</v>
          </cell>
          <cell r="K570">
            <v>6</v>
          </cell>
          <cell r="L570">
            <v>5</v>
          </cell>
          <cell r="HX570" t="str">
            <v>mstag:totalNumberOfDrugsInPhase3Trials</v>
          </cell>
          <cell r="HY570">
            <v>0</v>
          </cell>
          <cell r="HZ570" t="str">
            <v>ms_eqr_gcim_Decimal:ms_eqr_gcim_decimal</v>
          </cell>
          <cell r="IA570" t="b">
            <v>0</v>
          </cell>
          <cell r="IB570" t="b">
            <v>0</v>
          </cell>
        </row>
        <row r="571">
          <cell r="D571" t="str">
            <v>Total number of drugs in Phase 2 or 3 trials</v>
          </cell>
          <cell r="G571">
            <v>7</v>
          </cell>
          <cell r="H571">
            <v>8</v>
          </cell>
          <cell r="I571">
            <v>6</v>
          </cell>
          <cell r="J571">
            <v>8</v>
          </cell>
          <cell r="K571">
            <v>4</v>
          </cell>
          <cell r="L571">
            <v>2</v>
          </cell>
          <cell r="HX571" t="str">
            <v>mstag:totalNumberOfDrugsInPhase2Or3Trials</v>
          </cell>
          <cell r="HY571">
            <v>0</v>
          </cell>
          <cell r="HZ571" t="str">
            <v>ms_eqr_gcim_Decimal:ms_eqr_gcim_decimal</v>
          </cell>
          <cell r="IA571" t="b">
            <v>0</v>
          </cell>
          <cell r="IB571" t="b">
            <v>0</v>
          </cell>
        </row>
        <row r="572">
          <cell r="D572" t="str">
            <v>Total number of marketed products</v>
          </cell>
          <cell r="G572">
            <v>6</v>
          </cell>
          <cell r="H572">
            <v>7</v>
          </cell>
          <cell r="I572">
            <v>8</v>
          </cell>
          <cell r="J572">
            <v>9</v>
          </cell>
          <cell r="K572">
            <v>10</v>
          </cell>
          <cell r="L572">
            <v>10</v>
          </cell>
          <cell r="HX572" t="str">
            <v>mstag:totalNumberOfMarketedProducts</v>
          </cell>
          <cell r="HY572">
            <v>0</v>
          </cell>
          <cell r="HZ572" t="str">
            <v>ms_eqr_gcim_Decimal:ms_eqr_gcim_decimal</v>
          </cell>
          <cell r="IA572" t="b">
            <v>0</v>
          </cell>
          <cell r="IB572" t="b">
            <v>0</v>
          </cell>
        </row>
        <row r="573">
          <cell r="D573" t="str">
            <v>Percent Phase 2</v>
          </cell>
          <cell r="G573">
            <v>0.3125</v>
          </cell>
          <cell r="H573">
            <v>0.46666666666666667</v>
          </cell>
          <cell r="I573">
            <v>0.45454545454545453</v>
          </cell>
          <cell r="J573">
            <v>0.25</v>
          </cell>
          <cell r="K573">
            <v>0.3</v>
          </cell>
          <cell r="L573">
            <v>0.4</v>
          </cell>
          <cell r="HX573" t="str">
            <v>mstag:percentPhase2</v>
          </cell>
          <cell r="HY573">
            <v>0</v>
          </cell>
          <cell r="HZ573" t="str">
            <v>ms_eqr_gcim_Decimal:ms_eqr_gcim_decimal</v>
          </cell>
          <cell r="IA573" t="b">
            <v>0</v>
          </cell>
          <cell r="IB573" t="b">
            <v>0</v>
          </cell>
        </row>
        <row r="574">
          <cell r="D574" t="str">
            <v>Percent Phase 3</v>
          </cell>
          <cell r="G574">
            <v>0.5625</v>
          </cell>
          <cell r="H574">
            <v>0.46666666666666667</v>
          </cell>
          <cell r="I574">
            <v>0.45454545454545453</v>
          </cell>
          <cell r="J574">
            <v>0.5</v>
          </cell>
          <cell r="K574">
            <v>0.6</v>
          </cell>
          <cell r="L574">
            <v>0.7142857142857143</v>
          </cell>
          <cell r="HX574" t="str">
            <v>mstag:percentPhase3</v>
          </cell>
          <cell r="HY574">
            <v>0</v>
          </cell>
          <cell r="HZ574" t="str">
            <v>ms_eqr_gcim_Decimal:ms_eqr_gcim_decimal</v>
          </cell>
          <cell r="IA574" t="b">
            <v>0</v>
          </cell>
          <cell r="IB574" t="b">
            <v>0</v>
          </cell>
        </row>
        <row r="575">
          <cell r="C575" t="str">
            <v>Estimated net option expense if reported</v>
          </cell>
          <cell r="HX575" t="str">
            <v>mstag:estimatedNetOptionExpenseIfReported</v>
          </cell>
          <cell r="HY575">
            <v>6</v>
          </cell>
          <cell r="HZ575" t="str">
            <v>ISO4217:USD</v>
          </cell>
          <cell r="IA575" t="b">
            <v>0</v>
          </cell>
          <cell r="IB575" t="b">
            <v>0</v>
          </cell>
        </row>
        <row r="576">
          <cell r="C576" t="str">
            <v>Unrecorded goodwill from poolings, write-offs, and cumulative amortization</v>
          </cell>
          <cell r="G576">
            <v>0</v>
          </cell>
          <cell r="H576">
            <v>0</v>
          </cell>
          <cell r="I576">
            <v>690.20899999999995</v>
          </cell>
          <cell r="J576">
            <v>843.49400000000003</v>
          </cell>
          <cell r="K576">
            <v>843.49400000000003</v>
          </cell>
          <cell r="L576">
            <v>843.49400000000003</v>
          </cell>
          <cell r="M576">
            <v>843.49400000000003</v>
          </cell>
          <cell r="HX576" t="str">
            <v>mstag:unrecordedGoodwillFromPoolingAndAmortizedOrWrittenOffGoodwill</v>
          </cell>
          <cell r="HY576">
            <v>6</v>
          </cell>
          <cell r="HZ576" t="str">
            <v>ISO4217:USD</v>
          </cell>
          <cell r="IA576" t="b">
            <v>0</v>
          </cell>
          <cell r="IB576" t="b">
            <v>0</v>
          </cell>
        </row>
        <row r="577">
          <cell r="D577" t="str">
            <v>Unrecorded goodwill from poolings</v>
          </cell>
          <cell r="HX577" t="str">
            <v>mstag:unrecordedGoodwillFromPoolings</v>
          </cell>
          <cell r="HY577">
            <v>6</v>
          </cell>
          <cell r="HZ577" t="str">
            <v>ISO4217:USD</v>
          </cell>
          <cell r="IA577" t="b">
            <v>0</v>
          </cell>
          <cell r="IB577" t="b">
            <v>0</v>
          </cell>
        </row>
        <row r="578">
          <cell r="D578" t="str">
            <v>Nonimpairment write-offs</v>
          </cell>
          <cell r="HX578" t="str">
            <v>mstag:nonImpairmentWriteOffs</v>
          </cell>
          <cell r="HY578">
            <v>6</v>
          </cell>
          <cell r="HZ578" t="str">
            <v>ISO4217:USD</v>
          </cell>
          <cell r="IA578" t="b">
            <v>0</v>
          </cell>
          <cell r="IB578" t="b">
            <v>0</v>
          </cell>
        </row>
        <row r="579">
          <cell r="D579" t="str">
            <v>Cumulative goodwill impairments reported</v>
          </cell>
          <cell r="HX579" t="str">
            <v>mstag:cumulativeGoodwillImpairmentsReported</v>
          </cell>
          <cell r="HY579">
            <v>6</v>
          </cell>
          <cell r="HZ579" t="str">
            <v>ISO4217:USD</v>
          </cell>
          <cell r="IA579" t="b">
            <v>0</v>
          </cell>
          <cell r="IB579" t="b">
            <v>0</v>
          </cell>
        </row>
        <row r="580">
          <cell r="D580" t="str">
            <v>Cumulative amortization</v>
          </cell>
          <cell r="HX580" t="str">
            <v>mstag:cumulativeAmortization</v>
          </cell>
          <cell r="HY580">
            <v>6</v>
          </cell>
          <cell r="HZ580" t="str">
            <v>ISO4217:USD</v>
          </cell>
          <cell r="IA580" t="b">
            <v>0</v>
          </cell>
          <cell r="IB580" t="b">
            <v>0</v>
          </cell>
        </row>
        <row r="581">
          <cell r="C581" t="str">
            <v>Analyst estimated goodwill impairments</v>
          </cell>
          <cell r="HX581" t="str">
            <v>mstag:analystEstimatedGoodwillImpairments</v>
          </cell>
          <cell r="HY581">
            <v>6</v>
          </cell>
          <cell r="HZ581" t="str">
            <v>ISO4217:USD</v>
          </cell>
          <cell r="IA581" t="b">
            <v>0</v>
          </cell>
          <cell r="IB581" t="b">
            <v>0</v>
          </cell>
        </row>
        <row r="582">
          <cell r="C582" t="str">
            <v>Cumulative indefinite life intangible amortization and impairments reported</v>
          </cell>
          <cell r="G582" t="str">
            <v/>
          </cell>
          <cell r="H582" t="str">
            <v/>
          </cell>
          <cell r="I582" t="str">
            <v/>
          </cell>
          <cell r="J582" t="str">
            <v/>
          </cell>
          <cell r="K582" t="str">
            <v/>
          </cell>
          <cell r="L582" t="str">
            <v/>
          </cell>
          <cell r="M582" t="str">
            <v/>
          </cell>
          <cell r="HX582" t="str">
            <v>mstag:cumulativeIndefiniteLifeIntangibleAmortizationAndImpairmentsReported</v>
          </cell>
          <cell r="HY582">
            <v>6</v>
          </cell>
          <cell r="HZ582" t="str">
            <v>ISO4217:USD</v>
          </cell>
          <cell r="IA582" t="b">
            <v>0</v>
          </cell>
          <cell r="IB582" t="b">
            <v>0</v>
          </cell>
        </row>
        <row r="583">
          <cell r="D583" t="str">
            <v>Cumulative indefinite life intangible amortization</v>
          </cell>
          <cell r="HX583" t="str">
            <v>mstag:cumulativeIndefiniteLifeIntangibleAmortization</v>
          </cell>
          <cell r="HY583">
            <v>6</v>
          </cell>
          <cell r="HZ583" t="str">
            <v>ISO4217:USD</v>
          </cell>
          <cell r="IA583" t="b">
            <v>0</v>
          </cell>
          <cell r="IB583" t="b">
            <v>0</v>
          </cell>
        </row>
        <row r="584">
          <cell r="D584" t="str">
            <v>Cumulative indefinite life intangible impairments reported</v>
          </cell>
          <cell r="HX584" t="str">
            <v>mstag:cumulativeIndefiniteLifeIntangibleImpairmentsReported</v>
          </cell>
          <cell r="HY584">
            <v>6</v>
          </cell>
          <cell r="HZ584" t="str">
            <v>ISO4217:USD</v>
          </cell>
          <cell r="IA584" t="b">
            <v>0</v>
          </cell>
          <cell r="IB584" t="b">
            <v>0</v>
          </cell>
        </row>
        <row r="585">
          <cell r="C585" t="str">
            <v>Adjustment for cash taxes paid</v>
          </cell>
          <cell r="HX585" t="str">
            <v>mstag:adjustmentForCashTaxesPaid</v>
          </cell>
          <cell r="HY585">
            <v>6</v>
          </cell>
          <cell r="HZ585" t="str">
            <v>ISO4217:USD</v>
          </cell>
          <cell r="IA585" t="b">
            <v>0</v>
          </cell>
          <cell r="IB585" t="b">
            <v>0</v>
          </cell>
        </row>
        <row r="586">
          <cell r="C586" t="str">
            <v>Net cash used (from) one-time items</v>
          </cell>
          <cell r="HX586" t="str">
            <v>mstag:netCashUsedFromOneTimeItems</v>
          </cell>
          <cell r="HY586">
            <v>6</v>
          </cell>
          <cell r="HZ586" t="str">
            <v>ISO4217:USD</v>
          </cell>
          <cell r="IA586" t="b">
            <v>0</v>
          </cell>
          <cell r="IB586" t="b">
            <v>0</v>
          </cell>
        </row>
        <row r="587">
          <cell r="C587" t="str">
            <v>Net increase in beginning net operating assets from change in consolidation of investments</v>
          </cell>
          <cell r="HX587" t="str">
            <v>mstag:adjustmentToNetOperatingAssetsFor1stTimeConsolidationOfInvestments</v>
          </cell>
          <cell r="HY587">
            <v>6</v>
          </cell>
          <cell r="HZ587" t="str">
            <v>ISO4217:USD</v>
          </cell>
          <cell r="IA587" t="b">
            <v>0</v>
          </cell>
          <cell r="IB587" t="b">
            <v>0</v>
          </cell>
        </row>
        <row r="588">
          <cell r="C588" t="str">
            <v>Net increase in beginning net deferred tax assets (operating) from change in consolidation of investments</v>
          </cell>
          <cell r="HX588" t="str">
            <v>mstag:adjustmentToNetDeferredTaxAssetsOperatingFor1stTimeConsolidationOfInvestments</v>
          </cell>
          <cell r="HY588">
            <v>6</v>
          </cell>
          <cell r="HZ588" t="str">
            <v>ISO4217:USD</v>
          </cell>
          <cell r="IA588" t="b">
            <v>0</v>
          </cell>
          <cell r="IB588" t="b">
            <v>0</v>
          </cell>
        </row>
        <row r="589">
          <cell r="C589" t="str">
            <v>Net increase in beginning net deferred tax assets (financing) from change in consolidation of investments</v>
          </cell>
          <cell r="HX589" t="str">
            <v>mstag:adjustmentToNetDeferredTaxAssetsFinancingFor1stTimeConsolidationOfInvestments</v>
          </cell>
          <cell r="HY589">
            <v>6</v>
          </cell>
          <cell r="HZ589" t="str">
            <v>ISO4217:USD</v>
          </cell>
          <cell r="IA589" t="b">
            <v>0</v>
          </cell>
          <cell r="IB589" t="b">
            <v>0</v>
          </cell>
        </row>
        <row r="590">
          <cell r="C590" t="str">
            <v>Net increase in beginning net debt from change in consolidation of investments</v>
          </cell>
          <cell r="HX590" t="str">
            <v>mstag:adjustmentToNetDebtFor1stTimeConsolidationOfInvestments</v>
          </cell>
          <cell r="HY590">
            <v>6</v>
          </cell>
          <cell r="HZ590" t="str">
            <v>ISO4217:USD</v>
          </cell>
          <cell r="IA590" t="b">
            <v>0</v>
          </cell>
          <cell r="IB590" t="b">
            <v>0</v>
          </cell>
        </row>
        <row r="591">
          <cell r="C591" t="str">
            <v>Net decrease in beginning net operating assets from discontinued operations</v>
          </cell>
          <cell r="HX591" t="str">
            <v>mstag:adjustmentToNetOperatingAssetsForDiscontinuedOperations</v>
          </cell>
          <cell r="HY591">
            <v>6</v>
          </cell>
          <cell r="HZ591" t="str">
            <v>ISO4217:USD</v>
          </cell>
          <cell r="IA591" t="b">
            <v>0</v>
          </cell>
          <cell r="IB591" t="b">
            <v>0</v>
          </cell>
        </row>
        <row r="592">
          <cell r="C592" t="str">
            <v>Net decrease in beginning net deferred tax assets (operating) from discontinued operations</v>
          </cell>
          <cell r="HX592" t="str">
            <v>mstag:adjustmentToNetDeferredTaxAssetsOperatingForDiscontinuedOperations</v>
          </cell>
          <cell r="HY592">
            <v>6</v>
          </cell>
          <cell r="HZ592" t="str">
            <v>ISO4217:USD</v>
          </cell>
          <cell r="IA592" t="b">
            <v>0</v>
          </cell>
          <cell r="IB592" t="b">
            <v>0</v>
          </cell>
        </row>
        <row r="593">
          <cell r="C593" t="str">
            <v>Net decrease in beginning net deferred tax assets (financing) from discontinued operations</v>
          </cell>
          <cell r="HX593" t="str">
            <v>mstag:adjustmentToNetDeferredTaxAssetsFinancingForDiscontinuedOperations</v>
          </cell>
          <cell r="HY593">
            <v>6</v>
          </cell>
          <cell r="HZ593" t="str">
            <v>ISO4217:USD</v>
          </cell>
          <cell r="IA593" t="b">
            <v>0</v>
          </cell>
          <cell r="IB593" t="b">
            <v>0</v>
          </cell>
        </row>
        <row r="594">
          <cell r="C594" t="str">
            <v>Net decrease in beginning net debt from discontinued operations</v>
          </cell>
          <cell r="HX594" t="str">
            <v>mstag:adjustmentToNetDebtForDiscontinuedOperations</v>
          </cell>
          <cell r="HY594">
            <v>6</v>
          </cell>
          <cell r="HZ594" t="str">
            <v>ISO4217:USD</v>
          </cell>
          <cell r="IA594" t="b">
            <v>0</v>
          </cell>
          <cell r="IB594" t="b">
            <v>0</v>
          </cell>
        </row>
        <row r="595">
          <cell r="C595" t="str">
            <v>Risk free rate</v>
          </cell>
          <cell r="HX595" t="str">
            <v>mstag:riskFreeRate</v>
          </cell>
          <cell r="HY595">
            <v>0</v>
          </cell>
          <cell r="HZ595" t="str">
            <v>ms_eqr_gcim_Decimal:ms_eqr_gcim_decimal</v>
          </cell>
          <cell r="IA595" t="b">
            <v>0</v>
          </cell>
          <cell r="IB595" t="b">
            <v>0</v>
          </cell>
        </row>
        <row r="596">
          <cell r="C596" t="str">
            <v>Beta</v>
          </cell>
          <cell r="HX596" t="str">
            <v>mstag:beta</v>
          </cell>
          <cell r="HY596">
            <v>0</v>
          </cell>
          <cell r="HZ596" t="str">
            <v>ms_eqr_gcim_Decimal:ms_eqr_gcim_decimal</v>
          </cell>
          <cell r="IA596" t="b">
            <v>0</v>
          </cell>
          <cell r="IB596" t="b">
            <v>0</v>
          </cell>
        </row>
        <row r="597">
          <cell r="C597" t="str">
            <v>Equity risk premium</v>
          </cell>
          <cell r="HX597" t="str">
            <v>mstag:equityRiskPremium</v>
          </cell>
          <cell r="HY597">
            <v>0</v>
          </cell>
          <cell r="HZ597" t="str">
            <v>ms_eqr_gcim_Decimal:ms_eqr_gcim_decimal</v>
          </cell>
          <cell r="IA597" t="b">
            <v>0</v>
          </cell>
          <cell r="IB597" t="b">
            <v>0</v>
          </cell>
        </row>
        <row r="598">
          <cell r="C598" t="str">
            <v>Weighted average cost of capital (WACC)</v>
          </cell>
          <cell r="HX598" t="str">
            <v>mstag:weightedAverageCostOfCapitalWacc</v>
          </cell>
          <cell r="HY598">
            <v>0</v>
          </cell>
          <cell r="HZ598" t="str">
            <v>ms_eqr_gcim_Decimal:ms_eqr_gcim_decimal</v>
          </cell>
          <cell r="IA598" t="b">
            <v>0</v>
          </cell>
          <cell r="IB598" t="b">
            <v>0</v>
          </cell>
        </row>
        <row r="599">
          <cell r="C599" t="str">
            <v>Market value of investments, nonoperating</v>
          </cell>
          <cell r="HX599" t="str">
            <v>mstag:marketValueOfInvestmentsNonOperating</v>
          </cell>
          <cell r="HY599">
            <v>6</v>
          </cell>
          <cell r="HZ599" t="str">
            <v>ISO4217:USD</v>
          </cell>
          <cell r="IA599" t="b">
            <v>0</v>
          </cell>
          <cell r="IB599" t="b">
            <v>0</v>
          </cell>
        </row>
        <row r="600">
          <cell r="C600" t="str">
            <v>Market value of short- and long-term debt</v>
          </cell>
          <cell r="G600" t="str">
            <v/>
          </cell>
          <cell r="H600" t="str">
            <v/>
          </cell>
          <cell r="I600" t="str">
            <v/>
          </cell>
          <cell r="J600" t="str">
            <v/>
          </cell>
          <cell r="K600" t="str">
            <v/>
          </cell>
          <cell r="L600" t="str">
            <v/>
          </cell>
          <cell r="M600" t="str">
            <v/>
          </cell>
          <cell r="HX600" t="str">
            <v>mstag:marketValueOfShortAndLongTermDebt</v>
          </cell>
          <cell r="HY600">
            <v>6</v>
          </cell>
          <cell r="HZ600" t="str">
            <v>ISO4217:USD</v>
          </cell>
          <cell r="IA600" t="b">
            <v>0</v>
          </cell>
          <cell r="IB600" t="b">
            <v>0</v>
          </cell>
        </row>
        <row r="601">
          <cell r="D601" t="str">
            <v>Market value of short-term borrowings</v>
          </cell>
          <cell r="HX601" t="str">
            <v>mstag:marketValueOfShortTermBorrowings</v>
          </cell>
          <cell r="HY601">
            <v>6</v>
          </cell>
          <cell r="HZ601" t="str">
            <v>ISO4217:USD</v>
          </cell>
          <cell r="IA601" t="b">
            <v>0</v>
          </cell>
          <cell r="IB601" t="b">
            <v>0</v>
          </cell>
        </row>
        <row r="602">
          <cell r="D602" t="str">
            <v>Market value of long-term debt</v>
          </cell>
          <cell r="HX602" t="str">
            <v>mstag:marketValueOfLongTermDebt</v>
          </cell>
          <cell r="HY602">
            <v>6</v>
          </cell>
          <cell r="HZ602" t="str">
            <v>ISO4217:USD</v>
          </cell>
          <cell r="IA602" t="b">
            <v>0</v>
          </cell>
          <cell r="IB602" t="b">
            <v>0</v>
          </cell>
        </row>
        <row r="603">
          <cell r="C603" t="str">
            <v>Market value of preferred equity</v>
          </cell>
          <cell r="HX603" t="str">
            <v>mstag:marketValueOfPreferredEquity</v>
          </cell>
          <cell r="HY603">
            <v>6</v>
          </cell>
          <cell r="HZ603" t="str">
            <v>ISO4217:USD</v>
          </cell>
          <cell r="IA603" t="b">
            <v>0</v>
          </cell>
          <cell r="IB603" t="b">
            <v>0</v>
          </cell>
        </row>
        <row r="604">
          <cell r="C604" t="str">
            <v>Market value of trust preferred securities</v>
          </cell>
          <cell r="HX604" t="str">
            <v>mstag:marketValueOfTrustPreferredSecurities</v>
          </cell>
          <cell r="HY604">
            <v>6</v>
          </cell>
          <cell r="HZ604" t="str">
            <v>ISO4217:USD</v>
          </cell>
          <cell r="IA604" t="b">
            <v>0</v>
          </cell>
          <cell r="IB604" t="b">
            <v>0</v>
          </cell>
        </row>
        <row r="605">
          <cell r="C605" t="str">
            <v>Market value of minority interests in shareholders' equity</v>
          </cell>
          <cell r="HX605" t="str">
            <v>mstag:marketValueOfMinorityInterestsInShareholdersEquity</v>
          </cell>
          <cell r="HY605">
            <v>6</v>
          </cell>
          <cell r="HZ605" t="str">
            <v>ISO4217:USD</v>
          </cell>
          <cell r="IA605" t="b">
            <v>0</v>
          </cell>
          <cell r="IB605" t="b">
            <v>0</v>
          </cell>
        </row>
        <row r="606">
          <cell r="C606" t="str">
            <v>Share of market value of associates accounted for under the equity method (operating)</v>
          </cell>
          <cell r="HX606" t="str">
            <v>mstag:shareOfMarketValueOfAssociatesAccountedForUnderTheEquityMethodOperating</v>
          </cell>
          <cell r="HY606">
            <v>6</v>
          </cell>
          <cell r="HZ606" t="str">
            <v>ISO4217:USD</v>
          </cell>
          <cell r="IA606" t="b">
            <v>0</v>
          </cell>
          <cell r="IB606" t="b">
            <v>0</v>
          </cell>
        </row>
        <row r="607">
          <cell r="C607" t="str">
            <v>Share of market value of associates accounted for under the equity method (nonoperating)</v>
          </cell>
          <cell r="HX607" t="str">
            <v>mstag:shareOfMarketValueOfAssociatesAccountedForUnderTheEquityMethodNonOperating</v>
          </cell>
          <cell r="HY607">
            <v>6</v>
          </cell>
          <cell r="HZ607" t="str">
            <v>ISO4217:USD</v>
          </cell>
          <cell r="IA607" t="b">
            <v>0</v>
          </cell>
          <cell r="IB607" t="b">
            <v>0</v>
          </cell>
        </row>
        <row r="608">
          <cell r="C608" t="str">
            <v>Equity share of market value of excluded significant investments</v>
          </cell>
          <cell r="HX608" t="str">
            <v>mstag:equityShareOfMarketValueOfExcludedSignificantInvestments</v>
          </cell>
          <cell r="HY608">
            <v>6</v>
          </cell>
          <cell r="HZ608" t="str">
            <v>ISO4217:USD</v>
          </cell>
          <cell r="IA608" t="b">
            <v>0</v>
          </cell>
          <cell r="IB608" t="b">
            <v>0</v>
          </cell>
        </row>
        <row r="609">
          <cell r="C609" t="str">
            <v>Equity share of book value of excluded significant investments</v>
          </cell>
          <cell r="HX609" t="str">
            <v>mstag:equityShareOfBookValueOfExcludedSignificantInvestments</v>
          </cell>
          <cell r="HY609">
            <v>6</v>
          </cell>
          <cell r="HZ609" t="str">
            <v>ISO4217:USD</v>
          </cell>
          <cell r="IA609" t="b">
            <v>0</v>
          </cell>
          <cell r="IB609" t="b">
            <v>0</v>
          </cell>
        </row>
        <row r="610">
          <cell r="C610" t="str">
            <v>After tax earnings from excluded significant investments</v>
          </cell>
          <cell r="HX610" t="str">
            <v>mstag:afterTaxEarningsFromExcludedSignificantInvestments</v>
          </cell>
          <cell r="HY610">
            <v>6</v>
          </cell>
          <cell r="HZ610" t="str">
            <v>ISO4217:USD</v>
          </cell>
          <cell r="IA610" t="b">
            <v>0</v>
          </cell>
          <cell r="IB610" t="b">
            <v>0</v>
          </cell>
        </row>
        <row r="611">
          <cell r="C611" t="str">
            <v>Current market value of investments, nonoperating</v>
          </cell>
          <cell r="HX611" t="str">
            <v>mstag:currentMarketValueOfInvestmentsNonOperating</v>
          </cell>
          <cell r="HY611">
            <v>6</v>
          </cell>
          <cell r="HZ611" t="str">
            <v>ISO4217:USD</v>
          </cell>
          <cell r="IA611" t="b">
            <v>0</v>
          </cell>
          <cell r="IB611" t="b">
            <v>0</v>
          </cell>
        </row>
        <row r="612">
          <cell r="C612" t="str">
            <v>Current market value of short- and long-term debt</v>
          </cell>
          <cell r="G612" t="str">
            <v/>
          </cell>
          <cell r="H612" t="str">
            <v/>
          </cell>
          <cell r="I612" t="str">
            <v/>
          </cell>
          <cell r="J612" t="str">
            <v/>
          </cell>
          <cell r="K612" t="str">
            <v/>
          </cell>
          <cell r="L612" t="str">
            <v/>
          </cell>
          <cell r="M612" t="str">
            <v/>
          </cell>
          <cell r="HX612" t="str">
            <v>mstag:currentMarketValueOfShortAndLongTermDebt</v>
          </cell>
          <cell r="HY612">
            <v>6</v>
          </cell>
          <cell r="HZ612" t="str">
            <v>ISO4217:USD</v>
          </cell>
          <cell r="IA612" t="b">
            <v>0</v>
          </cell>
          <cell r="IB612" t="b">
            <v>0</v>
          </cell>
        </row>
        <row r="613">
          <cell r="D613" t="str">
            <v>Current market value of short-term borrowings</v>
          </cell>
          <cell r="HX613" t="str">
            <v>mstag:currentMarketValueOfShortTermBorrowings</v>
          </cell>
          <cell r="HY613">
            <v>6</v>
          </cell>
          <cell r="HZ613" t="str">
            <v>ISO4217:USD</v>
          </cell>
          <cell r="IA613" t="b">
            <v>0</v>
          </cell>
          <cell r="IB613" t="b">
            <v>0</v>
          </cell>
        </row>
        <row r="614">
          <cell r="D614" t="str">
            <v>Current market value of long-term debt</v>
          </cell>
          <cell r="HX614" t="str">
            <v>mstag:currentMarketValueOfLongTermDebt</v>
          </cell>
          <cell r="HY614">
            <v>6</v>
          </cell>
          <cell r="HZ614" t="str">
            <v>ISO4217:USD</v>
          </cell>
          <cell r="IA614" t="b">
            <v>0</v>
          </cell>
          <cell r="IB614" t="b">
            <v>0</v>
          </cell>
        </row>
        <row r="615">
          <cell r="C615" t="str">
            <v>Current market value of preferred equity</v>
          </cell>
          <cell r="HX615" t="str">
            <v>mstag:currentMarketValueOfPreferredEquity</v>
          </cell>
          <cell r="HY615">
            <v>6</v>
          </cell>
          <cell r="HZ615" t="str">
            <v>ISO4217:USD</v>
          </cell>
          <cell r="IA615" t="b">
            <v>0</v>
          </cell>
          <cell r="IB615" t="b">
            <v>0</v>
          </cell>
        </row>
        <row r="616">
          <cell r="C616" t="str">
            <v>Current market value of trust preferred securities</v>
          </cell>
          <cell r="HX616" t="str">
            <v>mstag:currentMarketValueOfTrustPreferredSecurities</v>
          </cell>
          <cell r="HY616">
            <v>6</v>
          </cell>
          <cell r="HZ616" t="str">
            <v>ISO4217:USD</v>
          </cell>
          <cell r="IA616" t="b">
            <v>0</v>
          </cell>
          <cell r="IB616" t="b">
            <v>0</v>
          </cell>
        </row>
        <row r="617">
          <cell r="C617" t="str">
            <v>Current market value of minority interests in shareholders equity</v>
          </cell>
          <cell r="HX617" t="str">
            <v>mstag:currentMarketValueOfMinorityInterestsInShareholdersEquity</v>
          </cell>
          <cell r="HY617">
            <v>6</v>
          </cell>
          <cell r="HZ617" t="str">
            <v>ISO4217:USD</v>
          </cell>
          <cell r="IA617" t="b">
            <v>0</v>
          </cell>
          <cell r="IB617" t="b">
            <v>0</v>
          </cell>
        </row>
        <row r="618">
          <cell r="C618" t="str">
            <v>Current share of market value of associates accounted for under the equity method, operating</v>
          </cell>
          <cell r="HX618" t="str">
            <v>mstag:currentShareOfMarketValueOfAssociatesAccountedForUnderTheEquityMethodOperating</v>
          </cell>
          <cell r="HY618">
            <v>6</v>
          </cell>
          <cell r="HZ618" t="str">
            <v>ISO4217:USD</v>
          </cell>
          <cell r="IA618" t="b">
            <v>0</v>
          </cell>
          <cell r="IB618" t="b">
            <v>0</v>
          </cell>
        </row>
        <row r="619">
          <cell r="C619" t="str">
            <v>Current share of market value of associates accounted for under the equity method, nonoperating</v>
          </cell>
          <cell r="HX619" t="str">
            <v>mstag:currentShareOfMarketValueOfAssociatesAccountedForUnderTheEquityMethodNonOperating</v>
          </cell>
          <cell r="HY619">
            <v>6</v>
          </cell>
          <cell r="HZ619" t="str">
            <v>ISO4217:USD</v>
          </cell>
          <cell r="IA619" t="b">
            <v>0</v>
          </cell>
          <cell r="IB619" t="b">
            <v>0</v>
          </cell>
        </row>
        <row r="620">
          <cell r="C620" t="str">
            <v>Market value of convertible debt included in dilutive securities</v>
          </cell>
          <cell r="HX620" t="str">
            <v>mstag:convertibleDebtIncludedInDilutiveSecurities</v>
          </cell>
          <cell r="HY620">
            <v>6</v>
          </cell>
          <cell r="HZ620" t="str">
            <v>ISO4217:USD</v>
          </cell>
          <cell r="IA620" t="b">
            <v>0</v>
          </cell>
          <cell r="IB620" t="b">
            <v>0</v>
          </cell>
        </row>
        <row r="621">
          <cell r="C621" t="str">
            <v>Market value of convertible preferred equity included in dilutive securities</v>
          </cell>
          <cell r="HX621" t="str">
            <v>mstag:convertiblePreferredEquityIncludedInDilutiveSecurities</v>
          </cell>
          <cell r="HY621">
            <v>6</v>
          </cell>
          <cell r="HZ621" t="str">
            <v>ISO4217:USD</v>
          </cell>
          <cell r="IA621" t="b">
            <v>0</v>
          </cell>
          <cell r="IB621" t="b">
            <v>0</v>
          </cell>
        </row>
        <row r="622">
          <cell r="C622" t="str">
            <v>Book value of convertible debt included in dilutive securities</v>
          </cell>
          <cell r="HX622" t="str">
            <v>mstag:bookValueOfConvertibleDebtIncludedInDilutiveSecurities</v>
          </cell>
          <cell r="HY622">
            <v>6</v>
          </cell>
          <cell r="HZ622" t="str">
            <v>ISO4217:USD</v>
          </cell>
          <cell r="IA622" t="b">
            <v>0</v>
          </cell>
          <cell r="IB622" t="b">
            <v>0</v>
          </cell>
        </row>
        <row r="623">
          <cell r="C623" t="str">
            <v>Book value of convertible preferred equity included in dilutive securities</v>
          </cell>
          <cell r="HX623" t="str">
            <v>mstag:bookValueOfConvertiblePreferredEquityIncludedInDilutiveSecurities</v>
          </cell>
          <cell r="HY623">
            <v>6</v>
          </cell>
          <cell r="HZ623" t="str">
            <v>ISO4217:USD</v>
          </cell>
          <cell r="IA623" t="b">
            <v>0</v>
          </cell>
          <cell r="IB623" t="b">
            <v>0</v>
          </cell>
        </row>
        <row r="624">
          <cell r="C624" t="str">
            <v>Market value of excluded minority interests in shareholders' equity</v>
          </cell>
          <cell r="HX624" t="str">
            <v>mstag:marketValueOfExcludedMinorityInterestsInShareholdersEquity</v>
          </cell>
          <cell r="HY624">
            <v>6</v>
          </cell>
          <cell r="HZ624" t="str">
            <v>ISO4217:USD</v>
          </cell>
          <cell r="IA624" t="b">
            <v>0</v>
          </cell>
          <cell r="IB624" t="b">
            <v>0</v>
          </cell>
        </row>
        <row r="625">
          <cell r="C625" t="str">
            <v>Book value of excluded minority interests in shareholders' equity</v>
          </cell>
          <cell r="HX625" t="str">
            <v>mstag:bookValueOfExcludedMinorityInterestsInShareholdersEquity</v>
          </cell>
          <cell r="HY625">
            <v>6</v>
          </cell>
          <cell r="HZ625" t="str">
            <v>ISO4217:USD</v>
          </cell>
          <cell r="IA625" t="b">
            <v>0</v>
          </cell>
          <cell r="IB625" t="b">
            <v>0</v>
          </cell>
        </row>
        <row r="626">
          <cell r="C626" t="str">
            <v>Percentage of EBITDA attributable to entities with excluded minority interest</v>
          </cell>
          <cell r="HX626" t="str">
            <v>mstag:percentageOfEbitdaAttributableToEntitiesWithExcludedMinorityInterest</v>
          </cell>
          <cell r="HY626">
            <v>0</v>
          </cell>
          <cell r="HZ626" t="str">
            <v>ms_eqr_gcim_Decimal:ms_eqr_gcim_decimal</v>
          </cell>
          <cell r="IA626" t="b">
            <v>0</v>
          </cell>
          <cell r="IB626" t="b">
            <v>0</v>
          </cell>
        </row>
        <row r="627">
          <cell r="C627" t="str">
            <v>Minority share in entities with excluded minority interest (%)</v>
          </cell>
          <cell r="HX627" t="str">
            <v>mstag:minorityShareInEntitiesWithExcludedMinorityInterestPercent</v>
          </cell>
          <cell r="HY627">
            <v>6</v>
          </cell>
          <cell r="HZ627" t="str">
            <v>ms_eqr_gcim_Decimal:ms_eqr_gcim_decimal</v>
          </cell>
          <cell r="IA627" t="b">
            <v>0</v>
          </cell>
          <cell r="IB627" t="b">
            <v>0</v>
          </cell>
        </row>
        <row r="628">
          <cell r="C628" t="str">
            <v>Net financial obligations of entities with excluded minority interest</v>
          </cell>
          <cell r="HX628" t="str">
            <v>mstag:netFinancialObligationsOfEntitiesWithExcludedMinorityInterest</v>
          </cell>
          <cell r="HY628">
            <v>6</v>
          </cell>
          <cell r="HZ628" t="str">
            <v>ISO4217:USD</v>
          </cell>
          <cell r="IA628" t="b">
            <v>0</v>
          </cell>
          <cell r="IB628" t="b">
            <v>0</v>
          </cell>
        </row>
        <row r="629">
          <cell r="C629" t="str">
            <v>Net financial obligations of entities consolidated using the equity method included in majority EV</v>
          </cell>
          <cell r="HX629" t="str">
            <v>mstag:netFinancialObligationsOfEntitiesConsolidatedUsingTheEquityMethodIncludedInMajorityEv</v>
          </cell>
          <cell r="HY629">
            <v>6</v>
          </cell>
          <cell r="HZ629" t="str">
            <v>ISO4217:USD</v>
          </cell>
          <cell r="IA629" t="b">
            <v>0</v>
          </cell>
          <cell r="IB629" t="b">
            <v>0</v>
          </cell>
        </row>
        <row r="630">
          <cell r="C630" t="str">
            <v>Majority share of entities consolidated using the equity method included in majority EV (%)</v>
          </cell>
          <cell r="HX630" t="str">
            <v>mstag:majorityShareOfEntitiesConsolidatedUsingTheEquityMethodIncludedInMajorityEvPercent</v>
          </cell>
          <cell r="HY630">
            <v>0</v>
          </cell>
          <cell r="HZ630" t="str">
            <v>ms_eqr_gcim_Decimal:ms_eqr_gcim_decimal</v>
          </cell>
          <cell r="IA630" t="b">
            <v>0</v>
          </cell>
          <cell r="IB630" t="b">
            <v>0</v>
          </cell>
        </row>
        <row r="631">
          <cell r="C631" t="str">
            <v>EBITDA of entities consolidated using the equity method included in majority EBITDA</v>
          </cell>
          <cell r="HX631" t="str">
            <v>mstag:ebitdaOfEntitiesConsolidatedUsingTheEquityMethodIncludedInMajorityEbitda</v>
          </cell>
          <cell r="HY631">
            <v>6</v>
          </cell>
          <cell r="HZ631" t="str">
            <v>ISO4217:USD</v>
          </cell>
          <cell r="IA631" t="b">
            <v>0</v>
          </cell>
          <cell r="IB631" t="b">
            <v>0</v>
          </cell>
        </row>
        <row r="632">
          <cell r="C632" t="str">
            <v>Market value of investments accounted for using the equity method excluded from majority EV</v>
          </cell>
          <cell r="HX632" t="str">
            <v>mstag:marketValueOfInvestmentsAccountedForUsingTheEquityMethodExcludedFromMajorityEv</v>
          </cell>
          <cell r="HY632">
            <v>6</v>
          </cell>
          <cell r="HZ632" t="str">
            <v>ISO4217:USD</v>
          </cell>
          <cell r="IA632" t="b">
            <v>0</v>
          </cell>
          <cell r="IB632" t="b">
            <v>0</v>
          </cell>
        </row>
        <row r="633">
          <cell r="C633" t="str">
            <v>Book value of investments accounted for using the equity method excluded from majority EV</v>
          </cell>
          <cell r="HX633" t="str">
            <v>mstag:bookValueOfInvestmentsAccountedForUsingTheEquityMethodExcludedFromMajorityEv</v>
          </cell>
          <cell r="HY633">
            <v>6</v>
          </cell>
          <cell r="HZ633" t="str">
            <v>ISO4217:USD</v>
          </cell>
          <cell r="IA633" t="b">
            <v>0</v>
          </cell>
          <cell r="IB633" t="b">
            <v>0</v>
          </cell>
        </row>
        <row r="634">
          <cell r="C634" t="str">
            <v>Current market value of investments accounted for using the equity method excluded from majority EV</v>
          </cell>
          <cell r="HX634" t="str">
            <v>mstag:currentMarketValueOfInvestmentsAccountedForUsingTheEquityMethodExcludedFromMajorityEv</v>
          </cell>
          <cell r="HY634">
            <v>6</v>
          </cell>
          <cell r="HZ634" t="str">
            <v>ISO4217:USD</v>
          </cell>
          <cell r="IA634" t="b">
            <v>0</v>
          </cell>
          <cell r="IB634" t="b">
            <v>0</v>
          </cell>
        </row>
        <row r="635">
          <cell r="C635" t="str">
            <v>Current market value of excluded minority interests in shareholders' equity</v>
          </cell>
          <cell r="HX635" t="str">
            <v>mstag:currentMarketValueOfExcludedMinorityInterestsInShareholdersEquity</v>
          </cell>
          <cell r="HY635">
            <v>6</v>
          </cell>
          <cell r="HZ635" t="str">
            <v>ISO4217:USD</v>
          </cell>
          <cell r="IA635" t="b">
            <v>0</v>
          </cell>
          <cell r="IB635" t="b">
            <v>0</v>
          </cell>
        </row>
        <row r="636">
          <cell r="C636" t="str">
            <v>LIFO reserve</v>
          </cell>
          <cell r="HX636" t="str">
            <v>mstag:lifoReserve</v>
          </cell>
          <cell r="HY636">
            <v>6</v>
          </cell>
          <cell r="HZ636" t="str">
            <v>ISO4217:USD</v>
          </cell>
          <cell r="IA636" t="b">
            <v>0</v>
          </cell>
          <cell r="IB636" t="b">
            <v>0</v>
          </cell>
        </row>
        <row r="637">
          <cell r="C637" t="str">
            <v>Change in LIFO reserve</v>
          </cell>
          <cell r="HX637" t="str">
            <v>mstag:changeInLifoReserve</v>
          </cell>
          <cell r="HY637">
            <v>6</v>
          </cell>
          <cell r="HZ637" t="str">
            <v>ISO4217:USD</v>
          </cell>
          <cell r="IA637" t="b">
            <v>0</v>
          </cell>
          <cell r="IB637" t="b">
            <v>0</v>
          </cell>
        </row>
        <row r="638">
          <cell r="C638" t="str">
            <v>Inventory obsolescence reserve</v>
          </cell>
          <cell r="HX638" t="str">
            <v>mstag:inventoryObsolescenceReserve</v>
          </cell>
          <cell r="HY638">
            <v>6</v>
          </cell>
          <cell r="HZ638" t="str">
            <v>ISO4217:USD</v>
          </cell>
          <cell r="IA638" t="b">
            <v>0</v>
          </cell>
          <cell r="IB638" t="b">
            <v>0</v>
          </cell>
        </row>
        <row r="639">
          <cell r="C639" t="str">
            <v>Taxes</v>
          </cell>
          <cell r="HY639">
            <v>0</v>
          </cell>
          <cell r="HZ639" t="str">
            <v>ms_eqr_gcim_String:ms_eqr_gcim_string</v>
          </cell>
          <cell r="IA639" t="b">
            <v>0</v>
          </cell>
          <cell r="IB639" t="b">
            <v>0</v>
          </cell>
        </row>
        <row r="640">
          <cell r="D640" t="str">
            <v>Deferred tax assets, operating</v>
          </cell>
          <cell r="G640">
            <v>202.113</v>
          </cell>
          <cell r="H640">
            <v>221.36500000000001</v>
          </cell>
          <cell r="I640">
            <v>337.589</v>
          </cell>
          <cell r="J640">
            <v>546.26900000000001</v>
          </cell>
          <cell r="K640">
            <v>511.61599999999999</v>
          </cell>
          <cell r="L640">
            <v>683.36400000000003</v>
          </cell>
          <cell r="HX640" t="str">
            <v>mstag:deferredTaxAssetsOperating</v>
          </cell>
          <cell r="HY640">
            <v>6</v>
          </cell>
          <cell r="HZ640" t="str">
            <v>ISO4217:USD</v>
          </cell>
          <cell r="IA640" t="b">
            <v>0</v>
          </cell>
          <cell r="IB640" t="b">
            <v>0</v>
          </cell>
        </row>
        <row r="641">
          <cell r="D641" t="str">
            <v>Deferred tax assets, financing</v>
          </cell>
          <cell r="HX641" t="str">
            <v>mstag:deferredTaxAssetsFinancing</v>
          </cell>
          <cell r="HY641">
            <v>6</v>
          </cell>
          <cell r="HZ641" t="str">
            <v>ISO4217:USD</v>
          </cell>
          <cell r="IA641" t="b">
            <v>0</v>
          </cell>
          <cell r="IB641" t="b">
            <v>0</v>
          </cell>
        </row>
        <row r="642">
          <cell r="D642" t="str">
            <v>Deferred tax assets, other</v>
          </cell>
          <cell r="HX642" t="str">
            <v>mstag:deferredTaxAssetsOther</v>
          </cell>
          <cell r="HY642">
            <v>6</v>
          </cell>
          <cell r="HZ642" t="str">
            <v>ISO4217:USD</v>
          </cell>
          <cell r="IA642" t="b">
            <v>0</v>
          </cell>
          <cell r="IB642" t="b">
            <v>0</v>
          </cell>
        </row>
        <row r="643">
          <cell r="D643" t="str">
            <v>Valuation allowance in deferred taxes</v>
          </cell>
          <cell r="G643">
            <v>48.508000000000003</v>
          </cell>
          <cell r="H643">
            <v>62.844000000000001</v>
          </cell>
          <cell r="I643">
            <v>0</v>
          </cell>
          <cell r="J643">
            <v>0</v>
          </cell>
          <cell r="K643">
            <v>0</v>
          </cell>
          <cell r="L643">
            <v>0</v>
          </cell>
          <cell r="HX643" t="str">
            <v>mstag:valuationAllowanceInDeferredTaxes</v>
          </cell>
          <cell r="HY643">
            <v>6</v>
          </cell>
          <cell r="HZ643" t="str">
            <v>ISO4217:USD</v>
          </cell>
          <cell r="IA643" t="b">
            <v>0</v>
          </cell>
          <cell r="IB643" t="b">
            <v>0</v>
          </cell>
        </row>
        <row r="644">
          <cell r="D644" t="str">
            <v>Deferred tax liabilities, operating</v>
          </cell>
          <cell r="G644">
            <v>82.396000000000001</v>
          </cell>
          <cell r="H644">
            <v>117.104</v>
          </cell>
          <cell r="I644">
            <v>882.13300000000004</v>
          </cell>
          <cell r="J644">
            <v>855.49800000000005</v>
          </cell>
          <cell r="K644">
            <v>819.85799999999995</v>
          </cell>
          <cell r="L644">
            <v>768.57899999999995</v>
          </cell>
          <cell r="HX644" t="str">
            <v>mstag:deferredTaxLiabilitiesOperating</v>
          </cell>
          <cell r="HY644">
            <v>6</v>
          </cell>
          <cell r="HZ644" t="str">
            <v>ISO4217:USD</v>
          </cell>
          <cell r="IA644" t="b">
            <v>0</v>
          </cell>
          <cell r="IB644" t="b">
            <v>0</v>
          </cell>
        </row>
        <row r="645">
          <cell r="D645" t="str">
            <v>Deferred tax liabilities, financing</v>
          </cell>
          <cell r="HX645" t="str">
            <v>mstag:deferredTaxLiabilitiesFinancing</v>
          </cell>
          <cell r="HY645">
            <v>6</v>
          </cell>
          <cell r="HZ645" t="str">
            <v>ISO4217:USD</v>
          </cell>
          <cell r="IA645" t="b">
            <v>0</v>
          </cell>
          <cell r="IB645" t="b">
            <v>0</v>
          </cell>
        </row>
        <row r="646">
          <cell r="D646" t="str">
            <v>Deferred tax liabilities, other</v>
          </cell>
          <cell r="HX646" t="str">
            <v>mstag:deferredTaxLiabilitiesOther</v>
          </cell>
          <cell r="HY646">
            <v>6</v>
          </cell>
          <cell r="HZ646" t="str">
            <v>ISO4217:USD</v>
          </cell>
          <cell r="IA646" t="b">
            <v>0</v>
          </cell>
          <cell r="IB646" t="b">
            <v>0</v>
          </cell>
        </row>
        <row r="647">
          <cell r="D647" t="str">
            <v>Cash taxes paid</v>
          </cell>
          <cell r="G647">
            <v>15.474</v>
          </cell>
          <cell r="H647">
            <v>26.189</v>
          </cell>
          <cell r="I647">
            <v>18.739999999999998</v>
          </cell>
          <cell r="J647">
            <v>-5.0049999999999999</v>
          </cell>
          <cell r="K647">
            <v>36.450000000000003</v>
          </cell>
          <cell r="L647">
            <v>128.108</v>
          </cell>
          <cell r="HX647" t="str">
            <v>mstag:cashTaxesPaid</v>
          </cell>
          <cell r="HY647">
            <v>6</v>
          </cell>
          <cell r="HZ647" t="str">
            <v>ISO4217:USD</v>
          </cell>
          <cell r="IA647" t="b">
            <v>0</v>
          </cell>
          <cell r="IB647" t="b">
            <v>0</v>
          </cell>
        </row>
        <row r="648">
          <cell r="D648" t="str">
            <v>Fair value of NOL</v>
          </cell>
          <cell r="HX648" t="str">
            <v>mstag:fairValueOfNol</v>
          </cell>
          <cell r="HY648">
            <v>6</v>
          </cell>
          <cell r="HZ648" t="str">
            <v>ISO4217:USD</v>
          </cell>
          <cell r="IA648" t="b">
            <v>0</v>
          </cell>
          <cell r="IB648" t="b">
            <v>0</v>
          </cell>
        </row>
        <row r="649">
          <cell r="D649" t="str">
            <v>Dividend tax credit (%)</v>
          </cell>
          <cell r="HX649" t="str">
            <v>mstag:dividendTaxCreditPercent</v>
          </cell>
          <cell r="HY649">
            <v>0</v>
          </cell>
          <cell r="HZ649" t="str">
            <v>ms_eqr_gcim_Decimal:ms_eqr_gcim_decimal</v>
          </cell>
          <cell r="IA649" t="b">
            <v>0</v>
          </cell>
          <cell r="IB649" t="b">
            <v>0</v>
          </cell>
        </row>
        <row r="650">
          <cell r="C650" t="str">
            <v>Dividend franking percentage</v>
          </cell>
          <cell r="HX650" t="str">
            <v>mstag:dividendFrankingPercentage</v>
          </cell>
          <cell r="HY650">
            <v>0</v>
          </cell>
          <cell r="HZ650" t="str">
            <v>ms_eqr_gcim_Decimal:ms_eqr_gcim_decimal</v>
          </cell>
          <cell r="IA650" t="b">
            <v>0</v>
          </cell>
          <cell r="IB650" t="b">
            <v>0</v>
          </cell>
        </row>
        <row r="651">
          <cell r="C651" t="str">
            <v>Tax withheld on dividends paid</v>
          </cell>
          <cell r="HX651" t="str">
            <v>mstag:taxWithheldOnDividendsPaid</v>
          </cell>
          <cell r="HY651">
            <v>6</v>
          </cell>
          <cell r="HZ651" t="str">
            <v>ISO4217:USD</v>
          </cell>
          <cell r="IA651" t="b">
            <v>0</v>
          </cell>
          <cell r="IB651" t="b">
            <v>0</v>
          </cell>
        </row>
        <row r="652">
          <cell r="C652" t="str">
            <v>Special dividends paid</v>
          </cell>
          <cell r="HX652" t="str">
            <v>mstag:specialDividendsPaid</v>
          </cell>
          <cell r="HY652">
            <v>6</v>
          </cell>
          <cell r="HZ652" t="str">
            <v>ISO4217:USD</v>
          </cell>
          <cell r="IA652" t="b">
            <v>0</v>
          </cell>
          <cell r="IB652" t="b">
            <v>0</v>
          </cell>
        </row>
        <row r="653">
          <cell r="C653" t="str">
            <v>Off balance sheet</v>
          </cell>
          <cell r="HY653">
            <v>0</v>
          </cell>
          <cell r="HZ653" t="str">
            <v>ms_eqr_gcim_String:ms_eqr_gcim_string</v>
          </cell>
          <cell r="IA653" t="b">
            <v>0</v>
          </cell>
          <cell r="IB653" t="b">
            <v>0</v>
          </cell>
        </row>
        <row r="654">
          <cell r="D654" t="str">
            <v>Securitized assets</v>
          </cell>
          <cell r="G654" t="str">
            <v/>
          </cell>
          <cell r="H654" t="str">
            <v/>
          </cell>
          <cell r="I654" t="str">
            <v/>
          </cell>
          <cell r="J654" t="str">
            <v/>
          </cell>
          <cell r="K654" t="str">
            <v/>
          </cell>
          <cell r="L654" t="str">
            <v/>
          </cell>
          <cell r="M654" t="str">
            <v/>
          </cell>
          <cell r="HX654" t="str">
            <v>mstag:securitizedAssetsNonFinancialServices</v>
          </cell>
          <cell r="HY654">
            <v>6</v>
          </cell>
          <cell r="HZ654" t="str">
            <v>ISO4217:USD</v>
          </cell>
          <cell r="IA654" t="b">
            <v>0</v>
          </cell>
          <cell r="IB654" t="b">
            <v>0</v>
          </cell>
        </row>
        <row r="655">
          <cell r="E655" t="str">
            <v>Securitized receivables</v>
          </cell>
          <cell r="HX655" t="str">
            <v>mstag:securitizedReceivablesNonFinancialServices</v>
          </cell>
          <cell r="HY655">
            <v>6</v>
          </cell>
          <cell r="HZ655" t="str">
            <v>ISO4217:USD</v>
          </cell>
          <cell r="IA655" t="b">
            <v>0</v>
          </cell>
          <cell r="IB655" t="b">
            <v>0</v>
          </cell>
        </row>
        <row r="656">
          <cell r="D656" t="str">
            <v>Commitments and contingencies</v>
          </cell>
          <cell r="HX656" t="str">
            <v>mstag:commitmentsAndContingencies</v>
          </cell>
          <cell r="HY656">
            <v>6</v>
          </cell>
          <cell r="HZ656" t="str">
            <v>ISO4217:USD</v>
          </cell>
          <cell r="IA656" t="b">
            <v>0</v>
          </cell>
          <cell r="IB656" t="b">
            <v>0</v>
          </cell>
        </row>
        <row r="657">
          <cell r="D657" t="str">
            <v>Unguaranteed residual value in sales-financed leases</v>
          </cell>
          <cell r="HX657" t="str">
            <v>mstag:unguaranteedResidualValueInSalesFinancedLeases</v>
          </cell>
          <cell r="HY657">
            <v>6</v>
          </cell>
          <cell r="HZ657" t="str">
            <v>ISO4217:USD</v>
          </cell>
          <cell r="IA657" t="b">
            <v>0</v>
          </cell>
          <cell r="IB657" t="b">
            <v>0</v>
          </cell>
        </row>
        <row r="658">
          <cell r="C658" t="str">
            <v>Total number of employees</v>
          </cell>
          <cell r="G658">
            <v>3242</v>
          </cell>
          <cell r="H658">
            <v>3389</v>
          </cell>
          <cell r="I658">
            <v>3883</v>
          </cell>
          <cell r="J658">
            <v>4459</v>
          </cell>
          <cell r="K658">
            <v>4950</v>
          </cell>
          <cell r="L658">
            <v>5252</v>
          </cell>
          <cell r="HX658" t="str">
            <v>mstag:totalNumberOfEmployees</v>
          </cell>
          <cell r="HY658">
            <v>0</v>
          </cell>
          <cell r="HZ658" t="str">
            <v>ms_eqr_gcim_Decimal:ms_eqr_gcim_decimal</v>
          </cell>
          <cell r="IA658" t="b">
            <v>0</v>
          </cell>
          <cell r="IB658" t="b">
            <v>0</v>
          </cell>
        </row>
        <row r="659">
          <cell r="C659" t="str">
            <v>Average number of employees</v>
          </cell>
          <cell r="G659" t="str">
            <v>ND</v>
          </cell>
          <cell r="H659">
            <v>3315.5</v>
          </cell>
          <cell r="I659">
            <v>3636</v>
          </cell>
          <cell r="J659">
            <v>4171</v>
          </cell>
          <cell r="K659">
            <v>4704.5</v>
          </cell>
          <cell r="L659">
            <v>5101</v>
          </cell>
          <cell r="HX659" t="str">
            <v>mstag:averageNumberOfEmployees</v>
          </cell>
          <cell r="HY659">
            <v>0</v>
          </cell>
          <cell r="HZ659" t="str">
            <v>ms_eqr_gcim_Decimal:ms_eqr_gcim_decimal</v>
          </cell>
          <cell r="IA659" t="b">
            <v>0</v>
          </cell>
          <cell r="IB659" t="b">
            <v>0</v>
          </cell>
        </row>
        <row r="660">
          <cell r="C660" t="str">
            <v>Net effect of revaluation reserves on book value</v>
          </cell>
          <cell r="HX660" t="str">
            <v>mstag:netEffectOfRevaluationReservesOnBookValue</v>
          </cell>
          <cell r="HY660">
            <v>6</v>
          </cell>
          <cell r="HZ660" t="str">
            <v>ISO4217:USD</v>
          </cell>
          <cell r="IA660" t="b">
            <v>0</v>
          </cell>
          <cell r="IB660" t="b">
            <v>0</v>
          </cell>
        </row>
        <row r="661">
          <cell r="C661" t="str">
            <v>Interest on other interest-bearing liabilities</v>
          </cell>
          <cell r="G661" t="str">
            <v/>
          </cell>
          <cell r="H661" t="str">
            <v/>
          </cell>
          <cell r="I661" t="str">
            <v/>
          </cell>
          <cell r="J661" t="str">
            <v/>
          </cell>
          <cell r="K661" t="str">
            <v/>
          </cell>
          <cell r="L661" t="str">
            <v/>
          </cell>
          <cell r="M661" t="str">
            <v/>
          </cell>
          <cell r="HX661" t="str">
            <v>mstag:interestOnOtherInterestBearingLiabilities</v>
          </cell>
          <cell r="HY661">
            <v>6</v>
          </cell>
          <cell r="HZ661" t="str">
            <v>ISO4217:USD</v>
          </cell>
          <cell r="IA661" t="b">
            <v>0</v>
          </cell>
          <cell r="IB661" t="b">
            <v>0</v>
          </cell>
        </row>
        <row r="662">
          <cell r="D662" t="str">
            <v>Interest on other interest-bearing liabilities reported as finance costs</v>
          </cell>
          <cell r="HX662" t="str">
            <v>mstag:interestOnOtherInterestBearingLiabilitiesReportedAsFinanceCosts</v>
          </cell>
          <cell r="HY662">
            <v>6</v>
          </cell>
          <cell r="HZ662" t="str">
            <v>ISO4217:USD</v>
          </cell>
          <cell r="IA662" t="b">
            <v>0</v>
          </cell>
          <cell r="IB662" t="b">
            <v>0</v>
          </cell>
        </row>
        <row r="663">
          <cell r="D663" t="str">
            <v>Interest on other interest-bearing liabilities reported as operating costs</v>
          </cell>
          <cell r="HX663" t="str">
            <v>mstag:interestOnOtherInterestBearingLiabilitiesReportedAsOperatingCosts</v>
          </cell>
          <cell r="HY663">
            <v>6</v>
          </cell>
          <cell r="HZ663" t="str">
            <v>ISO4217:USD</v>
          </cell>
          <cell r="IA663" t="b">
            <v>0</v>
          </cell>
          <cell r="IB663" t="b">
            <v>0</v>
          </cell>
        </row>
        <row r="664">
          <cell r="B664" t="str">
            <v>Pensions and other postretirement benefit plans</v>
          </cell>
          <cell r="HY664">
            <v>0</v>
          </cell>
          <cell r="HZ664" t="str">
            <v>ms_eqr_gcim_String:ms_eqr_gcim_string</v>
          </cell>
          <cell r="IA664" t="b">
            <v>0</v>
          </cell>
          <cell r="IB664" t="b">
            <v>0</v>
          </cell>
        </row>
        <row r="665">
          <cell r="C665" t="str">
            <v>Pensions (interest and returns classified by company as operating)</v>
          </cell>
          <cell r="HY665">
            <v>0</v>
          </cell>
          <cell r="HZ665" t="str">
            <v>ms_eqr_gcim_String:ms_eqr_gcim_string</v>
          </cell>
          <cell r="IA665" t="b">
            <v>0</v>
          </cell>
          <cell r="IB665" t="b">
            <v>0</v>
          </cell>
        </row>
        <row r="666">
          <cell r="D666" t="str">
            <v>Net periodic pension expense (pensions)</v>
          </cell>
          <cell r="G666" t="str">
            <v/>
          </cell>
          <cell r="H666" t="str">
            <v/>
          </cell>
          <cell r="I666" t="str">
            <v/>
          </cell>
          <cell r="J666" t="str">
            <v/>
          </cell>
          <cell r="K666" t="str">
            <v/>
          </cell>
          <cell r="L666" t="str">
            <v/>
          </cell>
          <cell r="M666" t="str">
            <v/>
          </cell>
          <cell r="HX666" t="str">
            <v>mstag:netPeriodicPensionExpensePensions</v>
          </cell>
          <cell r="HY666">
            <v>6</v>
          </cell>
          <cell r="HZ666" t="str">
            <v>ISO4217:USD</v>
          </cell>
          <cell r="IA666" t="b">
            <v>0</v>
          </cell>
          <cell r="IB666" t="b">
            <v>0</v>
          </cell>
        </row>
        <row r="667">
          <cell r="E667" t="str">
            <v>Service cost (pensions)</v>
          </cell>
          <cell r="HX667" t="str">
            <v>mstag:serviceCostPensions</v>
          </cell>
          <cell r="HY667">
            <v>6</v>
          </cell>
          <cell r="HZ667" t="str">
            <v>ISO4217:USD</v>
          </cell>
          <cell r="IA667" t="b">
            <v>0</v>
          </cell>
          <cell r="IB667" t="b">
            <v>0</v>
          </cell>
        </row>
        <row r="668">
          <cell r="E668" t="str">
            <v>Interest cost (pensions)</v>
          </cell>
          <cell r="HX668" t="str">
            <v>mstag:interestCostPensions</v>
          </cell>
          <cell r="HY668">
            <v>6</v>
          </cell>
          <cell r="HZ668" t="str">
            <v>ISO4217:USD</v>
          </cell>
          <cell r="IA668" t="b">
            <v>0</v>
          </cell>
          <cell r="IB668" t="b">
            <v>0</v>
          </cell>
        </row>
        <row r="669">
          <cell r="E669" t="str">
            <v>Expected return on plan assets (pensions)</v>
          </cell>
          <cell r="HX669" t="str">
            <v>mstag:expectedReturnOnPlanAssetsPensions</v>
          </cell>
          <cell r="HY669">
            <v>6</v>
          </cell>
          <cell r="HZ669" t="str">
            <v>ISO4217:USD</v>
          </cell>
          <cell r="IA669" t="b">
            <v>0</v>
          </cell>
          <cell r="IB669" t="b">
            <v>0</v>
          </cell>
        </row>
        <row r="670">
          <cell r="E670" t="str">
            <v>Amortization of prior service cost (pensions)</v>
          </cell>
          <cell r="HX670" t="str">
            <v>mstag:amortizationOfPriorServiceCostPensions</v>
          </cell>
          <cell r="HY670">
            <v>6</v>
          </cell>
          <cell r="HZ670" t="str">
            <v>ISO4217:USD</v>
          </cell>
          <cell r="IA670" t="b">
            <v>0</v>
          </cell>
          <cell r="IB670" t="b">
            <v>0</v>
          </cell>
        </row>
        <row r="671">
          <cell r="E671" t="str">
            <v>Net actuarial gain (loss) recognized (pensions)</v>
          </cell>
          <cell r="HX671" t="str">
            <v>mstag:netActuarialGainLossRecognizedPensions</v>
          </cell>
          <cell r="HY671">
            <v>6</v>
          </cell>
          <cell r="HZ671" t="str">
            <v>ISO4217:USD</v>
          </cell>
          <cell r="IA671" t="b">
            <v>0</v>
          </cell>
          <cell r="IB671" t="b">
            <v>0</v>
          </cell>
        </row>
        <row r="672">
          <cell r="E672" t="str">
            <v>Nonrecurring pension items</v>
          </cell>
          <cell r="HX672" t="str">
            <v>mstag:nonRecurringPensionItems</v>
          </cell>
          <cell r="HY672">
            <v>6</v>
          </cell>
          <cell r="HZ672" t="str">
            <v>ISO4217:USD</v>
          </cell>
          <cell r="IA672" t="b">
            <v>0</v>
          </cell>
          <cell r="IB672" t="b">
            <v>0</v>
          </cell>
        </row>
        <row r="673">
          <cell r="E673" t="str">
            <v>Other net pension expense</v>
          </cell>
          <cell r="HX673" t="str">
            <v>mstag:otherNetPensionExpense</v>
          </cell>
          <cell r="HY673">
            <v>6</v>
          </cell>
          <cell r="HZ673" t="str">
            <v>ISO4217:USD</v>
          </cell>
          <cell r="IA673" t="b">
            <v>0</v>
          </cell>
          <cell r="IB673" t="b">
            <v>0</v>
          </cell>
        </row>
        <row r="674">
          <cell r="D674" t="str">
            <v>Net benefits paid to retirees (pensions)</v>
          </cell>
          <cell r="G674" t="str">
            <v/>
          </cell>
          <cell r="H674" t="str">
            <v/>
          </cell>
          <cell r="I674" t="str">
            <v/>
          </cell>
          <cell r="J674" t="str">
            <v/>
          </cell>
          <cell r="K674" t="str">
            <v/>
          </cell>
          <cell r="L674" t="str">
            <v/>
          </cell>
          <cell r="M674" t="str">
            <v/>
          </cell>
          <cell r="HX674" t="str">
            <v>mstag:netBenefitsPaidToRetireesPensions</v>
          </cell>
          <cell r="HY674">
            <v>6</v>
          </cell>
          <cell r="HZ674" t="str">
            <v>ISO4217:USD</v>
          </cell>
          <cell r="IA674" t="b">
            <v>0</v>
          </cell>
          <cell r="IB674" t="b">
            <v>0</v>
          </cell>
        </row>
        <row r="675">
          <cell r="E675" t="str">
            <v>Benefits paid to retirees, in obligation (pensions)</v>
          </cell>
          <cell r="HX675" t="str">
            <v>mstag:benefitsPaidToRetireesPensions</v>
          </cell>
          <cell r="HY675">
            <v>6</v>
          </cell>
          <cell r="HZ675" t="str">
            <v>ISO4217:USD</v>
          </cell>
          <cell r="IA675" t="b">
            <v>0</v>
          </cell>
          <cell r="IB675" t="b">
            <v>0</v>
          </cell>
        </row>
        <row r="676">
          <cell r="E676" t="str">
            <v>Benefits paid to retirees, in assets (pensions)</v>
          </cell>
          <cell r="HX676" t="str">
            <v>mstag:benefitsPaidToRetireesInAssetsPensions</v>
          </cell>
          <cell r="HY676">
            <v>6</v>
          </cell>
          <cell r="HZ676" t="str">
            <v>ISO4217:USD</v>
          </cell>
          <cell r="IA676" t="b">
            <v>0</v>
          </cell>
          <cell r="IB676" t="b">
            <v>0</v>
          </cell>
        </row>
        <row r="677">
          <cell r="D677" t="str">
            <v>Actual return on plan assets (pensions)</v>
          </cell>
          <cell r="HX677" t="str">
            <v>mstag:actualReturnOnPlanAssetsPensions</v>
          </cell>
          <cell r="HY677">
            <v>6</v>
          </cell>
          <cell r="HZ677" t="str">
            <v>ISO4217:USD</v>
          </cell>
          <cell r="IA677" t="b">
            <v>0</v>
          </cell>
          <cell r="IB677" t="b">
            <v>0</v>
          </cell>
        </row>
        <row r="678">
          <cell r="D678" t="str">
            <v>Contribution to plan assets (pensions)</v>
          </cell>
          <cell r="HX678" t="str">
            <v>mstag:contributionToPlanAssetsPensions</v>
          </cell>
          <cell r="HY678">
            <v>6</v>
          </cell>
          <cell r="HZ678" t="str">
            <v>ISO4217:USD</v>
          </cell>
          <cell r="IA678" t="b">
            <v>0</v>
          </cell>
          <cell r="IB678" t="b">
            <v>0</v>
          </cell>
        </row>
        <row r="679">
          <cell r="D679" t="str">
            <v>Projected benefit obligation (pensions)</v>
          </cell>
          <cell r="HX679" t="str">
            <v>mstag:projectedBenefitObligationPensions</v>
          </cell>
          <cell r="HY679">
            <v>6</v>
          </cell>
          <cell r="HZ679" t="str">
            <v>ISO4217:USD</v>
          </cell>
          <cell r="IA679" t="b">
            <v>0</v>
          </cell>
          <cell r="IB679" t="b">
            <v>0</v>
          </cell>
        </row>
        <row r="680">
          <cell r="D680" t="str">
            <v>Plan assets at fair value (pensions)</v>
          </cell>
          <cell r="HX680" t="str">
            <v>mstag:planAssetsAtFairValuePensions</v>
          </cell>
          <cell r="HY680">
            <v>6</v>
          </cell>
          <cell r="HZ680" t="str">
            <v>ISO4217:USD</v>
          </cell>
          <cell r="IA680" t="b">
            <v>0</v>
          </cell>
          <cell r="IB680" t="b">
            <v>0</v>
          </cell>
        </row>
        <row r="681">
          <cell r="D681" t="str">
            <v>Net pension prepaid asset (accrued liability)</v>
          </cell>
          <cell r="HX681" t="str">
            <v>mstag:netPensionPrepaidAssetAccruedLiability</v>
          </cell>
          <cell r="HY681">
            <v>6</v>
          </cell>
          <cell r="HZ681" t="str">
            <v>ISO4217:USD</v>
          </cell>
          <cell r="IA681" t="b">
            <v>0</v>
          </cell>
          <cell r="IB681" t="b">
            <v>0</v>
          </cell>
        </row>
        <row r="682">
          <cell r="D682" t="str">
            <v>Intangible asset (pensions)</v>
          </cell>
          <cell r="HX682" t="str">
            <v>mstag:intangibleAssetPensions</v>
          </cell>
          <cell r="HY682">
            <v>6</v>
          </cell>
          <cell r="HZ682" t="str">
            <v>ISO4217:USD</v>
          </cell>
          <cell r="IA682" t="b">
            <v>0</v>
          </cell>
          <cell r="IB682" t="b">
            <v>0</v>
          </cell>
        </row>
        <row r="683">
          <cell r="D683" t="str">
            <v>Accumulated other comprehensive income (pensions)</v>
          </cell>
          <cell r="HX683" t="str">
            <v>mstag:accumulatedOtherComprehensiveIncomePensions</v>
          </cell>
          <cell r="HY683">
            <v>6</v>
          </cell>
          <cell r="HZ683" t="str">
            <v>ISO4217:USD</v>
          </cell>
          <cell r="IA683" t="b">
            <v>0</v>
          </cell>
          <cell r="IB683" t="b">
            <v>0</v>
          </cell>
        </row>
        <row r="684">
          <cell r="D684" t="str">
            <v>Weighted average discount rate (pensions)</v>
          </cell>
          <cell r="HX684" t="str">
            <v>mstag:weightedAverageDiscountRatePensions</v>
          </cell>
          <cell r="HY684">
            <v>0</v>
          </cell>
          <cell r="HZ684" t="str">
            <v>ms_eqr_gcim_Decimal:ms_eqr_gcim_decimal</v>
          </cell>
          <cell r="IA684" t="b">
            <v>0</v>
          </cell>
          <cell r="IB684" t="b">
            <v>0</v>
          </cell>
        </row>
        <row r="685">
          <cell r="D685" t="str">
            <v>Expected long-term rate of return on plan assets (pensions)</v>
          </cell>
          <cell r="HX685" t="str">
            <v>mstag:expectedLongTermRateOfReturnOnPlanAssetsPensions</v>
          </cell>
          <cell r="HY685">
            <v>0</v>
          </cell>
          <cell r="HZ685" t="str">
            <v>ms_eqr_gcim_Decimal:ms_eqr_gcim_decimal</v>
          </cell>
          <cell r="IA685" t="b">
            <v>0</v>
          </cell>
          <cell r="IB685" t="b">
            <v>0</v>
          </cell>
        </row>
        <row r="686">
          <cell r="D686" t="str">
            <v>Rate of increase in future compensation levels</v>
          </cell>
          <cell r="HX686" t="str">
            <v>mstag:rateOfIncreaseInFutureCompensationLevels</v>
          </cell>
          <cell r="HY686">
            <v>0</v>
          </cell>
          <cell r="HZ686" t="str">
            <v>ms_eqr_gcim_Decimal:ms_eqr_gcim_decimal</v>
          </cell>
          <cell r="IA686" t="b">
            <v>0</v>
          </cell>
          <cell r="IB686" t="b">
            <v>0</v>
          </cell>
        </row>
        <row r="687">
          <cell r="C687" t="str">
            <v>Pensions (interest and returns classified by company as financing)</v>
          </cell>
          <cell r="HY687">
            <v>0</v>
          </cell>
          <cell r="HZ687" t="str">
            <v>ms_eqr_gcim_String:ms_eqr_gcim_string</v>
          </cell>
          <cell r="IA687" t="b">
            <v>0</v>
          </cell>
          <cell r="IB687" t="b">
            <v>0</v>
          </cell>
        </row>
        <row r="688">
          <cell r="D688" t="str">
            <v>Net periodic pension expense (pensions)</v>
          </cell>
          <cell r="G688" t="str">
            <v/>
          </cell>
          <cell r="H688" t="str">
            <v/>
          </cell>
          <cell r="I688" t="str">
            <v/>
          </cell>
          <cell r="J688" t="str">
            <v/>
          </cell>
          <cell r="K688" t="str">
            <v/>
          </cell>
          <cell r="L688" t="str">
            <v/>
          </cell>
          <cell r="M688" t="str">
            <v/>
          </cell>
          <cell r="HX688" t="str">
            <v>mstag:netPeriodicPensionExpensePensionsClassifiedAsFinancing</v>
          </cell>
          <cell r="HY688">
            <v>0</v>
          </cell>
          <cell r="HZ688" t="str">
            <v>ISO4217:USD</v>
          </cell>
          <cell r="IA688" t="b">
            <v>0</v>
          </cell>
          <cell r="IB688" t="b">
            <v>0</v>
          </cell>
        </row>
        <row r="689">
          <cell r="E689" t="str">
            <v>Service cost (pensions)</v>
          </cell>
          <cell r="HX689" t="str">
            <v>mstag:serviceCostPensionsClassifiedAsFinancing</v>
          </cell>
          <cell r="HY689">
            <v>0</v>
          </cell>
          <cell r="HZ689" t="str">
            <v>ISO4217:USD</v>
          </cell>
          <cell r="IA689" t="b">
            <v>0</v>
          </cell>
          <cell r="IB689" t="b">
            <v>0</v>
          </cell>
        </row>
        <row r="690">
          <cell r="E690" t="str">
            <v>Interest cost (pensions)</v>
          </cell>
          <cell r="HX690" t="str">
            <v>mstag:interestCostPensionsClassifiedAsFinancing</v>
          </cell>
          <cell r="HY690">
            <v>0</v>
          </cell>
          <cell r="HZ690" t="str">
            <v>ISO4217:USD</v>
          </cell>
          <cell r="IA690" t="b">
            <v>0</v>
          </cell>
          <cell r="IB690" t="b">
            <v>0</v>
          </cell>
        </row>
        <row r="691">
          <cell r="E691" t="str">
            <v>Expected return on plan assets (pensions)</v>
          </cell>
          <cell r="HX691" t="str">
            <v>mstag:expectedReturnOnPlanAssetsPensionsClassifiedAsFinancing</v>
          </cell>
          <cell r="HY691">
            <v>0</v>
          </cell>
          <cell r="HZ691" t="str">
            <v>ISO4217:USD</v>
          </cell>
          <cell r="IA691" t="b">
            <v>0</v>
          </cell>
          <cell r="IB691" t="b">
            <v>0</v>
          </cell>
        </row>
        <row r="692">
          <cell r="E692" t="str">
            <v>Amortization of prior service cost (pensions)</v>
          </cell>
          <cell r="HX692" t="str">
            <v>mstag:amortizationOfPriorServiceCostPensionsClassifiedAsFinancing</v>
          </cell>
          <cell r="HY692">
            <v>0</v>
          </cell>
          <cell r="HZ692" t="str">
            <v>ISO4217:USD</v>
          </cell>
          <cell r="IA692" t="b">
            <v>0</v>
          </cell>
          <cell r="IB692" t="b">
            <v>0</v>
          </cell>
        </row>
        <row r="693">
          <cell r="E693" t="str">
            <v>Net actuarial gain (loss) recognized (pensions)</v>
          </cell>
          <cell r="HX693" t="str">
            <v>mstag:netActuarialGainLossRecognizedPensionsClassifiedAsFinancing</v>
          </cell>
          <cell r="HY693">
            <v>0</v>
          </cell>
          <cell r="HZ693" t="str">
            <v>ISO4217:USD</v>
          </cell>
          <cell r="IA693" t="b">
            <v>0</v>
          </cell>
          <cell r="IB693" t="b">
            <v>0</v>
          </cell>
        </row>
        <row r="694">
          <cell r="E694" t="str">
            <v>Nonrecurring pension items</v>
          </cell>
          <cell r="HX694" t="str">
            <v>mstag:nonRecurringPensionItemsClassifiedAsFinancing</v>
          </cell>
          <cell r="HY694">
            <v>0</v>
          </cell>
          <cell r="HZ694" t="str">
            <v>ISO4217:USD</v>
          </cell>
          <cell r="IA694" t="b">
            <v>0</v>
          </cell>
          <cell r="IB694" t="b">
            <v>0</v>
          </cell>
        </row>
        <row r="695">
          <cell r="E695" t="str">
            <v>Other net pension expense</v>
          </cell>
          <cell r="HX695" t="str">
            <v>mstag:otherNetPensionExpenseClassifiedAsFinancing</v>
          </cell>
          <cell r="HY695">
            <v>0</v>
          </cell>
          <cell r="HZ695" t="str">
            <v>ISO4217:USD</v>
          </cell>
          <cell r="IA695" t="b">
            <v>0</v>
          </cell>
          <cell r="IB695" t="b">
            <v>0</v>
          </cell>
        </row>
        <row r="696">
          <cell r="D696" t="str">
            <v>Net benefits paid to retirees (pensions)</v>
          </cell>
          <cell r="G696" t="str">
            <v/>
          </cell>
          <cell r="H696" t="str">
            <v/>
          </cell>
          <cell r="I696" t="str">
            <v/>
          </cell>
          <cell r="J696" t="str">
            <v/>
          </cell>
          <cell r="K696" t="str">
            <v/>
          </cell>
          <cell r="L696" t="str">
            <v/>
          </cell>
          <cell r="M696" t="str">
            <v/>
          </cell>
          <cell r="HX696" t="str">
            <v>mstag:netBenefitsPaidToRetireesPensionsAsFinancing</v>
          </cell>
          <cell r="HY696">
            <v>6</v>
          </cell>
          <cell r="HZ696" t="str">
            <v>ISO4217:USD</v>
          </cell>
          <cell r="IA696" t="b">
            <v>0</v>
          </cell>
          <cell r="IB696" t="b">
            <v>0</v>
          </cell>
        </row>
        <row r="697">
          <cell r="E697" t="str">
            <v>Benefits paid to retirees, in obligation (pensions)</v>
          </cell>
          <cell r="HX697" t="str">
            <v>mstag:benefitsPaidToRetireesPensionsClassifiedAsFinancing</v>
          </cell>
          <cell r="HY697">
            <v>0</v>
          </cell>
          <cell r="HZ697" t="str">
            <v>ISO4217:USD</v>
          </cell>
          <cell r="IA697" t="b">
            <v>0</v>
          </cell>
          <cell r="IB697" t="b">
            <v>0</v>
          </cell>
        </row>
        <row r="698">
          <cell r="E698" t="str">
            <v>Benefits paid to retirees, in assets (pensions)</v>
          </cell>
          <cell r="HX698" t="str">
            <v>mstag:benefitsPaidToRetireesInAssetsPensionsAsFinancing</v>
          </cell>
          <cell r="HY698">
            <v>6</v>
          </cell>
          <cell r="HZ698" t="str">
            <v>ISO4217:USD</v>
          </cell>
          <cell r="IA698" t="b">
            <v>0</v>
          </cell>
          <cell r="IB698" t="b">
            <v>0</v>
          </cell>
        </row>
        <row r="699">
          <cell r="D699" t="str">
            <v>Actual return on plan assets (pensions)</v>
          </cell>
          <cell r="HX699" t="str">
            <v>mstag:actualReturnOnPlanAssetsPensionsClassifiedAsFinancing</v>
          </cell>
          <cell r="HY699">
            <v>0</v>
          </cell>
          <cell r="HZ699" t="str">
            <v>ISO4217:USD</v>
          </cell>
          <cell r="IA699" t="b">
            <v>0</v>
          </cell>
          <cell r="IB699" t="b">
            <v>0</v>
          </cell>
        </row>
        <row r="700">
          <cell r="D700" t="str">
            <v>Contribution to plan assets (pensions)</v>
          </cell>
          <cell r="HX700" t="str">
            <v>mstag:contributionToPlanAssetsPensionsClassifiedAsFinancing</v>
          </cell>
          <cell r="HY700">
            <v>0</v>
          </cell>
          <cell r="HZ700" t="str">
            <v>ISO4217:USD</v>
          </cell>
          <cell r="IA700" t="b">
            <v>0</v>
          </cell>
          <cell r="IB700" t="b">
            <v>0</v>
          </cell>
        </row>
        <row r="701">
          <cell r="D701" t="str">
            <v>Projected benefit obligation (pensions)</v>
          </cell>
          <cell r="HX701" t="str">
            <v>mstag:projectedBenefitObligationPensionsClassifiedAsFinancing</v>
          </cell>
          <cell r="HY701">
            <v>0</v>
          </cell>
          <cell r="HZ701" t="str">
            <v>ISO4217:USD</v>
          </cell>
          <cell r="IA701" t="b">
            <v>0</v>
          </cell>
          <cell r="IB701" t="b">
            <v>0</v>
          </cell>
        </row>
        <row r="702">
          <cell r="D702" t="str">
            <v>Plan assets at fair value (pensions)</v>
          </cell>
          <cell r="HX702" t="str">
            <v>mstag:planAssetsAtFairValuePensionsClassifiedAsFinancing</v>
          </cell>
          <cell r="HY702">
            <v>0</v>
          </cell>
          <cell r="HZ702" t="str">
            <v>ISO4217:USD</v>
          </cell>
          <cell r="IA702" t="b">
            <v>0</v>
          </cell>
          <cell r="IB702" t="b">
            <v>0</v>
          </cell>
        </row>
        <row r="703">
          <cell r="D703" t="str">
            <v>Net pension prepaid asset (accrued liability)</v>
          </cell>
          <cell r="HX703" t="str">
            <v>mstag:netPensionPrepaidAssetAccruedLiabilityClassifiedAsFinancing</v>
          </cell>
          <cell r="HY703">
            <v>0</v>
          </cell>
          <cell r="HZ703" t="str">
            <v>ISO4217:USD</v>
          </cell>
          <cell r="IA703" t="b">
            <v>0</v>
          </cell>
          <cell r="IB703" t="b">
            <v>0</v>
          </cell>
        </row>
        <row r="704">
          <cell r="D704" t="str">
            <v>Intangible asset (pensions)</v>
          </cell>
          <cell r="HX704" t="str">
            <v>mstag:intangibleAssetPensionsClassifiedAsFinancing</v>
          </cell>
          <cell r="HY704">
            <v>0</v>
          </cell>
          <cell r="HZ704" t="str">
            <v>ISO4217:USD</v>
          </cell>
          <cell r="IA704" t="b">
            <v>0</v>
          </cell>
          <cell r="IB704" t="b">
            <v>0</v>
          </cell>
        </row>
        <row r="705">
          <cell r="D705" t="str">
            <v>Accumulated other comprehensive income (pensions)</v>
          </cell>
          <cell r="HX705" t="str">
            <v>mstag:accumulatedOtherComprehensiveIncomePensionsClassifiedAsFinancing</v>
          </cell>
          <cell r="HY705">
            <v>0</v>
          </cell>
          <cell r="HZ705" t="str">
            <v>ISO4217:USD</v>
          </cell>
          <cell r="IA705" t="b">
            <v>0</v>
          </cell>
          <cell r="IB705" t="b">
            <v>0</v>
          </cell>
        </row>
        <row r="706">
          <cell r="D706" t="str">
            <v>Weighted average discount rate (pensions)</v>
          </cell>
          <cell r="HX706" t="str">
            <v>mstag:weightedAverageDiscountRatePensionsClassifiedAsFinancing</v>
          </cell>
          <cell r="HY706">
            <v>0</v>
          </cell>
          <cell r="HZ706" t="str">
            <v>ms_eqr_gcim_Decimal:ms_eqr_gcim_decimal</v>
          </cell>
          <cell r="IA706" t="b">
            <v>0</v>
          </cell>
          <cell r="IB706" t="b">
            <v>0</v>
          </cell>
        </row>
        <row r="707">
          <cell r="D707" t="str">
            <v>Expected long-term rate of return on plan assets (pensions)</v>
          </cell>
          <cell r="HX707" t="str">
            <v>mstag:expectedLongTermRateOfReturnOnPlanAssetsPensionsClassifiedAsFinancing</v>
          </cell>
          <cell r="HY707">
            <v>0</v>
          </cell>
          <cell r="HZ707" t="str">
            <v>ms_eqr_gcim_Decimal:ms_eqr_gcim_decimal</v>
          </cell>
          <cell r="IA707" t="b">
            <v>0</v>
          </cell>
          <cell r="IB707" t="b">
            <v>0</v>
          </cell>
        </row>
        <row r="708">
          <cell r="D708" t="str">
            <v>Rate of increase in future compensation levels</v>
          </cell>
          <cell r="HX708" t="str">
            <v>mstag:rateOfIncreaseInFutureCompensationLevelsClassifiedAsFinancing</v>
          </cell>
          <cell r="HY708">
            <v>0</v>
          </cell>
          <cell r="HZ708" t="str">
            <v>ms_eqr_gcim_Decimal:ms_eqr_gcim_decimal</v>
          </cell>
          <cell r="IA708" t="b">
            <v>0</v>
          </cell>
          <cell r="IB708" t="b">
            <v>0</v>
          </cell>
        </row>
        <row r="709">
          <cell r="C709" t="str">
            <v>Pensions (companies reporting under SSAP 24)</v>
          </cell>
          <cell r="HY709">
            <v>0</v>
          </cell>
          <cell r="HZ709" t="str">
            <v>ms_eqr_gcim_String:ms_eqr_gcim_string</v>
          </cell>
          <cell r="IA709" t="b">
            <v>0</v>
          </cell>
          <cell r="IB709" t="b">
            <v>0</v>
          </cell>
        </row>
        <row r="710">
          <cell r="D710" t="str">
            <v>Net periodic pension expense (pensions)</v>
          </cell>
          <cell r="HX710" t="str">
            <v>mstag:netPeriodicPensionExpensePensionsUnderSSAP24</v>
          </cell>
          <cell r="HY710">
            <v>0</v>
          </cell>
          <cell r="HZ710" t="str">
            <v>ISO4217:USD</v>
          </cell>
          <cell r="IA710" t="b">
            <v>0</v>
          </cell>
          <cell r="IB710" t="b">
            <v>0</v>
          </cell>
        </row>
        <row r="711">
          <cell r="D711" t="str">
            <v>Service cost (pensions)</v>
          </cell>
          <cell r="HX711" t="str">
            <v>mstag:serviceCostPensionsUnderSSAP24</v>
          </cell>
          <cell r="HY711">
            <v>0</v>
          </cell>
          <cell r="HZ711" t="str">
            <v>ISO4217:USD</v>
          </cell>
          <cell r="IA711" t="b">
            <v>0</v>
          </cell>
          <cell r="IB711" t="b">
            <v>0</v>
          </cell>
        </row>
        <row r="712">
          <cell r="D712" t="str">
            <v>Prior service cost (pensions)</v>
          </cell>
          <cell r="HX712" t="str">
            <v>mstag:priorServiceCostPensionsUnderSSAP24</v>
          </cell>
          <cell r="HY712">
            <v>0</v>
          </cell>
          <cell r="HZ712" t="str">
            <v>ISO4217:USD</v>
          </cell>
          <cell r="IA712" t="b">
            <v>0</v>
          </cell>
          <cell r="IB712" t="b">
            <v>0</v>
          </cell>
        </row>
        <row r="713">
          <cell r="D713" t="str">
            <v>Interest cost (pensions)</v>
          </cell>
          <cell r="HX713" t="str">
            <v>mstag:interestCostPensionsUnderSSAP24</v>
          </cell>
          <cell r="HY713">
            <v>0</v>
          </cell>
          <cell r="HZ713" t="str">
            <v>ISO4217:USD</v>
          </cell>
          <cell r="IA713" t="b">
            <v>0</v>
          </cell>
          <cell r="IB713" t="b">
            <v>0</v>
          </cell>
        </row>
        <row r="714">
          <cell r="D714" t="str">
            <v>Expected return on plan assets (pensions)</v>
          </cell>
          <cell r="HX714" t="str">
            <v>mstag:expectedReturnOnPlanAssetsPensionsUnderSSAP24</v>
          </cell>
          <cell r="HY714">
            <v>0</v>
          </cell>
          <cell r="HZ714" t="str">
            <v>ISO4217:USD</v>
          </cell>
          <cell r="IA714" t="b">
            <v>0</v>
          </cell>
          <cell r="IB714" t="b">
            <v>0</v>
          </cell>
        </row>
        <row r="715">
          <cell r="C715" t="str">
            <v>Other postemployment benefits</v>
          </cell>
          <cell r="HY715">
            <v>0</v>
          </cell>
          <cell r="HZ715" t="str">
            <v>ms_eqr_gcim_String:ms_eqr_gcim_string</v>
          </cell>
          <cell r="IA715" t="b">
            <v>0</v>
          </cell>
          <cell r="IB715" t="b">
            <v>0</v>
          </cell>
        </row>
        <row r="716">
          <cell r="D716" t="str">
            <v>Net periodic expense (OPEB)</v>
          </cell>
          <cell r="G716" t="str">
            <v/>
          </cell>
          <cell r="H716" t="str">
            <v/>
          </cell>
          <cell r="I716" t="str">
            <v/>
          </cell>
          <cell r="J716" t="str">
            <v/>
          </cell>
          <cell r="K716" t="str">
            <v/>
          </cell>
          <cell r="L716" t="str">
            <v/>
          </cell>
          <cell r="M716" t="str">
            <v/>
          </cell>
          <cell r="HX716" t="str">
            <v>mstag:netPeriodicExpenseOpeb</v>
          </cell>
          <cell r="HY716">
            <v>6</v>
          </cell>
          <cell r="HZ716" t="str">
            <v>ISO4217:USD</v>
          </cell>
          <cell r="IA716" t="b">
            <v>0</v>
          </cell>
          <cell r="IB716" t="b">
            <v>0</v>
          </cell>
        </row>
        <row r="717">
          <cell r="E717" t="str">
            <v>Service cost (OPEB)</v>
          </cell>
          <cell r="HX717" t="str">
            <v>mstag:serviceCostOpeb</v>
          </cell>
          <cell r="HY717">
            <v>6</v>
          </cell>
          <cell r="HZ717" t="str">
            <v>ISO4217:USD</v>
          </cell>
          <cell r="IA717" t="b">
            <v>0</v>
          </cell>
          <cell r="IB717" t="b">
            <v>0</v>
          </cell>
        </row>
        <row r="718">
          <cell r="E718" t="str">
            <v>Interest cost (OPEB)</v>
          </cell>
          <cell r="HX718" t="str">
            <v>mstag:interestCostOpeb</v>
          </cell>
          <cell r="HY718">
            <v>6</v>
          </cell>
          <cell r="HZ718" t="str">
            <v>ISO4217:USD</v>
          </cell>
          <cell r="IA718" t="b">
            <v>0</v>
          </cell>
          <cell r="IB718" t="b">
            <v>0</v>
          </cell>
        </row>
        <row r="719">
          <cell r="E719" t="str">
            <v>Expected return on plan assets (OPEB)</v>
          </cell>
          <cell r="HX719" t="str">
            <v>mstag:expectedReturnOnPlanAssetsOpeb</v>
          </cell>
          <cell r="HY719">
            <v>6</v>
          </cell>
          <cell r="HZ719" t="str">
            <v>ISO4217:USD</v>
          </cell>
          <cell r="IA719" t="b">
            <v>0</v>
          </cell>
          <cell r="IB719" t="b">
            <v>0</v>
          </cell>
        </row>
        <row r="720">
          <cell r="E720" t="str">
            <v>Amortization of prior service cost (OPEB)</v>
          </cell>
          <cell r="HX720" t="str">
            <v>mstag:amortizationOfPriorServiceCostOpeb</v>
          </cell>
          <cell r="HY720">
            <v>6</v>
          </cell>
          <cell r="HZ720" t="str">
            <v>ISO4217:USD</v>
          </cell>
          <cell r="IA720" t="b">
            <v>0</v>
          </cell>
          <cell r="IB720" t="b">
            <v>0</v>
          </cell>
        </row>
        <row r="721">
          <cell r="E721" t="str">
            <v>Net actuarial gain (loss) recognized (OPEB)</v>
          </cell>
          <cell r="HX721" t="str">
            <v>mstag:netActuarialGainLossRecognizedOpeb</v>
          </cell>
          <cell r="HY721">
            <v>6</v>
          </cell>
          <cell r="HZ721" t="str">
            <v>ISO4217:USD</v>
          </cell>
          <cell r="IA721" t="b">
            <v>0</v>
          </cell>
          <cell r="IB721" t="b">
            <v>0</v>
          </cell>
        </row>
        <row r="722">
          <cell r="E722" t="str">
            <v>Nonrecurring OPEB items</v>
          </cell>
          <cell r="HX722" t="str">
            <v>mstag:nonRecurringOpebItems</v>
          </cell>
          <cell r="HY722">
            <v>6</v>
          </cell>
          <cell r="HZ722" t="str">
            <v>ISO4217:USD</v>
          </cell>
          <cell r="IA722" t="b">
            <v>0</v>
          </cell>
          <cell r="IB722" t="b">
            <v>0</v>
          </cell>
        </row>
        <row r="723">
          <cell r="E723" t="str">
            <v>Other net expense (OPEB)</v>
          </cell>
          <cell r="HX723" t="str">
            <v>mstag:otherNetExpenseOpeb</v>
          </cell>
          <cell r="HY723">
            <v>6</v>
          </cell>
          <cell r="HZ723" t="str">
            <v>ISO4217:USD</v>
          </cell>
          <cell r="IA723" t="b">
            <v>0</v>
          </cell>
          <cell r="IB723" t="b">
            <v>0</v>
          </cell>
        </row>
        <row r="724">
          <cell r="D724" t="str">
            <v>Net benefits paid to retirees (OPEB)</v>
          </cell>
          <cell r="G724" t="str">
            <v/>
          </cell>
          <cell r="H724" t="str">
            <v/>
          </cell>
          <cell r="I724" t="str">
            <v/>
          </cell>
          <cell r="J724" t="str">
            <v/>
          </cell>
          <cell r="K724" t="str">
            <v/>
          </cell>
          <cell r="L724" t="str">
            <v/>
          </cell>
          <cell r="M724" t="str">
            <v/>
          </cell>
          <cell r="HX724" t="str">
            <v>mstag:netBenefitsPaidToRetireesOpeb</v>
          </cell>
          <cell r="HY724">
            <v>6</v>
          </cell>
          <cell r="HZ724" t="str">
            <v>ISO4217:USD</v>
          </cell>
          <cell r="IA724" t="b">
            <v>0</v>
          </cell>
          <cell r="IB724" t="b">
            <v>0</v>
          </cell>
        </row>
        <row r="725">
          <cell r="E725" t="str">
            <v>Benefits paid to retirees, in obligation (OPEB)</v>
          </cell>
          <cell r="HX725" t="str">
            <v>mstag:benefitsPaidToRetireesOpeb</v>
          </cell>
          <cell r="HY725">
            <v>6</v>
          </cell>
          <cell r="HZ725" t="str">
            <v>ISO4217:USD</v>
          </cell>
          <cell r="IA725" t="b">
            <v>0</v>
          </cell>
          <cell r="IB725" t="b">
            <v>0</v>
          </cell>
        </row>
        <row r="726">
          <cell r="E726" t="str">
            <v>Benefits paid to retirees, in assets (OPEB)</v>
          </cell>
          <cell r="HX726" t="str">
            <v>mstag:benefitsPaidToRetireesInAssetsOpeb</v>
          </cell>
          <cell r="HY726">
            <v>6</v>
          </cell>
          <cell r="HZ726" t="str">
            <v>ISO4217:USD</v>
          </cell>
          <cell r="IA726" t="b">
            <v>0</v>
          </cell>
          <cell r="IB726" t="b">
            <v>0</v>
          </cell>
        </row>
        <row r="727">
          <cell r="D727" t="str">
            <v>Actual return on plan assets (OPEB)</v>
          </cell>
          <cell r="HX727" t="str">
            <v>mstag:actualReturnOnPlanAssetsOpeb</v>
          </cell>
          <cell r="HY727">
            <v>6</v>
          </cell>
          <cell r="HZ727" t="str">
            <v>ISO4217:USD</v>
          </cell>
          <cell r="IA727" t="b">
            <v>0</v>
          </cell>
          <cell r="IB727" t="b">
            <v>0</v>
          </cell>
        </row>
        <row r="728">
          <cell r="D728" t="str">
            <v>Contribution to plan assets (OPEB)</v>
          </cell>
          <cell r="HX728" t="str">
            <v>mstag:contributionToPlanAssetsOpeb</v>
          </cell>
          <cell r="HY728">
            <v>6</v>
          </cell>
          <cell r="HZ728" t="str">
            <v>ISO4217:USD</v>
          </cell>
          <cell r="IA728" t="b">
            <v>0</v>
          </cell>
          <cell r="IB728" t="b">
            <v>0</v>
          </cell>
        </row>
        <row r="729">
          <cell r="D729" t="str">
            <v>Projected benefit obligation (OPEB)</v>
          </cell>
          <cell r="HX729" t="str">
            <v>mstag:projectedBenefitObligationOpeb</v>
          </cell>
          <cell r="HY729">
            <v>6</v>
          </cell>
          <cell r="HZ729" t="str">
            <v>ISO4217:USD</v>
          </cell>
          <cell r="IA729" t="b">
            <v>0</v>
          </cell>
          <cell r="IB729" t="b">
            <v>0</v>
          </cell>
        </row>
        <row r="730">
          <cell r="D730" t="str">
            <v>Plan assets at fair value (OPEB)</v>
          </cell>
          <cell r="HX730" t="str">
            <v>mstag:planAssetsAtFairValueOpeb</v>
          </cell>
          <cell r="HY730">
            <v>6</v>
          </cell>
          <cell r="HZ730" t="str">
            <v>ISO4217:USD</v>
          </cell>
          <cell r="IA730" t="b">
            <v>0</v>
          </cell>
          <cell r="IB730" t="b">
            <v>0</v>
          </cell>
        </row>
        <row r="731">
          <cell r="D731" t="str">
            <v>Net OPEB assets (liabilities) recognized in the balance sheet</v>
          </cell>
          <cell r="HX731" t="str">
            <v>mstag:netOpebAssetsLiabilitiesRecognizedInTheBalanceSheet</v>
          </cell>
          <cell r="HY731">
            <v>6</v>
          </cell>
          <cell r="HZ731" t="str">
            <v>ISO4217:USD</v>
          </cell>
          <cell r="IA731" t="b">
            <v>0</v>
          </cell>
          <cell r="IB731" t="b">
            <v>0</v>
          </cell>
        </row>
        <row r="732">
          <cell r="D732" t="str">
            <v>Weighted average discount rate (OPEB)</v>
          </cell>
          <cell r="HX732" t="str">
            <v>mstag:weightedAverageDiscountRateOpeb</v>
          </cell>
          <cell r="HY732">
            <v>0</v>
          </cell>
          <cell r="HZ732" t="str">
            <v>ms_eqr_gcim_Decimal:ms_eqr_gcim_decimal</v>
          </cell>
          <cell r="IA732" t="b">
            <v>0</v>
          </cell>
          <cell r="IB732" t="b">
            <v>0</v>
          </cell>
        </row>
        <row r="733">
          <cell r="D733" t="str">
            <v>Expected long term rate of return on plan assets (OPEB)</v>
          </cell>
          <cell r="HX733" t="str">
            <v>mstag:expectedLongTermRateOfReturnOnPlanAssetsOpeb</v>
          </cell>
          <cell r="HY733">
            <v>0</v>
          </cell>
          <cell r="HZ733" t="str">
            <v>ms_eqr_gcim_Decimal:ms_eqr_gcim_decimal</v>
          </cell>
          <cell r="IA733" t="b">
            <v>0</v>
          </cell>
          <cell r="IB733" t="b">
            <v>0</v>
          </cell>
        </row>
        <row r="734">
          <cell r="D734" t="str">
            <v>Expected rate of healthcare cost increase, short term</v>
          </cell>
          <cell r="HX734" t="str">
            <v>mstag:expectedRateOfHealthCareCostIncreaseShortTerm</v>
          </cell>
          <cell r="HY734">
            <v>0</v>
          </cell>
          <cell r="HZ734" t="str">
            <v>ms_eqr_gcim_Decimal:ms_eqr_gcim_decimal</v>
          </cell>
          <cell r="IA734" t="b">
            <v>0</v>
          </cell>
          <cell r="IB734" t="b">
            <v>0</v>
          </cell>
        </row>
        <row r="735">
          <cell r="D735" t="str">
            <v>Expected rate of healthcare cost increase, long term</v>
          </cell>
          <cell r="HX735" t="str">
            <v>mstag:expectedRateOfHealthCareCostIncreaseLongTerm</v>
          </cell>
          <cell r="HY735">
            <v>0</v>
          </cell>
          <cell r="HZ735" t="str">
            <v>ms_eqr_gcim_Decimal:ms_eqr_gcim_decimal</v>
          </cell>
          <cell r="IA735" t="b">
            <v>0</v>
          </cell>
          <cell r="IB735" t="b">
            <v>0</v>
          </cell>
        </row>
        <row r="737">
          <cell r="M737" t="str">
            <v>Values in the System :</v>
          </cell>
        </row>
        <row r="738">
          <cell r="M738">
            <v>63</v>
          </cell>
        </row>
        <row r="741">
          <cell r="A741" t="str">
            <v>Additional Data Items to be collected (these items are not in the taxonomy)</v>
          </cell>
        </row>
        <row r="742">
          <cell r="B742" t="str">
            <v>Leases</v>
          </cell>
        </row>
        <row r="743">
          <cell r="C743" t="str">
            <v>Year 1 Minimum Rental Payment</v>
          </cell>
          <cell r="G743">
            <v>15.068</v>
          </cell>
          <cell r="H743">
            <v>25.855</v>
          </cell>
          <cell r="I743">
            <v>33.090000000000003</v>
          </cell>
          <cell r="J743">
            <v>47.545000000000002</v>
          </cell>
          <cell r="K743">
            <v>4.8</v>
          </cell>
          <cell r="L743">
            <v>4.8</v>
          </cell>
          <cell r="M743">
            <v>6.5</v>
          </cell>
        </row>
        <row r="744">
          <cell r="C744" t="str">
            <v>Year 2 Minimum Rental Payment</v>
          </cell>
          <cell r="G744">
            <v>15.622</v>
          </cell>
          <cell r="H744">
            <v>23.591000000000001</v>
          </cell>
          <cell r="I744">
            <v>31.873000000000001</v>
          </cell>
          <cell r="J744">
            <v>48.029000000000003</v>
          </cell>
          <cell r="K744">
            <v>3</v>
          </cell>
          <cell r="L744">
            <v>3.3</v>
          </cell>
          <cell r="M744">
            <v>6.9</v>
          </cell>
        </row>
        <row r="745">
          <cell r="C745" t="str">
            <v>Year 3 Minimum Rental Payment</v>
          </cell>
          <cell r="G745">
            <v>15.196</v>
          </cell>
          <cell r="H745">
            <v>22.47</v>
          </cell>
          <cell r="I745">
            <v>28.492999999999999</v>
          </cell>
          <cell r="J745">
            <v>46.418999999999997</v>
          </cell>
          <cell r="K745">
            <v>1.7</v>
          </cell>
          <cell r="L745">
            <v>3.1</v>
          </cell>
          <cell r="M745">
            <v>5.8</v>
          </cell>
        </row>
        <row r="746">
          <cell r="C746" t="str">
            <v>Year 4 Minimum Rental Payment</v>
          </cell>
          <cell r="G746">
            <v>14.95</v>
          </cell>
          <cell r="H746">
            <v>19.626999999999999</v>
          </cell>
          <cell r="I746">
            <v>27.497</v>
          </cell>
          <cell r="J746">
            <v>41.847999999999999</v>
          </cell>
          <cell r="K746">
            <v>1.6</v>
          </cell>
          <cell r="L746">
            <v>2.6</v>
          </cell>
          <cell r="M746">
            <v>5.8</v>
          </cell>
        </row>
        <row r="747">
          <cell r="C747" t="str">
            <v>Year 5 Minimum Rental Payment</v>
          </cell>
          <cell r="G747">
            <v>14.968999999999999</v>
          </cell>
          <cell r="H747">
            <v>18.637</v>
          </cell>
          <cell r="I747">
            <v>24.611000000000001</v>
          </cell>
          <cell r="J747">
            <v>32.972999999999999</v>
          </cell>
          <cell r="K747">
            <v>1.6</v>
          </cell>
          <cell r="L747">
            <v>2.4</v>
          </cell>
          <cell r="M747">
            <v>5.8</v>
          </cell>
        </row>
        <row r="748">
          <cell r="C748" t="str">
            <v>Reported Cummulative Payments beyond Year 5</v>
          </cell>
          <cell r="G748">
            <v>14.759</v>
          </cell>
          <cell r="H748">
            <v>36.707000000000001</v>
          </cell>
          <cell r="I748">
            <v>23.83</v>
          </cell>
          <cell r="J748">
            <v>1.7310000000000001</v>
          </cell>
          <cell r="K748">
            <v>4.3</v>
          </cell>
          <cell r="L748">
            <v>5.2</v>
          </cell>
          <cell r="M748">
            <v>24.1</v>
          </cell>
        </row>
        <row r="749">
          <cell r="C749" t="str">
            <v>Current year minmum rental payment</v>
          </cell>
        </row>
        <row r="751">
          <cell r="C751" t="str">
            <v>Foot Working:</v>
          </cell>
        </row>
        <row r="752">
          <cell r="B752" t="str">
            <v>A</v>
          </cell>
          <cell r="C752" t="str">
            <v>Income statement</v>
          </cell>
        </row>
        <row r="753">
          <cell r="C753">
            <v>1</v>
          </cell>
          <cell r="D753" t="str">
            <v>Revenue, gross</v>
          </cell>
        </row>
        <row r="754">
          <cell r="F754" t="str">
            <v>Product sales</v>
          </cell>
          <cell r="G754">
            <v>584.88900000000001</v>
          </cell>
          <cell r="H754">
            <v>717.79499999999996</v>
          </cell>
          <cell r="I754">
            <v>1039.095</v>
          </cell>
          <cell r="J754">
            <v>1278.3440000000001</v>
          </cell>
          <cell r="K754">
            <v>1742.8969999999999</v>
          </cell>
          <cell r="L754">
            <v>2163.665</v>
          </cell>
        </row>
        <row r="755">
          <cell r="F755" t="str">
            <v>Contract revenue</v>
          </cell>
          <cell r="G755">
            <v>121.587</v>
          </cell>
          <cell r="H755">
            <v>114.795</v>
          </cell>
          <cell r="I755">
            <v>83.242000000000004</v>
          </cell>
          <cell r="J755">
            <v>160.363</v>
          </cell>
          <cell r="K755">
            <v>36.659999999999997</v>
          </cell>
          <cell r="L755">
            <v>54.442999999999998</v>
          </cell>
        </row>
        <row r="756">
          <cell r="G756">
            <v>706.476</v>
          </cell>
          <cell r="H756">
            <v>832.58999999999992</v>
          </cell>
          <cell r="I756">
            <v>1122.337</v>
          </cell>
          <cell r="J756">
            <v>1438.7070000000001</v>
          </cell>
          <cell r="K756">
            <v>1779.557</v>
          </cell>
          <cell r="L756">
            <v>2218.1080000000002</v>
          </cell>
        </row>
        <row r="759">
          <cell r="C759">
            <v>2</v>
          </cell>
          <cell r="D759" t="str">
            <v>Cost of sales, without depreciation</v>
          </cell>
          <cell r="G759">
            <v>102.536</v>
          </cell>
          <cell r="H759">
            <v>138.62299999999999</v>
          </cell>
          <cell r="I759">
            <v>285.54899999999998</v>
          </cell>
          <cell r="J759">
            <v>364.892</v>
          </cell>
          <cell r="K759">
            <v>354.44200000000001</v>
          </cell>
          <cell r="L759">
            <v>441.63</v>
          </cell>
        </row>
        <row r="760">
          <cell r="F760" t="str">
            <v>Less: Depreciation</v>
          </cell>
          <cell r="G760">
            <v>-65.533000000000001</v>
          </cell>
          <cell r="H760">
            <v>-78.100999999999999</v>
          </cell>
          <cell r="I760">
            <v>-90.281999999999996</v>
          </cell>
          <cell r="J760">
            <v>-88.804000000000002</v>
          </cell>
          <cell r="K760">
            <v>-96.290999999999997</v>
          </cell>
          <cell r="L760">
            <v>-104.55500000000001</v>
          </cell>
        </row>
        <row r="761">
          <cell r="G761">
            <v>37.003</v>
          </cell>
          <cell r="H761">
            <v>60.521999999999991</v>
          </cell>
          <cell r="I761">
            <v>195.267</v>
          </cell>
          <cell r="J761">
            <v>276.08799999999997</v>
          </cell>
          <cell r="K761">
            <v>258.15100000000001</v>
          </cell>
          <cell r="L761">
            <v>337.07499999999999</v>
          </cell>
        </row>
        <row r="764">
          <cell r="C764">
            <v>2</v>
          </cell>
          <cell r="D764" t="str">
            <v>General and administrative expenses</v>
          </cell>
          <cell r="G764">
            <v>470.923</v>
          </cell>
          <cell r="H764">
            <v>358.93099999999998</v>
          </cell>
          <cell r="I764">
            <v>393.65700000000004</v>
          </cell>
          <cell r="J764">
            <v>368.22399999999999</v>
          </cell>
          <cell r="K764">
            <v>446.90600000000001</v>
          </cell>
          <cell r="L764">
            <v>546.27599999999995</v>
          </cell>
        </row>
        <row r="765">
          <cell r="F765" t="str">
            <v>Less: Advertisement charges</v>
          </cell>
          <cell r="G765">
            <v>-41.8</v>
          </cell>
          <cell r="H765">
            <v>-47.7</v>
          </cell>
          <cell r="I765">
            <v>-80</v>
          </cell>
          <cell r="J765">
            <v>-86.5</v>
          </cell>
          <cell r="K765">
            <v>-91.9</v>
          </cell>
          <cell r="L765">
            <v>-111.7</v>
          </cell>
        </row>
        <row r="766">
          <cell r="G766">
            <v>429.12299999999999</v>
          </cell>
          <cell r="H766">
            <v>311.23099999999999</v>
          </cell>
          <cell r="I766">
            <v>313.65700000000004</v>
          </cell>
          <cell r="J766">
            <v>281.72399999999999</v>
          </cell>
          <cell r="K766">
            <v>355.00599999999997</v>
          </cell>
          <cell r="L766">
            <v>434.57599999999996</v>
          </cell>
        </row>
        <row r="767">
          <cell r="C767">
            <v>3</v>
          </cell>
          <cell r="D767" t="str">
            <v>Statutory Tax Rate</v>
          </cell>
        </row>
        <row r="768">
          <cell r="E768" t="str">
            <v>For 2002 , the statutory tax rate is as follows:</v>
          </cell>
        </row>
        <row r="769">
          <cell r="E769">
            <v>1</v>
          </cell>
          <cell r="F769" t="str">
            <v>Tax at U.S. statutory rate of 35%</v>
          </cell>
          <cell r="H769">
            <v>88.427999999999997</v>
          </cell>
          <cell r="I769">
            <v>-578.83100000000002</v>
          </cell>
          <cell r="J769">
            <v>1.391</v>
          </cell>
          <cell r="K769">
            <v>99.045000000000002</v>
          </cell>
          <cell r="L769">
            <v>10412</v>
          </cell>
        </row>
        <row r="770">
          <cell r="E770">
            <v>2</v>
          </cell>
          <cell r="F770" t="str">
            <v>State taxes</v>
          </cell>
          <cell r="H770">
            <v>7.4909999999999997</v>
          </cell>
          <cell r="I770">
            <v>-17.552999999999997</v>
          </cell>
          <cell r="J770">
            <v>0.95899999999999996</v>
          </cell>
          <cell r="K770">
            <v>16.219000000000001</v>
          </cell>
          <cell r="L770">
            <v>837</v>
          </cell>
        </row>
        <row r="771">
          <cell r="F771" t="str">
            <v>Total (A)</v>
          </cell>
          <cell r="H771">
            <v>95.918999999999997</v>
          </cell>
          <cell r="I771">
            <v>-596.38400000000001</v>
          </cell>
          <cell r="J771">
            <v>2.35</v>
          </cell>
          <cell r="K771">
            <v>115.26400000000001</v>
          </cell>
          <cell r="L771">
            <v>11249</v>
          </cell>
        </row>
        <row r="773">
          <cell r="F773" t="str">
            <v>Profit before taxes                                                                            (B)</v>
          </cell>
          <cell r="H773">
            <v>252.65100000000001</v>
          </cell>
          <cell r="I773">
            <v>-1157.5</v>
          </cell>
          <cell r="J773">
            <v>3.9729999999999999</v>
          </cell>
          <cell r="K773">
            <v>282.98599999999999</v>
          </cell>
          <cell r="L773">
            <v>29749</v>
          </cell>
        </row>
        <row r="775">
          <cell r="F775" t="str">
            <v>statutory tax rate  (A/B)*100</v>
          </cell>
          <cell r="H775">
            <v>0.37965018939169048</v>
          </cell>
          <cell r="I775">
            <v>0.51523455723542122</v>
          </cell>
          <cell r="J775">
            <v>0.59149257488044304</v>
          </cell>
          <cell r="K775">
            <v>0.40731343600036757</v>
          </cell>
          <cell r="L775">
            <v>0.37813035732293521</v>
          </cell>
        </row>
        <row r="777">
          <cell r="C777" t="str">
            <v>Reclassification</v>
          </cell>
        </row>
        <row r="778">
          <cell r="C778">
            <v>4</v>
          </cell>
          <cell r="D778" t="str">
            <v>Contract and other  (as disclosed in the respective year's financials)</v>
          </cell>
          <cell r="I778">
            <v>83.242000000000004</v>
          </cell>
        </row>
        <row r="779">
          <cell r="F779" t="str">
            <v>Add: Reclassification in 2000</v>
          </cell>
          <cell r="I779">
            <v>-20.337</v>
          </cell>
        </row>
        <row r="780">
          <cell r="I780">
            <v>103.57899999999999</v>
          </cell>
        </row>
        <row r="782">
          <cell r="C782">
            <v>5</v>
          </cell>
          <cell r="D782" t="str">
            <v>Amortization of taxable other intangible(as disclosed in the respective year's financials)</v>
          </cell>
          <cell r="I782">
            <v>197.74199999999999</v>
          </cell>
        </row>
        <row r="783">
          <cell r="F783" t="str">
            <v>Add: Reclassification in 2000</v>
          </cell>
          <cell r="I783">
            <v>-0.67799999999999727</v>
          </cell>
        </row>
        <row r="784">
          <cell r="I784">
            <v>198.42</v>
          </cell>
          <cell r="K784">
            <v>0</v>
          </cell>
          <cell r="L784">
            <v>0</v>
          </cell>
        </row>
        <row r="786">
          <cell r="C786">
            <v>6</v>
          </cell>
          <cell r="D786" t="str">
            <v>Current Tax (as disclosed in the respective year's financials)</v>
          </cell>
          <cell r="I786">
            <v>-203.10900000000004</v>
          </cell>
        </row>
        <row r="787">
          <cell r="F787" t="str">
            <v>Add: Reclassification in 2000</v>
          </cell>
          <cell r="I787">
            <v>-6.7</v>
          </cell>
        </row>
        <row r="788">
          <cell r="I788">
            <v>-196.40900000000005</v>
          </cell>
        </row>
        <row r="790">
          <cell r="B790" t="str">
            <v>B</v>
          </cell>
          <cell r="C790" t="str">
            <v>Balance Sheet Validation</v>
          </cell>
        </row>
        <row r="791">
          <cell r="C791">
            <v>6</v>
          </cell>
          <cell r="D791" t="str">
            <v>Other receivables, current</v>
          </cell>
        </row>
        <row r="792">
          <cell r="F792" t="str">
            <v>Accounts receivable − royalties</v>
          </cell>
          <cell r="L792">
            <v>116.423</v>
          </cell>
        </row>
        <row r="793">
          <cell r="F793" t="str">
            <v>Accounts receivable − related parties</v>
          </cell>
          <cell r="G793">
            <v>73.444000000000003</v>
          </cell>
          <cell r="H793">
            <v>22.85</v>
          </cell>
          <cell r="I793">
            <v>33.234000000000002</v>
          </cell>
          <cell r="J793">
            <v>36.298999999999999</v>
          </cell>
          <cell r="K793">
            <v>66.867000000000004</v>
          </cell>
          <cell r="L793">
            <v>0</v>
          </cell>
        </row>
        <row r="794">
          <cell r="F794" t="str">
            <v>Accounts receivable − other</v>
          </cell>
          <cell r="G794">
            <v>44.386000000000003</v>
          </cell>
          <cell r="H794">
            <v>47.48</v>
          </cell>
          <cell r="I794">
            <v>61.054000000000002</v>
          </cell>
          <cell r="J794">
            <v>63.262</v>
          </cell>
          <cell r="K794">
            <v>55.27</v>
          </cell>
          <cell r="L794">
            <v>59.151000000000003</v>
          </cell>
        </row>
        <row r="795">
          <cell r="G795">
            <v>117.83000000000001</v>
          </cell>
          <cell r="H795">
            <v>70.33</v>
          </cell>
          <cell r="I795">
            <v>94.288000000000011</v>
          </cell>
          <cell r="J795">
            <v>99.561000000000007</v>
          </cell>
          <cell r="K795">
            <v>122.137</v>
          </cell>
          <cell r="L795">
            <v>175.57400000000001</v>
          </cell>
        </row>
        <row r="796">
          <cell r="C796">
            <v>7</v>
          </cell>
          <cell r="D796" t="str">
            <v>Other assets, operating, noncurrent</v>
          </cell>
        </row>
        <row r="797">
          <cell r="F797" t="str">
            <v>Leasehold improvements</v>
          </cell>
          <cell r="G797">
            <v>3.27</v>
          </cell>
          <cell r="H797">
            <v>3.5649999999999999</v>
          </cell>
          <cell r="I797">
            <v>4.6550000000000002</v>
          </cell>
          <cell r="J797">
            <v>18.456</v>
          </cell>
          <cell r="K797">
            <v>30.632000000000001</v>
          </cell>
          <cell r="L797">
            <v>53.588999999999999</v>
          </cell>
        </row>
        <row r="798">
          <cell r="F798" t="str">
            <v>Other long−term assets</v>
          </cell>
          <cell r="G798">
            <v>177.202</v>
          </cell>
          <cell r="H798">
            <v>131.274</v>
          </cell>
          <cell r="I798">
            <v>201.101</v>
          </cell>
          <cell r="J798">
            <v>168.458</v>
          </cell>
          <cell r="K798">
            <v>70.622</v>
          </cell>
          <cell r="L798">
            <v>110.158</v>
          </cell>
        </row>
        <row r="799">
          <cell r="G799">
            <v>180.47200000000001</v>
          </cell>
          <cell r="H799">
            <v>134.839</v>
          </cell>
          <cell r="I799">
            <v>205.756</v>
          </cell>
          <cell r="J799">
            <v>186.91399999999999</v>
          </cell>
          <cell r="K799">
            <v>101.254</v>
          </cell>
          <cell r="L799">
            <v>163.74700000000001</v>
          </cell>
        </row>
        <row r="800">
          <cell r="C800">
            <v>8</v>
          </cell>
          <cell r="D800" t="str">
            <v>Other accrued expenses</v>
          </cell>
        </row>
        <row r="801">
          <cell r="F801" t="str">
            <v>Accrued royalties</v>
          </cell>
          <cell r="G801">
            <v>23.905000000000001</v>
          </cell>
          <cell r="H801">
            <v>23.391999999999999</v>
          </cell>
          <cell r="I801">
            <v>37.692</v>
          </cell>
          <cell r="J801">
            <v>34.811</v>
          </cell>
          <cell r="K801">
            <v>69.66</v>
          </cell>
          <cell r="L801">
            <v>87.081999999999994</v>
          </cell>
        </row>
        <row r="802">
          <cell r="F802" t="str">
            <v>Accrued clinical and other studies</v>
          </cell>
          <cell r="G802">
            <v>47.268999999999998</v>
          </cell>
          <cell r="H802">
            <v>35.534999999999997</v>
          </cell>
          <cell r="I802">
            <v>18.012</v>
          </cell>
          <cell r="J802">
            <v>35.625999999999998</v>
          </cell>
          <cell r="K802">
            <v>42.433999999999997</v>
          </cell>
          <cell r="L802">
            <v>59.33</v>
          </cell>
        </row>
        <row r="803">
          <cell r="F803" t="str">
            <v>Accrued marketing and promotion costs</v>
          </cell>
          <cell r="G803">
            <v>13.369</v>
          </cell>
          <cell r="H803">
            <v>9.4169999999999998</v>
          </cell>
          <cell r="I803">
            <v>17.896999999999998</v>
          </cell>
          <cell r="J803">
            <v>21.228999999999999</v>
          </cell>
          <cell r="K803">
            <v>28.395</v>
          </cell>
          <cell r="L803">
            <v>39.100999999999999</v>
          </cell>
        </row>
        <row r="804">
          <cell r="F804" t="str">
            <v>Accrued collaborations</v>
          </cell>
          <cell r="G804">
            <v>0</v>
          </cell>
          <cell r="H804">
            <v>0</v>
          </cell>
          <cell r="I804">
            <v>20.707999999999998</v>
          </cell>
          <cell r="J804">
            <v>111.254</v>
          </cell>
          <cell r="K804">
            <v>71.046000000000006</v>
          </cell>
          <cell r="L804">
            <v>103.432</v>
          </cell>
        </row>
        <row r="805">
          <cell r="F805" t="str">
            <v>Accrued legal settlement</v>
          </cell>
          <cell r="H805">
            <v>0</v>
          </cell>
          <cell r="I805">
            <v>200</v>
          </cell>
          <cell r="J805">
            <v>0</v>
          </cell>
          <cell r="K805">
            <v>0</v>
          </cell>
          <cell r="L805">
            <v>0</v>
          </cell>
        </row>
        <row r="806">
          <cell r="G806">
            <v>84.543000000000006</v>
          </cell>
          <cell r="H806">
            <v>68.343999999999994</v>
          </cell>
          <cell r="I806">
            <v>294.30899999999997</v>
          </cell>
          <cell r="J806">
            <v>202.92000000000002</v>
          </cell>
          <cell r="K806">
            <v>211.53500000000003</v>
          </cell>
          <cell r="L806">
            <v>288.94499999999999</v>
          </cell>
        </row>
        <row r="807">
          <cell r="C807">
            <v>9</v>
          </cell>
          <cell r="D807" t="str">
            <v>Other liabilities, operating, current</v>
          </cell>
        </row>
        <row r="808">
          <cell r="F808" t="str">
            <v>Hedge payable</v>
          </cell>
          <cell r="G808">
            <v>0</v>
          </cell>
          <cell r="H808">
            <v>5.42</v>
          </cell>
          <cell r="I808">
            <v>33.499000000000002</v>
          </cell>
          <cell r="J808">
            <v>32.171999999999997</v>
          </cell>
        </row>
        <row r="809">
          <cell r="F809" t="str">
            <v>Other</v>
          </cell>
          <cell r="G809">
            <v>55.677999999999997</v>
          </cell>
          <cell r="H809">
            <v>72.218999999999994</v>
          </cell>
          <cell r="I809">
            <v>47.52</v>
          </cell>
          <cell r="J809">
            <v>66.337999999999994</v>
          </cell>
        </row>
        <row r="810">
          <cell r="F810" t="str">
            <v>Accrued liabilities − related parties</v>
          </cell>
          <cell r="G810">
            <v>15.427</v>
          </cell>
          <cell r="H810">
            <v>10.945</v>
          </cell>
          <cell r="I810">
            <v>14.96</v>
          </cell>
          <cell r="J810">
            <v>12.265000000000001</v>
          </cell>
        </row>
        <row r="811">
          <cell r="G811">
            <v>71.10499999999999</v>
          </cell>
          <cell r="H811">
            <v>88.584000000000003</v>
          </cell>
          <cell r="I811">
            <v>95.979000000000013</v>
          </cell>
          <cell r="J811">
            <v>110.77499999999999</v>
          </cell>
        </row>
        <row r="812">
          <cell r="B812" t="str">
            <v>C</v>
          </cell>
          <cell r="C812" t="str">
            <v>Cash Flow Validation</v>
          </cell>
        </row>
        <row r="813">
          <cell r="C813">
            <v>10</v>
          </cell>
          <cell r="D813" t="str">
            <v>Net decrease in investments, nonoperating</v>
          </cell>
        </row>
        <row r="814">
          <cell r="F814" t="str">
            <v>Gain on sales of securities available−for−sale and other</v>
          </cell>
          <cell r="G814">
            <v>-13.202999999999999</v>
          </cell>
          <cell r="H814">
            <v>-9.5419999999999998</v>
          </cell>
          <cell r="I814">
            <v>-19.375</v>
          </cell>
          <cell r="J814">
            <v>-132.30699999999999</v>
          </cell>
          <cell r="K814">
            <v>-39.398000000000003</v>
          </cell>
          <cell r="L814">
            <v>-53.71</v>
          </cell>
        </row>
        <row r="815">
          <cell r="F815" t="str">
            <v>Loss on sales of securities available−for−sale</v>
          </cell>
          <cell r="G815">
            <v>2.0960000000000001</v>
          </cell>
          <cell r="H815">
            <v>1.8089999999999999</v>
          </cell>
          <cell r="I815">
            <v>1.8050000000000002</v>
          </cell>
          <cell r="J815">
            <v>3.9569999999999999</v>
          </cell>
          <cell r="K815">
            <v>2.0110000000000001</v>
          </cell>
          <cell r="L815">
            <v>5.8680000000000003</v>
          </cell>
        </row>
        <row r="816">
          <cell r="F816" t="str">
            <v>Write−down of securities available−for−sale</v>
          </cell>
          <cell r="G816">
            <v>4</v>
          </cell>
          <cell r="H816">
            <v>20.248999999999999</v>
          </cell>
          <cell r="I816">
            <v>13.422000000000001</v>
          </cell>
          <cell r="J816">
            <v>4.8</v>
          </cell>
          <cell r="K816">
            <v>27.504000000000001</v>
          </cell>
          <cell r="L816">
            <v>40.759</v>
          </cell>
        </row>
        <row r="817">
          <cell r="F817" t="str">
            <v>Investments in trading securities</v>
          </cell>
          <cell r="G817">
            <v>-109.13200000000001</v>
          </cell>
          <cell r="H817">
            <v>12.725</v>
          </cell>
          <cell r="I817">
            <v>-10.158999999999999</v>
          </cell>
          <cell r="J817">
            <v>-20.963000000000001</v>
          </cell>
          <cell r="K817">
            <v>-85.712000000000003</v>
          </cell>
          <cell r="L817">
            <v>-121.986</v>
          </cell>
        </row>
        <row r="818">
          <cell r="F818" t="str">
            <v>Purchases of securities available−for−sale</v>
          </cell>
          <cell r="G818">
            <v>-512.72699999999998</v>
          </cell>
          <cell r="H818">
            <v>-800.78800000000001</v>
          </cell>
          <cell r="I818">
            <v>-595.06799999999998</v>
          </cell>
          <cell r="J818">
            <v>-560.40499999999997</v>
          </cell>
          <cell r="K818">
            <v>-1559.23</v>
          </cell>
          <cell r="L818">
            <v>-806.44399999999996</v>
          </cell>
        </row>
        <row r="819">
          <cell r="F819" t="str">
            <v>Proceeds from sales and maturities of securities available−for−sale</v>
          </cell>
          <cell r="G819">
            <v>410.39499999999998</v>
          </cell>
          <cell r="H819">
            <v>430.93599999999998</v>
          </cell>
          <cell r="I819">
            <v>627.06299999999999</v>
          </cell>
          <cell r="J819">
            <v>574.14499999999998</v>
          </cell>
          <cell r="K819">
            <v>1084.546</v>
          </cell>
          <cell r="L819">
            <v>1746.1980000000001</v>
          </cell>
        </row>
        <row r="820">
          <cell r="F820" t="str">
            <v>Purchases of nonmarketable equity securities</v>
          </cell>
          <cell r="G820">
            <v>0</v>
          </cell>
          <cell r="H820">
            <v>-29.044</v>
          </cell>
          <cell r="I820">
            <v>-52.957999999999998</v>
          </cell>
          <cell r="J820">
            <v>-5.6630000000000003</v>
          </cell>
          <cell r="K820">
            <v>-5.83</v>
          </cell>
          <cell r="L820">
            <v>-6.29</v>
          </cell>
        </row>
        <row r="821">
          <cell r="F821" t="str">
            <v>Transfer to restricted cash</v>
          </cell>
          <cell r="G821">
            <v>0</v>
          </cell>
          <cell r="H821">
            <v>0</v>
          </cell>
          <cell r="I821">
            <v>-56.6</v>
          </cell>
          <cell r="J821">
            <v>0</v>
          </cell>
          <cell r="K821">
            <v>0</v>
          </cell>
          <cell r="L821">
            <v>-630</v>
          </cell>
        </row>
        <row r="822">
          <cell r="F822" t="str">
            <v>Write−down of nonmarketable securities</v>
          </cell>
          <cell r="G822">
            <v>0</v>
          </cell>
          <cell r="H822">
            <v>16.689</v>
          </cell>
          <cell r="I822">
            <v>0.432</v>
          </cell>
          <cell r="J822">
            <v>0</v>
          </cell>
          <cell r="K822">
            <v>0</v>
          </cell>
          <cell r="L822">
            <v>0</v>
          </cell>
        </row>
        <row r="823">
          <cell r="F823" t="str">
            <v>Purchases of securities held−to−maturity</v>
          </cell>
          <cell r="G823">
            <v>-304.93200000000002</v>
          </cell>
          <cell r="H823">
            <v>-327.69</v>
          </cell>
          <cell r="I823">
            <v>-186.61199999999999</v>
          </cell>
          <cell r="J823">
            <v>0</v>
          </cell>
          <cell r="K823">
            <v>0</v>
          </cell>
          <cell r="L823">
            <v>0</v>
          </cell>
        </row>
        <row r="824">
          <cell r="F824" t="str">
            <v>Proceeds from maturities of securities held−to−maturity</v>
          </cell>
          <cell r="G824">
            <v>455.31700000000001</v>
          </cell>
          <cell r="H824">
            <v>410.72899999999998</v>
          </cell>
          <cell r="I824">
            <v>286.49699999999996</v>
          </cell>
          <cell r="J824">
            <v>0</v>
          </cell>
          <cell r="K824">
            <v>0</v>
          </cell>
          <cell r="L824">
            <v>0</v>
          </cell>
        </row>
        <row r="825">
          <cell r="G825">
            <v>-68.186000000000035</v>
          </cell>
          <cell r="H825">
            <v>-273.92699999999996</v>
          </cell>
          <cell r="I825">
            <v>8.4469999999999459</v>
          </cell>
          <cell r="J825">
            <v>-136.43600000000004</v>
          </cell>
          <cell r="K825">
            <v>-576.10900000000004</v>
          </cell>
          <cell r="L825">
            <v>174.39500000000021</v>
          </cell>
        </row>
        <row r="827">
          <cell r="B827" t="str">
            <v>D</v>
          </cell>
          <cell r="C827" t="str">
            <v>Changes in Shareholders Equity Validation</v>
          </cell>
        </row>
        <row r="828">
          <cell r="C828">
            <v>11</v>
          </cell>
          <cell r="D828" t="str">
            <v>Other changes in share capital</v>
          </cell>
        </row>
        <row r="829">
          <cell r="E829" t="str">
            <v>A</v>
          </cell>
          <cell r="F829" t="str">
            <v>Period from January 1 to June 30, 1999</v>
          </cell>
        </row>
        <row r="830">
          <cell r="F830" t="str">
            <v xml:space="preserve"> - Change in Special common Stock</v>
          </cell>
          <cell r="I830">
            <v>-4.1619999999999999</v>
          </cell>
        </row>
        <row r="831">
          <cell r="F831" t="str">
            <v xml:space="preserve"> - Change in common stock</v>
          </cell>
          <cell r="I831">
            <v>4.0540000000000003</v>
          </cell>
        </row>
        <row r="832">
          <cell r="F832" t="str">
            <v xml:space="preserve"> - Changes in Additional Paid - Capital</v>
          </cell>
          <cell r="I832">
            <v>5361.9719999999998</v>
          </cell>
        </row>
        <row r="833">
          <cell r="F833" t="str">
            <v xml:space="preserve"> - Amortization of good−will, intangibles and fair value adjustment to inventories, net of tax</v>
          </cell>
          <cell r="I833">
            <v>-500.5</v>
          </cell>
        </row>
        <row r="834">
          <cell r="F834" t="str">
            <v xml:space="preserve"> - In−process research and development</v>
          </cell>
          <cell r="I834">
            <v>-1221.644</v>
          </cell>
        </row>
        <row r="835">
          <cell r="F835" t="str">
            <v>Total (A + B)</v>
          </cell>
          <cell r="I835">
            <v>3639.7199999999993</v>
          </cell>
        </row>
        <row r="837">
          <cell r="D837" t="str">
            <v>Calculation of Top 3 drugs as percent of total sales</v>
          </cell>
        </row>
        <row r="838">
          <cell r="F838" t="str">
            <v>Rituxan</v>
          </cell>
          <cell r="G838">
            <v>5.5</v>
          </cell>
          <cell r="H838">
            <v>162.6</v>
          </cell>
          <cell r="I838">
            <v>279.39999999999998</v>
          </cell>
          <cell r="J838">
            <v>444.1</v>
          </cell>
          <cell r="K838">
            <v>818.6</v>
          </cell>
          <cell r="L838">
            <v>1162.9000000000001</v>
          </cell>
        </row>
        <row r="839">
          <cell r="F839" t="str">
            <v>Herceptin</v>
          </cell>
          <cell r="G839">
            <v>0</v>
          </cell>
          <cell r="H839">
            <v>30.5</v>
          </cell>
          <cell r="I839">
            <v>188.4</v>
          </cell>
          <cell r="J839">
            <v>275.89999999999998</v>
          </cell>
          <cell r="K839">
            <v>346.7</v>
          </cell>
          <cell r="L839">
            <v>385.2</v>
          </cell>
        </row>
        <row r="840">
          <cell r="F840" t="str">
            <v>Growth Hormone</v>
          </cell>
          <cell r="G840">
            <v>223.6</v>
          </cell>
          <cell r="H840">
            <v>214</v>
          </cell>
          <cell r="I840">
            <v>221.2</v>
          </cell>
          <cell r="J840">
            <v>226.6</v>
          </cell>
          <cell r="K840">
            <v>250.2</v>
          </cell>
          <cell r="L840">
            <v>297.2</v>
          </cell>
        </row>
        <row r="841">
          <cell r="F841" t="str">
            <v>Total (A)</v>
          </cell>
          <cell r="G841">
            <v>229.1</v>
          </cell>
          <cell r="H841">
            <v>407.1</v>
          </cell>
          <cell r="I841">
            <v>689</v>
          </cell>
          <cell r="J841">
            <v>946.6</v>
          </cell>
          <cell r="K841">
            <v>1415.5</v>
          </cell>
          <cell r="L841">
            <v>1845.3000000000002</v>
          </cell>
        </row>
        <row r="843">
          <cell r="F843" t="str">
            <v>Total Product sales (B)</v>
          </cell>
          <cell r="G843">
            <v>584.9</v>
          </cell>
          <cell r="H843">
            <v>717.8</v>
          </cell>
          <cell r="I843">
            <v>1039.0999999999999</v>
          </cell>
          <cell r="J843">
            <v>1278.3</v>
          </cell>
          <cell r="K843">
            <v>1742.9</v>
          </cell>
          <cell r="L843">
            <v>2163.6</v>
          </cell>
        </row>
        <row r="845">
          <cell r="F845" t="str">
            <v>Percent       (A/B)*100</v>
          </cell>
          <cell r="G845">
            <v>0.39169088733116775</v>
          </cell>
          <cell r="H845">
            <v>0.56714962385065482</v>
          </cell>
          <cell r="I845">
            <v>0.66307381387739395</v>
          </cell>
          <cell r="J845">
            <v>0.74051474614722679</v>
          </cell>
          <cell r="K845">
            <v>0.81215216019278214</v>
          </cell>
          <cell r="L845">
            <v>0.85288408208541333</v>
          </cell>
        </row>
      </sheetData>
      <sheetData sheetId="18" refreshError="1">
        <row r="2">
          <cell r="B2" t="str">
            <v>Rituxan - Adoption Rates</v>
          </cell>
        </row>
        <row r="3">
          <cell r="B3" t="str">
            <v>Rolling 4 Quarter Averages</v>
          </cell>
          <cell r="C3" t="str">
            <v>3Q03</v>
          </cell>
          <cell r="D3" t="str">
            <v>1Q04</v>
          </cell>
          <cell r="E3" t="str">
            <v>2Q04</v>
          </cell>
          <cell r="F3" t="str">
            <v>3Q04</v>
          </cell>
          <cell r="G3" t="str">
            <v>4Q04</v>
          </cell>
          <cell r="H3" t="str">
            <v>2Q05</v>
          </cell>
          <cell r="I3" t="str">
            <v>3Q05</v>
          </cell>
          <cell r="L3" t="str">
            <v>Phase I/II PTK787 with FOLFOX4</v>
          </cell>
          <cell r="O3" t="str">
            <v>Phase I/II PTK787 with FOLFIRI</v>
          </cell>
        </row>
        <row r="4">
          <cell r="B4" t="str">
            <v>Overall NHL &amp; CLL</v>
          </cell>
          <cell r="C4">
            <v>0.7</v>
          </cell>
          <cell r="D4">
            <v>0.68</v>
          </cell>
          <cell r="E4">
            <v>0.7</v>
          </cell>
          <cell r="F4">
            <v>0.72</v>
          </cell>
          <cell r="G4">
            <v>0.75</v>
          </cell>
          <cell r="H4">
            <v>0.78</v>
          </cell>
          <cell r="I4">
            <v>0.8</v>
          </cell>
          <cell r="L4" t="str">
            <v>n=28</v>
          </cell>
          <cell r="O4" t="str">
            <v>n=16</v>
          </cell>
        </row>
        <row r="5">
          <cell r="B5" t="str">
            <v>NHL</v>
          </cell>
          <cell r="L5" t="str">
            <v>Dose ranges</v>
          </cell>
          <cell r="M5" t="str">
            <v>500-2,000 mg</v>
          </cell>
          <cell r="O5" t="str">
            <v>Dose ranges</v>
          </cell>
          <cell r="P5" t="str">
            <v>500-1,250 mg</v>
          </cell>
        </row>
        <row r="6">
          <cell r="B6" t="str">
            <v>Front-line Indolent</v>
          </cell>
          <cell r="C6">
            <v>0.8</v>
          </cell>
          <cell r="D6">
            <v>0.76</v>
          </cell>
          <cell r="E6">
            <v>0.8</v>
          </cell>
          <cell r="F6">
            <v>0.85</v>
          </cell>
          <cell r="G6">
            <v>0.85</v>
          </cell>
          <cell r="H6">
            <v>0.87</v>
          </cell>
          <cell r="I6">
            <v>0.89</v>
          </cell>
          <cell r="L6" t="str">
            <v>MTD</v>
          </cell>
          <cell r="M6" t="str">
            <v>1,250 mg</v>
          </cell>
          <cell r="O6" t="str">
            <v>MTD</v>
          </cell>
          <cell r="P6" t="str">
            <v>1,250 mg</v>
          </cell>
        </row>
        <row r="7">
          <cell r="B7" t="str">
            <v>Relapsed indolent</v>
          </cell>
          <cell r="C7">
            <v>0.76</v>
          </cell>
          <cell r="D7">
            <v>0.75</v>
          </cell>
          <cell r="E7">
            <v>0.76</v>
          </cell>
          <cell r="F7">
            <v>0.77</v>
          </cell>
          <cell r="G7">
            <v>0.77</v>
          </cell>
          <cell r="H7">
            <v>0.75</v>
          </cell>
          <cell r="I7">
            <v>0.77</v>
          </cell>
          <cell r="L7" t="str">
            <v>CR</v>
          </cell>
          <cell r="M7" t="str">
            <v>1 (4%)</v>
          </cell>
          <cell r="O7" t="str">
            <v>CR</v>
          </cell>
          <cell r="P7">
            <v>0</v>
          </cell>
        </row>
        <row r="8">
          <cell r="B8" t="str">
            <v>Front-line aggressive</v>
          </cell>
          <cell r="C8">
            <v>0.81</v>
          </cell>
          <cell r="D8">
            <v>0.82</v>
          </cell>
          <cell r="E8">
            <v>0.81</v>
          </cell>
          <cell r="F8">
            <v>0.83</v>
          </cell>
          <cell r="G8">
            <v>0.83</v>
          </cell>
          <cell r="H8">
            <v>0.87</v>
          </cell>
          <cell r="I8">
            <v>0.87</v>
          </cell>
          <cell r="L8" t="str">
            <v>PR</v>
          </cell>
          <cell r="M8" t="str">
            <v>14 (50%)</v>
          </cell>
          <cell r="O8" t="str">
            <v>PR</v>
          </cell>
          <cell r="P8" t="str">
            <v>4 (33%)</v>
          </cell>
        </row>
        <row r="9">
          <cell r="B9" t="str">
            <v>Relapsed aggressive</v>
          </cell>
          <cell r="C9">
            <v>0.55000000000000004</v>
          </cell>
          <cell r="D9">
            <v>0.55000000000000004</v>
          </cell>
          <cell r="E9">
            <v>0.55000000000000004</v>
          </cell>
          <cell r="F9">
            <v>0.56000000000000005</v>
          </cell>
          <cell r="G9">
            <v>0.64</v>
          </cell>
          <cell r="H9">
            <v>0.64</v>
          </cell>
          <cell r="I9">
            <v>0.67</v>
          </cell>
          <cell r="L9" t="str">
            <v>SD</v>
          </cell>
          <cell r="M9" t="str">
            <v>9 (32%)</v>
          </cell>
          <cell r="O9" t="str">
            <v>SD</v>
          </cell>
          <cell r="P9" t="str">
            <v>5 (42%)</v>
          </cell>
        </row>
        <row r="10">
          <cell r="B10" t="str">
            <v>CLL</v>
          </cell>
          <cell r="L10" t="str">
            <v>median PFS</v>
          </cell>
          <cell r="M10" t="str">
            <v>11 months</v>
          </cell>
          <cell r="O10" t="str">
            <v>median TTP</v>
          </cell>
          <cell r="P10" t="str">
            <v>6.7 months</v>
          </cell>
        </row>
        <row r="11">
          <cell r="B11" t="str">
            <v>Front-line CLL</v>
          </cell>
          <cell r="C11">
            <v>0.52</v>
          </cell>
          <cell r="D11">
            <v>0.46</v>
          </cell>
          <cell r="E11">
            <v>0.52</v>
          </cell>
          <cell r="F11">
            <v>0.56999999999999995</v>
          </cell>
          <cell r="G11">
            <v>0.63</v>
          </cell>
          <cell r="H11">
            <v>0.65</v>
          </cell>
          <cell r="I11">
            <v>0.69</v>
          </cell>
          <cell r="L11" t="str">
            <v>median OS</v>
          </cell>
          <cell r="M11" t="str">
            <v>16.6 months</v>
          </cell>
          <cell r="O11" t="str">
            <v>median OS</v>
          </cell>
          <cell r="P11" t="str">
            <v>&gt;9 months</v>
          </cell>
        </row>
        <row r="12">
          <cell r="B12" t="str">
            <v>Relapsed CLL</v>
          </cell>
          <cell r="C12">
            <v>0.55000000000000004</v>
          </cell>
          <cell r="D12">
            <v>0.57999999999999996</v>
          </cell>
          <cell r="E12">
            <v>0.55000000000000004</v>
          </cell>
          <cell r="F12">
            <v>0.55000000000000004</v>
          </cell>
          <cell r="G12">
            <v>0.56999999999999995</v>
          </cell>
          <cell r="H12">
            <v>0.67</v>
          </cell>
          <cell r="I12">
            <v>0.68</v>
          </cell>
          <cell r="L12" t="str">
            <v>Adverse events:</v>
          </cell>
          <cell r="M12" t="str">
            <v>Ataxia</v>
          </cell>
          <cell r="O12" t="str">
            <v>Adverse events:</v>
          </cell>
          <cell r="P12" t="str">
            <v>hypertension</v>
          </cell>
        </row>
        <row r="13">
          <cell r="B13" t="str">
            <v>MDs using maintenance</v>
          </cell>
          <cell r="C13">
            <v>0.59</v>
          </cell>
          <cell r="D13">
            <v>0.55000000000000004</v>
          </cell>
          <cell r="E13">
            <v>0.59</v>
          </cell>
          <cell r="F13">
            <v>0.62</v>
          </cell>
          <cell r="G13">
            <v>0.65</v>
          </cell>
          <cell r="H13">
            <v>0.7</v>
          </cell>
          <cell r="I13">
            <v>0.75</v>
          </cell>
          <cell r="M13" t="str">
            <v>neutropenia</v>
          </cell>
          <cell r="P13" t="str">
            <v>fatigue</v>
          </cell>
        </row>
        <row r="14">
          <cell r="B14" t="str">
            <v>Patients receiving maint.</v>
          </cell>
          <cell r="C14">
            <v>0.09</v>
          </cell>
          <cell r="F14">
            <v>0.1</v>
          </cell>
          <cell r="G14">
            <v>0.15</v>
          </cell>
          <cell r="H14">
            <v>0.19</v>
          </cell>
          <cell r="I14">
            <v>0.2</v>
          </cell>
          <cell r="M14" t="str">
            <v>thrombocytopenia</v>
          </cell>
          <cell r="P14" t="str">
            <v>dizziness</v>
          </cell>
        </row>
        <row r="15">
          <cell r="S15" t="str">
            <v>AC + Taxotere + Herceptin</v>
          </cell>
          <cell r="T15" t="str">
            <v>Taxotere + carboplatin + Herceptin</v>
          </cell>
          <cell r="U15" t="str">
            <v>AC + Taxotere (control)</v>
          </cell>
        </row>
        <row r="16">
          <cell r="R16" t="str">
            <v>Reduction in Disease Recurrence (Primary Endpoint)</v>
          </cell>
          <cell r="S16" t="str">
            <v>51%*</v>
          </cell>
          <cell r="T16" t="str">
            <v>39%*</v>
          </cell>
          <cell r="U16" t="str">
            <v>-</v>
          </cell>
        </row>
        <row r="17">
          <cell r="R17" t="str">
            <v>Clinicallly Significant Cardiac Adverse Events</v>
          </cell>
          <cell r="S17">
            <v>2.3E-2</v>
          </cell>
          <cell r="T17">
            <v>1.2999999999999999E-2</v>
          </cell>
          <cell r="U17">
            <v>1.2999999999999999E-2</v>
          </cell>
        </row>
        <row r="18">
          <cell r="L18" t="str">
            <v>Ph II RCC data</v>
          </cell>
          <cell r="R18" t="str">
            <v>Note: * Statistically significant; AC = doxorubicin plus cyclophosphamide</v>
          </cell>
        </row>
        <row r="19">
          <cell r="B19" t="str">
            <v>Avastin - Adoption Rates</v>
          </cell>
          <cell r="L19" t="str">
            <v>Avastin</v>
          </cell>
          <cell r="M19" t="str">
            <v>10mg</v>
          </cell>
          <cell r="N19" t="str">
            <v>3mg</v>
          </cell>
          <cell r="O19" t="str">
            <v>Placebo</v>
          </cell>
        </row>
        <row r="20">
          <cell r="B20" t="str">
            <v>Colorectal cancer</v>
          </cell>
          <cell r="C20" t="str">
            <v>3Q04</v>
          </cell>
          <cell r="D20" t="str">
            <v>4Q04</v>
          </cell>
          <cell r="E20" t="str">
            <v>1Q05</v>
          </cell>
          <cell r="F20" t="str">
            <v>2Q05</v>
          </cell>
          <cell r="G20" t="str">
            <v>3Q05</v>
          </cell>
          <cell r="H20" t="str">
            <v>3Q05</v>
          </cell>
          <cell r="I20" t="str">
            <v>3Q05</v>
          </cell>
          <cell r="L20" t="str">
            <v>n=</v>
          </cell>
          <cell r="M20">
            <v>39</v>
          </cell>
          <cell r="N20">
            <v>37</v>
          </cell>
          <cell r="O20">
            <v>40</v>
          </cell>
        </row>
        <row r="21">
          <cell r="B21" t="str">
            <v xml:space="preserve">Front-line </v>
          </cell>
          <cell r="C21">
            <v>0.4</v>
          </cell>
          <cell r="D21">
            <v>0.55000000000000004</v>
          </cell>
          <cell r="E21">
            <v>0.61</v>
          </cell>
          <cell r="F21">
            <v>0.64</v>
          </cell>
          <cell r="G21">
            <v>0.67</v>
          </cell>
          <cell r="H21">
            <v>0.67</v>
          </cell>
          <cell r="I21">
            <v>0.67</v>
          </cell>
          <cell r="L21" t="str">
            <v>TTP</v>
          </cell>
          <cell r="M21">
            <v>4.8</v>
          </cell>
          <cell r="N21">
            <v>3</v>
          </cell>
          <cell r="O21">
            <v>2.5</v>
          </cell>
        </row>
        <row r="22">
          <cell r="B22" t="str">
            <v>Refractory</v>
          </cell>
          <cell r="D22">
            <v>0.37</v>
          </cell>
          <cell r="E22">
            <v>0.47</v>
          </cell>
          <cell r="F22">
            <v>0.35</v>
          </cell>
          <cell r="G22">
            <v>0.4</v>
          </cell>
          <cell r="H22">
            <v>0.4</v>
          </cell>
          <cell r="I22">
            <v>0.4</v>
          </cell>
          <cell r="L22" t="str">
            <v>progression free</v>
          </cell>
        </row>
        <row r="23">
          <cell r="L23" t="str">
            <v>4 months</v>
          </cell>
          <cell r="M23">
            <v>0.64</v>
          </cell>
          <cell r="N23">
            <v>0.39</v>
          </cell>
          <cell r="O23">
            <v>0.2</v>
          </cell>
        </row>
        <row r="24">
          <cell r="B24" t="str">
            <v>Avastin - Off label use</v>
          </cell>
          <cell r="L24" t="str">
            <v>8 months</v>
          </cell>
          <cell r="M24">
            <v>0.3</v>
          </cell>
          <cell r="N24">
            <v>0.14000000000000001</v>
          </cell>
          <cell r="O24">
            <v>0.05</v>
          </cell>
        </row>
        <row r="25">
          <cell r="C25" t="str">
            <v>2Q05</v>
          </cell>
          <cell r="D25" t="str">
            <v>3Q05</v>
          </cell>
          <cell r="L25" t="str">
            <v>RR</v>
          </cell>
          <cell r="M25">
            <v>0.1</v>
          </cell>
          <cell r="N25">
            <v>0</v>
          </cell>
          <cell r="O25">
            <v>0</v>
          </cell>
        </row>
        <row r="26">
          <cell r="B26" t="str">
            <v>Avastin sales</v>
          </cell>
          <cell r="C26">
            <v>245</v>
          </cell>
          <cell r="D26">
            <v>325</v>
          </cell>
        </row>
        <row r="27">
          <cell r="B27" t="str">
            <v>% of Avastin sales</v>
          </cell>
          <cell r="C27">
            <v>0.1</v>
          </cell>
          <cell r="D27">
            <v>0.15</v>
          </cell>
        </row>
        <row r="28">
          <cell r="B28" t="str">
            <v>Off-label sales</v>
          </cell>
          <cell r="C28">
            <v>24.5</v>
          </cell>
          <cell r="D28">
            <v>48.75</v>
          </cell>
          <cell r="L28" t="str">
            <v>Ph II pancreatic data</v>
          </cell>
        </row>
        <row r="29">
          <cell r="L29" t="str">
            <v>Pancreatic CA</v>
          </cell>
          <cell r="M29" t="str">
            <v>Gem + 10mg Avastin</v>
          </cell>
        </row>
        <row r="30">
          <cell r="L30" t="str">
            <v>n=</v>
          </cell>
          <cell r="M30">
            <v>52</v>
          </cell>
        </row>
        <row r="31">
          <cell r="B31" t="str">
            <v>Lucentis Phase III results</v>
          </cell>
          <cell r="L31" t="str">
            <v>PFS</v>
          </cell>
          <cell r="M31" t="str">
            <v>5.4 mos</v>
          </cell>
        </row>
        <row r="32">
          <cell r="B32" t="str">
            <v>ANCHOR</v>
          </cell>
          <cell r="C32" t="str">
            <v>0.3 mg</v>
          </cell>
          <cell r="D32" t="str">
            <v>0.5 mg</v>
          </cell>
          <cell r="E32" t="str">
            <v>Visudyne</v>
          </cell>
          <cell r="L32" t="str">
            <v>median survival</v>
          </cell>
          <cell r="M32" t="str">
            <v>8.8 mos</v>
          </cell>
        </row>
        <row r="33">
          <cell r="B33" t="str">
            <v>Maintenance of vision</v>
          </cell>
          <cell r="C33">
            <v>0.94</v>
          </cell>
          <cell r="D33">
            <v>0.96</v>
          </cell>
          <cell r="E33">
            <v>0.64</v>
          </cell>
          <cell r="L33" t="str">
            <v>6-month survival</v>
          </cell>
          <cell r="M33">
            <v>0.77</v>
          </cell>
        </row>
        <row r="34">
          <cell r="B34" t="str">
            <v>Change in visual acuity</v>
          </cell>
          <cell r="C34" t="str">
            <v>improved</v>
          </cell>
          <cell r="D34" t="str">
            <v>improved</v>
          </cell>
          <cell r="E34" t="str">
            <v>declined</v>
          </cell>
        </row>
        <row r="35">
          <cell r="B35" t="str">
            <v>Cererbrovascular events</v>
          </cell>
          <cell r="C35" t="str">
            <v>equal</v>
          </cell>
          <cell r="D35" t="str">
            <v>equal</v>
          </cell>
          <cell r="E35" t="str">
            <v>equal</v>
          </cell>
          <cell r="L35" t="str">
            <v>PR</v>
          </cell>
          <cell r="M35">
            <v>0.21</v>
          </cell>
        </row>
        <row r="36">
          <cell r="B36" t="str">
            <v>Myocardial infarction</v>
          </cell>
          <cell r="C36" t="str">
            <v>-</v>
          </cell>
          <cell r="D36" t="str">
            <v>higher</v>
          </cell>
          <cell r="E36" t="str">
            <v>-</v>
          </cell>
          <cell r="L36" t="str">
            <v>SD</v>
          </cell>
          <cell r="M36">
            <v>0.46</v>
          </cell>
        </row>
        <row r="38">
          <cell r="B38" t="str">
            <v>MARINA</v>
          </cell>
          <cell r="C38" t="str">
            <v>0.3 mg</v>
          </cell>
          <cell r="D38" t="str">
            <v>0.5 mg</v>
          </cell>
          <cell r="E38" t="str">
            <v>Sham</v>
          </cell>
        </row>
        <row r="39">
          <cell r="B39" t="str">
            <v>Maintenance of vision</v>
          </cell>
          <cell r="C39">
            <v>0.95</v>
          </cell>
          <cell r="D39">
            <v>0.95</v>
          </cell>
          <cell r="E39">
            <v>0.62</v>
          </cell>
        </row>
        <row r="40">
          <cell r="B40" t="str">
            <v>Letters gained</v>
          </cell>
          <cell r="C40" t="str">
            <v>+6.5</v>
          </cell>
          <cell r="D40" t="str">
            <v>+7.2</v>
          </cell>
          <cell r="E40" t="str">
            <v>-10.5</v>
          </cell>
        </row>
        <row r="41">
          <cell r="B41" t="str">
            <v>Cererbrovascular events</v>
          </cell>
          <cell r="C41">
            <v>1</v>
          </cell>
          <cell r="D41">
            <v>3</v>
          </cell>
          <cell r="E41">
            <v>1</v>
          </cell>
        </row>
        <row r="42">
          <cell r="B42" t="str">
            <v>Myocardial infarction</v>
          </cell>
          <cell r="C42">
            <v>1</v>
          </cell>
          <cell r="D42">
            <v>1</v>
          </cell>
          <cell r="E42">
            <v>1</v>
          </cell>
        </row>
        <row r="46">
          <cell r="B46" t="str">
            <v>Macugen + Visudyne Phase II data</v>
          </cell>
        </row>
        <row r="48">
          <cell r="C48" t="str">
            <v>Macugen + Visudyne</v>
          </cell>
          <cell r="D48" t="str">
            <v>Lucentis + Visudyne</v>
          </cell>
        </row>
        <row r="49">
          <cell r="B49" t="str">
            <v>Patients</v>
          </cell>
          <cell r="C49" t="str">
            <v>10* (100%)</v>
          </cell>
        </row>
        <row r="50">
          <cell r="B50" t="str">
            <v>Stable vision or better</v>
          </cell>
          <cell r="C50" t="str">
            <v>9 (90%)</v>
          </cell>
        </row>
        <row r="51">
          <cell r="B51" t="str">
            <v>At least 15 letter gain</v>
          </cell>
          <cell r="C51" t="str">
            <v>6 (60%)</v>
          </cell>
        </row>
        <row r="52">
          <cell r="B52" t="str">
            <v>Patients needing further Visudyne therapy after 3 months</v>
          </cell>
          <cell r="C52" t="str">
            <v>4 (40%)</v>
          </cell>
        </row>
        <row r="53">
          <cell r="B53" t="str">
            <v>Note: * 11 patients treated q monthly for 3 months; 10 patients were evaluated</v>
          </cell>
        </row>
      </sheetData>
      <sheetData sheetId="19" refreshError="1"/>
      <sheetData sheetId="20" refreshError="1"/>
      <sheetData sheetId="21" refreshError="1">
        <row r="4">
          <cell r="D4" t="str">
            <v>(For Marketing Pack)</v>
          </cell>
        </row>
        <row r="6">
          <cell r="F6" t="str">
            <v>2005A</v>
          </cell>
          <cell r="H6" t="str">
            <v>2006E</v>
          </cell>
          <cell r="J6" t="str">
            <v>2007E</v>
          </cell>
          <cell r="L6" t="str">
            <v>2008E</v>
          </cell>
        </row>
        <row r="7">
          <cell r="D7" t="str">
            <v>Rituxan</v>
          </cell>
          <cell r="F7">
            <v>1989.431</v>
          </cell>
          <cell r="H7">
            <v>2357</v>
          </cell>
          <cell r="J7">
            <v>2711.0807564833267</v>
          </cell>
          <cell r="L7">
            <v>2933.6966005063991</v>
          </cell>
        </row>
        <row r="8">
          <cell r="D8" t="str">
            <v>Avastin</v>
          </cell>
          <cell r="F8">
            <v>1216.7529999999999</v>
          </cell>
          <cell r="H8">
            <v>1993.36</v>
          </cell>
          <cell r="J8">
            <v>2925.9611602894643</v>
          </cell>
          <cell r="L8">
            <v>3882.0494573955039</v>
          </cell>
        </row>
        <row r="9">
          <cell r="D9" t="str">
            <v>Herceptin</v>
          </cell>
          <cell r="F9">
            <v>763.86799999999994</v>
          </cell>
          <cell r="H9">
            <v>1380</v>
          </cell>
          <cell r="J9">
            <v>1581.6482618585742</v>
          </cell>
          <cell r="L9">
            <v>1676.8953104490511</v>
          </cell>
        </row>
        <row r="10">
          <cell r="D10" t="str">
            <v>Xolair</v>
          </cell>
          <cell r="F10">
            <v>323.79700000000003</v>
          </cell>
          <cell r="H10">
            <v>423</v>
          </cell>
          <cell r="J10">
            <v>496.67639851943272</v>
          </cell>
          <cell r="L10">
            <v>549.18117450569844</v>
          </cell>
        </row>
        <row r="11">
          <cell r="D11" t="str">
            <v>Total Revenues</v>
          </cell>
          <cell r="F11">
            <v>6633.4230000000007</v>
          </cell>
          <cell r="H11">
            <v>9120.36</v>
          </cell>
          <cell r="J11">
            <v>11279.125121683228</v>
          </cell>
          <cell r="L11">
            <v>13104.186311101828</v>
          </cell>
        </row>
        <row r="12">
          <cell r="D12" t="str">
            <v>EPS</v>
          </cell>
          <cell r="F12">
            <v>1.2834315032439099</v>
          </cell>
          <cell r="H12">
            <v>1.9766562870511628</v>
          </cell>
          <cell r="J12">
            <v>2.6131703146035923</v>
          </cell>
          <cell r="L12">
            <v>3.2657035401917991</v>
          </cell>
        </row>
        <row r="13">
          <cell r="D13" t="str">
            <v>Consensus</v>
          </cell>
          <cell r="F13">
            <v>1.28</v>
          </cell>
          <cell r="H13">
            <v>1.81</v>
          </cell>
          <cell r="J13">
            <v>2.4500000000000002</v>
          </cell>
          <cell r="L13">
            <v>3.12</v>
          </cell>
        </row>
      </sheetData>
      <sheetData sheetId="22" refreshError="1"/>
      <sheetData sheetId="23" refreshError="1"/>
      <sheetData sheetId="24" refreshError="1">
        <row r="6">
          <cell r="D6" t="str">
            <v>Biogen Idec Oceanside Plant</v>
          </cell>
          <cell r="E6" t="str">
            <v>Vacaville Expansion</v>
          </cell>
        </row>
        <row r="7">
          <cell r="C7" t="str">
            <v>Current</v>
          </cell>
          <cell r="D7">
            <v>2007</v>
          </cell>
          <cell r="E7">
            <v>2009</v>
          </cell>
          <cell r="F7" t="str">
            <v>Total</v>
          </cell>
        </row>
        <row r="8">
          <cell r="B8" t="str">
            <v>clear</v>
          </cell>
          <cell r="D8">
            <v>280</v>
          </cell>
          <cell r="E8">
            <v>370</v>
          </cell>
          <cell r="F8">
            <v>0</v>
          </cell>
        </row>
        <row r="9">
          <cell r="B9" t="str">
            <v>green</v>
          </cell>
          <cell r="C9">
            <v>280</v>
          </cell>
          <cell r="D9">
            <v>90</v>
          </cell>
          <cell r="E9">
            <v>200</v>
          </cell>
          <cell r="F9">
            <v>570</v>
          </cell>
        </row>
        <row r="12">
          <cell r="I12" t="str">
            <v>Ex-US Exposure</v>
          </cell>
        </row>
        <row r="13">
          <cell r="I13" t="str">
            <v>Sales to Collab.</v>
          </cell>
          <cell r="J13">
            <v>2005</v>
          </cell>
          <cell r="K13" t="str">
            <v>1Q06</v>
          </cell>
        </row>
        <row r="14">
          <cell r="I14" t="str">
            <v>Total</v>
          </cell>
          <cell r="J14">
            <v>326.39999999999998</v>
          </cell>
          <cell r="K14">
            <v>75</v>
          </cell>
        </row>
        <row r="15">
          <cell r="I15" t="str">
            <v>Avastin</v>
          </cell>
          <cell r="J15">
            <v>84.031999999999996</v>
          </cell>
          <cell r="K15">
            <v>18</v>
          </cell>
        </row>
        <row r="16">
          <cell r="I16" t="str">
            <v>Herceptin</v>
          </cell>
          <cell r="J16">
            <v>16.621000000000002</v>
          </cell>
          <cell r="K16">
            <v>5</v>
          </cell>
        </row>
        <row r="17">
          <cell r="I17" t="str">
            <v>Rituxan</v>
          </cell>
          <cell r="J17">
            <v>157.9</v>
          </cell>
          <cell r="K17">
            <v>32</v>
          </cell>
        </row>
        <row r="18">
          <cell r="I18" t="str">
            <v>Nutropin</v>
          </cell>
          <cell r="J18">
            <v>4.8</v>
          </cell>
          <cell r="K18">
            <v>1</v>
          </cell>
        </row>
        <row r="19">
          <cell r="I19" t="str">
            <v>Pulmozyme</v>
          </cell>
          <cell r="J19">
            <v>35.4</v>
          </cell>
          <cell r="K19">
            <v>13</v>
          </cell>
        </row>
        <row r="20">
          <cell r="I20" t="str">
            <v>Raptiva</v>
          </cell>
          <cell r="J20">
            <v>14.9</v>
          </cell>
          <cell r="K20">
            <v>2</v>
          </cell>
        </row>
        <row r="21">
          <cell r="I21" t="str">
            <v>Thrombolytics</v>
          </cell>
          <cell r="J21">
            <v>8.3000000000000007</v>
          </cell>
          <cell r="K21">
            <v>3</v>
          </cell>
        </row>
        <row r="22">
          <cell r="I22" t="str">
            <v>Xolair</v>
          </cell>
          <cell r="J22">
            <v>7</v>
          </cell>
          <cell r="K22">
            <v>1</v>
          </cell>
        </row>
        <row r="23">
          <cell r="I23" t="str">
            <v>Other</v>
          </cell>
          <cell r="J23">
            <v>27</v>
          </cell>
          <cell r="K23">
            <v>0</v>
          </cell>
        </row>
        <row r="24">
          <cell r="I24" t="str">
            <v>Royalties</v>
          </cell>
        </row>
        <row r="25">
          <cell r="I25" t="str">
            <v>% Roche</v>
          </cell>
          <cell r="J25">
            <v>0.53</v>
          </cell>
          <cell r="K25">
            <v>0.57999999999999996</v>
          </cell>
        </row>
        <row r="26">
          <cell r="I26" t="str">
            <v>ex-US Royalties</v>
          </cell>
          <cell r="J26">
            <v>495.60140999999999</v>
          </cell>
          <cell r="K26">
            <v>165.88</v>
          </cell>
        </row>
        <row r="27">
          <cell r="I27" t="str">
            <v>Total</v>
          </cell>
          <cell r="J27">
            <v>822.00140999999996</v>
          </cell>
          <cell r="K27">
            <v>240.88</v>
          </cell>
        </row>
        <row r="28">
          <cell r="I28" t="str">
            <v>Total Rev</v>
          </cell>
          <cell r="J28">
            <v>6633.4230000000007</v>
          </cell>
          <cell r="K28">
            <v>1986</v>
          </cell>
        </row>
        <row r="29">
          <cell r="I29" t="str">
            <v>% ex-US</v>
          </cell>
          <cell r="J29">
            <v>0.12391813547847015</v>
          </cell>
          <cell r="K29">
            <v>0.12128902316213494</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LOG"/>
      <sheetName val="Changes to Model"/>
      <sheetName val="MS Est. Vs Actual"/>
      <sheetName val="Quarterly"/>
      <sheetName val="mwareValPrintout"/>
      <sheetName val="Annual"/>
      <sheetName val="Balance Sheet "/>
      <sheetName val="Model_Template"/>
      <sheetName val="Cashflow"/>
      <sheetName val="DCF Valuation"/>
      <sheetName val="US RA Model"/>
      <sheetName val="US Epo Model"/>
      <sheetName val="Int'l Epo Model"/>
      <sheetName val="ProcritAranesp"/>
      <sheetName val="__FDSCACHE__"/>
      <sheetName val="CSFs"/>
      <sheetName val="ESO"/>
      <sheetName val="Figures"/>
      <sheetName val="Marketing"/>
      <sheetName val="mwareDates"/>
      <sheetName val="NY UPLOAD shadow"/>
      <sheetName val="mwareSettings"/>
      <sheetName val="mStartup"/>
      <sheetName val="MainCode"/>
    </sheetNames>
    <sheetDataSet>
      <sheetData sheetId="0" refreshError="1"/>
      <sheetData sheetId="1" refreshError="1"/>
      <sheetData sheetId="2" refreshError="1">
        <row r="2">
          <cell r="B2" t="str">
            <v>Changes To Model</v>
          </cell>
        </row>
        <row r="3">
          <cell r="C3">
            <v>2003</v>
          </cell>
          <cell r="E3">
            <v>2004</v>
          </cell>
          <cell r="G3">
            <v>2005</v>
          </cell>
          <cell r="I3">
            <v>2006</v>
          </cell>
          <cell r="K3">
            <v>2007</v>
          </cell>
          <cell r="M3">
            <v>2008</v>
          </cell>
          <cell r="O3" t="str">
            <v>Comments</v>
          </cell>
        </row>
        <row r="4">
          <cell r="B4" t="str">
            <v>Aranesp</v>
          </cell>
          <cell r="O4" t="str">
            <v>Modestly decreasing estimates in outer years due to slowing EU growth (FOBs are likely to mute growth further)</v>
          </cell>
        </row>
        <row r="5">
          <cell r="B5" t="str">
            <v xml:space="preserve">   Current</v>
          </cell>
          <cell r="E5">
            <v>2472.9</v>
          </cell>
          <cell r="G5">
            <v>3273</v>
          </cell>
          <cell r="I5">
            <v>3913</v>
          </cell>
          <cell r="K5">
            <v>4350</v>
          </cell>
          <cell r="M5">
            <v>4725</v>
          </cell>
        </row>
        <row r="6">
          <cell r="B6" t="str">
            <v xml:space="preserve">   Prior</v>
          </cell>
          <cell r="E6">
            <v>2472.9</v>
          </cell>
          <cell r="G6">
            <v>3273</v>
          </cell>
          <cell r="I6">
            <v>3950</v>
          </cell>
          <cell r="K6">
            <v>4525</v>
          </cell>
          <cell r="M6">
            <v>4915</v>
          </cell>
        </row>
        <row r="7">
          <cell r="B7" t="str">
            <v>Epogen</v>
          </cell>
          <cell r="O7" t="str">
            <v>Company expects product to stabilize in mid 2006</v>
          </cell>
        </row>
        <row r="8">
          <cell r="B8" t="str">
            <v xml:space="preserve">   Current</v>
          </cell>
          <cell r="E8">
            <v>2600.6</v>
          </cell>
          <cell r="G8">
            <v>2455</v>
          </cell>
          <cell r="I8">
            <v>2514</v>
          </cell>
          <cell r="K8">
            <v>2572.1174973954289</v>
          </cell>
          <cell r="M8">
            <v>2632.2299063233218</v>
          </cell>
        </row>
        <row r="9">
          <cell r="B9" t="str">
            <v xml:space="preserve">   Prior</v>
          </cell>
          <cell r="E9">
            <v>2600.6</v>
          </cell>
          <cell r="G9">
            <v>2455</v>
          </cell>
          <cell r="I9">
            <v>2520</v>
          </cell>
          <cell r="K9">
            <v>2626.2090016806937</v>
          </cell>
          <cell r="M9">
            <v>2700.9100577285003</v>
          </cell>
        </row>
        <row r="10">
          <cell r="B10" t="str">
            <v>Neulasta</v>
          </cell>
        </row>
        <row r="11">
          <cell r="B11" t="str">
            <v xml:space="preserve">   Current</v>
          </cell>
          <cell r="E11">
            <v>1739.6</v>
          </cell>
          <cell r="G11">
            <v>2288</v>
          </cell>
          <cell r="I11">
            <v>2603</v>
          </cell>
          <cell r="K11">
            <v>2889.3300000000004</v>
          </cell>
          <cell r="M11">
            <v>3149.3697000000006</v>
          </cell>
        </row>
        <row r="12">
          <cell r="B12" t="str">
            <v xml:space="preserve">   Prior</v>
          </cell>
          <cell r="E12">
            <v>1739.6</v>
          </cell>
          <cell r="G12">
            <v>2288</v>
          </cell>
          <cell r="I12">
            <v>2675</v>
          </cell>
          <cell r="K12">
            <v>3022.75</v>
          </cell>
          <cell r="M12">
            <v>3234.3424999999997</v>
          </cell>
        </row>
        <row r="13">
          <cell r="B13" t="str">
            <v>Neupogen</v>
          </cell>
        </row>
        <row r="14">
          <cell r="B14" t="str">
            <v xml:space="preserve">   Current</v>
          </cell>
          <cell r="E14">
            <v>1175.1999999999998</v>
          </cell>
          <cell r="G14">
            <v>1216</v>
          </cell>
          <cell r="I14">
            <v>1188</v>
          </cell>
          <cell r="K14">
            <v>1188</v>
          </cell>
          <cell r="M14">
            <v>1188</v>
          </cell>
        </row>
        <row r="15">
          <cell r="B15" t="str">
            <v xml:space="preserve">   Prior</v>
          </cell>
          <cell r="E15">
            <v>1175.2</v>
          </cell>
          <cell r="G15">
            <v>1216</v>
          </cell>
          <cell r="I15">
            <v>1240</v>
          </cell>
          <cell r="K15">
            <v>1240</v>
          </cell>
          <cell r="M15">
            <v>1240</v>
          </cell>
        </row>
        <row r="16">
          <cell r="B16" t="str">
            <v>Enbrel</v>
          </cell>
          <cell r="O16" t="str">
            <v xml:space="preserve">Weak trends of past several quarters continue into 2006.  lowering forward estimates as Humira compeition grows in derm and multiple new entrants begin to crowd rheumatology. </v>
          </cell>
        </row>
        <row r="17">
          <cell r="B17" t="str">
            <v xml:space="preserve">   Current</v>
          </cell>
          <cell r="E17">
            <v>1900.3</v>
          </cell>
          <cell r="G17">
            <v>2573</v>
          </cell>
          <cell r="I17">
            <v>2793</v>
          </cell>
          <cell r="K17">
            <v>3016.8307284116399</v>
          </cell>
          <cell r="M17">
            <v>3233.3473223083402</v>
          </cell>
        </row>
        <row r="18">
          <cell r="B18" t="str">
            <v xml:space="preserve">   Prior</v>
          </cell>
          <cell r="E18">
            <v>1900.3</v>
          </cell>
          <cell r="G18">
            <v>2573</v>
          </cell>
          <cell r="I18">
            <v>3020</v>
          </cell>
          <cell r="K18">
            <v>3292.3139849108829</v>
          </cell>
          <cell r="M18">
            <v>3541.0791290486823</v>
          </cell>
        </row>
        <row r="19">
          <cell r="B19" t="str">
            <v>Panitumumab</v>
          </cell>
        </row>
        <row r="20">
          <cell r="B20" t="str">
            <v xml:space="preserve">   Current</v>
          </cell>
          <cell r="E20">
            <v>0</v>
          </cell>
          <cell r="G20">
            <v>0</v>
          </cell>
          <cell r="I20">
            <v>35</v>
          </cell>
          <cell r="K20">
            <v>225</v>
          </cell>
          <cell r="M20">
            <v>475</v>
          </cell>
        </row>
        <row r="21">
          <cell r="B21" t="str">
            <v xml:space="preserve">   Prior</v>
          </cell>
          <cell r="E21">
            <v>0</v>
          </cell>
          <cell r="G21">
            <v>0</v>
          </cell>
          <cell r="I21">
            <v>40</v>
          </cell>
          <cell r="K21">
            <v>260</v>
          </cell>
          <cell r="M21">
            <v>500</v>
          </cell>
        </row>
        <row r="22">
          <cell r="B22" t="str">
            <v>Total Revenues ($MM)</v>
          </cell>
          <cell r="O22" t="str">
            <v>2006 guidance: $13.9B-$14.4B</v>
          </cell>
        </row>
        <row r="23">
          <cell r="B23" t="str">
            <v xml:space="preserve">   Current</v>
          </cell>
          <cell r="C23">
            <v>8356</v>
          </cell>
          <cell r="E23">
            <v>10549.9</v>
          </cell>
          <cell r="G23">
            <v>12430</v>
          </cell>
          <cell r="I23">
            <v>13779</v>
          </cell>
          <cell r="K23">
            <v>15089.778225807069</v>
          </cell>
          <cell r="M23">
            <v>16371.308428631663</v>
          </cell>
        </row>
        <row r="24">
          <cell r="B24" t="str">
            <v xml:space="preserve">   Prior</v>
          </cell>
          <cell r="C24">
            <v>8356</v>
          </cell>
          <cell r="E24">
            <v>10549.9</v>
          </cell>
          <cell r="G24">
            <v>12430</v>
          </cell>
          <cell r="I24">
            <v>14220</v>
          </cell>
          <cell r="K24">
            <v>15846.422986591579</v>
          </cell>
          <cell r="M24">
            <v>17265.642986777184</v>
          </cell>
        </row>
        <row r="25">
          <cell r="B25" t="str">
            <v>SG&amp;A ($MM)</v>
          </cell>
          <cell r="O25" t="str">
            <v>2006 Guidance: ~10% growth</v>
          </cell>
        </row>
        <row r="26">
          <cell r="B26" t="str">
            <v xml:space="preserve">   Current</v>
          </cell>
          <cell r="C26">
            <v>1952.6</v>
          </cell>
          <cell r="E26">
            <v>2556</v>
          </cell>
          <cell r="G26">
            <v>2792</v>
          </cell>
          <cell r="I26">
            <v>3027.1130000000003</v>
          </cell>
          <cell r="K26">
            <v>3266.9369858872305</v>
          </cell>
          <cell r="M26">
            <v>3544.388274798755</v>
          </cell>
        </row>
        <row r="27">
          <cell r="B27" t="str">
            <v xml:space="preserve">   Prior</v>
          </cell>
          <cell r="C27">
            <v>1952.6</v>
          </cell>
          <cell r="E27">
            <v>2556</v>
          </cell>
          <cell r="G27">
            <v>2792</v>
          </cell>
          <cell r="I27">
            <v>3075.85</v>
          </cell>
          <cell r="K27">
            <v>3422.8273651037807</v>
          </cell>
          <cell r="M27">
            <v>4100.5902093595814</v>
          </cell>
        </row>
        <row r="28">
          <cell r="B28" t="str">
            <v>R&amp;D ($MM)</v>
          </cell>
          <cell r="O28" t="str">
            <v xml:space="preserve">2006 Guidance: 30-40% YoY growth.  </v>
          </cell>
        </row>
        <row r="29">
          <cell r="B29" t="str">
            <v xml:space="preserve">   Current</v>
          </cell>
          <cell r="C29">
            <v>1655.4</v>
          </cell>
          <cell r="E29">
            <v>2028</v>
          </cell>
          <cell r="G29">
            <v>2302</v>
          </cell>
          <cell r="I29">
            <v>3009</v>
          </cell>
          <cell r="K29">
            <v>3327.2960987904589</v>
          </cell>
          <cell r="M29">
            <v>3601.6878542989657</v>
          </cell>
        </row>
        <row r="30">
          <cell r="B30" t="str">
            <v xml:space="preserve">   Prior</v>
          </cell>
          <cell r="C30">
            <v>1655.4</v>
          </cell>
          <cell r="E30">
            <v>2028</v>
          </cell>
          <cell r="G30">
            <v>2302</v>
          </cell>
          <cell r="I30">
            <v>3085</v>
          </cell>
          <cell r="K30">
            <v>3406.9809421171894</v>
          </cell>
          <cell r="M30">
            <v>3712.1132421570946</v>
          </cell>
        </row>
        <row r="31">
          <cell r="B31" t="str">
            <v>Interest, Other Income</v>
          </cell>
        </row>
        <row r="32">
          <cell r="B32" t="str">
            <v xml:space="preserve">   Current</v>
          </cell>
          <cell r="C32">
            <v>113.4</v>
          </cell>
          <cell r="D32">
            <v>-0.21359223300970864</v>
          </cell>
          <cell r="E32">
            <v>99.7</v>
          </cell>
          <cell r="F32">
            <v>0</v>
          </cell>
          <cell r="G32">
            <v>157</v>
          </cell>
          <cell r="H32">
            <v>0</v>
          </cell>
          <cell r="I32">
            <v>329</v>
          </cell>
          <cell r="J32">
            <v>0</v>
          </cell>
          <cell r="K32">
            <v>210.7171588806757</v>
          </cell>
          <cell r="L32">
            <v>0</v>
          </cell>
          <cell r="M32">
            <v>265.32581027251831</v>
          </cell>
        </row>
        <row r="33">
          <cell r="B33" t="str">
            <v xml:space="preserve">   Prior</v>
          </cell>
          <cell r="C33">
            <v>113.4</v>
          </cell>
          <cell r="E33">
            <v>99.7</v>
          </cell>
          <cell r="F33">
            <v>0</v>
          </cell>
          <cell r="G33">
            <v>157</v>
          </cell>
          <cell r="H33">
            <v>0</v>
          </cell>
          <cell r="I33">
            <v>150</v>
          </cell>
          <cell r="J33">
            <v>0</v>
          </cell>
          <cell r="K33">
            <v>315.22233834199102</v>
          </cell>
          <cell r="L33">
            <v>0</v>
          </cell>
          <cell r="M33">
            <v>365.3511463110907</v>
          </cell>
        </row>
        <row r="34">
          <cell r="B34" t="str">
            <v xml:space="preserve">Net Income ($MM) </v>
          </cell>
        </row>
        <row r="35">
          <cell r="B35" t="str">
            <v xml:space="preserve">   Current</v>
          </cell>
          <cell r="C35">
            <v>2595.2999999999993</v>
          </cell>
          <cell r="E35">
            <v>3106.7999999999993</v>
          </cell>
          <cell r="G35">
            <v>4023</v>
          </cell>
          <cell r="I35">
            <v>4335.4931825000003</v>
          </cell>
          <cell r="K35">
            <v>4671.2119694975627</v>
          </cell>
          <cell r="M35">
            <v>5157.5244034755797</v>
          </cell>
        </row>
        <row r="36">
          <cell r="B36" t="str">
            <v xml:space="preserve">   Prior</v>
          </cell>
          <cell r="C36">
            <v>2595.2999999999993</v>
          </cell>
          <cell r="E36">
            <v>3106.8</v>
          </cell>
          <cell r="G36">
            <v>4023</v>
          </cell>
          <cell r="I36">
            <v>4374.7203599999993</v>
          </cell>
          <cell r="K36">
            <v>5087.6113248185175</v>
          </cell>
          <cell r="M36">
            <v>5324.9044680685165</v>
          </cell>
        </row>
        <row r="37">
          <cell r="B37" t="str">
            <v>EPS, diluted</v>
          </cell>
          <cell r="O37" t="str">
            <v>2006 guidance: $3.60-$3.70;  Our number increases as we include the accretive effects of recent convertible debt deal (and corresponding increase in the share buyback program)</v>
          </cell>
        </row>
        <row r="38">
          <cell r="B38" t="str">
            <v xml:space="preserve">   Current</v>
          </cell>
          <cell r="C38">
            <v>1.9281575037147096</v>
          </cell>
          <cell r="D38">
            <v>0.26723815197704903</v>
          </cell>
          <cell r="E38">
            <v>2.36950115525927</v>
          </cell>
          <cell r="F38">
            <v>0.22889398334642563</v>
          </cell>
          <cell r="G38">
            <v>3.2027027027027026</v>
          </cell>
          <cell r="H38">
            <v>0.35163584773701628</v>
          </cell>
          <cell r="I38">
            <v>3.6698689952539394</v>
          </cell>
          <cell r="J38">
            <v>0.14586626856030183</v>
          </cell>
          <cell r="K38">
            <v>4.1013211403748855</v>
          </cell>
          <cell r="L38">
            <v>0.11756608905629107</v>
          </cell>
          <cell r="M38">
            <v>4.6347096976234399</v>
          </cell>
        </row>
        <row r="39">
          <cell r="B39" t="str">
            <v xml:space="preserve">   Prior</v>
          </cell>
          <cell r="C39">
            <v>1.93</v>
          </cell>
          <cell r="E39">
            <v>2.36950115525927</v>
          </cell>
          <cell r="F39">
            <v>0.22889398334642563</v>
          </cell>
          <cell r="G39">
            <v>3.2027027027027026</v>
          </cell>
          <cell r="H39">
            <v>0.35163584773701628</v>
          </cell>
          <cell r="I39">
            <v>3.5527748531150061</v>
          </cell>
          <cell r="J39">
            <v>0.10930522839877832</v>
          </cell>
          <cell r="K39">
            <v>4.2311682835580111</v>
          </cell>
          <cell r="L39">
            <v>0.19094748710242704</v>
          </cell>
          <cell r="M39">
            <v>4.52644990794027</v>
          </cell>
        </row>
        <row r="40">
          <cell r="B40" t="str">
            <v>EPS, diluted (incl options expense)</v>
          </cell>
        </row>
        <row r="41">
          <cell r="B41" t="str">
            <v xml:space="preserve">   Current</v>
          </cell>
          <cell r="C41">
            <v>1288.4000000000001</v>
          </cell>
          <cell r="D41">
            <v>0.11694841785869103</v>
          </cell>
          <cell r="E41">
            <v>1270.6500000000001</v>
          </cell>
          <cell r="F41">
            <v>-1.3776777398323503E-2</v>
          </cell>
          <cell r="H41">
            <v>0</v>
          </cell>
          <cell r="I41">
            <v>3.4469575326902331</v>
          </cell>
          <cell r="J41">
            <v>0</v>
          </cell>
          <cell r="K41">
            <v>3.8627394026015285</v>
          </cell>
          <cell r="L41">
            <v>0</v>
          </cell>
          <cell r="M41">
            <v>4.3704543642262941</v>
          </cell>
        </row>
        <row r="42">
          <cell r="B42" t="str">
            <v xml:space="preserve">   Prior</v>
          </cell>
          <cell r="C42">
            <v>1.93</v>
          </cell>
          <cell r="E42">
            <v>2.36950115525927</v>
          </cell>
          <cell r="F42">
            <v>0.22889398334642563</v>
          </cell>
          <cell r="H42">
            <v>0</v>
          </cell>
          <cell r="I42">
            <v>3.445528989912801</v>
          </cell>
          <cell r="J42">
            <v>0</v>
          </cell>
          <cell r="K42">
            <v>4.0830286251359063</v>
          </cell>
          <cell r="L42">
            <v>0</v>
          </cell>
          <cell r="M42">
            <v>4.3555918887894087</v>
          </cell>
        </row>
        <row r="43">
          <cell r="B43" t="str">
            <v>Basic Shares Outstanding</v>
          </cell>
        </row>
        <row r="44">
          <cell r="B44" t="str">
            <v xml:space="preserve">   Current</v>
          </cell>
          <cell r="C44">
            <v>1288.4000000000001</v>
          </cell>
          <cell r="D44">
            <v>0.11694841785869103</v>
          </cell>
          <cell r="E44">
            <v>1270.6500000000001</v>
          </cell>
          <cell r="F44">
            <v>-1.3776777398323503E-2</v>
          </cell>
          <cell r="G44">
            <v>1236</v>
          </cell>
          <cell r="H44">
            <v>-2.726950773226311E-2</v>
          </cell>
          <cell r="I44">
            <v>1161.7770232500002</v>
          </cell>
          <cell r="J44">
            <v>-6.0050952063106622E-2</v>
          </cell>
          <cell r="K44">
            <v>1120.8980000000001</v>
          </cell>
          <cell r="L44">
            <v>-3.5186634295489405E-2</v>
          </cell>
          <cell r="M44">
            <v>1095.4242875</v>
          </cell>
        </row>
        <row r="45">
          <cell r="B45" t="str">
            <v xml:space="preserve">   Prior</v>
          </cell>
          <cell r="C45">
            <v>1288.4000000000001</v>
          </cell>
          <cell r="D45">
            <v>1288.8</v>
          </cell>
          <cell r="E45">
            <v>1270.6500000000001</v>
          </cell>
          <cell r="F45">
            <v>-1.3776777398323503E-2</v>
          </cell>
          <cell r="G45">
            <v>1236</v>
          </cell>
          <cell r="H45">
            <v>-2.726950773226311E-2</v>
          </cell>
          <cell r="I45">
            <v>1210.68759275</v>
          </cell>
          <cell r="J45">
            <v>-2.0479293891585759E-2</v>
          </cell>
          <cell r="K45">
            <v>1186.1795999999999</v>
          </cell>
          <cell r="L45">
            <v>-2.0243036186016972E-2</v>
          </cell>
          <cell r="M45">
            <v>1161.278558</v>
          </cell>
        </row>
        <row r="46">
          <cell r="B46" t="str">
            <v>Diluted Shares Outstanding</v>
          </cell>
        </row>
        <row r="47">
          <cell r="B47" t="str">
            <v xml:space="preserve">   Current</v>
          </cell>
          <cell r="C47">
            <v>1346</v>
          </cell>
          <cell r="D47">
            <v>0.16688339835283927</v>
          </cell>
          <cell r="E47">
            <v>1320.05</v>
          </cell>
          <cell r="F47">
            <v>-1.9279346210995585E-2</v>
          </cell>
          <cell r="G47">
            <v>1258</v>
          </cell>
          <cell r="H47">
            <v>-4.7005795235028902E-2</v>
          </cell>
          <cell r="I47">
            <v>1173.37546275</v>
          </cell>
          <cell r="J47">
            <v>-6.726910751192372E-2</v>
          </cell>
          <cell r="K47">
            <v>1139.9282839554037</v>
          </cell>
          <cell r="L47">
            <v>-2.8505094793960795E-2</v>
          </cell>
          <cell r="M47">
            <v>1113.6672499945955</v>
          </cell>
        </row>
        <row r="48">
          <cell r="B48" t="str">
            <v xml:space="preserve">   Prior</v>
          </cell>
          <cell r="C48">
            <v>1346</v>
          </cell>
          <cell r="D48">
            <v>1321.4</v>
          </cell>
          <cell r="E48">
            <v>1320.05</v>
          </cell>
          <cell r="F48">
            <v>-1.9279346210995585E-2</v>
          </cell>
          <cell r="G48">
            <v>1258</v>
          </cell>
          <cell r="H48">
            <v>-4.7005795235028902E-2</v>
          </cell>
          <cell r="I48">
            <v>1224.4789892499998</v>
          </cell>
          <cell r="J48">
            <v>-2.6646272456279929E-2</v>
          </cell>
          <cell r="K48">
            <v>1203.3582650456426</v>
          </cell>
          <cell r="L48">
            <v>-1.724874366141127E-2</v>
          </cell>
          <cell r="M48">
            <v>1177.2812195978543</v>
          </cell>
        </row>
        <row r="49">
          <cell r="B49" t="str">
            <v>Cash Flow (Burn)</v>
          </cell>
          <cell r="O49" t="str">
            <v>Expect major future use of cash to remain share buybacks.</v>
          </cell>
        </row>
        <row r="50">
          <cell r="B50" t="str">
            <v xml:space="preserve">   Current</v>
          </cell>
          <cell r="C50">
            <v>2209.7999999999993</v>
          </cell>
          <cell r="E50">
            <v>2361</v>
          </cell>
          <cell r="G50">
            <v>4044</v>
          </cell>
          <cell r="I50">
            <v>1546.8396302380957</v>
          </cell>
          <cell r="K50">
            <v>3846.2174306950965</v>
          </cell>
          <cell r="M50">
            <v>4301.980800635979</v>
          </cell>
        </row>
        <row r="51">
          <cell r="B51" t="str">
            <v xml:space="preserve">   Prior</v>
          </cell>
          <cell r="C51">
            <v>2209.8000000000002</v>
          </cell>
          <cell r="E51">
            <v>2361</v>
          </cell>
          <cell r="G51">
            <v>4044</v>
          </cell>
          <cell r="I51">
            <v>1991.8408502380951</v>
          </cell>
          <cell r="K51">
            <v>4169.2864625840475</v>
          </cell>
          <cell r="M51">
            <v>4542.0155215014902</v>
          </cell>
        </row>
      </sheetData>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Epogen</v>
          </cell>
          <cell r="C6">
            <v>583</v>
          </cell>
          <cell r="D6">
            <v>610</v>
          </cell>
          <cell r="E6">
            <v>604</v>
          </cell>
          <cell r="F6">
            <v>-9.8360655737704805E-3</v>
          </cell>
          <cell r="G6">
            <v>3.6020583190394584E-2</v>
          </cell>
        </row>
        <row r="7">
          <cell r="B7" t="str">
            <v xml:space="preserve">Aranesp - US </v>
          </cell>
          <cell r="C7">
            <v>447</v>
          </cell>
          <cell r="D7">
            <v>615</v>
          </cell>
          <cell r="E7">
            <v>596</v>
          </cell>
          <cell r="F7">
            <v>-3.0894308943089421E-2</v>
          </cell>
          <cell r="G7">
            <v>0.33333333333333326</v>
          </cell>
          <cell r="H7" t="str">
            <v xml:space="preserve">Consistent with weak IMS trends for 1Q, as physician inventory drawdowns likely weighed on early quarter results.  Wholesale inventories ended 1Q modestly below trend. </v>
          </cell>
        </row>
        <row r="8">
          <cell r="B8" t="str">
            <v>Aranesp - ex US</v>
          </cell>
          <cell r="C8">
            <v>276</v>
          </cell>
          <cell r="D8">
            <v>310</v>
          </cell>
          <cell r="E8">
            <v>297</v>
          </cell>
          <cell r="F8">
            <v>-4.1935483870967794E-2</v>
          </cell>
          <cell r="G8">
            <v>7.6086956521739024E-2</v>
          </cell>
        </row>
        <row r="9">
          <cell r="B9" t="str">
            <v>Neupogen -WW</v>
          </cell>
          <cell r="C9">
            <v>294</v>
          </cell>
          <cell r="D9">
            <v>310</v>
          </cell>
          <cell r="E9">
            <v>288</v>
          </cell>
          <cell r="F9">
            <v>-7.096774193548383E-2</v>
          </cell>
          <cell r="G9">
            <v>-2.0408163265306145E-2</v>
          </cell>
        </row>
        <row r="10">
          <cell r="B10" t="str">
            <v>Neulasta - WW</v>
          </cell>
          <cell r="C10">
            <v>501</v>
          </cell>
          <cell r="D10">
            <v>640</v>
          </cell>
          <cell r="E10">
            <v>608</v>
          </cell>
          <cell r="F10">
            <v>-5.0000000000000044E-2</v>
          </cell>
          <cell r="G10">
            <v>0.21357285429141726</v>
          </cell>
          <cell r="H10" t="str">
            <v xml:space="preserve">Consistent with weak IMS trends for 1Q, as physician inventory drawdowns likely weighed on early quarter results.  Wholesale inventories ended 1Q modestly below trend. </v>
          </cell>
        </row>
        <row r="11">
          <cell r="B11" t="str">
            <v>Enbrel</v>
          </cell>
          <cell r="C11">
            <v>592</v>
          </cell>
          <cell r="D11">
            <v>710</v>
          </cell>
          <cell r="E11">
            <v>658</v>
          </cell>
          <cell r="F11">
            <v>-7.3239436619718323E-2</v>
          </cell>
          <cell r="G11">
            <v>0.1114864864864864</v>
          </cell>
          <cell r="H11" t="str">
            <v>Weakness due to competitive pressures in anti-TNF market with slowing market growth and meaningful share loss</v>
          </cell>
        </row>
        <row r="12">
          <cell r="B12" t="str">
            <v>Sensipar</v>
          </cell>
          <cell r="C12">
            <v>25</v>
          </cell>
          <cell r="D12">
            <v>56</v>
          </cell>
          <cell r="E12">
            <v>61</v>
          </cell>
          <cell r="F12">
            <v>8.9285714285714191E-2</v>
          </cell>
        </row>
        <row r="13">
          <cell r="B13" t="str">
            <v>Other Revenue</v>
          </cell>
          <cell r="C13">
            <v>111</v>
          </cell>
          <cell r="D13">
            <v>110</v>
          </cell>
          <cell r="E13">
            <v>92</v>
          </cell>
          <cell r="F13">
            <v>-0.16363636363636369</v>
          </cell>
          <cell r="G13">
            <v>-0.1711711711711712</v>
          </cell>
        </row>
        <row r="14">
          <cell r="B14" t="str">
            <v>Total Revenues</v>
          </cell>
          <cell r="C14">
            <v>2833</v>
          </cell>
          <cell r="D14">
            <v>3376</v>
          </cell>
          <cell r="E14">
            <v>3217</v>
          </cell>
          <cell r="F14">
            <v>-4.7097156398104301E-2</v>
          </cell>
          <cell r="G14">
            <v>0.13554535827744441</v>
          </cell>
        </row>
        <row r="15">
          <cell r="B15" t="str">
            <v>Operating Expenses:</v>
          </cell>
        </row>
        <row r="16">
          <cell r="B16" t="str">
            <v xml:space="preserve">   Cost of Product Revenue</v>
          </cell>
          <cell r="C16">
            <v>489</v>
          </cell>
          <cell r="D16">
            <v>559.34100000000001</v>
          </cell>
          <cell r="E16">
            <v>552</v>
          </cell>
          <cell r="F16">
            <v>-1.312437314625603E-2</v>
          </cell>
          <cell r="G16">
            <v>0.12883435582822078</v>
          </cell>
        </row>
        <row r="17">
          <cell r="B17" t="str">
            <v xml:space="preserve">   R&amp;D</v>
          </cell>
          <cell r="C17">
            <v>521</v>
          </cell>
          <cell r="D17">
            <v>675</v>
          </cell>
          <cell r="E17">
            <v>624</v>
          </cell>
          <cell r="F17">
            <v>-7.5555555555555598E-2</v>
          </cell>
          <cell r="G17">
            <v>0.19769673704414581</v>
          </cell>
          <cell r="H17" t="str">
            <v>R&amp;D expected to ramp significantly over rest of year</v>
          </cell>
        </row>
        <row r="18">
          <cell r="B18" t="str">
            <v xml:space="preserve">   SG&amp;A</v>
          </cell>
          <cell r="C18">
            <v>577</v>
          </cell>
          <cell r="D18">
            <v>666.76</v>
          </cell>
          <cell r="E18">
            <v>652</v>
          </cell>
          <cell r="F18">
            <v>-2.21369008338832E-2</v>
          </cell>
          <cell r="G18">
            <v>0.12998266897746968</v>
          </cell>
        </row>
        <row r="19">
          <cell r="B19" t="str">
            <v>Total Operating Expenses</v>
          </cell>
          <cell r="C19">
            <v>1587</v>
          </cell>
          <cell r="D19">
            <v>1901.1009999999999</v>
          </cell>
          <cell r="E19">
            <v>1828</v>
          </cell>
          <cell r="F19">
            <v>-3.8451928645558464E-2</v>
          </cell>
          <cell r="G19">
            <v>0.15185885318210457</v>
          </cell>
        </row>
        <row r="20">
          <cell r="B20" t="str">
            <v>Operating Income (Loss)</v>
          </cell>
          <cell r="C20">
            <v>1246</v>
          </cell>
          <cell r="D20">
            <v>1474.8990000000001</v>
          </cell>
          <cell r="E20">
            <v>1389</v>
          </cell>
          <cell r="F20">
            <v>-5.8240598169773006E-2</v>
          </cell>
          <cell r="G20">
            <v>0.1147672552166934</v>
          </cell>
        </row>
        <row r="21">
          <cell r="B21" t="str">
            <v xml:space="preserve">   Net Other Income</v>
          </cell>
          <cell r="C21">
            <v>10</v>
          </cell>
          <cell r="D21">
            <v>-4</v>
          </cell>
          <cell r="E21">
            <v>80</v>
          </cell>
          <cell r="F21">
            <v>-21</v>
          </cell>
          <cell r="G21">
            <v>7</v>
          </cell>
          <cell r="H21" t="str">
            <v>Significant increase to interest income following debt offering</v>
          </cell>
        </row>
        <row r="22">
          <cell r="B22" t="str">
            <v xml:space="preserve">   Tax Rate</v>
          </cell>
          <cell r="C22">
            <v>332</v>
          </cell>
          <cell r="D22">
            <v>353.01576</v>
          </cell>
          <cell r="E22">
            <v>368</v>
          </cell>
          <cell r="F22">
            <v>4.2446376898300553E-2</v>
          </cell>
          <cell r="G22">
            <v>0.10843373493975905</v>
          </cell>
        </row>
        <row r="23">
          <cell r="B23" t="str">
            <v xml:space="preserve">Net Income (Loss)                   </v>
          </cell>
          <cell r="C23">
            <v>924</v>
          </cell>
          <cell r="D23">
            <v>1117.8832400000001</v>
          </cell>
          <cell r="E23">
            <v>1101</v>
          </cell>
          <cell r="F23">
            <v>-1.5102865304609248E-2</v>
          </cell>
          <cell r="G23">
            <v>0.19155844155844148</v>
          </cell>
        </row>
        <row r="24">
          <cell r="B24" t="str">
            <v>EPS, Basic</v>
          </cell>
          <cell r="C24">
            <v>0.73979183346677346</v>
          </cell>
          <cell r="D24">
            <v>0.90958766476810426</v>
          </cell>
          <cell r="E24">
            <v>0.91597337770382692</v>
          </cell>
          <cell r="F24">
            <v>7.0204480371340861E-3</v>
          </cell>
          <cell r="G24">
            <v>0.23815016098709929</v>
          </cell>
        </row>
        <row r="25">
          <cell r="B25" t="str">
            <v>EPS, Diluted</v>
          </cell>
          <cell r="C25">
            <v>0.72024709302325585</v>
          </cell>
          <cell r="D25">
            <v>0.90014741753821415</v>
          </cell>
          <cell r="E25">
            <v>0.90691927512355852</v>
          </cell>
          <cell r="F25">
            <v>7.5230539502790794E-3</v>
          </cell>
          <cell r="G25">
            <v>0.25917797365448769</v>
          </cell>
        </row>
        <row r="26">
          <cell r="B26" t="str">
            <v>Consensus EPS</v>
          </cell>
          <cell r="D26">
            <v>0.88</v>
          </cell>
        </row>
        <row r="27">
          <cell r="B27" t="str">
            <v xml:space="preserve">Basic Shares Outstanding </v>
          </cell>
          <cell r="C27">
            <v>1249</v>
          </cell>
          <cell r="D27">
            <v>1229</v>
          </cell>
          <cell r="E27">
            <v>1202</v>
          </cell>
          <cell r="F27">
            <v>-2.1969080553295384E-2</v>
          </cell>
          <cell r="G27">
            <v>-3.7630104083266613E-2</v>
          </cell>
          <cell r="H27" t="str">
            <v>Company purchased 47 M shares in 1Q</v>
          </cell>
        </row>
        <row r="28">
          <cell r="B28" t="str">
            <v>Diluted Shares Outstanding</v>
          </cell>
          <cell r="C28">
            <v>1290</v>
          </cell>
          <cell r="D28">
            <v>1243</v>
          </cell>
          <cell r="E28">
            <v>1214</v>
          </cell>
          <cell r="F28">
            <v>-2.3330651649235756E-2</v>
          </cell>
          <cell r="G28">
            <v>-5.8914728682170514E-2</v>
          </cell>
        </row>
        <row r="30">
          <cell r="B30" t="str">
            <v>Source: Company data and Morgan Stanley Research</v>
          </cell>
        </row>
      </sheetData>
      <sheetData sheetId="4" refreshError="1">
        <row r="1">
          <cell r="B1" t="str">
            <v>Amgen Quarterly Income Statement</v>
          </cell>
        </row>
        <row r="2">
          <cell r="B2" t="str">
            <v>(Dollars in millions except per-share data)</v>
          </cell>
        </row>
        <row r="4">
          <cell r="C4" t="str">
            <v>1Q02A</v>
          </cell>
          <cell r="D4" t="str">
            <v>2Q02A</v>
          </cell>
          <cell r="E4" t="str">
            <v>3Q02A</v>
          </cell>
          <cell r="F4" t="str">
            <v>4Q02A</v>
          </cell>
          <cell r="G4" t="str">
            <v>2002A</v>
          </cell>
          <cell r="I4" t="str">
            <v>1Q03A</v>
          </cell>
          <cell r="K4" t="str">
            <v>2Q03A</v>
          </cell>
          <cell r="M4" t="str">
            <v>3Q03A</v>
          </cell>
          <cell r="O4" t="str">
            <v>4Q03A</v>
          </cell>
          <cell r="Q4" t="str">
            <v>2003A</v>
          </cell>
          <cell r="T4" t="str">
            <v>1Q04A</v>
          </cell>
          <cell r="U4" t="str">
            <v>% chg</v>
          </cell>
          <cell r="V4" t="str">
            <v>2Q04A</v>
          </cell>
          <cell r="W4" t="str">
            <v>% chg</v>
          </cell>
          <cell r="X4" t="str">
            <v>3Q04A</v>
          </cell>
          <cell r="Y4" t="str">
            <v>% chg</v>
          </cell>
          <cell r="Z4" t="str">
            <v>4Q04A</v>
          </cell>
          <cell r="AA4" t="str">
            <v>% chg</v>
          </cell>
          <cell r="AB4" t="str">
            <v>2004A</v>
          </cell>
          <cell r="AC4" t="str">
            <v>% chg</v>
          </cell>
          <cell r="AF4" t="str">
            <v>1Q05A</v>
          </cell>
          <cell r="AG4" t="str">
            <v>% chg</v>
          </cell>
          <cell r="AH4" t="str">
            <v>2Q05A</v>
          </cell>
          <cell r="AI4" t="str">
            <v>% chg</v>
          </cell>
          <cell r="AJ4" t="str">
            <v>3Q05A</v>
          </cell>
          <cell r="AK4" t="str">
            <v>% chg</v>
          </cell>
          <cell r="AL4" t="str">
            <v>4Q05A</v>
          </cell>
          <cell r="AM4" t="str">
            <v>% chg</v>
          </cell>
          <cell r="AN4" t="str">
            <v>2005A</v>
          </cell>
          <cell r="AO4" t="str">
            <v>% chg</v>
          </cell>
          <cell r="AR4" t="str">
            <v>1Q06A</v>
          </cell>
          <cell r="AS4" t="str">
            <v>% chg</v>
          </cell>
          <cell r="AT4" t="str">
            <v>2Q06E</v>
          </cell>
          <cell r="AU4" t="str">
            <v>% chg</v>
          </cell>
          <cell r="AV4" t="str">
            <v>3Q06E</v>
          </cell>
          <cell r="AW4" t="str">
            <v>% chg</v>
          </cell>
          <cell r="AX4" t="str">
            <v>4Q06E</v>
          </cell>
          <cell r="AY4" t="str">
            <v>% chg</v>
          </cell>
          <cell r="AZ4" t="str">
            <v>2006E</v>
          </cell>
          <cell r="BA4" t="str">
            <v>% chg</v>
          </cell>
          <cell r="BB4" t="str">
            <v>guidance</v>
          </cell>
        </row>
        <row r="5">
          <cell r="B5" t="str">
            <v>Epogen</v>
          </cell>
          <cell r="C5">
            <v>512</v>
          </cell>
          <cell r="D5">
            <v>570</v>
          </cell>
          <cell r="E5">
            <v>558</v>
          </cell>
          <cell r="F5">
            <v>620</v>
          </cell>
          <cell r="G5">
            <v>2260</v>
          </cell>
          <cell r="I5">
            <v>547.1</v>
          </cell>
          <cell r="K5">
            <v>611.1</v>
          </cell>
          <cell r="M5">
            <v>625.9</v>
          </cell>
          <cell r="O5">
            <v>650.59999999999991</v>
          </cell>
          <cell r="Q5">
            <v>2434.6999999999998</v>
          </cell>
          <cell r="T5">
            <v>590</v>
          </cell>
          <cell r="U5">
            <v>7.8413452750868196E-2</v>
          </cell>
          <cell r="V5">
            <v>632.6</v>
          </cell>
          <cell r="W5">
            <v>3.5182457862870331E-2</v>
          </cell>
          <cell r="X5">
            <v>681</v>
          </cell>
          <cell r="Y5">
            <v>8.8033232145710238E-2</v>
          </cell>
          <cell r="Z5">
            <v>697</v>
          </cell>
          <cell r="AA5">
            <v>7.1318782662158187E-2</v>
          </cell>
          <cell r="AB5">
            <v>2600.6</v>
          </cell>
          <cell r="AC5">
            <v>6.8139811886474666E-2</v>
          </cell>
          <cell r="AF5">
            <v>583</v>
          </cell>
          <cell r="AG5">
            <v>-1.1864406779661052E-2</v>
          </cell>
          <cell r="AH5">
            <v>647</v>
          </cell>
          <cell r="AI5">
            <v>2.2763199494151065E-2</v>
          </cell>
          <cell r="AJ5">
            <v>599</v>
          </cell>
          <cell r="AK5">
            <v>-0.1204111600587372</v>
          </cell>
          <cell r="AL5">
            <v>626</v>
          </cell>
          <cell r="AM5">
            <v>-0.10186513629842175</v>
          </cell>
          <cell r="AN5">
            <v>2455</v>
          </cell>
          <cell r="AO5">
            <v>-5.598707990463736E-2</v>
          </cell>
          <cell r="AR5">
            <v>604</v>
          </cell>
          <cell r="AS5">
            <v>3.6020583190394584E-2</v>
          </cell>
          <cell r="AT5">
            <v>630</v>
          </cell>
          <cell r="AU5">
            <v>-2.6275115919629055E-2</v>
          </cell>
          <cell r="AV5">
            <v>640</v>
          </cell>
          <cell r="AW5">
            <v>6.8447412353923154E-2</v>
          </cell>
          <cell r="AX5">
            <v>640</v>
          </cell>
          <cell r="AY5">
            <v>2.2364217252396124E-2</v>
          </cell>
          <cell r="AZ5">
            <v>2514</v>
          </cell>
          <cell r="BA5">
            <v>2.4032586558044855E-2</v>
          </cell>
        </row>
        <row r="6">
          <cell r="B6" t="str">
            <v xml:space="preserve">Aranesp - US </v>
          </cell>
          <cell r="F6">
            <v>150</v>
          </cell>
          <cell r="I6">
            <v>157.9</v>
          </cell>
          <cell r="K6">
            <v>216.6</v>
          </cell>
          <cell r="M6">
            <v>283.89999999999998</v>
          </cell>
          <cell r="O6">
            <v>321.5</v>
          </cell>
          <cell r="Q6">
            <v>979.9</v>
          </cell>
          <cell r="T6">
            <v>329.6</v>
          </cell>
          <cell r="V6">
            <v>380.7</v>
          </cell>
          <cell r="X6">
            <v>374</v>
          </cell>
          <cell r="Z6">
            <v>449</v>
          </cell>
          <cell r="AA6">
            <v>0.39657853810264387</v>
          </cell>
          <cell r="AB6">
            <v>1533.3</v>
          </cell>
          <cell r="AF6">
            <v>447</v>
          </cell>
          <cell r="AG6">
            <v>0.3561893203883495</v>
          </cell>
          <cell r="AH6">
            <v>536</v>
          </cell>
          <cell r="AI6">
            <v>0.40793275545048591</v>
          </cell>
          <cell r="AJ6">
            <v>542</v>
          </cell>
          <cell r="AK6">
            <v>0.44919786096256686</v>
          </cell>
          <cell r="AL6">
            <v>579</v>
          </cell>
          <cell r="AM6">
            <v>0.28953229398663693</v>
          </cell>
          <cell r="AN6">
            <v>2104</v>
          </cell>
          <cell r="AO6">
            <v>0.37220374355964259</v>
          </cell>
          <cell r="AR6">
            <v>596</v>
          </cell>
          <cell r="AS6">
            <v>0.33333333333333326</v>
          </cell>
          <cell r="AT6">
            <v>645</v>
          </cell>
          <cell r="AU6">
            <v>0.20335820895522394</v>
          </cell>
          <cell r="AV6">
            <v>665</v>
          </cell>
          <cell r="AW6">
            <v>0.22693726937269365</v>
          </cell>
          <cell r="AX6">
            <v>690</v>
          </cell>
          <cell r="AY6">
            <v>0.19170984455958551</v>
          </cell>
          <cell r="AZ6">
            <v>2596</v>
          </cell>
          <cell r="BA6">
            <v>0.23384030418250945</v>
          </cell>
        </row>
        <row r="7">
          <cell r="B7" t="str">
            <v>Aranesp - ex US</v>
          </cell>
          <cell r="F7">
            <v>57</v>
          </cell>
          <cell r="I7">
            <v>96.9</v>
          </cell>
          <cell r="K7">
            <v>131.1</v>
          </cell>
          <cell r="M7">
            <v>154.4</v>
          </cell>
          <cell r="O7">
            <v>181.5</v>
          </cell>
          <cell r="Q7">
            <v>563.9</v>
          </cell>
          <cell r="T7">
            <v>213</v>
          </cell>
          <cell r="V7">
            <v>236.6</v>
          </cell>
          <cell r="X7">
            <v>234</v>
          </cell>
          <cell r="Z7">
            <v>256</v>
          </cell>
          <cell r="AA7">
            <v>0.41046831955922869</v>
          </cell>
          <cell r="AB7">
            <v>939.6</v>
          </cell>
          <cell r="AF7">
            <v>276</v>
          </cell>
          <cell r="AG7">
            <v>0.29577464788732399</v>
          </cell>
          <cell r="AH7">
            <v>301</v>
          </cell>
          <cell r="AI7">
            <v>0.27218934911242609</v>
          </cell>
          <cell r="AJ7">
            <v>298</v>
          </cell>
          <cell r="AK7">
            <v>0.27350427350427342</v>
          </cell>
          <cell r="AL7">
            <v>294</v>
          </cell>
          <cell r="AM7">
            <v>0.1484375</v>
          </cell>
          <cell r="AN7">
            <v>1169</v>
          </cell>
          <cell r="AO7">
            <v>0.2441464452958706</v>
          </cell>
          <cell r="AR7">
            <v>297</v>
          </cell>
          <cell r="AS7">
            <v>7.6086956521739024E-2</v>
          </cell>
          <cell r="AT7">
            <v>320</v>
          </cell>
          <cell r="AU7">
            <v>6.3122923588039948E-2</v>
          </cell>
          <cell r="AV7">
            <v>340</v>
          </cell>
          <cell r="AW7">
            <v>0.14093959731543615</v>
          </cell>
          <cell r="AX7">
            <v>360</v>
          </cell>
          <cell r="AY7">
            <v>0.22448979591836737</v>
          </cell>
          <cell r="AZ7">
            <v>1317</v>
          </cell>
          <cell r="BA7">
            <v>0.1266039349871686</v>
          </cell>
        </row>
        <row r="8">
          <cell r="B8" t="str">
            <v>Aranesp-WW</v>
          </cell>
          <cell r="C8">
            <v>39</v>
          </cell>
          <cell r="D8">
            <v>56</v>
          </cell>
          <cell r="E8">
            <v>114</v>
          </cell>
          <cell r="F8">
            <v>207</v>
          </cell>
          <cell r="G8">
            <v>416</v>
          </cell>
          <cell r="I8">
            <v>254.8</v>
          </cell>
          <cell r="K8">
            <v>347.7</v>
          </cell>
          <cell r="M8">
            <v>438.29999999999995</v>
          </cell>
          <cell r="O8">
            <v>503</v>
          </cell>
          <cell r="Q8">
            <v>1543.8</v>
          </cell>
          <cell r="T8">
            <v>542.6</v>
          </cell>
          <cell r="U8">
            <v>1.1295133437990579</v>
          </cell>
          <cell r="V8">
            <v>617.29999999999995</v>
          </cell>
          <cell r="W8">
            <v>0.77538107563991931</v>
          </cell>
          <cell r="X8">
            <v>608</v>
          </cell>
          <cell r="Y8">
            <v>0.38717773214693141</v>
          </cell>
          <cell r="Z8">
            <v>705</v>
          </cell>
          <cell r="AA8">
            <v>0.40159045725646125</v>
          </cell>
          <cell r="AB8">
            <v>2472.9</v>
          </cell>
          <cell r="AC8">
            <v>0.60182666148464836</v>
          </cell>
          <cell r="AF8">
            <v>723</v>
          </cell>
          <cell r="AG8">
            <v>0.33247327681533356</v>
          </cell>
          <cell r="AH8">
            <v>837</v>
          </cell>
          <cell r="AI8">
            <v>0.35590474647659165</v>
          </cell>
          <cell r="AJ8">
            <v>840</v>
          </cell>
          <cell r="AK8">
            <v>0.38157894736842102</v>
          </cell>
          <cell r="AL8">
            <v>873</v>
          </cell>
          <cell r="AM8">
            <v>0.23829787234042543</v>
          </cell>
          <cell r="AN8">
            <v>3273</v>
          </cell>
          <cell r="AO8">
            <v>0.32354725221399971</v>
          </cell>
          <cell r="AR8">
            <v>893</v>
          </cell>
          <cell r="AS8">
            <v>0.23513139695712315</v>
          </cell>
          <cell r="AT8">
            <v>965</v>
          </cell>
          <cell r="AU8">
            <v>0.15292712066905612</v>
          </cell>
          <cell r="AV8">
            <v>1005</v>
          </cell>
          <cell r="AW8">
            <v>0.1964285714285714</v>
          </cell>
          <cell r="AX8">
            <v>1050</v>
          </cell>
          <cell r="AY8">
            <v>0.20274914089347074</v>
          </cell>
          <cell r="AZ8">
            <v>3913</v>
          </cell>
          <cell r="BA8">
            <v>0.19553926061717086</v>
          </cell>
        </row>
        <row r="9">
          <cell r="B9" t="str">
            <v xml:space="preserve">    Neupogen - US</v>
          </cell>
          <cell r="M9">
            <v>227.9</v>
          </cell>
          <cell r="O9">
            <v>225.3</v>
          </cell>
          <cell r="Q9">
            <v>880.5</v>
          </cell>
          <cell r="T9">
            <v>172.3</v>
          </cell>
          <cell r="V9">
            <v>194.5</v>
          </cell>
          <cell r="X9">
            <v>207</v>
          </cell>
          <cell r="Y9">
            <v>-9.1706888986397561E-2</v>
          </cell>
          <cell r="Z9">
            <v>204</v>
          </cell>
          <cell r="AA9">
            <v>-9.4540612516644473E-2</v>
          </cell>
          <cell r="AB9">
            <v>777.8</v>
          </cell>
          <cell r="AC9">
            <v>-0.11663827370812041</v>
          </cell>
          <cell r="AF9">
            <v>182</v>
          </cell>
          <cell r="AG9">
            <v>5.6297156123041203E-2</v>
          </cell>
          <cell r="AH9">
            <v>208</v>
          </cell>
          <cell r="AI9">
            <v>6.9408740359897081E-2</v>
          </cell>
          <cell r="AJ9">
            <v>205</v>
          </cell>
          <cell r="AK9">
            <v>-9.6618357487923134E-3</v>
          </cell>
          <cell r="AL9">
            <v>210</v>
          </cell>
          <cell r="AM9">
            <v>2.9411764705882248E-2</v>
          </cell>
          <cell r="AN9">
            <v>805</v>
          </cell>
          <cell r="AO9">
            <v>3.4970429416302462E-2</v>
          </cell>
          <cell r="AR9">
            <v>191</v>
          </cell>
          <cell r="AS9">
            <v>4.9450549450549497E-2</v>
          </cell>
          <cell r="AT9">
            <v>201</v>
          </cell>
          <cell r="AV9">
            <v>210</v>
          </cell>
          <cell r="AX9">
            <v>206.99999999999997</v>
          </cell>
          <cell r="AZ9">
            <v>809</v>
          </cell>
        </row>
        <row r="10">
          <cell r="B10" t="str">
            <v xml:space="preserve">    Neupogen - ex US</v>
          </cell>
          <cell r="M10">
            <v>102.5</v>
          </cell>
          <cell r="O10">
            <v>96.2</v>
          </cell>
          <cell r="Q10">
            <v>386.2</v>
          </cell>
          <cell r="T10">
            <v>96.7</v>
          </cell>
          <cell r="V10">
            <v>100.7</v>
          </cell>
          <cell r="X10">
            <v>95</v>
          </cell>
          <cell r="Y10">
            <v>-7.3170731707317027E-2</v>
          </cell>
          <cell r="Z10">
            <v>105</v>
          </cell>
          <cell r="AA10">
            <v>9.1476091476091481E-2</v>
          </cell>
          <cell r="AB10">
            <v>397.4</v>
          </cell>
          <cell r="AC10">
            <v>2.9000517866390352E-2</v>
          </cell>
          <cell r="AF10">
            <v>112</v>
          </cell>
          <cell r="AG10">
            <v>0.15822130299896586</v>
          </cell>
          <cell r="AH10">
            <v>104</v>
          </cell>
          <cell r="AI10">
            <v>3.2770605759682159E-2</v>
          </cell>
          <cell r="AJ10">
            <v>100</v>
          </cell>
          <cell r="AK10">
            <v>5.2631578947368363E-2</v>
          </cell>
          <cell r="AL10">
            <v>95</v>
          </cell>
          <cell r="AM10">
            <v>-9.5238095238095233E-2</v>
          </cell>
          <cell r="AN10">
            <v>411</v>
          </cell>
          <cell r="AO10">
            <v>3.4222445898339338E-2</v>
          </cell>
          <cell r="AR10">
            <v>97</v>
          </cell>
          <cell r="AS10">
            <v>-0.1339285714285714</v>
          </cell>
          <cell r="AT10">
            <v>98.999999999999986</v>
          </cell>
          <cell r="AV10">
            <v>90.000000000000014</v>
          </cell>
          <cell r="AX10">
            <v>93.000000000000014</v>
          </cell>
          <cell r="AZ10">
            <v>379</v>
          </cell>
        </row>
        <row r="11">
          <cell r="B11" t="str">
            <v>Neupogen -WW</v>
          </cell>
          <cell r="C11">
            <v>355</v>
          </cell>
          <cell r="D11">
            <v>363</v>
          </cell>
          <cell r="E11">
            <v>332</v>
          </cell>
          <cell r="F11">
            <v>329</v>
          </cell>
          <cell r="G11">
            <v>1379</v>
          </cell>
          <cell r="I11">
            <v>284</v>
          </cell>
          <cell r="K11">
            <v>330.8</v>
          </cell>
          <cell r="M11">
            <v>330.4</v>
          </cell>
          <cell r="O11">
            <v>321.5</v>
          </cell>
          <cell r="Q11">
            <v>1266.7</v>
          </cell>
          <cell r="T11">
            <v>269</v>
          </cell>
          <cell r="U11">
            <v>-5.2816901408450745E-2</v>
          </cell>
          <cell r="V11">
            <v>295.2</v>
          </cell>
          <cell r="W11">
            <v>-0.10761789600967353</v>
          </cell>
          <cell r="X11">
            <v>302</v>
          </cell>
          <cell r="Y11">
            <v>-8.5956416464890939E-2</v>
          </cell>
          <cell r="Z11">
            <v>309</v>
          </cell>
          <cell r="AA11">
            <v>-3.8880248833592534E-2</v>
          </cell>
          <cell r="AB11">
            <v>1175.1999999999998</v>
          </cell>
          <cell r="AC11">
            <v>-7.2234941185758461E-2</v>
          </cell>
          <cell r="AF11">
            <v>294</v>
          </cell>
          <cell r="AG11">
            <v>9.2936802973977661E-2</v>
          </cell>
          <cell r="AH11">
            <v>312</v>
          </cell>
          <cell r="AI11">
            <v>5.6910569105691033E-2</v>
          </cell>
          <cell r="AJ11">
            <v>305</v>
          </cell>
          <cell r="AK11">
            <v>9.9337748344370258E-3</v>
          </cell>
          <cell r="AL11">
            <v>305</v>
          </cell>
          <cell r="AM11">
            <v>-1.2944983818770184E-2</v>
          </cell>
          <cell r="AN11">
            <v>1216</v>
          </cell>
          <cell r="AO11">
            <v>3.4717494894486167E-2</v>
          </cell>
          <cell r="AR11">
            <v>288</v>
          </cell>
          <cell r="AS11">
            <v>-2.0408163265306145E-2</v>
          </cell>
          <cell r="AT11">
            <v>300</v>
          </cell>
          <cell r="AU11">
            <v>-3.8461538461538436E-2</v>
          </cell>
          <cell r="AV11">
            <v>300</v>
          </cell>
          <cell r="AW11">
            <v>-1.6393442622950838E-2</v>
          </cell>
          <cell r="AX11">
            <v>300</v>
          </cell>
          <cell r="AY11">
            <v>-1.6393442622950838E-2</v>
          </cell>
          <cell r="AZ11">
            <v>1188</v>
          </cell>
          <cell r="BA11">
            <v>-2.3026315789473673E-2</v>
          </cell>
        </row>
        <row r="12">
          <cell r="B12" t="str">
            <v xml:space="preserve">    Neulasta - US</v>
          </cell>
          <cell r="M12">
            <v>304.3</v>
          </cell>
          <cell r="O12">
            <v>328</v>
          </cell>
          <cell r="Q12">
            <v>1175.7</v>
          </cell>
          <cell r="T12">
            <v>336.3</v>
          </cell>
          <cell r="V12">
            <v>362.2</v>
          </cell>
          <cell r="X12">
            <v>384</v>
          </cell>
          <cell r="Y12">
            <v>0.26191258626355562</v>
          </cell>
          <cell r="Z12">
            <v>394</v>
          </cell>
          <cell r="AA12">
            <v>0.20121951219512191</v>
          </cell>
          <cell r="AB12">
            <v>1476.5</v>
          </cell>
          <cell r="AC12">
            <v>0.25584758016500797</v>
          </cell>
          <cell r="AF12">
            <v>416</v>
          </cell>
          <cell r="AG12">
            <v>0.23699078203984536</v>
          </cell>
          <cell r="AH12">
            <v>490</v>
          </cell>
          <cell r="AI12">
            <v>0.35284373274434011</v>
          </cell>
          <cell r="AJ12">
            <v>475</v>
          </cell>
          <cell r="AK12">
            <v>0.23697916666666674</v>
          </cell>
          <cell r="AL12">
            <v>519</v>
          </cell>
          <cell r="AM12">
            <v>0.31725888324873086</v>
          </cell>
          <cell r="AN12">
            <v>1900</v>
          </cell>
          <cell r="AO12">
            <v>0.28682695563833382</v>
          </cell>
          <cell r="AR12">
            <v>497</v>
          </cell>
          <cell r="AS12">
            <v>0.19471153846153855</v>
          </cell>
          <cell r="AT12">
            <v>531.19999999999993</v>
          </cell>
          <cell r="AV12">
            <v>543.59375</v>
          </cell>
          <cell r="AX12">
            <v>572.69999999999993</v>
          </cell>
          <cell r="AZ12">
            <v>2144.4937499999996</v>
          </cell>
        </row>
        <row r="13">
          <cell r="B13" t="str">
            <v xml:space="preserve">    Neulasta - ex US</v>
          </cell>
          <cell r="M13">
            <v>22.6</v>
          </cell>
          <cell r="O13">
            <v>38.700000000000003</v>
          </cell>
          <cell r="Q13">
            <v>79.3</v>
          </cell>
          <cell r="T13">
            <v>58.4</v>
          </cell>
          <cell r="V13">
            <v>63.7</v>
          </cell>
          <cell r="X13">
            <v>66</v>
          </cell>
          <cell r="Y13">
            <v>1.9203539823008846</v>
          </cell>
          <cell r="Z13">
            <v>75</v>
          </cell>
          <cell r="AA13">
            <v>0.9379844961240309</v>
          </cell>
          <cell r="AB13">
            <v>263.10000000000002</v>
          </cell>
          <cell r="AC13">
            <v>2.3177805800756626</v>
          </cell>
          <cell r="AF13">
            <v>85</v>
          </cell>
          <cell r="AG13">
            <v>0.45547945205479445</v>
          </cell>
          <cell r="AH13">
            <v>97</v>
          </cell>
          <cell r="AI13">
            <v>0.52276295133437989</v>
          </cell>
          <cell r="AJ13">
            <v>102</v>
          </cell>
          <cell r="AK13">
            <v>0.54545454545454541</v>
          </cell>
          <cell r="AL13">
            <v>104</v>
          </cell>
          <cell r="AM13">
            <v>0.38666666666666671</v>
          </cell>
          <cell r="AN13">
            <v>388</v>
          </cell>
          <cell r="AO13">
            <v>0.47472443937666275</v>
          </cell>
          <cell r="AR13">
            <v>111</v>
          </cell>
          <cell r="AS13">
            <v>0.30588235294117649</v>
          </cell>
          <cell r="AT13">
            <v>108.80000000000003</v>
          </cell>
          <cell r="AV13">
            <v>121.40624999999999</v>
          </cell>
          <cell r="AX13">
            <v>117.30000000000003</v>
          </cell>
          <cell r="AZ13">
            <v>458.50625000000002</v>
          </cell>
        </row>
        <row r="14">
          <cell r="B14" t="str">
            <v>Neulasta - WW</v>
          </cell>
          <cell r="C14">
            <v>0</v>
          </cell>
          <cell r="D14">
            <v>110</v>
          </cell>
          <cell r="E14">
            <v>142</v>
          </cell>
          <cell r="F14">
            <v>212</v>
          </cell>
          <cell r="G14">
            <v>464</v>
          </cell>
          <cell r="I14">
            <v>257.89999999999998</v>
          </cell>
          <cell r="K14">
            <v>303.5</v>
          </cell>
          <cell r="M14">
            <v>326.90000000000003</v>
          </cell>
          <cell r="O14">
            <v>366.7</v>
          </cell>
          <cell r="Q14">
            <v>1255</v>
          </cell>
          <cell r="T14">
            <v>394.7</v>
          </cell>
          <cell r="U14">
            <v>0.53043815432338115</v>
          </cell>
          <cell r="V14">
            <v>425.9</v>
          </cell>
          <cell r="W14">
            <v>0.40329489291598009</v>
          </cell>
          <cell r="X14">
            <v>450</v>
          </cell>
          <cell r="Y14">
            <v>0.37656775772407447</v>
          </cell>
          <cell r="Z14">
            <v>469</v>
          </cell>
          <cell r="AA14">
            <v>0.27897463866921202</v>
          </cell>
          <cell r="AB14">
            <v>1739.6</v>
          </cell>
          <cell r="AC14">
            <v>0.38613545816733064</v>
          </cell>
          <cell r="AF14">
            <v>501</v>
          </cell>
          <cell r="AG14">
            <v>0.26931846972384088</v>
          </cell>
          <cell r="AH14">
            <v>587</v>
          </cell>
          <cell r="AI14">
            <v>0.37825780699694778</v>
          </cell>
          <cell r="AJ14">
            <v>577</v>
          </cell>
          <cell r="AK14">
            <v>0.28222222222222215</v>
          </cell>
          <cell r="AL14">
            <v>623</v>
          </cell>
          <cell r="AM14">
            <v>0.32835820895522394</v>
          </cell>
          <cell r="AN14">
            <v>2288</v>
          </cell>
          <cell r="AO14">
            <v>0.31524488388135219</v>
          </cell>
          <cell r="AR14">
            <v>608</v>
          </cell>
          <cell r="AS14">
            <v>0.21357285429141726</v>
          </cell>
          <cell r="AT14">
            <v>640</v>
          </cell>
          <cell r="AU14">
            <v>9.028960817717202E-2</v>
          </cell>
          <cell r="AV14">
            <v>665</v>
          </cell>
          <cell r="AW14">
            <v>0.15251299826689779</v>
          </cell>
          <cell r="AX14">
            <v>690</v>
          </cell>
          <cell r="AY14">
            <v>0.1075441412520064</v>
          </cell>
          <cell r="AZ14">
            <v>2603</v>
          </cell>
          <cell r="BA14">
            <v>0.13767482517482521</v>
          </cell>
        </row>
        <row r="15">
          <cell r="B15" t="str">
            <v>Enbrel</v>
          </cell>
          <cell r="C15">
            <v>0</v>
          </cell>
          <cell r="D15">
            <v>0</v>
          </cell>
          <cell r="E15">
            <v>158</v>
          </cell>
          <cell r="F15">
            <v>204</v>
          </cell>
          <cell r="G15">
            <v>362</v>
          </cell>
          <cell r="I15">
            <v>274</v>
          </cell>
          <cell r="K15">
            <v>304</v>
          </cell>
          <cell r="M15">
            <v>341.6</v>
          </cell>
          <cell r="O15">
            <v>380.4</v>
          </cell>
          <cell r="Q15">
            <v>1300</v>
          </cell>
          <cell r="T15">
            <v>397.3</v>
          </cell>
          <cell r="U15">
            <v>0.44999999999999996</v>
          </cell>
          <cell r="V15">
            <v>440</v>
          </cell>
          <cell r="W15">
            <v>0.44736842105263164</v>
          </cell>
          <cell r="X15">
            <v>496</v>
          </cell>
          <cell r="Y15">
            <v>0.45199063231850101</v>
          </cell>
          <cell r="Z15">
            <v>567</v>
          </cell>
          <cell r="AA15">
            <v>0.49053627760252372</v>
          </cell>
          <cell r="AB15">
            <v>1900.3</v>
          </cell>
          <cell r="AC15">
            <v>0.46176923076923071</v>
          </cell>
          <cell r="AF15">
            <v>592</v>
          </cell>
          <cell r="AG15">
            <v>0.49005789076264783</v>
          </cell>
          <cell r="AH15">
            <v>639</v>
          </cell>
          <cell r="AI15">
            <v>0.45227272727272738</v>
          </cell>
          <cell r="AJ15">
            <v>668</v>
          </cell>
          <cell r="AK15">
            <v>0.34677419354838701</v>
          </cell>
          <cell r="AL15">
            <v>674</v>
          </cell>
          <cell r="AM15">
            <v>0.18871252204585542</v>
          </cell>
          <cell r="AN15">
            <v>2573</v>
          </cell>
          <cell r="AO15">
            <v>0.35399673735725945</v>
          </cell>
          <cell r="AR15">
            <v>658</v>
          </cell>
          <cell r="AS15">
            <v>0.1114864864864864</v>
          </cell>
          <cell r="AT15">
            <v>680</v>
          </cell>
          <cell r="AU15">
            <v>6.4162754303599412E-2</v>
          </cell>
          <cell r="AV15">
            <v>715</v>
          </cell>
          <cell r="AW15">
            <v>7.0359281437125665E-2</v>
          </cell>
          <cell r="AX15">
            <v>740</v>
          </cell>
          <cell r="AY15">
            <v>9.7922848664688367E-2</v>
          </cell>
          <cell r="AZ15">
            <v>2793</v>
          </cell>
          <cell r="BA15">
            <v>8.5503303536727637E-2</v>
          </cell>
        </row>
        <row r="16">
          <cell r="B16" t="str">
            <v>Sensipar</v>
          </cell>
          <cell r="I16">
            <v>0</v>
          </cell>
          <cell r="K16">
            <v>0</v>
          </cell>
          <cell r="M16">
            <v>0</v>
          </cell>
          <cell r="O16">
            <v>0</v>
          </cell>
          <cell r="Q16">
            <v>0</v>
          </cell>
          <cell r="T16">
            <v>0</v>
          </cell>
          <cell r="V16">
            <v>7</v>
          </cell>
          <cell r="X16">
            <v>10</v>
          </cell>
          <cell r="Z16">
            <v>18</v>
          </cell>
          <cell r="AB16">
            <v>35</v>
          </cell>
          <cell r="AF16">
            <v>25</v>
          </cell>
          <cell r="AH16">
            <v>35</v>
          </cell>
          <cell r="AI16">
            <v>4</v>
          </cell>
          <cell r="AJ16">
            <v>40</v>
          </cell>
          <cell r="AK16">
            <v>3</v>
          </cell>
          <cell r="AL16">
            <v>51</v>
          </cell>
          <cell r="AM16">
            <v>1.8333333333333335</v>
          </cell>
          <cell r="AN16">
            <v>151</v>
          </cell>
          <cell r="AO16">
            <v>3.3142857142857141</v>
          </cell>
          <cell r="AR16">
            <v>61</v>
          </cell>
          <cell r="AS16">
            <v>1.44</v>
          </cell>
          <cell r="AT16">
            <v>65</v>
          </cell>
          <cell r="AU16">
            <v>0.85714285714285721</v>
          </cell>
          <cell r="AV16">
            <v>73</v>
          </cell>
          <cell r="AW16">
            <v>0.82499999999999996</v>
          </cell>
          <cell r="AX16">
            <v>84</v>
          </cell>
          <cell r="AY16">
            <v>0.64705882352941169</v>
          </cell>
          <cell r="AZ16">
            <v>283</v>
          </cell>
          <cell r="BA16">
            <v>0.8741721854304636</v>
          </cell>
        </row>
        <row r="17">
          <cell r="B17" t="str">
            <v>Panitumumab</v>
          </cell>
          <cell r="AX17">
            <v>35</v>
          </cell>
          <cell r="AZ17">
            <v>35</v>
          </cell>
        </row>
        <row r="18">
          <cell r="B18" t="str">
            <v>Palifermin</v>
          </cell>
          <cell r="AF18">
            <v>4</v>
          </cell>
          <cell r="AH18">
            <v>7</v>
          </cell>
          <cell r="AJ18">
            <v>8</v>
          </cell>
          <cell r="AL18">
            <v>13</v>
          </cell>
          <cell r="AN18">
            <v>32</v>
          </cell>
          <cell r="AR18">
            <v>13</v>
          </cell>
          <cell r="AT18">
            <v>18</v>
          </cell>
          <cell r="AU18">
            <v>1.5714285714285716</v>
          </cell>
          <cell r="AV18">
            <v>20</v>
          </cell>
          <cell r="AW18">
            <v>1.5</v>
          </cell>
          <cell r="AX18">
            <v>22</v>
          </cell>
          <cell r="AY18">
            <v>0.69230769230769229</v>
          </cell>
          <cell r="AZ18">
            <v>73</v>
          </cell>
        </row>
        <row r="19">
          <cell r="B19" t="str">
            <v xml:space="preserve">Other </v>
          </cell>
          <cell r="C19">
            <v>2.6</v>
          </cell>
          <cell r="D19">
            <v>16.2</v>
          </cell>
          <cell r="E19">
            <v>41.8</v>
          </cell>
          <cell r="F19">
            <v>49.6</v>
          </cell>
          <cell r="G19">
            <v>110.19999999999999</v>
          </cell>
          <cell r="I19">
            <v>18.100000000000001</v>
          </cell>
          <cell r="K19">
            <v>19.399999999999999</v>
          </cell>
          <cell r="M19">
            <v>15</v>
          </cell>
          <cell r="O19">
            <v>15.5</v>
          </cell>
          <cell r="Q19">
            <v>68</v>
          </cell>
          <cell r="T19">
            <v>14.2</v>
          </cell>
          <cell r="U19">
            <v>-0.21546961325966862</v>
          </cell>
          <cell r="V19">
            <v>13</v>
          </cell>
          <cell r="W19">
            <v>-0.32989690721649478</v>
          </cell>
          <cell r="X19">
            <v>13</v>
          </cell>
          <cell r="Y19">
            <v>-0.1333333333333333</v>
          </cell>
          <cell r="Z19">
            <v>13</v>
          </cell>
          <cell r="AA19">
            <v>-0.16129032258064513</v>
          </cell>
          <cell r="AB19">
            <v>53.2</v>
          </cell>
          <cell r="AC19">
            <v>-0.21764705882352942</v>
          </cell>
          <cell r="AF19">
            <v>13</v>
          </cell>
          <cell r="AG19">
            <v>-8.4507042253521125E-2</v>
          </cell>
          <cell r="AH19">
            <v>8</v>
          </cell>
          <cell r="AI19">
            <v>-0.38461538461538458</v>
          </cell>
          <cell r="AJ19">
            <v>12</v>
          </cell>
          <cell r="AK19">
            <v>-7.6923076923076872E-2</v>
          </cell>
          <cell r="AL19">
            <v>3</v>
          </cell>
          <cell r="AM19">
            <v>-0.76923076923076916</v>
          </cell>
          <cell r="AN19">
            <v>34</v>
          </cell>
          <cell r="AO19">
            <v>-0.36090225563909772</v>
          </cell>
          <cell r="AR19">
            <v>2</v>
          </cell>
          <cell r="AS19">
            <v>-0.84615384615384615</v>
          </cell>
          <cell r="AT19">
            <v>5</v>
          </cell>
          <cell r="AU19">
            <v>-0.375</v>
          </cell>
          <cell r="AV19">
            <v>5</v>
          </cell>
          <cell r="AW19">
            <v>-0.58333333333333326</v>
          </cell>
          <cell r="AX19">
            <v>5</v>
          </cell>
          <cell r="AY19">
            <v>0.66666666666666674</v>
          </cell>
          <cell r="AZ19">
            <v>17</v>
          </cell>
          <cell r="BA19">
            <v>-0.5</v>
          </cell>
        </row>
        <row r="20">
          <cell r="B20" t="str">
            <v>Total Product Sales</v>
          </cell>
          <cell r="C20">
            <v>908.6</v>
          </cell>
          <cell r="D20">
            <v>1115.2</v>
          </cell>
          <cell r="E20">
            <v>1345.8</v>
          </cell>
          <cell r="F20">
            <v>1621.6</v>
          </cell>
          <cell r="G20">
            <v>4991.2</v>
          </cell>
          <cell r="I20">
            <v>1635.8999999999996</v>
          </cell>
          <cell r="K20">
            <v>1916.5</v>
          </cell>
          <cell r="M20">
            <v>2078.1000000000004</v>
          </cell>
          <cell r="O20">
            <v>2237.6999999999998</v>
          </cell>
          <cell r="Q20">
            <v>7868.2</v>
          </cell>
          <cell r="T20">
            <v>2207.8000000000002</v>
          </cell>
          <cell r="U20">
            <v>0.34959349593495981</v>
          </cell>
          <cell r="V20">
            <v>2431</v>
          </cell>
          <cell r="W20">
            <v>0.26845812679363412</v>
          </cell>
          <cell r="X20">
            <v>2560</v>
          </cell>
          <cell r="Y20">
            <v>0.23189451903180758</v>
          </cell>
          <cell r="Z20">
            <v>2778</v>
          </cell>
          <cell r="AA20">
            <v>0.24145327791929216</v>
          </cell>
          <cell r="AB20">
            <v>9976.7999999999993</v>
          </cell>
          <cell r="AC20">
            <v>0.26799013751556888</v>
          </cell>
          <cell r="AF20">
            <v>2735</v>
          </cell>
          <cell r="AG20">
            <v>0.23878974544795706</v>
          </cell>
          <cell r="AH20">
            <v>3072</v>
          </cell>
          <cell r="AI20">
            <v>0.26367749897161663</v>
          </cell>
          <cell r="AJ20">
            <v>3049</v>
          </cell>
          <cell r="AK20">
            <v>0.19101562499999991</v>
          </cell>
          <cell r="AL20">
            <v>3168</v>
          </cell>
          <cell r="AM20">
            <v>0.14038876889848817</v>
          </cell>
          <cell r="AN20">
            <v>12022</v>
          </cell>
          <cell r="AO20">
            <v>0.20499558976826249</v>
          </cell>
          <cell r="AR20">
            <v>3127</v>
          </cell>
          <cell r="AS20">
            <v>0.1433272394881171</v>
          </cell>
          <cell r="AT20">
            <v>3303</v>
          </cell>
          <cell r="AU20">
            <v>7.51953125E-2</v>
          </cell>
          <cell r="AV20">
            <v>3423</v>
          </cell>
          <cell r="AW20">
            <v>0.12266316825188595</v>
          </cell>
          <cell r="AX20">
            <v>3566</v>
          </cell>
          <cell r="AY20">
            <v>0.12563131313131315</v>
          </cell>
          <cell r="AZ20">
            <v>13419</v>
          </cell>
          <cell r="BA20">
            <v>0.11620362668441198</v>
          </cell>
        </row>
        <row r="21">
          <cell r="B21" t="str">
            <v>Corporate Partner Rev.</v>
          </cell>
          <cell r="C21">
            <v>31.5</v>
          </cell>
          <cell r="D21">
            <v>53.9</v>
          </cell>
          <cell r="E21">
            <v>62.8</v>
          </cell>
          <cell r="F21">
            <v>52.1</v>
          </cell>
          <cell r="G21">
            <v>200.3</v>
          </cell>
          <cell r="I21">
            <v>33.9</v>
          </cell>
          <cell r="K21">
            <v>32.700000000000003</v>
          </cell>
          <cell r="M21">
            <v>28.8</v>
          </cell>
          <cell r="O21">
            <v>9.3000000000000007</v>
          </cell>
          <cell r="Q21">
            <v>104.69999999999999</v>
          </cell>
          <cell r="T21">
            <v>35</v>
          </cell>
          <cell r="U21">
            <v>3.2448377581121068E-2</v>
          </cell>
          <cell r="V21">
            <v>43.9</v>
          </cell>
          <cell r="W21">
            <v>0.34250764525993871</v>
          </cell>
          <cell r="X21">
            <v>38</v>
          </cell>
          <cell r="Y21">
            <v>0.31944444444444442</v>
          </cell>
          <cell r="Z21">
            <v>21</v>
          </cell>
          <cell r="AA21">
            <v>1.258064516129032</v>
          </cell>
          <cell r="AB21">
            <v>137.9</v>
          </cell>
          <cell r="AC21">
            <v>0.31709646609360087</v>
          </cell>
          <cell r="AF21">
            <v>0</v>
          </cell>
          <cell r="AG21">
            <v>-1</v>
          </cell>
          <cell r="AH21">
            <v>0</v>
          </cell>
          <cell r="AI21">
            <v>-1</v>
          </cell>
          <cell r="AK21">
            <v>-1</v>
          </cell>
          <cell r="AM21">
            <v>-1</v>
          </cell>
          <cell r="AN21">
            <v>0</v>
          </cell>
          <cell r="AO21">
            <v>-1</v>
          </cell>
          <cell r="AR21">
            <v>0</v>
          </cell>
          <cell r="AS21" t="e">
            <v>#DIV/0!</v>
          </cell>
          <cell r="AT21">
            <v>0</v>
          </cell>
          <cell r="AU21" t="e">
            <v>#DIV/0!</v>
          </cell>
          <cell r="AW21" t="e">
            <v>#DIV/0!</v>
          </cell>
          <cell r="AY21" t="e">
            <v>#DIV/0!</v>
          </cell>
          <cell r="AZ21">
            <v>0</v>
          </cell>
          <cell r="BA21" t="e">
            <v>#DIV/0!</v>
          </cell>
        </row>
        <row r="22">
          <cell r="B22" t="str">
            <v>Royalties/Corporate Partner</v>
          </cell>
          <cell r="C22">
            <v>68.400000000000006</v>
          </cell>
          <cell r="D22">
            <v>80</v>
          </cell>
          <cell r="E22">
            <v>90.7</v>
          </cell>
          <cell r="F22">
            <v>92.4</v>
          </cell>
          <cell r="G22">
            <v>331.5</v>
          </cell>
          <cell r="I22">
            <v>91.4</v>
          </cell>
          <cell r="K22">
            <v>91.9</v>
          </cell>
          <cell r="M22">
            <v>100.5</v>
          </cell>
          <cell r="O22">
            <v>99.3</v>
          </cell>
          <cell r="Q22">
            <v>383.1</v>
          </cell>
          <cell r="T22">
            <v>100.2</v>
          </cell>
          <cell r="U22">
            <v>9.6280087527352176E-2</v>
          </cell>
          <cell r="V22">
            <v>110</v>
          </cell>
          <cell r="W22">
            <v>0.19695321001088129</v>
          </cell>
          <cell r="X22">
            <v>115</v>
          </cell>
          <cell r="Y22">
            <v>0.14427860696517403</v>
          </cell>
          <cell r="Z22">
            <v>110</v>
          </cell>
          <cell r="AA22">
            <v>0.10775427995971798</v>
          </cell>
          <cell r="AB22">
            <v>435.2</v>
          </cell>
          <cell r="AC22">
            <v>0.13599582354476625</v>
          </cell>
          <cell r="AF22">
            <v>98</v>
          </cell>
          <cell r="AG22">
            <v>-2.1956087824351322E-2</v>
          </cell>
          <cell r="AH22">
            <v>100</v>
          </cell>
          <cell r="AI22">
            <v>-9.0909090909090939E-2</v>
          </cell>
          <cell r="AJ22">
            <v>107</v>
          </cell>
          <cell r="AK22">
            <v>-6.956521739130439E-2</v>
          </cell>
          <cell r="AL22">
            <v>103</v>
          </cell>
          <cell r="AM22">
            <v>-6.3636363636363602E-2</v>
          </cell>
          <cell r="AN22">
            <v>408</v>
          </cell>
          <cell r="AO22">
            <v>-6.25E-2</v>
          </cell>
          <cell r="AR22">
            <v>90</v>
          </cell>
          <cell r="AS22">
            <v>-8.1632653061224469E-2</v>
          </cell>
          <cell r="AT22">
            <v>90</v>
          </cell>
          <cell r="AU22">
            <v>-9.9999999999999978E-2</v>
          </cell>
          <cell r="AV22">
            <v>90</v>
          </cell>
          <cell r="AW22">
            <v>-0.15887850467289721</v>
          </cell>
          <cell r="AX22">
            <v>90</v>
          </cell>
          <cell r="AY22">
            <v>-0.12621359223300976</v>
          </cell>
          <cell r="AZ22">
            <v>360</v>
          </cell>
          <cell r="BA22">
            <v>-0.11764705882352944</v>
          </cell>
        </row>
        <row r="23">
          <cell r="B23" t="str">
            <v>Total Revenues</v>
          </cell>
          <cell r="C23">
            <v>1008.5</v>
          </cell>
          <cell r="D23">
            <v>1249.1000000000001</v>
          </cell>
          <cell r="E23">
            <v>1499.3</v>
          </cell>
          <cell r="F23">
            <v>1766.1</v>
          </cell>
          <cell r="G23">
            <v>5523</v>
          </cell>
          <cell r="I23">
            <v>1761.1999999999998</v>
          </cell>
          <cell r="K23">
            <v>2041.1000000000001</v>
          </cell>
          <cell r="M23">
            <v>2207.4000000000005</v>
          </cell>
          <cell r="O23">
            <v>2346.3000000000002</v>
          </cell>
          <cell r="Q23">
            <v>8356</v>
          </cell>
          <cell r="T23">
            <v>2343</v>
          </cell>
          <cell r="U23">
            <v>0.33034294799000685</v>
          </cell>
          <cell r="V23">
            <v>2584.9</v>
          </cell>
          <cell r="W23">
            <v>0.26642496692959683</v>
          </cell>
          <cell r="X23">
            <v>2713</v>
          </cell>
          <cell r="Y23">
            <v>0.22904774848237719</v>
          </cell>
          <cell r="Z23">
            <v>2909</v>
          </cell>
          <cell r="AA23">
            <v>0.23982440438136621</v>
          </cell>
          <cell r="AB23">
            <v>10549.9</v>
          </cell>
          <cell r="AC23">
            <v>0.26255385351842975</v>
          </cell>
          <cell r="AF23">
            <v>2833</v>
          </cell>
          <cell r="AG23">
            <v>8574.9360605018901</v>
          </cell>
          <cell r="AH23">
            <v>3172</v>
          </cell>
          <cell r="AI23">
            <v>0.22712677473016352</v>
          </cell>
          <cell r="AJ23">
            <v>3156</v>
          </cell>
          <cell r="AK23">
            <v>0.16328787320309623</v>
          </cell>
          <cell r="AL23">
            <v>3271</v>
          </cell>
          <cell r="AM23">
            <v>0.12444138879339972</v>
          </cell>
          <cell r="AN23">
            <v>12430</v>
          </cell>
          <cell r="AO23">
            <v>0.17821022000208542</v>
          </cell>
          <cell r="AR23">
            <v>3217</v>
          </cell>
          <cell r="AS23">
            <v>0.13554535827744441</v>
          </cell>
          <cell r="AT23">
            <v>3393</v>
          </cell>
          <cell r="AU23">
            <v>6.9672131147541005E-2</v>
          </cell>
          <cell r="AV23">
            <v>3513</v>
          </cell>
          <cell r="AW23">
            <v>0.1131178707224334</v>
          </cell>
          <cell r="AX23">
            <v>3656</v>
          </cell>
          <cell r="AY23">
            <v>0.11770100886579038</v>
          </cell>
          <cell r="AZ23">
            <v>13779</v>
          </cell>
          <cell r="BA23">
            <v>0.10852775543041027</v>
          </cell>
        </row>
        <row r="24">
          <cell r="B24" t="str">
            <v>Operating Expenses:</v>
          </cell>
          <cell r="AC24">
            <v>11921.386999999999</v>
          </cell>
        </row>
        <row r="25">
          <cell r="B25" t="str">
            <v xml:space="preserve">   Cost of Sales</v>
          </cell>
          <cell r="C25">
            <v>103.6</v>
          </cell>
          <cell r="D25">
            <v>131.9</v>
          </cell>
          <cell r="E25">
            <v>226.4</v>
          </cell>
          <cell r="F25">
            <v>278.39999999999998</v>
          </cell>
          <cell r="G25">
            <v>740.3</v>
          </cell>
          <cell r="I25">
            <v>283.3</v>
          </cell>
          <cell r="K25">
            <v>329.1</v>
          </cell>
          <cell r="M25">
            <v>340</v>
          </cell>
          <cell r="O25">
            <v>388.3</v>
          </cell>
          <cell r="Q25">
            <v>1340.7</v>
          </cell>
          <cell r="T25">
            <v>371.5</v>
          </cell>
          <cell r="U25">
            <v>0.31133074479350498</v>
          </cell>
          <cell r="V25">
            <v>435</v>
          </cell>
          <cell r="W25">
            <v>0.32178669097538726</v>
          </cell>
          <cell r="X25">
            <v>447</v>
          </cell>
          <cell r="Y25">
            <v>0.31470588235294117</v>
          </cell>
          <cell r="Z25">
            <v>476</v>
          </cell>
          <cell r="AA25">
            <v>0.22585629667782636</v>
          </cell>
          <cell r="AB25">
            <v>1729.5</v>
          </cell>
          <cell r="AC25">
            <v>0.28999776236294461</v>
          </cell>
          <cell r="AF25">
            <v>489</v>
          </cell>
          <cell r="AG25">
            <v>0.31628532974428003</v>
          </cell>
          <cell r="AH25">
            <v>530</v>
          </cell>
          <cell r="AI25">
            <v>0.21839080459770122</v>
          </cell>
          <cell r="AJ25">
            <v>505</v>
          </cell>
          <cell r="AK25">
            <v>0.12975391498881428</v>
          </cell>
          <cell r="AL25">
            <v>511</v>
          </cell>
          <cell r="AM25">
            <v>7.3529411764705843E-2</v>
          </cell>
          <cell r="AN25">
            <v>2035</v>
          </cell>
          <cell r="AO25">
            <v>0.17664064758600762</v>
          </cell>
          <cell r="AR25">
            <v>552</v>
          </cell>
          <cell r="AS25">
            <v>0.12883435582822078</v>
          </cell>
          <cell r="AT25">
            <v>561.51</v>
          </cell>
          <cell r="AU25">
            <v>5.9452830188679195E-2</v>
          </cell>
          <cell r="AV25">
            <v>573.35250000000008</v>
          </cell>
          <cell r="AW25">
            <v>0.13535148514851492</v>
          </cell>
          <cell r="AX25">
            <v>588.39</v>
          </cell>
          <cell r="AY25">
            <v>0.15144814090019576</v>
          </cell>
          <cell r="AZ25">
            <v>2275.2525000000001</v>
          </cell>
          <cell r="BA25">
            <v>0.11806019656019662</v>
          </cell>
        </row>
        <row r="26">
          <cell r="B26" t="str">
            <v xml:space="preserve">   % of Product Revenues</v>
          </cell>
          <cell r="C26">
            <v>0.11402157164869028</v>
          </cell>
          <cell r="D26">
            <v>0.11827474892395982</v>
          </cell>
          <cell r="E26">
            <v>0.16822707683162433</v>
          </cell>
          <cell r="F26">
            <v>0.17168228909718797</v>
          </cell>
          <cell r="G26">
            <v>0.1483210450392691</v>
          </cell>
          <cell r="I26">
            <v>0.17018155143957453</v>
          </cell>
          <cell r="K26">
            <v>0.16916253587268457</v>
          </cell>
          <cell r="M26">
            <v>0.16149367210432608</v>
          </cell>
          <cell r="O26">
            <v>0.17138132904321401</v>
          </cell>
          <cell r="Q26">
            <v>0.1679799700058463</v>
          </cell>
          <cell r="T26">
            <v>0.16826705317510643</v>
          </cell>
          <cell r="V26">
            <v>0.17893870835047307</v>
          </cell>
          <cell r="X26">
            <v>0.17460937500000001</v>
          </cell>
          <cell r="Z26">
            <v>0.17134629229661627</v>
          </cell>
          <cell r="AB26">
            <v>0.17335217705075778</v>
          </cell>
          <cell r="AF26">
            <v>0.17879341864716636</v>
          </cell>
          <cell r="AH26">
            <v>0.17252604166666666</v>
          </cell>
          <cell r="AJ26">
            <v>0.16562807477861594</v>
          </cell>
          <cell r="AL26">
            <v>0.16130050505050506</v>
          </cell>
          <cell r="AN26">
            <v>0.16927299950091498</v>
          </cell>
          <cell r="AR26">
            <v>0.17652702270546849</v>
          </cell>
          <cell r="AT26">
            <v>0.17</v>
          </cell>
          <cell r="AV26">
            <v>0.16750000000000001</v>
          </cell>
          <cell r="AX26">
            <v>0.16500000000000001</v>
          </cell>
          <cell r="AZ26">
            <v>0.16955454951933827</v>
          </cell>
        </row>
        <row r="27">
          <cell r="B27" t="str">
            <v xml:space="preserve">   R&amp;D</v>
          </cell>
          <cell r="C27">
            <v>203.4</v>
          </cell>
          <cell r="D27">
            <v>233.6</v>
          </cell>
          <cell r="E27">
            <v>312.60000000000002</v>
          </cell>
          <cell r="F27">
            <v>367</v>
          </cell>
          <cell r="G27">
            <v>1116.5999999999999</v>
          </cell>
          <cell r="I27">
            <v>351.3</v>
          </cell>
          <cell r="K27">
            <v>393.7</v>
          </cell>
          <cell r="M27">
            <v>407.5</v>
          </cell>
          <cell r="O27">
            <v>502.9</v>
          </cell>
          <cell r="Q27">
            <v>1655.4</v>
          </cell>
          <cell r="T27">
            <v>432.9</v>
          </cell>
          <cell r="U27">
            <v>0.23228010247651576</v>
          </cell>
          <cell r="V27">
            <v>460.4</v>
          </cell>
          <cell r="W27">
            <v>0.16941833883667767</v>
          </cell>
          <cell r="X27">
            <v>495</v>
          </cell>
          <cell r="Y27">
            <v>0.21472392638036819</v>
          </cell>
          <cell r="Z27">
            <v>608</v>
          </cell>
          <cell r="AA27">
            <v>0.20898787035195876</v>
          </cell>
          <cell r="AB27">
            <v>1996.3</v>
          </cell>
          <cell r="AC27">
            <v>0.20593210100277859</v>
          </cell>
          <cell r="AF27">
            <v>521</v>
          </cell>
          <cell r="AG27">
            <v>0.20351120351120366</v>
          </cell>
          <cell r="AH27">
            <v>564</v>
          </cell>
          <cell r="AI27">
            <v>0.22502172024326672</v>
          </cell>
          <cell r="AJ27">
            <v>559</v>
          </cell>
          <cell r="AK27">
            <v>0.12929292929292924</v>
          </cell>
          <cell r="AL27">
            <v>658</v>
          </cell>
          <cell r="AM27">
            <v>8.2236842105263053E-2</v>
          </cell>
          <cell r="AN27">
            <v>2302</v>
          </cell>
          <cell r="AO27">
            <v>0.15313329659870756</v>
          </cell>
          <cell r="AR27">
            <v>624</v>
          </cell>
          <cell r="AS27">
            <v>0.19769673704414581</v>
          </cell>
          <cell r="AT27">
            <v>725</v>
          </cell>
          <cell r="AU27">
            <v>0.28546099290780136</v>
          </cell>
          <cell r="AV27">
            <v>785</v>
          </cell>
          <cell r="AW27">
            <v>0.40429338103756707</v>
          </cell>
          <cell r="AX27">
            <v>875</v>
          </cell>
          <cell r="AY27">
            <v>0.32978723404255317</v>
          </cell>
          <cell r="AZ27">
            <v>3009</v>
          </cell>
          <cell r="BA27">
            <v>0.30712423979148573</v>
          </cell>
        </row>
        <row r="28">
          <cell r="B28" t="str">
            <v xml:space="preserve">   % of Total Revenues</v>
          </cell>
          <cell r="G28">
            <v>0.20217273221075502</v>
          </cell>
          <cell r="Q28">
            <v>0.19810914313068456</v>
          </cell>
          <cell r="T28">
            <v>0.18476312419974392</v>
          </cell>
          <cell r="V28">
            <v>0.17811133892993924</v>
          </cell>
          <cell r="X28">
            <v>0.18245484703280501</v>
          </cell>
          <cell r="Z28">
            <v>0.20900653145410794</v>
          </cell>
          <cell r="AB28">
            <v>0.18922454241272429</v>
          </cell>
          <cell r="AF28">
            <v>0.18390398870455349</v>
          </cell>
          <cell r="AH28">
            <v>0.17780580075662042</v>
          </cell>
          <cell r="AJ28">
            <v>0.17712294043092522</v>
          </cell>
          <cell r="AL28">
            <v>0.20116172424335066</v>
          </cell>
          <cell r="AN28">
            <v>0.18519710378117457</v>
          </cell>
          <cell r="AR28">
            <v>0.19396953683556109</v>
          </cell>
          <cell r="AT28">
            <v>0.21367521367521367</v>
          </cell>
          <cell r="AV28">
            <v>0.22345573583831482</v>
          </cell>
          <cell r="AX28">
            <v>0.23933260393873085</v>
          </cell>
          <cell r="AZ28">
            <v>0.21837578924450252</v>
          </cell>
        </row>
        <row r="29">
          <cell r="B29" t="str">
            <v xml:space="preserve">   SG&amp;A</v>
          </cell>
          <cell r="C29">
            <v>245.8</v>
          </cell>
          <cell r="D29">
            <v>320.5</v>
          </cell>
          <cell r="E29">
            <v>394.9</v>
          </cell>
          <cell r="F29">
            <v>500.9</v>
          </cell>
          <cell r="G29">
            <v>1462.1</v>
          </cell>
          <cell r="I29">
            <v>390.1</v>
          </cell>
          <cell r="K29">
            <v>453.5</v>
          </cell>
          <cell r="M29">
            <v>483</v>
          </cell>
          <cell r="O29">
            <v>626</v>
          </cell>
          <cell r="Q29">
            <v>1952.6</v>
          </cell>
          <cell r="T29">
            <v>512.4</v>
          </cell>
          <cell r="U29">
            <v>0.31350935657523693</v>
          </cell>
          <cell r="V29">
            <v>586.70000000000005</v>
          </cell>
          <cell r="W29">
            <v>0.29371554575523717</v>
          </cell>
          <cell r="X29">
            <v>635</v>
          </cell>
          <cell r="Y29">
            <v>0.31469979296066253</v>
          </cell>
          <cell r="Z29">
            <v>813</v>
          </cell>
          <cell r="AA29">
            <v>0.29872204472843444</v>
          </cell>
          <cell r="AB29">
            <v>2547.1</v>
          </cell>
          <cell r="AC29">
            <v>0.30446584041790437</v>
          </cell>
          <cell r="AF29">
            <v>577</v>
          </cell>
          <cell r="AG29">
            <v>0.12607338017174086</v>
          </cell>
          <cell r="AH29">
            <v>646</v>
          </cell>
          <cell r="AI29">
            <v>0.10107380262485077</v>
          </cell>
          <cell r="AJ29">
            <v>656</v>
          </cell>
          <cell r="AK29">
            <v>3.3070866141732269E-2</v>
          </cell>
          <cell r="AL29">
            <v>913</v>
          </cell>
          <cell r="AM29">
            <v>0.12300123001230023</v>
          </cell>
          <cell r="AN29">
            <v>2792</v>
          </cell>
          <cell r="AO29">
            <v>9.6148561108711839E-2</v>
          </cell>
          <cell r="AR29">
            <v>652</v>
          </cell>
          <cell r="AS29">
            <v>0.12998266897746968</v>
          </cell>
          <cell r="AT29">
            <v>695.56499999999994</v>
          </cell>
          <cell r="AU29">
            <v>7.6726006191950358E-2</v>
          </cell>
          <cell r="AV29">
            <v>772.86</v>
          </cell>
          <cell r="AW29">
            <v>0.1781402439024391</v>
          </cell>
          <cell r="AX29">
            <v>906.68799999999999</v>
          </cell>
          <cell r="AY29">
            <v>-6.9134720700986252E-3</v>
          </cell>
          <cell r="AZ29">
            <v>3027.1130000000003</v>
          </cell>
          <cell r="BA29">
            <v>8.4209527220630465E-2</v>
          </cell>
        </row>
        <row r="30">
          <cell r="B30" t="str">
            <v xml:space="preserve">   % of Total Revenues</v>
          </cell>
          <cell r="G30">
            <v>0.26472931377874342</v>
          </cell>
          <cell r="Q30">
            <v>0.23367640019147917</v>
          </cell>
          <cell r="T30">
            <v>0.21869398207426374</v>
          </cell>
          <cell r="V30">
            <v>0.22697202986575885</v>
          </cell>
          <cell r="X30">
            <v>0.23405823811279028</v>
          </cell>
          <cell r="Z30">
            <v>0.27947748367136471</v>
          </cell>
          <cell r="AB30">
            <v>0.2414335680906928</v>
          </cell>
          <cell r="AF30">
            <v>0.20367102012001412</v>
          </cell>
          <cell r="AH30">
            <v>0.20365699873896595</v>
          </cell>
          <cell r="AJ30">
            <v>0.20785804816223066</v>
          </cell>
          <cell r="AL30">
            <v>0.27911953531030265</v>
          </cell>
          <cell r="AN30">
            <v>0.2246178600160901</v>
          </cell>
          <cell r="AR30">
            <v>0.20267329810382345</v>
          </cell>
          <cell r="AT30">
            <v>0.20499999999999999</v>
          </cell>
          <cell r="AV30">
            <v>0.22</v>
          </cell>
          <cell r="AX30">
            <v>0.248</v>
          </cell>
          <cell r="AZ30">
            <v>0.21969032585819001</v>
          </cell>
        </row>
        <row r="31">
          <cell r="B31" t="str">
            <v xml:space="preserve">   Loss of Affiliates, Net</v>
          </cell>
          <cell r="C31">
            <v>-1.7</v>
          </cell>
          <cell r="D31">
            <v>-1.7</v>
          </cell>
          <cell r="E31">
            <v>-3.4</v>
          </cell>
          <cell r="F31">
            <v>-5.8</v>
          </cell>
          <cell r="G31">
            <v>-12.6</v>
          </cell>
          <cell r="I31">
            <v>-9.6</v>
          </cell>
          <cell r="K31">
            <v>-12.3</v>
          </cell>
          <cell r="M31">
            <v>36.200000000000003</v>
          </cell>
          <cell r="O31">
            <v>-10</v>
          </cell>
          <cell r="Q31">
            <v>4.3000000000000043</v>
          </cell>
          <cell r="T31">
            <v>0</v>
          </cell>
          <cell r="U31">
            <v>-1</v>
          </cell>
          <cell r="V31">
            <v>0</v>
          </cell>
          <cell r="W31">
            <v>-1</v>
          </cell>
          <cell r="X31">
            <v>0</v>
          </cell>
          <cell r="Y31">
            <v>-1</v>
          </cell>
          <cell r="Z31">
            <v>0</v>
          </cell>
          <cell r="AA31">
            <v>-1</v>
          </cell>
          <cell r="AB31">
            <v>0</v>
          </cell>
          <cell r="AC31">
            <v>-1</v>
          </cell>
          <cell r="AF31">
            <v>0</v>
          </cell>
          <cell r="AH31">
            <v>0</v>
          </cell>
          <cell r="AJ31">
            <v>0</v>
          </cell>
          <cell r="AL31">
            <v>0</v>
          </cell>
          <cell r="AN31">
            <v>0</v>
          </cell>
          <cell r="AR31">
            <v>0</v>
          </cell>
          <cell r="AT31">
            <v>0</v>
          </cell>
          <cell r="AV31">
            <v>0</v>
          </cell>
          <cell r="AX31">
            <v>0</v>
          </cell>
          <cell r="AZ31">
            <v>0</v>
          </cell>
        </row>
        <row r="32">
          <cell r="B32" t="str">
            <v xml:space="preserve">   Other </v>
          </cell>
          <cell r="C32">
            <v>0</v>
          </cell>
          <cell r="D32">
            <v>0</v>
          </cell>
          <cell r="E32">
            <v>-35.5</v>
          </cell>
          <cell r="F32">
            <v>0</v>
          </cell>
          <cell r="G32">
            <v>0</v>
          </cell>
          <cell r="K32">
            <v>-24</v>
          </cell>
          <cell r="Q32">
            <v>-24</v>
          </cell>
          <cell r="T32">
            <v>0</v>
          </cell>
          <cell r="V32">
            <v>0</v>
          </cell>
          <cell r="X32">
            <v>0</v>
          </cell>
          <cell r="Z32">
            <v>0</v>
          </cell>
          <cell r="AB32">
            <v>0</v>
          </cell>
          <cell r="AF32">
            <v>0</v>
          </cell>
          <cell r="AH32">
            <v>0</v>
          </cell>
          <cell r="AJ32">
            <v>0</v>
          </cell>
          <cell r="AL32">
            <v>0</v>
          </cell>
          <cell r="AN32">
            <v>0</v>
          </cell>
          <cell r="AR32">
            <v>0</v>
          </cell>
          <cell r="AT32">
            <v>0</v>
          </cell>
          <cell r="AV32">
            <v>0</v>
          </cell>
          <cell r="AX32">
            <v>0</v>
          </cell>
          <cell r="AZ32">
            <v>0</v>
          </cell>
        </row>
        <row r="33">
          <cell r="B33" t="str">
            <v xml:space="preserve">   Options Expense</v>
          </cell>
        </row>
        <row r="34">
          <cell r="B34" t="str">
            <v>Total Operating Expenses</v>
          </cell>
          <cell r="C34">
            <v>551.1</v>
          </cell>
          <cell r="D34">
            <v>684.3</v>
          </cell>
          <cell r="E34">
            <v>895</v>
          </cell>
          <cell r="F34">
            <v>1140.5</v>
          </cell>
          <cell r="G34">
            <v>3461.6</v>
          </cell>
          <cell r="I34">
            <v>1015.1</v>
          </cell>
          <cell r="K34">
            <v>1140</v>
          </cell>
          <cell r="M34">
            <v>1266.7</v>
          </cell>
          <cell r="O34">
            <v>1507.2</v>
          </cell>
          <cell r="Q34">
            <v>4929.0000000000009</v>
          </cell>
          <cell r="T34">
            <v>1316.8</v>
          </cell>
          <cell r="U34">
            <v>0.76491086985658807</v>
          </cell>
          <cell r="V34">
            <v>1482.1</v>
          </cell>
          <cell r="W34">
            <v>0.64476750638108937</v>
          </cell>
          <cell r="X34">
            <v>1577</v>
          </cell>
          <cell r="Y34">
            <v>0.67641118316147453</v>
          </cell>
          <cell r="Z34">
            <v>1897</v>
          </cell>
          <cell r="AA34">
            <v>1.2607555714455962</v>
          </cell>
          <cell r="AB34">
            <v>6272.9</v>
          </cell>
          <cell r="AC34">
            <v>0.83043478260869508</v>
          </cell>
          <cell r="AF34">
            <v>1587</v>
          </cell>
          <cell r="AG34">
            <v>0.20519441069258804</v>
          </cell>
          <cell r="AH34">
            <v>1740</v>
          </cell>
          <cell r="AI34">
            <v>0.17400985088725474</v>
          </cell>
          <cell r="AJ34">
            <v>1720</v>
          </cell>
          <cell r="AK34">
            <v>9.0678503487634732E-2</v>
          </cell>
          <cell r="AL34">
            <v>2082</v>
          </cell>
          <cell r="AM34">
            <v>9.7522403795466506E-2</v>
          </cell>
          <cell r="AN34">
            <v>7129</v>
          </cell>
          <cell r="AO34">
            <v>0.13647595211146357</v>
          </cell>
          <cell r="AR34">
            <v>1828</v>
          </cell>
          <cell r="AS34">
            <v>0.15185885318210457</v>
          </cell>
          <cell r="AT34">
            <v>1982.0749999999998</v>
          </cell>
          <cell r="AU34">
            <v>0.1391235632183907</v>
          </cell>
          <cell r="AV34">
            <v>2131.2125000000001</v>
          </cell>
          <cell r="AW34">
            <v>0.23907703488372101</v>
          </cell>
          <cell r="AX34">
            <v>2370.078</v>
          </cell>
          <cell r="AY34">
            <v>0.13836599423631113</v>
          </cell>
          <cell r="AZ34">
            <v>8311.3654999999999</v>
          </cell>
          <cell r="BA34">
            <v>0.16585292467386736</v>
          </cell>
        </row>
        <row r="35">
          <cell r="B35" t="str">
            <v xml:space="preserve">Operating Income (Loss) </v>
          </cell>
          <cell r="C35">
            <v>457.4</v>
          </cell>
          <cell r="D35">
            <v>564.80000000000018</v>
          </cell>
          <cell r="E35">
            <v>604.29999999999995</v>
          </cell>
          <cell r="F35">
            <v>625.59999999999991</v>
          </cell>
          <cell r="G35">
            <v>2061.4</v>
          </cell>
          <cell r="I35">
            <v>746.0999999999998</v>
          </cell>
          <cell r="K35">
            <v>901.10000000000014</v>
          </cell>
          <cell r="M35">
            <v>940.7000000000005</v>
          </cell>
          <cell r="O35">
            <v>839.10000000000014</v>
          </cell>
          <cell r="Q35">
            <v>3427.0000000000009</v>
          </cell>
          <cell r="T35">
            <v>1026.2</v>
          </cell>
          <cell r="U35">
            <v>0.3754188446588933</v>
          </cell>
          <cell r="V35">
            <v>1102.8000000000002</v>
          </cell>
          <cell r="W35">
            <v>0.22383753190544886</v>
          </cell>
          <cell r="X35">
            <v>1136</v>
          </cell>
          <cell r="Y35">
            <v>0.20761135324758095</v>
          </cell>
          <cell r="Z35">
            <v>1012</v>
          </cell>
          <cell r="AA35">
            <v>0.20605410558932169</v>
          </cell>
          <cell r="AB35">
            <v>4277</v>
          </cell>
          <cell r="AC35">
            <v>0.24803034724248585</v>
          </cell>
          <cell r="AF35">
            <v>1246</v>
          </cell>
          <cell r="AG35">
            <v>0.2141882673942701</v>
          </cell>
          <cell r="AH35">
            <v>1432</v>
          </cell>
          <cell r="AI35">
            <v>0.29851287631483481</v>
          </cell>
          <cell r="AJ35">
            <v>1436</v>
          </cell>
          <cell r="AK35">
            <v>0.2640845070422535</v>
          </cell>
          <cell r="AL35">
            <v>1189</v>
          </cell>
          <cell r="AM35">
            <v>0.17490118577075098</v>
          </cell>
          <cell r="AN35">
            <v>5301</v>
          </cell>
          <cell r="AO35">
            <v>0.23942015431377128</v>
          </cell>
          <cell r="AR35">
            <v>1389</v>
          </cell>
          <cell r="AS35">
            <v>0.1147672552166934</v>
          </cell>
          <cell r="AT35">
            <v>1410.9250000000002</v>
          </cell>
          <cell r="AU35">
            <v>-1.4717178770949579E-2</v>
          </cell>
          <cell r="AV35">
            <v>1381.7874999999999</v>
          </cell>
          <cell r="AW35">
            <v>-3.7752437325905386E-2</v>
          </cell>
          <cell r="AX35">
            <v>1285.922</v>
          </cell>
          <cell r="AY35">
            <v>8.1515559293523943E-2</v>
          </cell>
          <cell r="AZ35">
            <v>5467.6345000000001</v>
          </cell>
          <cell r="BA35">
            <v>3.143454065270701E-2</v>
          </cell>
        </row>
        <row r="36">
          <cell r="B36" t="str">
            <v xml:space="preserve">   Interest, Other Income</v>
          </cell>
          <cell r="C36">
            <v>43.7</v>
          </cell>
          <cell r="D36">
            <v>45.5</v>
          </cell>
          <cell r="E36">
            <v>23.7</v>
          </cell>
          <cell r="F36">
            <v>31.299999999999983</v>
          </cell>
          <cell r="G36">
            <v>144.19999999999999</v>
          </cell>
          <cell r="I36">
            <v>32.799999999999997</v>
          </cell>
          <cell r="K36">
            <v>40.4</v>
          </cell>
          <cell r="M36">
            <v>17.2</v>
          </cell>
          <cell r="O36">
            <v>23</v>
          </cell>
          <cell r="Q36">
            <v>113.39999999999999</v>
          </cell>
          <cell r="T36">
            <v>28.6</v>
          </cell>
          <cell r="U36">
            <v>-0.12804878048780477</v>
          </cell>
          <cell r="V36">
            <v>17.600000000000001</v>
          </cell>
          <cell r="W36">
            <v>-0.5643564356435643</v>
          </cell>
          <cell r="X36">
            <v>22.5</v>
          </cell>
          <cell r="Y36">
            <v>0.30813953488372103</v>
          </cell>
          <cell r="Z36">
            <v>31</v>
          </cell>
          <cell r="AA36">
            <v>0.34782608695652173</v>
          </cell>
          <cell r="AB36">
            <v>99.7</v>
          </cell>
          <cell r="AC36">
            <v>-0.120811287477954</v>
          </cell>
          <cell r="AF36">
            <v>45</v>
          </cell>
          <cell r="AH36">
            <v>20</v>
          </cell>
          <cell r="AJ36">
            <v>48</v>
          </cell>
          <cell r="AL36">
            <v>44</v>
          </cell>
          <cell r="AN36">
            <v>157</v>
          </cell>
          <cell r="AR36">
            <v>114</v>
          </cell>
          <cell r="AT36">
            <v>80</v>
          </cell>
          <cell r="AV36">
            <v>70</v>
          </cell>
          <cell r="AX36">
            <v>65</v>
          </cell>
          <cell r="AZ36">
            <v>329</v>
          </cell>
        </row>
        <row r="37">
          <cell r="B37" t="str">
            <v xml:space="preserve">   Interest, Other Expense</v>
          </cell>
          <cell r="C37">
            <v>-7</v>
          </cell>
          <cell r="D37">
            <v>-12.7</v>
          </cell>
          <cell r="E37">
            <v>-11.6</v>
          </cell>
          <cell r="F37">
            <v>-12.900000000000002</v>
          </cell>
          <cell r="G37">
            <v>-44.2</v>
          </cell>
          <cell r="I37">
            <v>-6.9</v>
          </cell>
          <cell r="K37">
            <v>-8.8000000000000007</v>
          </cell>
          <cell r="M37">
            <v>-7.8</v>
          </cell>
          <cell r="O37">
            <v>-8</v>
          </cell>
          <cell r="Q37">
            <v>-31.5</v>
          </cell>
          <cell r="T37">
            <v>-7.5</v>
          </cell>
          <cell r="U37">
            <v>8.6956521739130377E-2</v>
          </cell>
          <cell r="V37">
            <v>-7.5</v>
          </cell>
          <cell r="W37">
            <v>-0.14772727272727282</v>
          </cell>
          <cell r="X37">
            <v>-7.5</v>
          </cell>
          <cell r="Y37">
            <v>-3.8461538461538436E-2</v>
          </cell>
          <cell r="Z37">
            <v>-30</v>
          </cell>
          <cell r="AA37">
            <v>2.75</v>
          </cell>
          <cell r="AB37">
            <v>-52.5</v>
          </cell>
          <cell r="AC37">
            <v>0.66666666666666674</v>
          </cell>
          <cell r="AF37">
            <v>-35</v>
          </cell>
          <cell r="AH37">
            <v>-34</v>
          </cell>
          <cell r="AJ37">
            <v>-34</v>
          </cell>
          <cell r="AL37">
            <v>-34</v>
          </cell>
          <cell r="AN37">
            <v>-137</v>
          </cell>
          <cell r="AR37">
            <v>-34</v>
          </cell>
          <cell r="AT37">
            <v>-34</v>
          </cell>
          <cell r="AV37">
            <v>-34</v>
          </cell>
          <cell r="AX37">
            <v>-34</v>
          </cell>
          <cell r="AZ37">
            <v>-136</v>
          </cell>
        </row>
        <row r="38">
          <cell r="B38" t="str">
            <v xml:space="preserve">  One-Time Gains / (Charges)</v>
          </cell>
          <cell r="C38">
            <v>0</v>
          </cell>
          <cell r="D38">
            <v>0</v>
          </cell>
          <cell r="E38">
            <v>-2991.8</v>
          </cell>
          <cell r="F38">
            <v>0</v>
          </cell>
          <cell r="G38">
            <v>-2991.8</v>
          </cell>
          <cell r="I38" t="e">
            <v>#REF!</v>
          </cell>
          <cell r="K38" t="e">
            <v>#REF!</v>
          </cell>
          <cell r="M38" t="e">
            <v>#REF!</v>
          </cell>
          <cell r="O38" t="e">
            <v>#REF!</v>
          </cell>
          <cell r="Q38" t="e">
            <v>#REF!</v>
          </cell>
          <cell r="V38">
            <v>0</v>
          </cell>
          <cell r="X38">
            <v>0</v>
          </cell>
          <cell r="AH38">
            <v>0</v>
          </cell>
          <cell r="AJ38">
            <v>0</v>
          </cell>
          <cell r="AO38" t="e">
            <v>#DIV/0!</v>
          </cell>
          <cell r="AT38">
            <v>0</v>
          </cell>
          <cell r="AV38">
            <v>0</v>
          </cell>
          <cell r="BA38" t="e">
            <v>#DIV/0!</v>
          </cell>
        </row>
        <row r="39">
          <cell r="B39" t="str">
            <v xml:space="preserve">  Other Adjustments</v>
          </cell>
          <cell r="E39">
            <v>-11.5</v>
          </cell>
          <cell r="F39">
            <v>-36.5</v>
          </cell>
          <cell r="G39">
            <v>-48</v>
          </cell>
          <cell r="I39" t="e">
            <v>#REF!</v>
          </cell>
          <cell r="K39" t="e">
            <v>#REF!</v>
          </cell>
          <cell r="M39" t="e">
            <v>#REF!</v>
          </cell>
          <cell r="O39" t="e">
            <v>#REF!</v>
          </cell>
          <cell r="Q39" t="e">
            <v>#REF!</v>
          </cell>
          <cell r="T39">
            <v>0</v>
          </cell>
          <cell r="V39">
            <v>0</v>
          </cell>
          <cell r="X39">
            <v>0</v>
          </cell>
          <cell r="Z39">
            <v>0</v>
          </cell>
          <cell r="AB39">
            <v>0</v>
          </cell>
          <cell r="AF39">
            <v>0</v>
          </cell>
          <cell r="AH39">
            <v>0</v>
          </cell>
          <cell r="AJ39">
            <v>0</v>
          </cell>
          <cell r="AL39">
            <v>0</v>
          </cell>
          <cell r="AN39">
            <v>0</v>
          </cell>
          <cell r="AO39" t="e">
            <v>#DIV/0!</v>
          </cell>
          <cell r="AR39">
            <v>0</v>
          </cell>
          <cell r="AT39">
            <v>0</v>
          </cell>
          <cell r="AV39">
            <v>0</v>
          </cell>
          <cell r="AX39">
            <v>0</v>
          </cell>
          <cell r="AZ39">
            <v>0</v>
          </cell>
          <cell r="BA39" t="e">
            <v>#DIV/0!</v>
          </cell>
        </row>
        <row r="40">
          <cell r="B40" t="str">
            <v xml:space="preserve">Pretax Income (Loss) </v>
          </cell>
          <cell r="C40">
            <v>494.09999999999997</v>
          </cell>
          <cell r="D40">
            <v>597.60000000000014</v>
          </cell>
          <cell r="E40">
            <v>616.4</v>
          </cell>
          <cell r="F40">
            <v>643.99999999999989</v>
          </cell>
          <cell r="G40">
            <v>2161.4</v>
          </cell>
          <cell r="I40">
            <v>771.99999999999977</v>
          </cell>
          <cell r="K40">
            <v>932.70000000000016</v>
          </cell>
          <cell r="M40">
            <v>950.10000000000059</v>
          </cell>
          <cell r="O40">
            <v>854.10000000000014</v>
          </cell>
          <cell r="Q40">
            <v>3508.900000000001</v>
          </cell>
          <cell r="T40">
            <v>1047.3</v>
          </cell>
          <cell r="U40">
            <v>0.35660621761658073</v>
          </cell>
          <cell r="V40">
            <v>1112.9000000000001</v>
          </cell>
          <cell r="W40">
            <v>0.19320253028840995</v>
          </cell>
          <cell r="X40">
            <v>1151</v>
          </cell>
          <cell r="Y40">
            <v>0.21145142616566592</v>
          </cell>
          <cell r="Z40">
            <v>1013</v>
          </cell>
          <cell r="AA40">
            <v>0.18604378878351469</v>
          </cell>
          <cell r="AB40">
            <v>4324.2</v>
          </cell>
          <cell r="AC40">
            <v>0.23235201915130066</v>
          </cell>
          <cell r="AF40">
            <v>1256</v>
          </cell>
          <cell r="AG40">
            <v>0.19927432445335636</v>
          </cell>
          <cell r="AH40">
            <v>1418</v>
          </cell>
          <cell r="AI40">
            <v>0.27414862072063961</v>
          </cell>
          <cell r="AJ40">
            <v>1450</v>
          </cell>
          <cell r="AK40">
            <v>0.2597741094700261</v>
          </cell>
          <cell r="AL40">
            <v>1199</v>
          </cell>
          <cell r="AM40">
            <v>0.18361303060217171</v>
          </cell>
          <cell r="AN40">
            <v>5321</v>
          </cell>
          <cell r="AO40">
            <v>0.23051662735303635</v>
          </cell>
          <cell r="AR40">
            <v>1469</v>
          </cell>
          <cell r="AS40">
            <v>0.16958598726114649</v>
          </cell>
          <cell r="AT40">
            <v>1456.9250000000002</v>
          </cell>
          <cell r="AU40">
            <v>2.7450634696756016E-2</v>
          </cell>
          <cell r="AV40">
            <v>1417.7874999999999</v>
          </cell>
          <cell r="AW40">
            <v>-2.2215517241379379E-2</v>
          </cell>
          <cell r="AX40">
            <v>1316.922</v>
          </cell>
          <cell r="AY40">
            <v>9.8350291909925058E-2</v>
          </cell>
          <cell r="AZ40">
            <v>5660.6345000000001</v>
          </cell>
          <cell r="BA40">
            <v>6.3829073482428056E-2</v>
          </cell>
        </row>
        <row r="41">
          <cell r="B41" t="str">
            <v xml:space="preserve">   Provision For Income Taxes</v>
          </cell>
          <cell r="C41">
            <v>153.19999999999999</v>
          </cell>
          <cell r="D41">
            <v>185.2</v>
          </cell>
          <cell r="E41">
            <v>155.6</v>
          </cell>
          <cell r="F41">
            <v>172.7</v>
          </cell>
          <cell r="G41">
            <v>707.4</v>
          </cell>
          <cell r="I41">
            <v>194.8</v>
          </cell>
          <cell r="K41">
            <v>241.5</v>
          </cell>
          <cell r="M41">
            <v>254.1</v>
          </cell>
          <cell r="O41">
            <v>223.2</v>
          </cell>
          <cell r="Q41">
            <v>913.59999999999991</v>
          </cell>
          <cell r="T41">
            <v>295</v>
          </cell>
          <cell r="U41">
            <v>0.51437371663244336</v>
          </cell>
          <cell r="V41">
            <v>304.3</v>
          </cell>
          <cell r="W41">
            <v>0.26004140786749486</v>
          </cell>
          <cell r="X41">
            <v>312</v>
          </cell>
          <cell r="Y41">
            <v>0.22786304604486429</v>
          </cell>
          <cell r="Z41">
            <v>264</v>
          </cell>
          <cell r="AA41">
            <v>0.18279569892473124</v>
          </cell>
          <cell r="AB41">
            <v>1175.3</v>
          </cell>
          <cell r="AC41">
            <v>0.28644921190893169</v>
          </cell>
          <cell r="AF41">
            <v>332</v>
          </cell>
          <cell r="AG41">
            <v>0.12542372881355934</v>
          </cell>
          <cell r="AH41">
            <v>314</v>
          </cell>
          <cell r="AI41">
            <v>3.1876437725928408E-2</v>
          </cell>
          <cell r="AJ41">
            <v>381</v>
          </cell>
          <cell r="AK41">
            <v>0.22115384615384626</v>
          </cell>
          <cell r="AL41">
            <v>271</v>
          </cell>
          <cell r="AM41">
            <v>2.6515151515151603E-2</v>
          </cell>
          <cell r="AN41">
            <v>1298</v>
          </cell>
          <cell r="AO41">
            <v>0.10439887688249816</v>
          </cell>
          <cell r="AR41">
            <v>368</v>
          </cell>
          <cell r="AS41">
            <v>0.10843373493975905</v>
          </cell>
          <cell r="AT41">
            <v>331.45043750000008</v>
          </cell>
          <cell r="AU41">
            <v>5.5574641719745577E-2</v>
          </cell>
          <cell r="AV41">
            <v>326.09112499999998</v>
          </cell>
          <cell r="AW41">
            <v>-0.14411778215223103</v>
          </cell>
          <cell r="AX41">
            <v>299.59975500000002</v>
          </cell>
          <cell r="AY41">
            <v>0.10553415129151289</v>
          </cell>
          <cell r="AZ41">
            <v>1325.1413175</v>
          </cell>
          <cell r="BA41">
            <v>2.0910105932203438E-2</v>
          </cell>
        </row>
        <row r="42">
          <cell r="B42" t="str">
            <v xml:space="preserve">   Effective Tax Rate</v>
          </cell>
          <cell r="C42">
            <v>0.3100586925723538</v>
          </cell>
          <cell r="D42">
            <v>0.30990629183400259</v>
          </cell>
          <cell r="E42">
            <v>0.25243348475016225</v>
          </cell>
          <cell r="F42">
            <v>0.26816770186335409</v>
          </cell>
          <cell r="G42">
            <v>0.32728786897381323</v>
          </cell>
          <cell r="I42">
            <v>0.25233160621761669</v>
          </cell>
          <cell r="K42">
            <v>0.25892569958185907</v>
          </cell>
          <cell r="M42">
            <v>0.26744553204925781</v>
          </cell>
          <cell r="O42">
            <v>0.26132771338250788</v>
          </cell>
          <cell r="Q42">
            <v>0.26036649662287314</v>
          </cell>
          <cell r="T42">
            <v>0.2816766924472453</v>
          </cell>
          <cell r="V42">
            <v>0.27342977805732771</v>
          </cell>
          <cell r="X42">
            <v>0.27106863596872283</v>
          </cell>
          <cell r="Z42">
            <v>0.26061204343534056</v>
          </cell>
          <cell r="AB42">
            <v>0.27179593913325006</v>
          </cell>
          <cell r="AF42">
            <v>0.2643312101910828</v>
          </cell>
          <cell r="AH42">
            <v>0.22143864598025387</v>
          </cell>
          <cell r="AJ42">
            <v>0.26275862068965516</v>
          </cell>
          <cell r="AL42">
            <v>0.22602168473728107</v>
          </cell>
          <cell r="AN42">
            <v>0.24393910919000189</v>
          </cell>
          <cell r="AR42">
            <v>0.25051055139550715</v>
          </cell>
          <cell r="AT42">
            <v>0.22750000000000001</v>
          </cell>
          <cell r="AV42">
            <v>0.23</v>
          </cell>
          <cell r="AX42">
            <v>0.22750000000000001</v>
          </cell>
          <cell r="AZ42">
            <v>0.2340976647582528</v>
          </cell>
          <cell r="BB42" t="str">
            <v>&lt;24%</v>
          </cell>
        </row>
        <row r="43">
          <cell r="B43" t="str">
            <v>Net Income (Loss), pro forma</v>
          </cell>
          <cell r="C43">
            <v>340.9</v>
          </cell>
          <cell r="D43">
            <v>412.40000000000015</v>
          </cell>
          <cell r="E43">
            <v>460.79999999999995</v>
          </cell>
          <cell r="F43">
            <v>471.2999999999999</v>
          </cell>
          <cell r="G43">
            <v>1454</v>
          </cell>
          <cell r="I43">
            <v>577.19999999999982</v>
          </cell>
          <cell r="K43">
            <v>691.20000000000016</v>
          </cell>
          <cell r="M43">
            <v>696.00000000000057</v>
          </cell>
          <cell r="O43">
            <v>630.90000000000009</v>
          </cell>
          <cell r="Q43">
            <v>2595.3000000000011</v>
          </cell>
          <cell r="T43">
            <v>752.3</v>
          </cell>
          <cell r="U43">
            <v>0.30336105336105379</v>
          </cell>
          <cell r="V43">
            <v>808.60000000000014</v>
          </cell>
          <cell r="W43">
            <v>0.16984953703703698</v>
          </cell>
          <cell r="X43">
            <v>839</v>
          </cell>
          <cell r="Y43">
            <v>0.20545977011494165</v>
          </cell>
          <cell r="Z43">
            <v>749</v>
          </cell>
          <cell r="AA43">
            <v>0.18719289903312708</v>
          </cell>
          <cell r="AB43">
            <v>3148.8999999999996</v>
          </cell>
          <cell r="AC43">
            <v>0.21330867337109316</v>
          </cell>
          <cell r="AF43">
            <v>924</v>
          </cell>
          <cell r="AG43">
            <v>0.22823341751960657</v>
          </cell>
          <cell r="AH43">
            <v>1104</v>
          </cell>
          <cell r="AI43">
            <v>0.36532278011377661</v>
          </cell>
          <cell r="AJ43">
            <v>1069</v>
          </cell>
          <cell r="AK43">
            <v>0.27413587604290823</v>
          </cell>
          <cell r="AL43">
            <v>928</v>
          </cell>
          <cell r="AM43">
            <v>0.23898531375166887</v>
          </cell>
          <cell r="AN43">
            <v>4023</v>
          </cell>
          <cell r="AO43">
            <v>0.27758899933310066</v>
          </cell>
          <cell r="AR43">
            <v>1101</v>
          </cell>
          <cell r="AS43">
            <v>0.19155844155844148</v>
          </cell>
          <cell r="AT43">
            <v>1125.4745625</v>
          </cell>
          <cell r="AU43">
            <v>1.9451596467391363E-2</v>
          </cell>
          <cell r="AV43">
            <v>1091.696375</v>
          </cell>
          <cell r="AW43">
            <v>2.123140785781108E-2</v>
          </cell>
          <cell r="AX43">
            <v>1017.3222450000001</v>
          </cell>
          <cell r="AY43">
            <v>9.6252419181034554E-2</v>
          </cell>
          <cell r="AZ43">
            <v>4335.4931825000003</v>
          </cell>
          <cell r="BA43">
            <v>7.7676654859557548E-2</v>
          </cell>
        </row>
        <row r="45">
          <cell r="B45" t="str">
            <v>EPS, basic</v>
          </cell>
          <cell r="C45">
            <v>0.32665772326561904</v>
          </cell>
          <cell r="D45">
            <v>0.39707298286154458</v>
          </cell>
          <cell r="E45">
            <v>0.37110413143271315</v>
          </cell>
          <cell r="F45">
            <v>0.36654223051796542</v>
          </cell>
          <cell r="G45">
            <v>1.2605114867793672</v>
          </cell>
          <cell r="I45">
            <v>0.44726850058116996</v>
          </cell>
          <cell r="K45">
            <v>0.53668763102725381</v>
          </cell>
          <cell r="M45">
            <v>0.53978594695207116</v>
          </cell>
          <cell r="O45">
            <v>0.49081997821689749</v>
          </cell>
          <cell r="Q45">
            <v>2.0143588947531827</v>
          </cell>
          <cell r="T45">
            <v>0.58801000468969822</v>
          </cell>
          <cell r="V45">
            <v>0.63759659359722454</v>
          </cell>
          <cell r="X45">
            <v>0.65959119496855345</v>
          </cell>
          <cell r="Z45">
            <v>0.59303246239113228</v>
          </cell>
          <cell r="AB45">
            <v>2.4781804588202885</v>
          </cell>
          <cell r="AF45">
            <v>0.73979183346677346</v>
          </cell>
          <cell r="AH45">
            <v>0.89537712895377131</v>
          </cell>
          <cell r="AJ45">
            <v>0.86699107866991076</v>
          </cell>
          <cell r="AL45">
            <v>0.75508543531326278</v>
          </cell>
          <cell r="AM45">
            <v>3.2572454764037184</v>
          </cell>
          <cell r="AN45">
            <v>3.2548543689320391</v>
          </cell>
          <cell r="AR45">
            <v>0.91597337770382692</v>
          </cell>
          <cell r="AT45">
            <v>0.97029524410955836</v>
          </cell>
          <cell r="AV45">
            <v>0.95068117137336827</v>
          </cell>
          <cell r="AX45">
            <v>0.89486262735353794</v>
          </cell>
          <cell r="AZ45">
            <v>3.731777351192334</v>
          </cell>
        </row>
        <row r="46">
          <cell r="B46" t="str">
            <v>EPS, diluted</v>
          </cell>
          <cell r="C46">
            <v>0.3187350313190862</v>
          </cell>
          <cell r="D46">
            <v>0.37997702038587561</v>
          </cell>
          <cell r="E46">
            <v>0.37522650398647012</v>
          </cell>
          <cell r="F46">
            <v>0.35358375389639296</v>
          </cell>
          <cell r="G46">
            <v>1.2782618118768962</v>
          </cell>
          <cell r="I46">
            <v>0.4313791762352765</v>
          </cell>
          <cell r="K46">
            <v>0.5169404231625836</v>
          </cell>
          <cell r="M46">
            <v>0.52015635432895657</v>
          </cell>
          <cell r="O46">
            <v>0.4746408582089553</v>
          </cell>
          <cell r="Q46">
            <v>1.9433692421991091</v>
          </cell>
          <cell r="T46">
            <v>0.56841932457786115</v>
          </cell>
          <cell r="V46">
            <v>0.61752959702511956</v>
          </cell>
          <cell r="X46">
            <v>0.63948390151515144</v>
          </cell>
          <cell r="Z46">
            <v>0.57566316793893124</v>
          </cell>
          <cell r="AB46">
            <v>2.4009507215635768</v>
          </cell>
          <cell r="AF46">
            <v>0.72024709302325585</v>
          </cell>
          <cell r="AH46">
            <v>0.88400000000000001</v>
          </cell>
          <cell r="AJ46">
            <v>0.85652522017614086</v>
          </cell>
          <cell r="AL46">
            <v>0.74658085277554309</v>
          </cell>
          <cell r="AN46">
            <v>3.2027027027027026</v>
          </cell>
          <cell r="AR46">
            <v>0.90691927512355852</v>
          </cell>
          <cell r="AS46">
            <v>0.25917797365448769</v>
          </cell>
          <cell r="AT46">
            <v>0.9607041873308807</v>
          </cell>
          <cell r="AU46">
            <v>8.6769442681991826E-2</v>
          </cell>
          <cell r="AV46">
            <v>0.9412839934026267</v>
          </cell>
          <cell r="AW46">
            <v>9.8956541185156954E-2</v>
          </cell>
          <cell r="AX46">
            <v>0.8860171977586101</v>
          </cell>
          <cell r="AY46">
            <v>0.18676656984262108</v>
          </cell>
          <cell r="AZ46">
            <v>3.6698689952539394</v>
          </cell>
          <cell r="BA46">
            <v>0.14586626856030183</v>
          </cell>
          <cell r="BB46" t="str">
            <v>3.60-3.70</v>
          </cell>
        </row>
        <row r="48">
          <cell r="B48" t="str">
            <v xml:space="preserve">  Options expense</v>
          </cell>
          <cell r="AR48">
            <v>68</v>
          </cell>
          <cell r="AT48">
            <v>69.372624999999999</v>
          </cell>
          <cell r="AV48">
            <v>74.592437500000017</v>
          </cell>
          <cell r="AX48">
            <v>82.952730000000003</v>
          </cell>
          <cell r="AZ48">
            <v>294.91779250000002</v>
          </cell>
        </row>
        <row r="49">
          <cell r="B49" t="str">
            <v>% of operating expense</v>
          </cell>
          <cell r="AR49">
            <v>3.7199124726477024E-2</v>
          </cell>
          <cell r="AT49">
            <v>3.5000000000000003E-2</v>
          </cell>
          <cell r="AV49">
            <v>3.5000000000000003E-2</v>
          </cell>
          <cell r="AX49">
            <v>3.5000000000000003E-2</v>
          </cell>
          <cell r="AZ49">
            <v>3.5483675035107048E-2</v>
          </cell>
        </row>
        <row r="50">
          <cell r="B50" t="str">
            <v>Net Income (incl options exp)</v>
          </cell>
          <cell r="AR50">
            <v>1050.0347174948945</v>
          </cell>
          <cell r="AT50">
            <v>1071.8842096875001</v>
          </cell>
          <cell r="AV50">
            <v>1034.260198125</v>
          </cell>
          <cell r="AX50">
            <v>953.24126107500001</v>
          </cell>
          <cell r="AZ50">
            <v>4040.5753900000004</v>
          </cell>
        </row>
        <row r="52">
          <cell r="B52" t="str">
            <v>EPS, diluted (incl option exp)</v>
          </cell>
          <cell r="AR52">
            <v>0.8676518883415435</v>
          </cell>
          <cell r="AT52">
            <v>0.92221351610314906</v>
          </cell>
          <cell r="AV52">
            <v>0.8994791153375481</v>
          </cell>
          <cell r="AX52">
            <v>0.83905724506666113</v>
          </cell>
          <cell r="AZ52">
            <v>3.5315180425397048</v>
          </cell>
        </row>
        <row r="53">
          <cell r="B53" t="str">
            <v>EPS, Reported GAAP</v>
          </cell>
          <cell r="C53">
            <v>0.32665772326561904</v>
          </cell>
          <cell r="D53">
            <v>0.39707298286154458</v>
          </cell>
          <cell r="E53">
            <v>-2.0951920753805271</v>
          </cell>
          <cell r="F53">
            <v>0.30074661689220716</v>
          </cell>
          <cell r="G53">
            <v>-1.467706978760295</v>
          </cell>
          <cell r="I53">
            <v>0.38225493994575732</v>
          </cell>
          <cell r="K53">
            <v>0.47146517586769165</v>
          </cell>
          <cell r="M53">
            <v>0.4747169225996592</v>
          </cell>
          <cell r="O53">
            <v>0.42547067060837096</v>
          </cell>
          <cell r="Q53">
            <v>1.7537255510710965</v>
          </cell>
          <cell r="T53">
            <v>0.53947162732530862</v>
          </cell>
          <cell r="V53">
            <v>0.58989118435577992</v>
          </cell>
          <cell r="X53">
            <v>0.18600628930817609</v>
          </cell>
          <cell r="Z53">
            <v>0.54758511480601746</v>
          </cell>
          <cell r="AB53">
            <v>1.8498406327470192</v>
          </cell>
          <cell r="AF53">
            <v>0.68374699759807844</v>
          </cell>
          <cell r="AH53">
            <v>0.85482562854825628</v>
          </cell>
          <cell r="AJ53">
            <v>0.78588807785888082</v>
          </cell>
          <cell r="AL53">
            <v>0.67046379170056958</v>
          </cell>
          <cell r="AN53">
            <v>2.9724919093851132</v>
          </cell>
          <cell r="AR53">
            <v>0.8327787021630616</v>
          </cell>
          <cell r="AT53">
            <v>0.38232872888881225</v>
          </cell>
          <cell r="AV53">
            <v>0.92281463432093214</v>
          </cell>
          <cell r="AX53">
            <v>0.86671461012885487</v>
          </cell>
          <cell r="AZ53">
            <v>3.1196891571852658</v>
          </cell>
        </row>
        <row r="54">
          <cell r="B54" t="str">
            <v>EPS, Reported GAAP -Diluted</v>
          </cell>
          <cell r="C54">
            <v>0.3187350313190862</v>
          </cell>
          <cell r="D54">
            <v>0.37997702038587561</v>
          </cell>
          <cell r="E54">
            <v>-2.0910697028267697</v>
          </cell>
          <cell r="F54">
            <v>0.29079616298055505</v>
          </cell>
          <cell r="G54">
            <v>-1.4499566536627657</v>
          </cell>
          <cell r="I54">
            <v>0.36922642417956869</v>
          </cell>
          <cell r="K54">
            <v>0.4545796213808464</v>
          </cell>
          <cell r="M54">
            <v>0.45791138066622195</v>
          </cell>
          <cell r="O54">
            <v>0.41195429104477616</v>
          </cell>
          <cell r="Q54">
            <v>1.6938893016344732</v>
          </cell>
          <cell r="T54">
            <v>0.52181519699812373</v>
          </cell>
          <cell r="V54">
            <v>0.57161626318585423</v>
          </cell>
          <cell r="X54">
            <v>0.18312026515151514</v>
          </cell>
          <cell r="Z54">
            <v>0.53184637404580148</v>
          </cell>
          <cell r="AB54">
            <v>1.7961251467747434</v>
          </cell>
          <cell r="AF54">
            <v>0.66598352713178288</v>
          </cell>
          <cell r="AH54">
            <v>0.84399999999999997</v>
          </cell>
          <cell r="AJ54">
            <v>0.77646116893514805</v>
          </cell>
          <cell r="AL54">
            <v>0.66291230893000808</v>
          </cell>
          <cell r="AN54">
            <v>2.9252782193958664</v>
          </cell>
          <cell r="AR54">
            <v>0.82183908045977017</v>
          </cell>
          <cell r="AS54">
            <v>0.23402313567606758</v>
          </cell>
          <cell r="AT54">
            <v>0.31933311495420447</v>
          </cell>
          <cell r="AU54">
            <v>-0.62164322872724587</v>
          </cell>
          <cell r="AV54">
            <v>0.9136929081167714</v>
          </cell>
          <cell r="AW54">
            <v>0.17673998993384976</v>
          </cell>
          <cell r="AX54">
            <v>0.85814741464158462</v>
          </cell>
          <cell r="AY54">
            <v>0.29451120922268159</v>
          </cell>
          <cell r="AZ54">
            <v>3.0888520320730564</v>
          </cell>
          <cell r="BA54">
            <v>5.5917352268452403E-2</v>
          </cell>
        </row>
        <row r="55">
          <cell r="B55" t="str">
            <v xml:space="preserve">Basic Shares Outstanding </v>
          </cell>
          <cell r="C55">
            <v>1043.5999999999999</v>
          </cell>
          <cell r="D55">
            <v>1038.5999999999999</v>
          </cell>
          <cell r="E55">
            <v>1241.7</v>
          </cell>
          <cell r="F55">
            <v>1285.8</v>
          </cell>
          <cell r="G55">
            <v>1153.5</v>
          </cell>
          <cell r="I55">
            <v>1290.5</v>
          </cell>
          <cell r="K55">
            <v>1287.9000000000001</v>
          </cell>
          <cell r="M55">
            <v>1289.4000000000001</v>
          </cell>
          <cell r="O55">
            <v>1285.4000000000001</v>
          </cell>
          <cell r="Q55">
            <v>1288.4000000000001</v>
          </cell>
          <cell r="T55">
            <v>1279.4000000000001</v>
          </cell>
          <cell r="U55">
            <v>-8.6013173188685954E-3</v>
          </cell>
          <cell r="V55">
            <v>1268.2</v>
          </cell>
          <cell r="W55">
            <v>-1.5296218650516336E-2</v>
          </cell>
          <cell r="X55">
            <v>1272</v>
          </cell>
          <cell r="Y55">
            <v>-1.349464867380179E-2</v>
          </cell>
          <cell r="Z55">
            <v>1263</v>
          </cell>
          <cell r="AA55">
            <v>-1.7426482028940482E-2</v>
          </cell>
          <cell r="AB55">
            <v>1270.6500000000001</v>
          </cell>
          <cell r="AC55">
            <v>-1.3776777398323503E-2</v>
          </cell>
          <cell r="AF55">
            <v>1249</v>
          </cell>
          <cell r="AG55">
            <v>-2.3761138033453255E-2</v>
          </cell>
          <cell r="AH55">
            <v>1233</v>
          </cell>
          <cell r="AI55">
            <v>-2.7755874467749631E-2</v>
          </cell>
          <cell r="AJ55">
            <v>1233</v>
          </cell>
          <cell r="AK55">
            <v>-3.0660377358490587E-2</v>
          </cell>
          <cell r="AL55">
            <v>1229</v>
          </cell>
          <cell r="AM55">
            <v>-2.6920031670625511E-2</v>
          </cell>
          <cell r="AN55">
            <v>1236</v>
          </cell>
          <cell r="AO55">
            <v>-2.726950773226311E-2</v>
          </cell>
          <cell r="AR55">
            <v>1202</v>
          </cell>
          <cell r="AS55">
            <v>-3.7630104083266613E-2</v>
          </cell>
          <cell r="AT55">
            <v>1159.93</v>
          </cell>
          <cell r="AU55">
            <v>-5.926196269261963E-2</v>
          </cell>
          <cell r="AV55">
            <v>1148.3307</v>
          </cell>
          <cell r="AW55">
            <v>-6.86693430656935E-2</v>
          </cell>
          <cell r="AX55">
            <v>1136.847393</v>
          </cell>
          <cell r="AY55">
            <v>-7.4981779495524759E-2</v>
          </cell>
          <cell r="AZ55">
            <v>1161.7770232500002</v>
          </cell>
          <cell r="BA55">
            <v>-6.0050952063106622E-2</v>
          </cell>
        </row>
        <row r="56">
          <cell r="B56" t="str">
            <v>Diluted Shares Outstanding</v>
          </cell>
          <cell r="C56">
            <v>1085.5999999999999</v>
          </cell>
          <cell r="D56">
            <v>1098.8</v>
          </cell>
          <cell r="E56">
            <v>1241.7</v>
          </cell>
          <cell r="F56">
            <v>1347.4</v>
          </cell>
          <cell r="G56">
            <v>1153.5</v>
          </cell>
          <cell r="I56">
            <v>1349.9</v>
          </cell>
          <cell r="K56">
            <v>1347</v>
          </cell>
          <cell r="M56">
            <v>1347.9</v>
          </cell>
          <cell r="O56">
            <v>1340</v>
          </cell>
          <cell r="Q56">
            <v>1346</v>
          </cell>
          <cell r="T56">
            <v>1332.5</v>
          </cell>
          <cell r="U56">
            <v>-1.2889843692125424E-2</v>
          </cell>
          <cell r="V56">
            <v>1317.7</v>
          </cell>
          <cell r="W56">
            <v>-2.1752041573867786E-2</v>
          </cell>
          <cell r="X56">
            <v>1320</v>
          </cell>
          <cell r="Y56">
            <v>-2.069886490095707E-2</v>
          </cell>
          <cell r="Z56">
            <v>1310</v>
          </cell>
          <cell r="AA56">
            <v>-2.2388059701492491E-2</v>
          </cell>
          <cell r="AB56">
            <v>1320.05</v>
          </cell>
          <cell r="AC56">
            <v>-1.9279346210995585E-2</v>
          </cell>
          <cell r="AF56">
            <v>1290</v>
          </cell>
          <cell r="AG56">
            <v>-3.1894934333958735E-2</v>
          </cell>
          <cell r="AH56">
            <v>1250</v>
          </cell>
          <cell r="AI56">
            <v>-5.1377400015177987E-2</v>
          </cell>
          <cell r="AJ56">
            <v>1249</v>
          </cell>
          <cell r="AK56">
            <v>-5.3787878787878829E-2</v>
          </cell>
          <cell r="AL56">
            <v>1243</v>
          </cell>
          <cell r="AM56">
            <v>-5.1145038167938917E-2</v>
          </cell>
          <cell r="AN56">
            <v>1258</v>
          </cell>
          <cell r="AO56">
            <v>-4.7005795235028902E-2</v>
          </cell>
          <cell r="AR56">
            <v>1214</v>
          </cell>
          <cell r="AS56">
            <v>-5.8914728682170514E-2</v>
          </cell>
          <cell r="AT56">
            <v>1171.51</v>
          </cell>
          <cell r="AU56">
            <v>-6.2791999999999959E-2</v>
          </cell>
          <cell r="AV56">
            <v>1159.7948999999999</v>
          </cell>
          <cell r="AW56">
            <v>-7.1421216973578949E-2</v>
          </cell>
          <cell r="AX56">
            <v>1148.1969509999999</v>
          </cell>
          <cell r="AY56">
            <v>-7.6269548672566412E-2</v>
          </cell>
          <cell r="AZ56">
            <v>1173.37546275</v>
          </cell>
          <cell r="BA56">
            <v>-6.726910751192372E-2</v>
          </cell>
        </row>
        <row r="58">
          <cell r="B58" t="str">
            <v>Amortization of Acquired Intangibles</v>
          </cell>
          <cell r="E58">
            <v>70.599999999999994</v>
          </cell>
          <cell r="F58">
            <v>84.6</v>
          </cell>
          <cell r="G58">
            <v>155.19999999999999</v>
          </cell>
          <cell r="I58">
            <v>83.9</v>
          </cell>
          <cell r="K58">
            <v>84</v>
          </cell>
          <cell r="M58">
            <v>83.9</v>
          </cell>
          <cell r="O58">
            <v>84</v>
          </cell>
          <cell r="Q58">
            <v>335.8</v>
          </cell>
          <cell r="T58">
            <v>-98.1</v>
          </cell>
          <cell r="V58">
            <v>-96.100000000000009</v>
          </cell>
          <cell r="X58">
            <v>-100</v>
          </cell>
          <cell r="Z58">
            <v>-93</v>
          </cell>
          <cell r="AB58">
            <v>-387.2</v>
          </cell>
          <cell r="AF58">
            <v>-87</v>
          </cell>
          <cell r="AH58">
            <v>-87</v>
          </cell>
          <cell r="AJ58">
            <v>-86</v>
          </cell>
          <cell r="AL58">
            <v>-87</v>
          </cell>
          <cell r="AN58">
            <v>-347</v>
          </cell>
          <cell r="AR58">
            <v>-87</v>
          </cell>
          <cell r="AT58">
            <v>-87</v>
          </cell>
          <cell r="AV58">
            <v>-87</v>
          </cell>
          <cell r="AX58">
            <v>-87</v>
          </cell>
          <cell r="AZ58">
            <v>-97</v>
          </cell>
        </row>
        <row r="59">
          <cell r="B59" t="str">
            <v>Write off of IPR&amp;D</v>
          </cell>
          <cell r="E59">
            <v>2991.8</v>
          </cell>
          <cell r="G59">
            <v>2991.8</v>
          </cell>
          <cell r="X59">
            <v>-554</v>
          </cell>
          <cell r="AB59">
            <v>-554</v>
          </cell>
          <cell r="AN59">
            <v>0</v>
          </cell>
          <cell r="AT59">
            <v>-650</v>
          </cell>
          <cell r="AZ59">
            <v>-650</v>
          </cell>
        </row>
        <row r="60">
          <cell r="B60" t="str">
            <v>legal settlements</v>
          </cell>
          <cell r="AN60">
            <v>-49</v>
          </cell>
        </row>
        <row r="61">
          <cell r="B61" t="str">
            <v>COGS</v>
          </cell>
          <cell r="X61">
            <v>4</v>
          </cell>
          <cell r="AJ61">
            <v>-47</v>
          </cell>
          <cell r="AN61">
            <v>-47</v>
          </cell>
        </row>
        <row r="62">
          <cell r="B62" t="str">
            <v>R&amp;D</v>
          </cell>
          <cell r="X62">
            <v>8</v>
          </cell>
          <cell r="AF62">
            <v>-3</v>
          </cell>
          <cell r="AH62">
            <v>-3</v>
          </cell>
          <cell r="AJ62">
            <v>-3</v>
          </cell>
          <cell r="AL62">
            <v>-3</v>
          </cell>
          <cell r="AN62">
            <v>-12</v>
          </cell>
        </row>
        <row r="63">
          <cell r="B63" t="str">
            <v>SG&amp;A</v>
          </cell>
          <cell r="X63">
            <v>4</v>
          </cell>
          <cell r="AL63">
            <v>2</v>
          </cell>
          <cell r="AN63">
            <v>2</v>
          </cell>
        </row>
        <row r="64">
          <cell r="B64" t="str">
            <v>Interest expense</v>
          </cell>
          <cell r="AF64">
            <v>-20</v>
          </cell>
          <cell r="AN64">
            <v>0</v>
          </cell>
        </row>
        <row r="65">
          <cell r="B65" t="str">
            <v>Tax provision</v>
          </cell>
          <cell r="T65">
            <v>36</v>
          </cell>
          <cell r="V65">
            <v>35.6</v>
          </cell>
          <cell r="X65">
            <v>35.6</v>
          </cell>
          <cell r="Z65">
            <v>35.6</v>
          </cell>
          <cell r="AB65">
            <v>142.79999999999998</v>
          </cell>
          <cell r="AF65">
            <v>40</v>
          </cell>
          <cell r="AH65">
            <v>40</v>
          </cell>
          <cell r="AJ65">
            <v>36</v>
          </cell>
          <cell r="AL65">
            <v>-16</v>
          </cell>
          <cell r="AN65">
            <v>104</v>
          </cell>
          <cell r="AR65">
            <v>55</v>
          </cell>
          <cell r="AT65">
            <v>55</v>
          </cell>
          <cell r="AV65">
            <v>55</v>
          </cell>
          <cell r="AX65">
            <v>55</v>
          </cell>
          <cell r="AZ65">
            <v>35.89</v>
          </cell>
        </row>
        <row r="66">
          <cell r="B66" t="str">
            <v>implied tax rate</v>
          </cell>
          <cell r="T66">
            <v>-0.3669724770642202</v>
          </cell>
          <cell r="V66">
            <v>-0.37044745057232048</v>
          </cell>
          <cell r="X66">
            <v>-0.35600000000000004</v>
          </cell>
          <cell r="Z66">
            <v>-0.3827956989247312</v>
          </cell>
          <cell r="AB66">
            <v>-0.36880165289256195</v>
          </cell>
          <cell r="AF66">
            <v>-0.45977011494252873</v>
          </cell>
          <cell r="AH66">
            <v>-0.45977011494252873</v>
          </cell>
          <cell r="AJ66">
            <v>-0.41860465116279072</v>
          </cell>
          <cell r="AL66">
            <v>0.18390804597701149</v>
          </cell>
          <cell r="AN66">
            <v>-0.29971181556195964</v>
          </cell>
          <cell r="AR66">
            <v>-0.63218390804597702</v>
          </cell>
          <cell r="AT66">
            <v>-0.63218390804597702</v>
          </cell>
          <cell r="AV66">
            <v>-0.63218390804597702</v>
          </cell>
          <cell r="AX66">
            <v>-0.63218390804597702</v>
          </cell>
        </row>
        <row r="67">
          <cell r="B67" t="str">
            <v>GAAP net income</v>
          </cell>
          <cell r="AR67">
            <v>1001</v>
          </cell>
          <cell r="AT67">
            <v>374.10193750000008</v>
          </cell>
          <cell r="AV67">
            <v>985.10393750000003</v>
          </cell>
          <cell r="AX67">
            <v>902.36951500000009</v>
          </cell>
          <cell r="AZ67">
            <v>3329.4653900000003</v>
          </cell>
        </row>
        <row r="68">
          <cell r="B68" t="str">
            <v>GAAP diluted share count</v>
          </cell>
          <cell r="AR68">
            <v>1218</v>
          </cell>
          <cell r="AT68">
            <v>1171.51</v>
          </cell>
          <cell r="AV68">
            <v>1159.7948999999999</v>
          </cell>
          <cell r="AX68">
            <v>1148.1969509999999</v>
          </cell>
          <cell r="AZ68">
            <v>1173.37546275</v>
          </cell>
        </row>
        <row r="69">
          <cell r="AR69">
            <v>1.0133111480865225</v>
          </cell>
        </row>
        <row r="70">
          <cell r="B70" t="str">
            <v>Convertible interest add-back</v>
          </cell>
          <cell r="C70">
            <v>5.1187500000000004</v>
          </cell>
          <cell r="D70">
            <v>5.1187500000000004</v>
          </cell>
          <cell r="E70">
            <v>5.1187500000000004</v>
          </cell>
          <cell r="F70">
            <v>5.1187500000000004</v>
          </cell>
          <cell r="G70">
            <v>20.475000000000001</v>
          </cell>
          <cell r="I70">
            <v>5.1187500000000004</v>
          </cell>
          <cell r="K70">
            <v>5.1187500000000004</v>
          </cell>
          <cell r="M70">
            <v>5.1187500000000004</v>
          </cell>
          <cell r="O70">
            <v>5.1187500000000004</v>
          </cell>
          <cell r="Q70">
            <v>20.475000000000001</v>
          </cell>
          <cell r="T70">
            <v>5.1187500000000004</v>
          </cell>
          <cell r="V70">
            <v>5.1187500000000004</v>
          </cell>
          <cell r="X70">
            <v>5.1187500000000004</v>
          </cell>
          <cell r="Z70">
            <v>5.1187500000000004</v>
          </cell>
          <cell r="AB70">
            <v>20.475000000000001</v>
          </cell>
          <cell r="AF70">
            <v>5.1187500000000004</v>
          </cell>
          <cell r="AH70">
            <v>1</v>
          </cell>
          <cell r="AJ70">
            <v>0.8</v>
          </cell>
          <cell r="AN70">
            <v>6</v>
          </cell>
          <cell r="AR70">
            <v>0</v>
          </cell>
          <cell r="AT70">
            <v>0</v>
          </cell>
          <cell r="AV70">
            <v>0</v>
          </cell>
          <cell r="AX70">
            <v>0</v>
          </cell>
          <cell r="AZ70">
            <v>0</v>
          </cell>
        </row>
        <row r="72">
          <cell r="B72" t="str">
            <v>EPS, GAAP</v>
          </cell>
          <cell r="Q72">
            <v>1.6938893016344732</v>
          </cell>
        </row>
        <row r="74">
          <cell r="B74" t="str">
            <v>CHECK GAAP</v>
          </cell>
          <cell r="E74">
            <v>3957.4</v>
          </cell>
        </row>
      </sheetData>
      <sheetData sheetId="5" refreshError="1"/>
      <sheetData sheetId="6" refreshError="1">
        <row r="1">
          <cell r="B1" t="str">
            <v>Amgen Annual Income Statement</v>
          </cell>
          <cell r="AO1" t="str">
            <v>ElementName</v>
          </cell>
          <cell r="AP1" t="str">
            <v>ScaleOverride</v>
          </cell>
          <cell r="AQ1" t="str">
            <v>UnitOverride</v>
          </cell>
          <cell r="AR1" t="str">
            <v>ReverseSign</v>
          </cell>
          <cell r="AS1" t="str">
            <v>IsDrivingAssumption</v>
          </cell>
          <cell r="AT1" t="str">
            <v>SegmentID</v>
          </cell>
        </row>
        <row r="2">
          <cell r="B2" t="str">
            <v>(Dollars in thousands except per-share data)</v>
          </cell>
        </row>
        <row r="4">
          <cell r="C4" t="str">
            <v>1993</v>
          </cell>
          <cell r="E4" t="str">
            <v>1994</v>
          </cell>
          <cell r="G4" t="str">
            <v>1995</v>
          </cell>
          <cell r="I4" t="str">
            <v>1996</v>
          </cell>
          <cell r="K4" t="str">
            <v>1997</v>
          </cell>
          <cell r="M4" t="str">
            <v>1998</v>
          </cell>
          <cell r="O4" t="str">
            <v>1999</v>
          </cell>
          <cell r="Q4" t="str">
            <v>2000</v>
          </cell>
          <cell r="S4" t="str">
            <v>2001A</v>
          </cell>
          <cell r="U4" t="str">
            <v>2002A</v>
          </cell>
          <cell r="W4" t="str">
            <v>2003A</v>
          </cell>
          <cell r="X4" t="str">
            <v>% chg</v>
          </cell>
          <cell r="Y4" t="str">
            <v>2004A</v>
          </cell>
          <cell r="Z4" t="str">
            <v>% chg</v>
          </cell>
          <cell r="AA4" t="str">
            <v>2005A</v>
          </cell>
          <cell r="AB4" t="str">
            <v>% chg</v>
          </cell>
          <cell r="AC4" t="str">
            <v>2006E</v>
          </cell>
          <cell r="AD4" t="str">
            <v>% chg</v>
          </cell>
          <cell r="AE4" t="str">
            <v>2007E</v>
          </cell>
          <cell r="AF4" t="str">
            <v>% chg</v>
          </cell>
          <cell r="AG4" t="str">
            <v>2008E</v>
          </cell>
          <cell r="AH4" t="str">
            <v>% chg</v>
          </cell>
          <cell r="AI4" t="str">
            <v>2009E</v>
          </cell>
          <cell r="AJ4" t="str">
            <v>% chg</v>
          </cell>
          <cell r="AK4" t="str">
            <v>2010E</v>
          </cell>
          <cell r="AL4" t="str">
            <v>% chg</v>
          </cell>
        </row>
        <row r="5">
          <cell r="B5" t="str">
            <v>Epogen</v>
          </cell>
          <cell r="C5">
            <v>586.9</v>
          </cell>
          <cell r="E5">
            <v>720.6</v>
          </cell>
          <cell r="G5">
            <v>882.6</v>
          </cell>
          <cell r="I5">
            <v>1071.9000000000001</v>
          </cell>
          <cell r="K5">
            <v>1160.8</v>
          </cell>
          <cell r="M5">
            <v>1382.1</v>
          </cell>
          <cell r="O5">
            <v>1759.1</v>
          </cell>
          <cell r="Q5">
            <v>1962.2</v>
          </cell>
          <cell r="S5">
            <v>2108.5</v>
          </cell>
          <cell r="U5">
            <v>2260.6</v>
          </cell>
          <cell r="W5">
            <v>2434.6999999999998</v>
          </cell>
          <cell r="X5">
            <v>7.701495178271256E-2</v>
          </cell>
          <cell r="Y5">
            <v>2600.6</v>
          </cell>
          <cell r="Z5">
            <v>6.8139811886474666E-2</v>
          </cell>
          <cell r="AA5">
            <v>2455</v>
          </cell>
          <cell r="AB5">
            <v>-5.598707990463736E-2</v>
          </cell>
          <cell r="AC5">
            <v>2514</v>
          </cell>
          <cell r="AD5">
            <v>2.4032586558044855E-2</v>
          </cell>
          <cell r="AE5">
            <v>2572.1174973954289</v>
          </cell>
          <cell r="AF5">
            <v>2.3117540730083208E-2</v>
          </cell>
          <cell r="AG5">
            <v>2632.2299063233218</v>
          </cell>
          <cell r="AH5">
            <v>2.3370786516853759E-2</v>
          </cell>
          <cell r="AI5">
            <v>2708.8786464932482</v>
          </cell>
          <cell r="AJ5">
            <v>2.9119318181818343E-2</v>
          </cell>
          <cell r="AK5">
            <v>2787.6683168398231</v>
          </cell>
          <cell r="AL5">
            <v>2.9085714285714159E-2</v>
          </cell>
        </row>
        <row r="6">
          <cell r="B6" t="str">
            <v>Aranesp - US</v>
          </cell>
          <cell r="S6">
            <v>27</v>
          </cell>
          <cell r="U6">
            <v>284.7</v>
          </cell>
          <cell r="W6">
            <v>979.9</v>
          </cell>
          <cell r="Y6">
            <v>1533.3</v>
          </cell>
          <cell r="AA6">
            <v>2104</v>
          </cell>
          <cell r="AB6">
            <v>0.37220374355964259</v>
          </cell>
          <cell r="AC6">
            <v>2596</v>
          </cell>
          <cell r="AD6">
            <v>0.23384030418250945</v>
          </cell>
          <cell r="AE6">
            <v>2975</v>
          </cell>
          <cell r="AF6">
            <v>0.14599383667180277</v>
          </cell>
          <cell r="AG6">
            <v>3300</v>
          </cell>
          <cell r="AH6">
            <v>0.10924369747899165</v>
          </cell>
          <cell r="AI6">
            <v>3600</v>
          </cell>
          <cell r="AJ6">
            <v>9.0909090909090828E-2</v>
          </cell>
          <cell r="AK6">
            <v>3850</v>
          </cell>
          <cell r="AL6">
            <v>6.944444444444442E-2</v>
          </cell>
        </row>
        <row r="7">
          <cell r="B7" t="str">
            <v>Aranesp, Intl.</v>
          </cell>
          <cell r="S7">
            <v>14.5</v>
          </cell>
          <cell r="U7">
            <v>130.9</v>
          </cell>
          <cell r="W7">
            <v>563.9</v>
          </cell>
          <cell r="Y7">
            <v>939.6</v>
          </cell>
          <cell r="AA7">
            <v>1169</v>
          </cell>
          <cell r="AB7">
            <v>0.2441464452958706</v>
          </cell>
          <cell r="AC7">
            <v>1317</v>
          </cell>
          <cell r="AD7">
            <v>0.1266039349871686</v>
          </cell>
          <cell r="AE7">
            <v>1375</v>
          </cell>
          <cell r="AF7">
            <v>4.4039483675019087E-2</v>
          </cell>
          <cell r="AG7">
            <v>1425</v>
          </cell>
          <cell r="AH7">
            <v>3.6363636363636376E-2</v>
          </cell>
          <cell r="AI7">
            <v>1450</v>
          </cell>
          <cell r="AJ7">
            <v>1.7543859649122862E-2</v>
          </cell>
          <cell r="AK7">
            <v>1485</v>
          </cell>
          <cell r="AL7">
            <v>2.4137931034482696E-2</v>
          </cell>
        </row>
        <row r="8">
          <cell r="B8" t="str">
            <v>Aranesp</v>
          </cell>
          <cell r="C8">
            <v>0</v>
          </cell>
          <cell r="E8">
            <v>0</v>
          </cell>
          <cell r="G8">
            <v>0</v>
          </cell>
          <cell r="I8">
            <v>0</v>
          </cell>
          <cell r="K8">
            <v>0</v>
          </cell>
          <cell r="M8">
            <v>0</v>
          </cell>
          <cell r="O8">
            <v>0</v>
          </cell>
          <cell r="Q8">
            <v>0</v>
          </cell>
          <cell r="S8">
            <v>41.5</v>
          </cell>
          <cell r="U8">
            <v>415.6</v>
          </cell>
          <cell r="W8">
            <v>1543.8</v>
          </cell>
          <cell r="X8">
            <v>2.7146294513955724</v>
          </cell>
          <cell r="Y8">
            <v>2472.9</v>
          </cell>
          <cell r="Z8">
            <v>0.60182666148464836</v>
          </cell>
          <cell r="AA8">
            <v>3273</v>
          </cell>
          <cell r="AB8">
            <v>0.32354725221399971</v>
          </cell>
          <cell r="AC8">
            <v>3913</v>
          </cell>
          <cell r="AD8">
            <v>0.19553926061717086</v>
          </cell>
          <cell r="AE8">
            <v>4350</v>
          </cell>
          <cell r="AF8">
            <v>0.1116790186557628</v>
          </cell>
          <cell r="AG8">
            <v>4725</v>
          </cell>
          <cell r="AH8">
            <v>8.6206896551724199E-2</v>
          </cell>
          <cell r="AI8">
            <v>5050</v>
          </cell>
          <cell r="AJ8">
            <v>6.8783068783068835E-2</v>
          </cell>
          <cell r="AK8">
            <v>5335</v>
          </cell>
          <cell r="AL8">
            <v>5.6435643564356486E-2</v>
          </cell>
        </row>
        <row r="9">
          <cell r="B9" t="str">
            <v>Neupogen, U.S.</v>
          </cell>
          <cell r="C9">
            <v>545.5</v>
          </cell>
          <cell r="E9">
            <v>617.20000000000005</v>
          </cell>
          <cell r="G9">
            <v>661.8</v>
          </cell>
          <cell r="I9">
            <v>731.6</v>
          </cell>
          <cell r="K9">
            <v>790</v>
          </cell>
          <cell r="M9">
            <v>853.2</v>
          </cell>
          <cell r="O9">
            <v>921.45600000000013</v>
          </cell>
          <cell r="Q9">
            <v>985.95792000000017</v>
          </cell>
          <cell r="S9">
            <v>1050.5999999999999</v>
          </cell>
          <cell r="U9">
            <v>1041.7</v>
          </cell>
          <cell r="W9">
            <v>880.5</v>
          </cell>
          <cell r="X9">
            <v>-0.15474704809446105</v>
          </cell>
          <cell r="Y9">
            <v>777.8</v>
          </cell>
          <cell r="AA9">
            <v>805</v>
          </cell>
          <cell r="AB9">
            <v>3.4970429416302462E-2</v>
          </cell>
          <cell r="AC9">
            <v>809</v>
          </cell>
          <cell r="AD9">
            <v>4.9689440993789802E-3</v>
          </cell>
          <cell r="AE9">
            <v>819.71999999999991</v>
          </cell>
          <cell r="AF9">
            <v>1.3250927070457275E-2</v>
          </cell>
          <cell r="AG9">
            <v>831.59999999999991</v>
          </cell>
          <cell r="AH9">
            <v>1.449275362318847E-2</v>
          </cell>
          <cell r="AI9">
            <v>831.59999999999991</v>
          </cell>
          <cell r="AJ9">
            <v>0</v>
          </cell>
          <cell r="AK9">
            <v>831.59999999999991</v>
          </cell>
          <cell r="AL9">
            <v>0</v>
          </cell>
        </row>
        <row r="10">
          <cell r="B10" t="str">
            <v>Neupogen, Intl.</v>
          </cell>
          <cell r="C10">
            <v>173.9</v>
          </cell>
          <cell r="E10">
            <v>211.7</v>
          </cell>
          <cell r="G10">
            <v>274.2</v>
          </cell>
          <cell r="I10">
            <v>284.7</v>
          </cell>
          <cell r="K10">
            <v>294.66449999999998</v>
          </cell>
          <cell r="M10">
            <v>309.39772499999998</v>
          </cell>
          <cell r="O10">
            <v>324.86761124999998</v>
          </cell>
          <cell r="Q10">
            <v>341.1109918125</v>
          </cell>
          <cell r="S10">
            <v>295.8</v>
          </cell>
          <cell r="U10">
            <v>337.9</v>
          </cell>
          <cell r="W10">
            <v>386.2</v>
          </cell>
          <cell r="X10">
            <v>0.14294169872743412</v>
          </cell>
          <cell r="Y10">
            <v>397.4</v>
          </cell>
          <cell r="AA10">
            <v>411</v>
          </cell>
          <cell r="AB10">
            <v>3.4222445898339338E-2</v>
          </cell>
          <cell r="AC10">
            <v>379</v>
          </cell>
          <cell r="AD10">
            <v>-7.7858880778588824E-2</v>
          </cell>
          <cell r="AE10">
            <v>368.28000000000009</v>
          </cell>
          <cell r="AF10">
            <v>-2.828496042216333E-2</v>
          </cell>
          <cell r="AG10">
            <v>356.40000000000003</v>
          </cell>
          <cell r="AH10">
            <v>-3.2258064516129115E-2</v>
          </cell>
          <cell r="AI10">
            <v>356.40000000000003</v>
          </cell>
          <cell r="AJ10">
            <v>0</v>
          </cell>
          <cell r="AK10">
            <v>356.40000000000003</v>
          </cell>
          <cell r="AL10">
            <v>0</v>
          </cell>
        </row>
        <row r="11">
          <cell r="B11" t="str">
            <v>Neupogen</v>
          </cell>
          <cell r="C11">
            <v>719.4</v>
          </cell>
          <cell r="E11">
            <v>828.90000000000009</v>
          </cell>
          <cell r="G11">
            <v>936</v>
          </cell>
          <cell r="I11">
            <v>1016.3</v>
          </cell>
          <cell r="K11">
            <v>1055.7</v>
          </cell>
          <cell r="M11">
            <v>1116.5999999999999</v>
          </cell>
          <cell r="O11">
            <v>1256.5999999999999</v>
          </cell>
          <cell r="Q11">
            <v>1223.7</v>
          </cell>
          <cell r="S11">
            <v>1346.3999999999999</v>
          </cell>
          <cell r="U11">
            <v>1379.6</v>
          </cell>
          <cell r="W11">
            <v>1266.7</v>
          </cell>
          <cell r="X11">
            <v>-8.1835314583937224E-2</v>
          </cell>
          <cell r="Y11">
            <v>1175.1999999999998</v>
          </cell>
          <cell r="Z11">
            <v>-7.2234941185758461E-2</v>
          </cell>
          <cell r="AA11">
            <v>1216</v>
          </cell>
          <cell r="AB11">
            <v>3.4717494894486167E-2</v>
          </cell>
          <cell r="AC11">
            <v>1188</v>
          </cell>
          <cell r="AD11">
            <v>-2.3026315789473673E-2</v>
          </cell>
          <cell r="AE11">
            <v>1188</v>
          </cell>
          <cell r="AF11">
            <v>0</v>
          </cell>
          <cell r="AG11">
            <v>1188</v>
          </cell>
          <cell r="AH11">
            <v>0</v>
          </cell>
          <cell r="AI11">
            <v>1188</v>
          </cell>
          <cell r="AJ11">
            <v>0</v>
          </cell>
          <cell r="AK11">
            <v>1188</v>
          </cell>
          <cell r="AL11">
            <v>0</v>
          </cell>
        </row>
        <row r="12">
          <cell r="B12" t="str">
            <v>Neulasta, U.S.</v>
          </cell>
          <cell r="Y12">
            <v>1476.5</v>
          </cell>
          <cell r="AA12">
            <v>1900</v>
          </cell>
          <cell r="AB12">
            <v>0.28682695563833382</v>
          </cell>
          <cell r="AC12">
            <v>2144.4937499999996</v>
          </cell>
          <cell r="AD12">
            <v>0.1286809210526314</v>
          </cell>
          <cell r="AE12">
            <v>2613.9768510000004</v>
          </cell>
          <cell r="AF12">
            <v>0.2189249099000643</v>
          </cell>
          <cell r="AG12">
            <v>2737.4321432400006</v>
          </cell>
          <cell r="AH12">
            <v>4.7228915662650639E-2</v>
          </cell>
          <cell r="AI12">
            <v>2764.1387982960005</v>
          </cell>
          <cell r="AJ12">
            <v>9.7560975609756184E-3</v>
          </cell>
          <cell r="AK12">
            <v>2764.1387982960005</v>
          </cell>
          <cell r="AL12">
            <v>0</v>
          </cell>
        </row>
        <row r="13">
          <cell r="B13" t="str">
            <v>Neulasta, Intl.</v>
          </cell>
          <cell r="Y13">
            <v>263.10000000000002</v>
          </cell>
          <cell r="AA13">
            <v>388</v>
          </cell>
          <cell r="AB13">
            <v>0.47472443937666275</v>
          </cell>
          <cell r="AC13">
            <v>458.50625000000002</v>
          </cell>
          <cell r="AD13">
            <v>0.18171713917525789</v>
          </cell>
          <cell r="AE13">
            <v>535.39284900000018</v>
          </cell>
          <cell r="AF13">
            <v>0.16768931503114759</v>
          </cell>
          <cell r="AG13">
            <v>600.89973876000033</v>
          </cell>
          <cell r="AH13">
            <v>0.12235294117647078</v>
          </cell>
          <cell r="AI13">
            <v>691.034699574</v>
          </cell>
          <cell r="AJ13">
            <v>0.14999999999999947</v>
          </cell>
          <cell r="AK13">
            <v>691.034699574</v>
          </cell>
          <cell r="AL13">
            <v>0</v>
          </cell>
        </row>
        <row r="14">
          <cell r="B14" t="str">
            <v>Neulasta</v>
          </cell>
          <cell r="C14">
            <v>0</v>
          </cell>
          <cell r="E14">
            <v>0</v>
          </cell>
          <cell r="G14">
            <v>0</v>
          </cell>
          <cell r="I14">
            <v>0</v>
          </cell>
          <cell r="K14">
            <v>0</v>
          </cell>
          <cell r="M14">
            <v>0</v>
          </cell>
          <cell r="O14">
            <v>0</v>
          </cell>
          <cell r="Q14">
            <v>0</v>
          </cell>
          <cell r="S14">
            <v>0</v>
          </cell>
          <cell r="U14">
            <v>463.5</v>
          </cell>
          <cell r="W14">
            <v>1255</v>
          </cell>
          <cell r="X14">
            <v>1.7076591154261056</v>
          </cell>
          <cell r="Y14">
            <v>1739.6</v>
          </cell>
          <cell r="Z14">
            <v>0.38613545816733064</v>
          </cell>
          <cell r="AA14">
            <v>2288</v>
          </cell>
          <cell r="AB14">
            <v>0.31524488388135219</v>
          </cell>
          <cell r="AC14">
            <v>2603</v>
          </cell>
          <cell r="AD14">
            <v>0.13767482517482521</v>
          </cell>
          <cell r="AE14">
            <v>2889.3300000000004</v>
          </cell>
          <cell r="AF14">
            <v>0.11</v>
          </cell>
          <cell r="AG14">
            <v>3149.3697000000006</v>
          </cell>
          <cell r="AH14">
            <v>0.09</v>
          </cell>
          <cell r="AI14">
            <v>3338.3318820000009</v>
          </cell>
          <cell r="AJ14">
            <v>0.06</v>
          </cell>
          <cell r="AK14">
            <v>3455.1734978700006</v>
          </cell>
          <cell r="AL14">
            <v>3.5000000000000003E-2</v>
          </cell>
        </row>
        <row r="15">
          <cell r="B15" t="str">
            <v xml:space="preserve">Enbrel </v>
          </cell>
          <cell r="C15">
            <v>0</v>
          </cell>
          <cell r="E15">
            <v>0</v>
          </cell>
          <cell r="G15">
            <v>0</v>
          </cell>
          <cell r="I15">
            <v>0</v>
          </cell>
          <cell r="K15">
            <v>0</v>
          </cell>
          <cell r="M15">
            <v>0</v>
          </cell>
          <cell r="O15">
            <v>0</v>
          </cell>
          <cell r="Q15">
            <v>0</v>
          </cell>
          <cell r="S15">
            <v>0</v>
          </cell>
          <cell r="U15">
            <v>362.09999999999997</v>
          </cell>
          <cell r="W15">
            <v>1300</v>
          </cell>
          <cell r="X15">
            <v>2.5901684617508978</v>
          </cell>
          <cell r="Y15">
            <v>1900.3</v>
          </cell>
          <cell r="Z15">
            <v>0.46176923076923071</v>
          </cell>
          <cell r="AA15">
            <v>2573</v>
          </cell>
          <cell r="AB15">
            <v>0.35399673735725945</v>
          </cell>
          <cell r="AC15">
            <v>2793</v>
          </cell>
          <cell r="AD15">
            <v>8.5503303536727637E-2</v>
          </cell>
          <cell r="AE15">
            <v>3016.8307284116399</v>
          </cell>
          <cell r="AF15">
            <v>8.013989560030077E-2</v>
          </cell>
          <cell r="AG15">
            <v>3233.3473223083402</v>
          </cell>
          <cell r="AH15">
            <v>7.1769553345373271E-2</v>
          </cell>
          <cell r="AI15">
            <v>3421.4242764919281</v>
          </cell>
          <cell r="AJ15">
            <v>5.8167878497295655E-2</v>
          </cell>
          <cell r="AK15">
            <v>3609.367628534259</v>
          </cell>
          <cell r="AL15">
            <v>5.4931320074408818E-2</v>
          </cell>
          <cell r="AM15">
            <v>0.19989101492097358</v>
          </cell>
          <cell r="AN15">
            <v>7.0035697760095078E-2</v>
          </cell>
        </row>
        <row r="16">
          <cell r="B16" t="str">
            <v>Sensipar</v>
          </cell>
          <cell r="C16">
            <v>0</v>
          </cell>
          <cell r="E16">
            <v>0</v>
          </cell>
          <cell r="G16">
            <v>0</v>
          </cell>
          <cell r="I16">
            <v>0</v>
          </cell>
          <cell r="K16">
            <v>0</v>
          </cell>
          <cell r="M16">
            <v>0</v>
          </cell>
          <cell r="O16">
            <v>0</v>
          </cell>
          <cell r="Q16">
            <v>0</v>
          </cell>
          <cell r="S16">
            <v>0</v>
          </cell>
          <cell r="U16">
            <v>0</v>
          </cell>
          <cell r="W16">
            <v>0</v>
          </cell>
          <cell r="Y16">
            <v>35</v>
          </cell>
          <cell r="Z16" t="str">
            <v>NM</v>
          </cell>
          <cell r="AA16">
            <v>151</v>
          </cell>
          <cell r="AB16">
            <v>3.3142857142857141</v>
          </cell>
          <cell r="AC16">
            <v>283</v>
          </cell>
          <cell r="AD16">
            <v>0.8741721854304636</v>
          </cell>
          <cell r="AE16">
            <v>382.05</v>
          </cell>
          <cell r="AF16">
            <v>0.35</v>
          </cell>
          <cell r="AG16">
            <v>458.46</v>
          </cell>
          <cell r="AH16">
            <v>0.2</v>
          </cell>
          <cell r="AI16">
            <v>495.13679999999999</v>
          </cell>
          <cell r="AJ16">
            <v>0.08</v>
          </cell>
          <cell r="AK16">
            <v>519.89364</v>
          </cell>
          <cell r="AL16">
            <v>0.05</v>
          </cell>
        </row>
        <row r="17">
          <cell r="B17" t="str">
            <v>Palifermin</v>
          </cell>
          <cell r="C17">
            <v>0</v>
          </cell>
          <cell r="E17">
            <v>0</v>
          </cell>
          <cell r="G17">
            <v>0</v>
          </cell>
          <cell r="I17">
            <v>0</v>
          </cell>
          <cell r="K17">
            <v>0</v>
          </cell>
          <cell r="M17">
            <v>0</v>
          </cell>
          <cell r="O17">
            <v>0</v>
          </cell>
          <cell r="Q17">
            <v>0</v>
          </cell>
          <cell r="S17">
            <v>0</v>
          </cell>
          <cell r="U17">
            <v>0</v>
          </cell>
          <cell r="W17">
            <v>0</v>
          </cell>
          <cell r="Y17">
            <v>0</v>
          </cell>
          <cell r="Z17" t="str">
            <v>NM</v>
          </cell>
          <cell r="AA17">
            <v>32</v>
          </cell>
          <cell r="AC17">
            <v>73</v>
          </cell>
          <cell r="AE17">
            <v>98.550000000000011</v>
          </cell>
          <cell r="AF17">
            <v>0.35</v>
          </cell>
          <cell r="AG17">
            <v>123.18750000000001</v>
          </cell>
          <cell r="AH17">
            <v>0.25</v>
          </cell>
          <cell r="AI17">
            <v>166.30312500000002</v>
          </cell>
          <cell r="AJ17">
            <v>0.35</v>
          </cell>
          <cell r="AK17">
            <v>224.50921875000006</v>
          </cell>
          <cell r="AL17">
            <v>0.35</v>
          </cell>
        </row>
        <row r="18">
          <cell r="B18" t="str">
            <v>Panitumumab</v>
          </cell>
          <cell r="U18">
            <v>0</v>
          </cell>
          <cell r="W18">
            <v>0</v>
          </cell>
          <cell r="Y18">
            <v>0</v>
          </cell>
          <cell r="Z18" t="str">
            <v>NM</v>
          </cell>
          <cell r="AA18">
            <v>0</v>
          </cell>
          <cell r="AC18">
            <v>35</v>
          </cell>
          <cell r="AE18">
            <v>225</v>
          </cell>
          <cell r="AG18">
            <v>475</v>
          </cell>
          <cell r="AI18">
            <v>700</v>
          </cell>
          <cell r="AK18">
            <v>850</v>
          </cell>
        </row>
        <row r="19">
          <cell r="B19" t="str">
            <v>AMG162</v>
          </cell>
          <cell r="AC19">
            <v>0</v>
          </cell>
          <cell r="AG19">
            <v>0</v>
          </cell>
          <cell r="AI19">
            <v>350</v>
          </cell>
          <cell r="AK19">
            <v>850</v>
          </cell>
        </row>
        <row r="20">
          <cell r="B20" t="str">
            <v xml:space="preserve">Other </v>
          </cell>
          <cell r="C20">
            <v>0</v>
          </cell>
          <cell r="E20">
            <v>0</v>
          </cell>
          <cell r="G20">
            <v>0</v>
          </cell>
          <cell r="I20">
            <v>0</v>
          </cell>
          <cell r="K20">
            <v>3.3</v>
          </cell>
          <cell r="M20">
            <v>15.8</v>
          </cell>
          <cell r="O20">
            <v>27.1</v>
          </cell>
          <cell r="Q20">
            <v>16.3</v>
          </cell>
          <cell r="S20">
            <v>14.600000000000001</v>
          </cell>
          <cell r="U20">
            <v>109.8</v>
          </cell>
          <cell r="W20">
            <v>68</v>
          </cell>
          <cell r="X20">
            <v>-0.38069216757741342</v>
          </cell>
          <cell r="Y20">
            <v>53.2</v>
          </cell>
          <cell r="Z20">
            <v>-0.21764705882352942</v>
          </cell>
          <cell r="AA20">
            <v>34</v>
          </cell>
          <cell r="AB20">
            <v>-0.36090225563909772</v>
          </cell>
          <cell r="AC20">
            <v>17</v>
          </cell>
          <cell r="AD20">
            <v>-0.5</v>
          </cell>
          <cell r="AE20">
            <v>18.700000000000003</v>
          </cell>
          <cell r="AF20">
            <v>0.1</v>
          </cell>
          <cell r="AG20">
            <v>65.450000000000017</v>
          </cell>
          <cell r="AH20">
            <v>2.5</v>
          </cell>
          <cell r="AI20">
            <v>196.35000000000005</v>
          </cell>
          <cell r="AJ20">
            <v>2</v>
          </cell>
          <cell r="AK20">
            <v>392.7000000000001</v>
          </cell>
          <cell r="AL20">
            <v>1</v>
          </cell>
        </row>
        <row r="21">
          <cell r="B21" t="str">
            <v>Total Product Sales</v>
          </cell>
          <cell r="C21">
            <v>1306.3</v>
          </cell>
          <cell r="E21">
            <v>1549.5</v>
          </cell>
          <cell r="G21">
            <v>1818.6</v>
          </cell>
          <cell r="I21">
            <v>2088.1999999999998</v>
          </cell>
          <cell r="K21">
            <v>2219.8000000000002</v>
          </cell>
          <cell r="M21">
            <v>2514.5</v>
          </cell>
          <cell r="O21">
            <v>3042.7999999999997</v>
          </cell>
          <cell r="Q21">
            <v>3202.2</v>
          </cell>
          <cell r="S21">
            <v>3511</v>
          </cell>
          <cell r="U21">
            <v>4991.1999999999989</v>
          </cell>
          <cell r="W21">
            <v>7868.2</v>
          </cell>
          <cell r="X21">
            <v>0.57641448950152308</v>
          </cell>
          <cell r="Y21">
            <v>9976.7999999999993</v>
          </cell>
          <cell r="Z21">
            <v>0.26799013751556888</v>
          </cell>
          <cell r="AA21">
            <v>12022</v>
          </cell>
          <cell r="AB21">
            <v>0.20499558976826249</v>
          </cell>
          <cell r="AC21">
            <v>13419</v>
          </cell>
          <cell r="AD21">
            <v>0.11620362668441198</v>
          </cell>
          <cell r="AE21">
            <v>14740.578225807069</v>
          </cell>
          <cell r="AF21">
            <v>9.8485596974966061E-2</v>
          </cell>
          <cell r="AG21">
            <v>16050.044428631663</v>
          </cell>
          <cell r="AH21">
            <v>8.883411374813277E-2</v>
          </cell>
          <cell r="AI21">
            <v>17614.424729985178</v>
          </cell>
          <cell r="AJ21">
            <v>9.7468907846935071E-2</v>
          </cell>
          <cell r="AK21">
            <v>19212.312301994083</v>
          </cell>
          <cell r="AL21">
            <v>9.0714717994099914E-2</v>
          </cell>
        </row>
        <row r="22">
          <cell r="B22" t="str">
            <v>Corporate Partner Rev.</v>
          </cell>
          <cell r="C22">
            <v>48.6</v>
          </cell>
          <cell r="E22">
            <v>70.400000000000006</v>
          </cell>
          <cell r="G22">
            <v>85.2</v>
          </cell>
          <cell r="I22">
            <v>109.9</v>
          </cell>
          <cell r="K22">
            <v>125.9</v>
          </cell>
          <cell r="M22">
            <v>127.9</v>
          </cell>
          <cell r="O22">
            <v>161.4</v>
          </cell>
          <cell r="Q22">
            <v>246.2</v>
          </cell>
          <cell r="S22">
            <v>252</v>
          </cell>
          <cell r="U22">
            <v>200.3</v>
          </cell>
          <cell r="W22">
            <v>104.69999999999999</v>
          </cell>
          <cell r="X22">
            <v>-0.47728407388916638</v>
          </cell>
          <cell r="Y22">
            <v>137.9</v>
          </cell>
          <cell r="Z22">
            <v>0.31709646609360087</v>
          </cell>
          <cell r="AA22">
            <v>0</v>
          </cell>
          <cell r="AC22">
            <v>0</v>
          </cell>
          <cell r="AE22">
            <v>0</v>
          </cell>
          <cell r="AG22">
            <v>0</v>
          </cell>
          <cell r="AI22">
            <v>0</v>
          </cell>
          <cell r="AK22">
            <v>0</v>
          </cell>
        </row>
        <row r="23">
          <cell r="B23" t="str">
            <v>Royalties</v>
          </cell>
          <cell r="C23">
            <v>18.899999999999999</v>
          </cell>
          <cell r="E23">
            <v>27.9</v>
          </cell>
          <cell r="G23">
            <v>36.1</v>
          </cell>
          <cell r="I23">
            <v>41.7</v>
          </cell>
          <cell r="K23">
            <v>55.3</v>
          </cell>
          <cell r="M23">
            <v>75.900000000000006</v>
          </cell>
          <cell r="O23">
            <v>135.9</v>
          </cell>
          <cell r="Q23">
            <v>181</v>
          </cell>
          <cell r="S23">
            <v>252.7</v>
          </cell>
          <cell r="U23">
            <v>331.5</v>
          </cell>
          <cell r="W23">
            <v>383.1</v>
          </cell>
          <cell r="X23">
            <v>0.15565610859728518</v>
          </cell>
          <cell r="Y23">
            <v>435.2</v>
          </cell>
          <cell r="Z23">
            <v>0.13599582354476625</v>
          </cell>
          <cell r="AA23">
            <v>408</v>
          </cell>
          <cell r="AB23">
            <v>-6.25E-2</v>
          </cell>
          <cell r="AC23">
            <v>360</v>
          </cell>
          <cell r="AD23">
            <v>-0.11764705882352944</v>
          </cell>
          <cell r="AE23">
            <v>349.2</v>
          </cell>
          <cell r="AF23">
            <v>-0.03</v>
          </cell>
          <cell r="AG23">
            <v>321.26400000000001</v>
          </cell>
          <cell r="AH23">
            <v>-0.08</v>
          </cell>
          <cell r="AI23">
            <v>305.20080000000002</v>
          </cell>
          <cell r="AJ23">
            <v>-0.05</v>
          </cell>
          <cell r="AK23">
            <v>289.94076000000001</v>
          </cell>
          <cell r="AL23">
            <v>-0.05</v>
          </cell>
        </row>
        <row r="24">
          <cell r="B24" t="str">
            <v>Total Revenues</v>
          </cell>
          <cell r="C24">
            <v>1373.8</v>
          </cell>
          <cell r="D24" t="e">
            <v>#DIV/0!</v>
          </cell>
          <cell r="E24">
            <v>1647.8</v>
          </cell>
          <cell r="F24">
            <v>0.19944678992575349</v>
          </cell>
          <cell r="G24">
            <v>1939.8999999999999</v>
          </cell>
          <cell r="H24">
            <v>0.17726665857506974</v>
          </cell>
          <cell r="I24">
            <v>2239.7999999999997</v>
          </cell>
          <cell r="J24">
            <v>0.15459559771122211</v>
          </cell>
          <cell r="K24">
            <v>2401</v>
          </cell>
          <cell r="L24">
            <v>7.1970711670684917E-2</v>
          </cell>
          <cell r="M24">
            <v>2718.2</v>
          </cell>
          <cell r="N24">
            <v>0.13211162015826727</v>
          </cell>
          <cell r="O24">
            <v>3340.1</v>
          </cell>
          <cell r="P24">
            <v>0.22879111176513867</v>
          </cell>
          <cell r="Q24">
            <v>3629.3999999999996</v>
          </cell>
          <cell r="R24">
            <v>8.6614173228346303E-2</v>
          </cell>
          <cell r="S24">
            <v>4015.7</v>
          </cell>
          <cell r="T24">
            <v>0.10643632556345417</v>
          </cell>
          <cell r="U24">
            <v>5522.9999999999991</v>
          </cell>
          <cell r="V24">
            <v>0.37535174440321728</v>
          </cell>
          <cell r="W24">
            <v>8356</v>
          </cell>
          <cell r="X24">
            <v>0.51294586275574883</v>
          </cell>
          <cell r="Y24">
            <v>10549.9</v>
          </cell>
          <cell r="Z24">
            <v>0.26255385351842975</v>
          </cell>
          <cell r="AA24">
            <v>12430</v>
          </cell>
          <cell r="AB24">
            <v>0.17821022000208542</v>
          </cell>
          <cell r="AC24">
            <v>13779</v>
          </cell>
          <cell r="AD24">
            <v>0.10852775543041027</v>
          </cell>
          <cell r="AE24">
            <v>15089.778225807069</v>
          </cell>
          <cell r="AF24">
            <v>9.5128690457004783E-2</v>
          </cell>
          <cell r="AG24">
            <v>16371.308428631663</v>
          </cell>
          <cell r="AH24">
            <v>8.4927040255162511E-2</v>
          </cell>
          <cell r="AI24">
            <v>17919.625529985176</v>
          </cell>
          <cell r="AJ24">
            <v>9.4575037059693612E-2</v>
          </cell>
          <cell r="AK24">
            <v>19502.253061994084</v>
          </cell>
          <cell r="AL24">
            <v>8.8318114090089272E-2</v>
          </cell>
          <cell r="AO24" t="str">
            <v>mstag:revenueNet</v>
          </cell>
          <cell r="AP24">
            <v>6</v>
          </cell>
          <cell r="AQ24" t="str">
            <v>ISO4217:USD</v>
          </cell>
          <cell r="AR24" t="b">
            <v>0</v>
          </cell>
          <cell r="AS24" t="b">
            <v>0</v>
          </cell>
        </row>
        <row r="25">
          <cell r="B25" t="str">
            <v>Operating Expenses:</v>
          </cell>
        </row>
        <row r="26">
          <cell r="B26" t="str">
            <v xml:space="preserve">   Cost of Sales</v>
          </cell>
          <cell r="C26">
            <v>220</v>
          </cell>
          <cell r="E26">
            <v>238.1</v>
          </cell>
          <cell r="G26">
            <v>272.89999999999998</v>
          </cell>
          <cell r="I26">
            <v>283.2</v>
          </cell>
          <cell r="K26">
            <v>300.8</v>
          </cell>
          <cell r="M26">
            <v>345.2</v>
          </cell>
          <cell r="O26">
            <v>402.1</v>
          </cell>
          <cell r="Q26">
            <v>408.4</v>
          </cell>
          <cell r="S26">
            <v>443</v>
          </cell>
          <cell r="U26">
            <v>735.7</v>
          </cell>
          <cell r="W26">
            <v>1340.7</v>
          </cell>
          <cell r="X26">
            <v>0.82234606497213525</v>
          </cell>
          <cell r="Y26">
            <v>1731</v>
          </cell>
          <cell r="Z26">
            <v>0.29111658089057957</v>
          </cell>
          <cell r="AA26">
            <v>2035</v>
          </cell>
          <cell r="AB26">
            <v>0.17562102830733672</v>
          </cell>
          <cell r="AC26">
            <v>2275.2525000000001</v>
          </cell>
          <cell r="AD26">
            <v>0.11806019656019662</v>
          </cell>
          <cell r="AE26">
            <v>2471.3026127583394</v>
          </cell>
          <cell r="AF26">
            <v>8.6166310226376774E-2</v>
          </cell>
          <cell r="AG26">
            <v>2663.674218929084</v>
          </cell>
          <cell r="AH26">
            <v>7.7842189450052501E-2</v>
          </cell>
          <cell r="AI26">
            <v>2921.8139905241542</v>
          </cell>
          <cell r="AJ26">
            <v>9.6911164946760664E-2</v>
          </cell>
          <cell r="AK26">
            <v>3229.9239384968482</v>
          </cell>
          <cell r="AL26">
            <v>0.10545159581408581</v>
          </cell>
          <cell r="AO26" t="str">
            <v>mstag:costOfSalesWithDepreciation</v>
          </cell>
          <cell r="AP26">
            <v>6</v>
          </cell>
          <cell r="AQ26" t="str">
            <v>ISO4217:USD</v>
          </cell>
          <cell r="AR26" t="b">
            <v>0</v>
          </cell>
          <cell r="AS26" t="b">
            <v>0</v>
          </cell>
        </row>
        <row r="27">
          <cell r="B27" t="str">
            <v xml:space="preserve">   % of Product Revenues</v>
          </cell>
          <cell r="C27">
            <v>0.16841460613947792</v>
          </cell>
          <cell r="E27">
            <v>0.15366247176508552</v>
          </cell>
          <cell r="G27">
            <v>0.15006048608819972</v>
          </cell>
          <cell r="I27">
            <v>0.13561919356383489</v>
          </cell>
          <cell r="K27">
            <v>0.1355077033967024</v>
          </cell>
          <cell r="M27">
            <v>0.13728375422549213</v>
          </cell>
          <cell r="O27">
            <v>0.13214802155909033</v>
          </cell>
          <cell r="Q27">
            <v>0.1275373180938105</v>
          </cell>
          <cell r="S27">
            <v>0.12617487895186558</v>
          </cell>
          <cell r="U27">
            <v>0.14739942298445269</v>
          </cell>
          <cell r="W27">
            <v>0.1703947535649831</v>
          </cell>
          <cell r="Y27">
            <v>0.17335217705075778</v>
          </cell>
          <cell r="AA27">
            <v>0.16927299950091498</v>
          </cell>
          <cell r="AC27">
            <v>0.16955454951933827</v>
          </cell>
          <cell r="AE27">
            <v>0.1676530306275032</v>
          </cell>
          <cell r="AG27">
            <v>0.16596055112329516</v>
          </cell>
          <cell r="AI27">
            <v>0.1658762085797969</v>
          </cell>
          <cell r="AK27">
            <v>0.16811739720479185</v>
          </cell>
        </row>
        <row r="28">
          <cell r="B28" t="str">
            <v xml:space="preserve">   R&amp;D</v>
          </cell>
          <cell r="C28">
            <v>255.3</v>
          </cell>
          <cell r="E28">
            <v>323.60000000000002</v>
          </cell>
          <cell r="G28">
            <v>451.7</v>
          </cell>
          <cell r="I28">
            <v>528.29999999999995</v>
          </cell>
          <cell r="K28">
            <v>630.79999999999995</v>
          </cell>
          <cell r="M28">
            <v>663.3</v>
          </cell>
          <cell r="O28">
            <v>822.8</v>
          </cell>
          <cell r="Q28">
            <v>845</v>
          </cell>
          <cell r="S28">
            <v>865</v>
          </cell>
          <cell r="U28">
            <v>1116.5999999999999</v>
          </cell>
          <cell r="W28">
            <v>1655.4</v>
          </cell>
          <cell r="X28">
            <v>0.48253627082213879</v>
          </cell>
          <cell r="Y28">
            <v>2028</v>
          </cell>
          <cell r="Z28">
            <v>0.22508155128669793</v>
          </cell>
          <cell r="AA28">
            <v>2302</v>
          </cell>
          <cell r="AB28">
            <v>0.13510848126232733</v>
          </cell>
          <cell r="AC28">
            <v>3009</v>
          </cell>
          <cell r="AD28">
            <v>0.30712423979148573</v>
          </cell>
          <cell r="AE28">
            <v>3327.2960987904589</v>
          </cell>
          <cell r="AF28">
            <v>0.10578135553022894</v>
          </cell>
          <cell r="AG28">
            <v>3601.6878542989657</v>
          </cell>
          <cell r="AH28">
            <v>8.2466888236443436E-2</v>
          </cell>
          <cell r="AI28">
            <v>3897.5185527717758</v>
          </cell>
          <cell r="AJ28">
            <v>8.2136684365833545E-2</v>
          </cell>
          <cell r="AK28">
            <v>4192.984408328728</v>
          </cell>
          <cell r="AL28">
            <v>7.5808710479858377E-2</v>
          </cell>
          <cell r="AO28" t="str">
            <v>mstag:researchAndDevelopment</v>
          </cell>
          <cell r="AP28">
            <v>6</v>
          </cell>
          <cell r="AQ28" t="str">
            <v>ISO4217:USD</v>
          </cell>
          <cell r="AR28" t="b">
            <v>0</v>
          </cell>
          <cell r="AS28" t="b">
            <v>0</v>
          </cell>
        </row>
        <row r="29">
          <cell r="B29" t="str">
            <v xml:space="preserve">   % of Total Revenues</v>
          </cell>
          <cell r="C29">
            <v>0.18583491046731695</v>
          </cell>
          <cell r="E29">
            <v>0.19638305619614033</v>
          </cell>
          <cell r="G29">
            <v>0.23284705397185423</v>
          </cell>
          <cell r="I29">
            <v>0.23586927404232522</v>
          </cell>
          <cell r="K29">
            <v>0.26272386505622658</v>
          </cell>
          <cell r="M29">
            <v>0.24402177911853432</v>
          </cell>
          <cell r="O29">
            <v>0.24633992994221729</v>
          </cell>
          <cell r="Q29">
            <v>0.23282085193144875</v>
          </cell>
          <cell r="S29">
            <v>0.21540453719152328</v>
          </cell>
          <cell r="U29">
            <v>0.20217273221075505</v>
          </cell>
          <cell r="W29">
            <v>0.19810914313068456</v>
          </cell>
          <cell r="Y29">
            <v>0.19222931023042872</v>
          </cell>
          <cell r="AA29">
            <v>0.21</v>
          </cell>
          <cell r="AC29">
            <v>0.21837578924450252</v>
          </cell>
          <cell r="AE29">
            <v>0.2205</v>
          </cell>
          <cell r="AG29">
            <v>0.22</v>
          </cell>
          <cell r="AI29">
            <v>0.2175</v>
          </cell>
          <cell r="AK29">
            <v>0.215</v>
          </cell>
        </row>
        <row r="30">
          <cell r="B30" t="str">
            <v xml:space="preserve">   SG&amp;A</v>
          </cell>
          <cell r="C30">
            <v>114.3</v>
          </cell>
          <cell r="E30">
            <v>122.9</v>
          </cell>
          <cell r="G30">
            <v>418.4</v>
          </cell>
          <cell r="I30">
            <v>470.6</v>
          </cell>
          <cell r="K30">
            <v>483.8</v>
          </cell>
          <cell r="M30">
            <v>515.4</v>
          </cell>
          <cell r="O30">
            <v>654.29999999999995</v>
          </cell>
          <cell r="Q30">
            <v>826.9</v>
          </cell>
          <cell r="S30">
            <v>970.7</v>
          </cell>
          <cell r="U30">
            <v>1462.1</v>
          </cell>
          <cell r="W30">
            <v>1952.6</v>
          </cell>
          <cell r="X30">
            <v>0.3354763696053622</v>
          </cell>
          <cell r="Y30">
            <v>2556</v>
          </cell>
          <cell r="Z30">
            <v>0.30902386561507744</v>
          </cell>
          <cell r="AA30">
            <v>2792</v>
          </cell>
          <cell r="AB30">
            <v>9.2331768388106417E-2</v>
          </cell>
          <cell r="AC30">
            <v>3027.1130000000003</v>
          </cell>
          <cell r="AD30">
            <v>8.4209527220630465E-2</v>
          </cell>
          <cell r="AE30">
            <v>3266.9369858872305</v>
          </cell>
          <cell r="AF30">
            <v>7.9225316625851194E-2</v>
          </cell>
          <cell r="AG30">
            <v>3544.388274798755</v>
          </cell>
          <cell r="AH30">
            <v>8.4927040255162511E-2</v>
          </cell>
          <cell r="AI30">
            <v>4255.911063371479</v>
          </cell>
          <cell r="AJ30">
            <v>0.20074628776756209</v>
          </cell>
          <cell r="AK30">
            <v>4875.5632654985211</v>
          </cell>
          <cell r="AL30">
            <v>0.14559801483167312</v>
          </cell>
          <cell r="AO30" t="str">
            <v>mstag:sellingGeneralAndAdministrativeExpenses</v>
          </cell>
          <cell r="AP30">
            <v>6</v>
          </cell>
          <cell r="AQ30" t="str">
            <v>ISO4217:USD</v>
          </cell>
          <cell r="AR30" t="b">
            <v>0</v>
          </cell>
          <cell r="AS30" t="b">
            <v>0</v>
          </cell>
        </row>
        <row r="31">
          <cell r="B31" t="str">
            <v xml:space="preserve">   % of Total Revenues</v>
          </cell>
          <cell r="C31">
            <v>8.3199883534721214E-2</v>
          </cell>
          <cell r="E31">
            <v>7.4584294210462435E-2</v>
          </cell>
          <cell r="G31">
            <v>0.21568122068147844</v>
          </cell>
          <cell r="I31">
            <v>0.21010804536119301</v>
          </cell>
          <cell r="K31">
            <v>0.2014993752603082</v>
          </cell>
          <cell r="M31">
            <v>0.18961077183430211</v>
          </cell>
          <cell r="O31">
            <v>0.19589233855273794</v>
          </cell>
          <cell r="Q31">
            <v>0.22783380173031356</v>
          </cell>
          <cell r="S31">
            <v>0.2417262245685684</v>
          </cell>
          <cell r="U31">
            <v>0.26472931377874348</v>
          </cell>
          <cell r="W31">
            <v>0.23367640019147917</v>
          </cell>
          <cell r="Y31">
            <v>0.24227717798272971</v>
          </cell>
          <cell r="AA31">
            <v>0.23</v>
          </cell>
          <cell r="AC31">
            <v>0.21969032585819001</v>
          </cell>
          <cell r="AE31">
            <v>0.2165</v>
          </cell>
          <cell r="AG31">
            <v>0.2165</v>
          </cell>
          <cell r="AI31">
            <v>0.23749999999999999</v>
          </cell>
          <cell r="AK31">
            <v>0.25</v>
          </cell>
        </row>
        <row r="32">
          <cell r="B32" t="str">
            <v xml:space="preserve">   Loss of Affiliates, Net</v>
          </cell>
          <cell r="C32">
            <v>12.6</v>
          </cell>
          <cell r="E32">
            <v>31.2</v>
          </cell>
          <cell r="G32">
            <v>53.3</v>
          </cell>
          <cell r="I32">
            <v>52.8</v>
          </cell>
          <cell r="K32">
            <v>36.1</v>
          </cell>
          <cell r="M32">
            <v>28.6</v>
          </cell>
          <cell r="O32">
            <v>16.8</v>
          </cell>
          <cell r="Q32">
            <v>23.9</v>
          </cell>
          <cell r="S32">
            <v>2.7</v>
          </cell>
          <cell r="U32">
            <v>-12.6</v>
          </cell>
          <cell r="W32">
            <v>4.3</v>
          </cell>
          <cell r="X32" t="str">
            <v>NM</v>
          </cell>
          <cell r="Y32">
            <v>0</v>
          </cell>
          <cell r="AA32">
            <v>0</v>
          </cell>
          <cell r="AC32">
            <v>0</v>
          </cell>
          <cell r="AE32">
            <v>0</v>
          </cell>
          <cell r="AG32">
            <v>0</v>
          </cell>
          <cell r="AI32">
            <v>0</v>
          </cell>
          <cell r="AK32">
            <v>0</v>
          </cell>
          <cell r="AO32" t="str">
            <v>mstag:otherOperatingExpense</v>
          </cell>
          <cell r="AP32">
            <v>6</v>
          </cell>
          <cell r="AQ32" t="str">
            <v>ISO4217:USD</v>
          </cell>
          <cell r="AR32" t="b">
            <v>0</v>
          </cell>
          <cell r="AS32" t="b">
            <v>0</v>
          </cell>
        </row>
        <row r="33">
          <cell r="B33" t="str">
            <v xml:space="preserve">   Other </v>
          </cell>
          <cell r="C33">
            <v>-13.9</v>
          </cell>
          <cell r="E33">
            <v>116.4</v>
          </cell>
          <cell r="G33">
            <v>0</v>
          </cell>
          <cell r="I33">
            <v>0</v>
          </cell>
          <cell r="K33">
            <v>157</v>
          </cell>
          <cell r="M33">
            <v>-23</v>
          </cell>
          <cell r="O33">
            <v>-49</v>
          </cell>
          <cell r="Q33">
            <v>-18.8</v>
          </cell>
          <cell r="S33">
            <v>203.1</v>
          </cell>
          <cell r="U33">
            <v>-141.30000000000001</v>
          </cell>
          <cell r="W33">
            <v>-24</v>
          </cell>
          <cell r="Y33">
            <v>0</v>
          </cell>
          <cell r="AA33">
            <v>0</v>
          </cell>
          <cell r="AC33">
            <v>0</v>
          </cell>
          <cell r="AE33">
            <v>0</v>
          </cell>
          <cell r="AG33">
            <v>0</v>
          </cell>
          <cell r="AI33">
            <v>0</v>
          </cell>
          <cell r="AK33">
            <v>0</v>
          </cell>
          <cell r="AO33" t="str">
            <v>mstag:otherOperatingExpense</v>
          </cell>
          <cell r="AP33">
            <v>6</v>
          </cell>
          <cell r="AQ33" t="str">
            <v>ISO4217:USD</v>
          </cell>
          <cell r="AR33" t="b">
            <v>0</v>
          </cell>
          <cell r="AS33" t="b">
            <v>0</v>
          </cell>
        </row>
        <row r="34">
          <cell r="B34" t="str">
            <v>Total Operating Expenses</v>
          </cell>
          <cell r="C34">
            <v>588.29999999999995</v>
          </cell>
          <cell r="E34">
            <v>832.2</v>
          </cell>
          <cell r="G34">
            <v>1196.3</v>
          </cell>
          <cell r="I34">
            <v>1334.8999999999999</v>
          </cell>
          <cell r="K34">
            <v>1608.4999999999998</v>
          </cell>
          <cell r="M34">
            <v>1529.5</v>
          </cell>
          <cell r="O34">
            <v>1847</v>
          </cell>
          <cell r="Q34">
            <v>2085.4</v>
          </cell>
          <cell r="S34">
            <v>2484.5</v>
          </cell>
          <cell r="U34">
            <v>3160.5</v>
          </cell>
          <cell r="W34">
            <v>4929.0000000000009</v>
          </cell>
          <cell r="X34">
            <v>0.55956336022781228</v>
          </cell>
          <cell r="Y34">
            <v>6315</v>
          </cell>
          <cell r="Z34">
            <v>0.28119293974436976</v>
          </cell>
          <cell r="AA34">
            <v>7129</v>
          </cell>
          <cell r="AB34">
            <v>0.12889944576405377</v>
          </cell>
          <cell r="AC34">
            <v>8311.3654999999999</v>
          </cell>
          <cell r="AD34">
            <v>0.16585292467386736</v>
          </cell>
          <cell r="AE34">
            <v>9065.5356974360293</v>
          </cell>
          <cell r="AF34">
            <v>9.073962605013941E-2</v>
          </cell>
          <cell r="AG34">
            <v>9809.7503480268042</v>
          </cell>
          <cell r="AH34">
            <v>8.2092738413821253E-2</v>
          </cell>
          <cell r="AI34">
            <v>11075.243606667409</v>
          </cell>
          <cell r="AJ34">
            <v>0.12900361515266834</v>
          </cell>
          <cell r="AK34">
            <v>12298.471612324098</v>
          </cell>
          <cell r="AL34">
            <v>0.11044705192040127</v>
          </cell>
        </row>
        <row r="35">
          <cell r="B35" t="str">
            <v xml:space="preserve">Operating Income (Loss) </v>
          </cell>
          <cell r="C35">
            <v>785.5</v>
          </cell>
          <cell r="E35">
            <v>815.59999999999991</v>
          </cell>
          <cell r="G35">
            <v>743.59999999999991</v>
          </cell>
          <cell r="I35">
            <v>904.89999999999986</v>
          </cell>
          <cell r="K35">
            <v>792.50000000000023</v>
          </cell>
          <cell r="M35">
            <v>1188.6999999999998</v>
          </cell>
          <cell r="O35">
            <v>1493.1</v>
          </cell>
          <cell r="Q35">
            <v>1543.9999999999995</v>
          </cell>
          <cell r="S35">
            <v>1531.1999999999998</v>
          </cell>
          <cell r="U35">
            <v>2362.4999999999991</v>
          </cell>
          <cell r="W35">
            <v>3426.9999999999991</v>
          </cell>
          <cell r="X35">
            <v>0.45058201058201086</v>
          </cell>
          <cell r="Y35">
            <v>4234.8999999999996</v>
          </cell>
          <cell r="Z35">
            <v>0.23574555004377018</v>
          </cell>
          <cell r="AA35">
            <v>5301</v>
          </cell>
          <cell r="AB35">
            <v>0.25174148149897291</v>
          </cell>
          <cell r="AC35">
            <v>5467.6345000000001</v>
          </cell>
          <cell r="AD35">
            <v>3.143454065270701E-2</v>
          </cell>
          <cell r="AE35">
            <v>6024.24252837104</v>
          </cell>
          <cell r="AF35">
            <v>0.10180051873822937</v>
          </cell>
          <cell r="AG35">
            <v>6561.5580806048583</v>
          </cell>
          <cell r="AH35">
            <v>8.919221789350984E-2</v>
          </cell>
          <cell r="AI35">
            <v>6844.3819233177674</v>
          </cell>
          <cell r="AJ35">
            <v>4.3103153128964955E-2</v>
          </cell>
          <cell r="AK35">
            <v>7203.7814496699866</v>
          </cell>
          <cell r="AL35">
            <v>5.2510150716136961E-2</v>
          </cell>
        </row>
        <row r="36">
          <cell r="B36" t="str">
            <v>Operatin Margins</v>
          </cell>
          <cell r="C36">
            <v>0.57177172805357401</v>
          </cell>
          <cell r="E36">
            <v>0.49496298094428931</v>
          </cell>
          <cell r="G36">
            <v>0.38331872776947262</v>
          </cell>
          <cell r="I36">
            <v>0.40400928654344137</v>
          </cell>
          <cell r="K36">
            <v>0.33007080383173687</v>
          </cell>
          <cell r="M36">
            <v>0.43731145611066141</v>
          </cell>
          <cell r="O36">
            <v>0.44702254423520255</v>
          </cell>
          <cell r="Q36">
            <v>0.42541466909130976</v>
          </cell>
          <cell r="S36">
            <v>0.38130338421694843</v>
          </cell>
          <cell r="U36">
            <v>0.42775665399239532</v>
          </cell>
          <cell r="W36">
            <v>0.41012446146481557</v>
          </cell>
          <cell r="Y36">
            <v>0.40141612716708214</v>
          </cell>
          <cell r="AA36">
            <v>0.42646822204344326</v>
          </cell>
          <cell r="AC36">
            <v>0.39680923869656726</v>
          </cell>
          <cell r="AE36">
            <v>0.39922671083847799</v>
          </cell>
          <cell r="AG36">
            <v>0.40079619226581775</v>
          </cell>
          <cell r="AI36">
            <v>0.38194893703916755</v>
          </cell>
          <cell r="AK36">
            <v>0.36938201072309373</v>
          </cell>
        </row>
        <row r="37">
          <cell r="B37" t="str">
            <v xml:space="preserve">   Interest, Other Income</v>
          </cell>
          <cell r="C37">
            <v>27.2</v>
          </cell>
          <cell r="E37">
            <v>21.5</v>
          </cell>
          <cell r="G37">
            <v>66.099999999999994</v>
          </cell>
          <cell r="I37">
            <v>63.6</v>
          </cell>
          <cell r="K37">
            <v>72.599999999999994</v>
          </cell>
          <cell r="M37">
            <v>45.7</v>
          </cell>
          <cell r="O37">
            <v>88.3</v>
          </cell>
          <cell r="Q37">
            <v>146.19999999999999</v>
          </cell>
          <cell r="S37">
            <v>168.7</v>
          </cell>
          <cell r="U37">
            <v>144.19999999999999</v>
          </cell>
          <cell r="W37">
            <v>113.4</v>
          </cell>
          <cell r="X37">
            <v>-0.21359223300970864</v>
          </cell>
          <cell r="Y37">
            <v>99.7</v>
          </cell>
          <cell r="AA37">
            <v>157</v>
          </cell>
          <cell r="AC37">
            <v>329</v>
          </cell>
          <cell r="AE37">
            <v>210.7171588806757</v>
          </cell>
          <cell r="AG37">
            <v>265.32581027251831</v>
          </cell>
          <cell r="AI37">
            <v>323.62060238808283</v>
          </cell>
          <cell r="AK37">
            <v>403.8061044023068</v>
          </cell>
          <cell r="AO37" t="str">
            <v>mstag:interestAndDividendIncome</v>
          </cell>
          <cell r="AP37">
            <v>6</v>
          </cell>
          <cell r="AQ37" t="str">
            <v>ISO4217:USD</v>
          </cell>
          <cell r="AR37" t="b">
            <v>0</v>
          </cell>
          <cell r="AS37" t="b">
            <v>0</v>
          </cell>
        </row>
        <row r="38">
          <cell r="B38" t="str">
            <v xml:space="preserve">   Interest, Other Expense</v>
          </cell>
          <cell r="C38">
            <v>-6.2</v>
          </cell>
          <cell r="E38">
            <v>-12</v>
          </cell>
          <cell r="G38">
            <v>-15.3</v>
          </cell>
          <cell r="I38">
            <v>-6.2</v>
          </cell>
          <cell r="K38">
            <v>-3.7</v>
          </cell>
          <cell r="M38">
            <v>-10</v>
          </cell>
          <cell r="O38">
            <v>-15.2</v>
          </cell>
          <cell r="Q38">
            <v>-15.9</v>
          </cell>
          <cell r="S38">
            <v>-13.6</v>
          </cell>
          <cell r="U38">
            <v>-44.2</v>
          </cell>
          <cell r="W38">
            <v>-31.5</v>
          </cell>
          <cell r="X38">
            <v>-0.28733031674208154</v>
          </cell>
          <cell r="Y38">
            <v>-52.5</v>
          </cell>
          <cell r="AA38">
            <v>-137</v>
          </cell>
          <cell r="AC38">
            <v>-136</v>
          </cell>
          <cell r="AE38">
            <v>-128.80025000000001</v>
          </cell>
          <cell r="AG38">
            <v>-128.80025000000001</v>
          </cell>
          <cell r="AI38">
            <v>-88.888750000000002</v>
          </cell>
          <cell r="AK38">
            <v>-88.888750000000002</v>
          </cell>
          <cell r="AO38" t="str">
            <v>mstag:interestExpense</v>
          </cell>
          <cell r="AP38">
            <v>6</v>
          </cell>
          <cell r="AQ38" t="str">
            <v>ISO4217:USD</v>
          </cell>
          <cell r="AR38" t="b">
            <v>1</v>
          </cell>
          <cell r="AS38" t="b">
            <v>0</v>
          </cell>
        </row>
        <row r="39">
          <cell r="B39" t="str">
            <v xml:space="preserve">Pretax Income (Loss) </v>
          </cell>
          <cell r="C39">
            <v>806.5</v>
          </cell>
          <cell r="E39">
            <v>825.09999999999991</v>
          </cell>
          <cell r="G39">
            <v>794.4</v>
          </cell>
          <cell r="I39">
            <v>962.29999999999984</v>
          </cell>
          <cell r="K39">
            <v>861.4000000000002</v>
          </cell>
          <cell r="M39">
            <v>1224.3999999999999</v>
          </cell>
          <cell r="O39">
            <v>1566.1999999999998</v>
          </cell>
          <cell r="Q39">
            <v>1674.2999999999995</v>
          </cell>
          <cell r="S39">
            <v>1686.3</v>
          </cell>
          <cell r="U39">
            <v>2462.4999999999991</v>
          </cell>
          <cell r="V39">
            <v>0.46029769317440494</v>
          </cell>
          <cell r="W39">
            <v>3508.8999999999992</v>
          </cell>
          <cell r="X39">
            <v>0.42493401015228449</v>
          </cell>
          <cell r="Y39">
            <v>4282.0999999999995</v>
          </cell>
          <cell r="Z39">
            <v>0.2203539570805666</v>
          </cell>
          <cell r="AA39">
            <v>5321</v>
          </cell>
          <cell r="AB39">
            <v>0.24261460498353626</v>
          </cell>
          <cell r="AC39">
            <v>5660.6345000000001</v>
          </cell>
          <cell r="AD39">
            <v>6.3829073482428056E-2</v>
          </cell>
          <cell r="AE39">
            <v>6106.1594372517156</v>
          </cell>
          <cell r="AF39">
            <v>7.8705830106451158E-2</v>
          </cell>
          <cell r="AG39">
            <v>6698.0836408773766</v>
          </cell>
          <cell r="AH39">
            <v>9.6938871267350457E-2</v>
          </cell>
          <cell r="AI39">
            <v>7079.1137757058505</v>
          </cell>
          <cell r="AJ39">
            <v>5.6886440250328629E-2</v>
          </cell>
          <cell r="AK39">
            <v>7518.6988040722936</v>
          </cell>
          <cell r="AL39">
            <v>6.2096053587246125E-2</v>
          </cell>
        </row>
        <row r="40">
          <cell r="B40" t="str">
            <v xml:space="preserve">   Provision For Income Taxes</v>
          </cell>
          <cell r="C40">
            <v>217.8</v>
          </cell>
          <cell r="E40">
            <v>268.60000000000002</v>
          </cell>
          <cell r="G40">
            <v>256.7</v>
          </cell>
          <cell r="I40">
            <v>282.5</v>
          </cell>
          <cell r="K40">
            <v>217.1</v>
          </cell>
          <cell r="M40">
            <v>361.2</v>
          </cell>
          <cell r="O40">
            <v>469.8</v>
          </cell>
          <cell r="Q40">
            <v>535.79999999999995</v>
          </cell>
          <cell r="S40">
            <v>566.6</v>
          </cell>
          <cell r="U40">
            <v>707.4</v>
          </cell>
          <cell r="W40">
            <v>913.6</v>
          </cell>
          <cell r="X40">
            <v>0.29148996324568843</v>
          </cell>
          <cell r="Y40">
            <v>1175.3</v>
          </cell>
          <cell r="AA40">
            <v>1298</v>
          </cell>
          <cell r="AC40">
            <v>1325.1413175</v>
          </cell>
          <cell r="AE40">
            <v>1434.9474677541532</v>
          </cell>
          <cell r="AG40">
            <v>1540.5592374017967</v>
          </cell>
          <cell r="AI40">
            <v>1592.8005995338165</v>
          </cell>
          <cell r="AK40">
            <v>1687.9478815142299</v>
          </cell>
          <cell r="AO40" t="str">
            <v>mstag:taxExpenseIncome</v>
          </cell>
          <cell r="AP40">
            <v>6</v>
          </cell>
          <cell r="AQ40" t="str">
            <v>ISO4217:USD</v>
          </cell>
          <cell r="AR40" t="b">
            <v>0</v>
          </cell>
          <cell r="AS40" t="b">
            <v>0</v>
          </cell>
        </row>
        <row r="41">
          <cell r="B41" t="str">
            <v xml:space="preserve">   Effective Tax Rate</v>
          </cell>
          <cell r="C41">
            <v>0.27005579665220086</v>
          </cell>
          <cell r="E41">
            <v>0.32553629863046912</v>
          </cell>
          <cell r="G41">
            <v>0.32313695871097681</v>
          </cell>
          <cell r="I41">
            <v>0.29356749454432096</v>
          </cell>
          <cell r="K41">
            <v>0.25203157650336655</v>
          </cell>
          <cell r="M41">
            <v>0.29500163345311992</v>
          </cell>
          <cell r="O41">
            <v>0.29996169071638362</v>
          </cell>
          <cell r="Q41">
            <v>0.32001433434868309</v>
          </cell>
          <cell r="S41">
            <v>0.33600189764573329</v>
          </cell>
          <cell r="U41">
            <v>0.28726903553299504</v>
          </cell>
          <cell r="W41">
            <v>0.28792033027638597</v>
          </cell>
          <cell r="Y41">
            <v>0.27179593913325006</v>
          </cell>
          <cell r="AA41">
            <v>0.24393910919000189</v>
          </cell>
          <cell r="AC41">
            <v>0.2340976647582528</v>
          </cell>
          <cell r="AE41">
            <v>0.23499999999999999</v>
          </cell>
          <cell r="AG41">
            <v>0.23</v>
          </cell>
          <cell r="AI41">
            <v>0.22500000000000001</v>
          </cell>
          <cell r="AK41">
            <v>0.22450000000000001</v>
          </cell>
        </row>
        <row r="42">
          <cell r="B42" t="str">
            <v>Net Income (Loss)</v>
          </cell>
          <cell r="C42">
            <v>588.70000000000005</v>
          </cell>
          <cell r="E42">
            <v>556.49999999999989</v>
          </cell>
          <cell r="G42">
            <v>537.70000000000005</v>
          </cell>
          <cell r="I42">
            <v>679.79999999999984</v>
          </cell>
          <cell r="K42">
            <v>644.30000000000018</v>
          </cell>
          <cell r="M42">
            <v>863.19999999999982</v>
          </cell>
          <cell r="O42">
            <v>1096.3999999999999</v>
          </cell>
          <cell r="Q42">
            <v>1138.4999999999995</v>
          </cell>
          <cell r="S42">
            <v>1119.6999999999998</v>
          </cell>
          <cell r="U42">
            <v>1755.099999999999</v>
          </cell>
          <cell r="W42">
            <v>2595.2999999999993</v>
          </cell>
          <cell r="X42">
            <v>0.47871916130135084</v>
          </cell>
          <cell r="Y42">
            <v>3106.7999999999993</v>
          </cell>
          <cell r="Z42">
            <v>0.19708704196046711</v>
          </cell>
          <cell r="AA42">
            <v>4023</v>
          </cell>
          <cell r="AB42">
            <v>0.29490150637311729</v>
          </cell>
          <cell r="AC42">
            <v>4335.4931825000003</v>
          </cell>
          <cell r="AD42">
            <v>7.7676654859557548E-2</v>
          </cell>
          <cell r="AE42">
            <v>4671.2119694975627</v>
          </cell>
          <cell r="AF42">
            <v>7.7434970570977812E-2</v>
          </cell>
          <cell r="AG42">
            <v>5157.5244034755797</v>
          </cell>
          <cell r="AH42">
            <v>0.1041084063736728</v>
          </cell>
          <cell r="AI42">
            <v>5486.3131761720342</v>
          </cell>
          <cell r="AJ42">
            <v>6.3749339212993084E-2</v>
          </cell>
          <cell r="AK42">
            <v>5830.7509225580634</v>
          </cell>
          <cell r="AL42">
            <v>6.2781276847625023E-2</v>
          </cell>
        </row>
        <row r="44">
          <cell r="B44" t="str">
            <v>EPS, basic</v>
          </cell>
          <cell r="C44">
            <v>0.51244777158774379</v>
          </cell>
          <cell r="E44">
            <v>0.49758583690987113</v>
          </cell>
          <cell r="G44">
            <v>0.47889205557534742</v>
          </cell>
          <cell r="I44">
            <v>0.64156285390713463</v>
          </cell>
          <cell r="K44">
            <v>0.60990155244225686</v>
          </cell>
          <cell r="M44">
            <v>0.84644047852520088</v>
          </cell>
          <cell r="O44">
            <v>1.0731134383870018</v>
          </cell>
          <cell r="Q44">
            <v>1.1057692307692304</v>
          </cell>
          <cell r="S44">
            <v>1.0709708273553322</v>
          </cell>
          <cell r="U44">
            <v>1.5215431296055475</v>
          </cell>
          <cell r="W44">
            <v>2.0143588947531814</v>
          </cell>
          <cell r="X44">
            <v>0.32389207743022963</v>
          </cell>
          <cell r="Y44">
            <v>2.4450478101758937</v>
          </cell>
          <cell r="Z44">
            <v>0.21380942420168103</v>
          </cell>
          <cell r="AA44">
            <v>3.2548543689320391</v>
          </cell>
          <cell r="AB44">
            <v>0.33120275005906286</v>
          </cell>
          <cell r="AC44">
            <v>3.731777351192334</v>
          </cell>
          <cell r="AD44">
            <v>0.14652667314783119</v>
          </cell>
          <cell r="AE44">
            <v>4.1673836241099211</v>
          </cell>
          <cell r="AF44">
            <v>0.11672890205478281</v>
          </cell>
          <cell r="AG44">
            <v>4.7082436114742245</v>
          </cell>
          <cell r="AH44">
            <v>0.12978406505108375</v>
          </cell>
          <cell r="AI44">
            <v>5.1215025778275436</v>
          </cell>
          <cell r="AJ44">
            <v>8.7773488471621697E-2</v>
          </cell>
          <cell r="AK44">
            <v>5.5598159963447911</v>
          </cell>
          <cell r="AL44">
            <v>8.5582973327951173E-2</v>
          </cell>
        </row>
        <row r="45">
          <cell r="B45" t="str">
            <v>EPS, diluted</v>
          </cell>
          <cell r="C45">
            <v>0.50996188496188499</v>
          </cell>
          <cell r="D45" t="e">
            <v>#DIV/0!</v>
          </cell>
          <cell r="E45">
            <v>0.49300141743444359</v>
          </cell>
          <cell r="F45">
            <v>-3.3258304252893445E-2</v>
          </cell>
          <cell r="G45">
            <v>0.49676644493717664</v>
          </cell>
          <cell r="H45">
            <v>7.6369506650226793E-3</v>
          </cell>
          <cell r="I45">
            <v>0.6054506590666191</v>
          </cell>
          <cell r="J45">
            <v>0.21878332410955648</v>
          </cell>
          <cell r="K45">
            <v>0.58658048069919899</v>
          </cell>
          <cell r="L45">
            <v>-3.1167161328242599E-2</v>
          </cell>
          <cell r="M45">
            <v>0.81665089877010388</v>
          </cell>
          <cell r="N45">
            <v>0.3922231060206145</v>
          </cell>
          <cell r="O45">
            <v>1.0167856811647964</v>
          </cell>
          <cell r="P45">
            <v>0.24506773052732855</v>
          </cell>
          <cell r="Q45">
            <v>1.0495989674564392</v>
          </cell>
          <cell r="R45">
            <v>3.227158574268385E-2</v>
          </cell>
          <cell r="S45">
            <v>1.0327430363401584</v>
          </cell>
          <cell r="T45">
            <v>-1.6059401389398209E-2</v>
          </cell>
          <cell r="U45">
            <v>1.5215431296055475</v>
          </cell>
          <cell r="V45">
            <v>0.47330272494269443</v>
          </cell>
          <cell r="W45">
            <v>1.9281575037147096</v>
          </cell>
          <cell r="X45">
            <v>0.26723815197704903</v>
          </cell>
          <cell r="Y45">
            <v>2.36950115525927</v>
          </cell>
          <cell r="Z45">
            <v>0.22889398334642563</v>
          </cell>
          <cell r="AA45">
            <v>3.2027027027027026</v>
          </cell>
          <cell r="AB45">
            <v>0.35163584773701628</v>
          </cell>
          <cell r="AC45">
            <v>3.6698689952539394</v>
          </cell>
          <cell r="AD45">
            <v>0.14586626856030183</v>
          </cell>
          <cell r="AE45">
            <v>4.1013211403748855</v>
          </cell>
          <cell r="AF45">
            <v>0.11756608905629107</v>
          </cell>
          <cell r="AG45">
            <v>4.6347096976234399</v>
          </cell>
          <cell r="AH45">
            <v>0.13005286320978016</v>
          </cell>
          <cell r="AI45">
            <v>5.0526778224740756</v>
          </cell>
          <cell r="AJ45">
            <v>9.0182158564312997E-2</v>
          </cell>
          <cell r="AK45">
            <v>5.4875839896915242</v>
          </cell>
          <cell r="AL45">
            <v>8.607439114423765E-2</v>
          </cell>
          <cell r="AM45">
            <v>0.1311025203958521</v>
          </cell>
          <cell r="AO45" t="str">
            <v>mstag:adjEpsForConsensus</v>
          </cell>
          <cell r="AP45">
            <v>0</v>
          </cell>
          <cell r="AQ45" t="str">
            <v>ISO4217:USD</v>
          </cell>
          <cell r="AR45" t="b">
            <v>0</v>
          </cell>
          <cell r="AS45" t="b">
            <v>0</v>
          </cell>
        </row>
        <row r="47">
          <cell r="B47" t="str">
            <v xml:space="preserve">  Options expense</v>
          </cell>
          <cell r="AC47">
            <v>294.91779250000002</v>
          </cell>
          <cell r="AE47">
            <v>271.96607092308085</v>
          </cell>
          <cell r="AG47">
            <v>294.29251044080411</v>
          </cell>
          <cell r="AI47">
            <v>332.25730820002224</v>
          </cell>
          <cell r="AK47">
            <v>368.95414836972293</v>
          </cell>
          <cell r="AO47" t="str">
            <v>mstag:stockCompensation</v>
          </cell>
          <cell r="AP47">
            <v>6</v>
          </cell>
          <cell r="AQ47" t="str">
            <v>ISO4217:USD</v>
          </cell>
          <cell r="AR47" t="b">
            <v>0</v>
          </cell>
          <cell r="AS47" t="b">
            <v>0</v>
          </cell>
        </row>
        <row r="48">
          <cell r="B48" t="str">
            <v>% of operating expense</v>
          </cell>
          <cell r="AC48">
            <v>3.5483675035107048E-2</v>
          </cell>
          <cell r="AE48">
            <v>0.03</v>
          </cell>
          <cell r="AG48">
            <v>0.03</v>
          </cell>
          <cell r="AI48">
            <v>0.03</v>
          </cell>
          <cell r="AK48">
            <v>0.03</v>
          </cell>
        </row>
        <row r="49">
          <cell r="B49" t="str">
            <v>Net Income (incl options exp)</v>
          </cell>
          <cell r="AC49">
            <v>4040.5753900000004</v>
          </cell>
          <cell r="AE49">
            <v>4399.2458985744815</v>
          </cell>
          <cell r="AG49">
            <v>4863.2318930347756</v>
          </cell>
          <cell r="AI49">
            <v>5154.0558679720116</v>
          </cell>
          <cell r="AK49">
            <v>5461.7967741883404</v>
          </cell>
        </row>
        <row r="51">
          <cell r="B51" t="str">
            <v>EPS, diluted (incl option exp)</v>
          </cell>
          <cell r="AC51">
            <v>3.4469575326902331</v>
          </cell>
          <cell r="AE51">
            <v>3.8627394026015285</v>
          </cell>
          <cell r="AG51">
            <v>4.3704543642262941</v>
          </cell>
          <cell r="AI51">
            <v>4.7469048950237553</v>
          </cell>
          <cell r="AK51">
            <v>5.1405825659124416</v>
          </cell>
        </row>
        <row r="52">
          <cell r="B52" t="str">
            <v>EPS, GAAP, Diluted (incl option exp)</v>
          </cell>
          <cell r="C52">
            <v>0.50996188496188499</v>
          </cell>
          <cell r="E52">
            <v>0.49300141743444359</v>
          </cell>
          <cell r="G52">
            <v>0.49676644493717664</v>
          </cell>
          <cell r="I52">
            <v>0.6054506590666191</v>
          </cell>
          <cell r="K52">
            <v>0.58658048069919899</v>
          </cell>
          <cell r="M52">
            <v>0.81665089877010388</v>
          </cell>
          <cell r="O52">
            <v>1.0167856811647964</v>
          </cell>
          <cell r="Q52">
            <v>1.0495989674564392</v>
          </cell>
          <cell r="S52">
            <v>1.0327430363401584</v>
          </cell>
          <cell r="U52">
            <v>-1.2066753359341147</v>
          </cell>
          <cell r="W52">
            <v>1.6939078751857348</v>
          </cell>
          <cell r="Y52">
            <v>1.8057346312639668</v>
          </cell>
          <cell r="AA52">
            <v>2.9252782193958664</v>
          </cell>
          <cell r="AC52">
            <v>2.8409196338463318</v>
          </cell>
          <cell r="AE52">
            <v>3.6709641803555715</v>
          </cell>
          <cell r="AG52">
            <v>4.1741569513311401</v>
          </cell>
          <cell r="AI52">
            <v>4.5457203972860176</v>
          </cell>
          <cell r="AK52">
            <v>4.9349798329237098</v>
          </cell>
        </row>
        <row r="54">
          <cell r="B54" t="str">
            <v xml:space="preserve">Basic Shares Outstanding </v>
          </cell>
          <cell r="C54">
            <v>1148.8</v>
          </cell>
          <cell r="E54">
            <v>1118.4000000000001</v>
          </cell>
          <cell r="G54">
            <v>1122.8</v>
          </cell>
          <cell r="I54">
            <v>1059.5999999999999</v>
          </cell>
          <cell r="K54">
            <v>1056.4000000000001</v>
          </cell>
          <cell r="M54">
            <v>1019.8</v>
          </cell>
          <cell r="O54">
            <v>1021.7</v>
          </cell>
          <cell r="Q54">
            <v>1029.5999999999999</v>
          </cell>
          <cell r="S54">
            <v>1045.5</v>
          </cell>
          <cell r="U54">
            <v>1153.5</v>
          </cell>
          <cell r="W54">
            <v>1288.4000000000001</v>
          </cell>
          <cell r="X54">
            <v>0.11694841785869103</v>
          </cell>
          <cell r="Y54">
            <v>1270.6500000000001</v>
          </cell>
          <cell r="Z54">
            <v>-1.3776777398323503E-2</v>
          </cell>
          <cell r="AA54">
            <v>1236</v>
          </cell>
          <cell r="AB54">
            <v>-2.726950773226311E-2</v>
          </cell>
          <cell r="AC54">
            <v>1161.7770232500002</v>
          </cell>
          <cell r="AD54">
            <v>-6.0050952063106622E-2</v>
          </cell>
          <cell r="AE54">
            <v>1120.8980000000001</v>
          </cell>
          <cell r="AF54">
            <v>-3.5186634295489405E-2</v>
          </cell>
          <cell r="AG54">
            <v>1095.4242875</v>
          </cell>
          <cell r="AH54">
            <v>-2.2726164646560298E-2</v>
          </cell>
          <cell r="AI54">
            <v>1071.23116562</v>
          </cell>
          <cell r="AJ54">
            <v>-2.2085617560310022E-2</v>
          </cell>
          <cell r="AK54">
            <v>1048.7309159855999</v>
          </cell>
          <cell r="AL54">
            <v>-2.1004102901895583E-2</v>
          </cell>
          <cell r="AM54" t="str">
            <v>CAGR</v>
          </cell>
          <cell r="AN54" t="str">
            <v>Target PEG</v>
          </cell>
          <cell r="AO54" t="str">
            <v>mstag:averageBasicSharesOutstanding</v>
          </cell>
          <cell r="AP54">
            <v>6</v>
          </cell>
          <cell r="AQ54" t="str">
            <v>ms_eqr_gcim_Decimal:ms_eqr_gcim_decimal</v>
          </cell>
          <cell r="AR54" t="b">
            <v>0</v>
          </cell>
          <cell r="AS54" t="b">
            <v>0</v>
          </cell>
        </row>
        <row r="55">
          <cell r="B55" t="str">
            <v>Diluted Shares Outstanding</v>
          </cell>
          <cell r="C55">
            <v>1154.4000000000001</v>
          </cell>
          <cell r="E55">
            <v>1128.8</v>
          </cell>
          <cell r="G55">
            <v>1082.4000000000001</v>
          </cell>
          <cell r="I55">
            <v>1122.8</v>
          </cell>
          <cell r="K55">
            <v>1098.4000000000001</v>
          </cell>
          <cell r="M55">
            <v>1057</v>
          </cell>
          <cell r="O55">
            <v>1078.3</v>
          </cell>
          <cell r="Q55">
            <v>1084.7</v>
          </cell>
          <cell r="S55">
            <v>1084.2</v>
          </cell>
          <cell r="U55">
            <v>1153.5</v>
          </cell>
          <cell r="W55">
            <v>1346</v>
          </cell>
          <cell r="X55">
            <v>0.16688339835283927</v>
          </cell>
          <cell r="Y55">
            <v>1320.05</v>
          </cell>
          <cell r="Z55">
            <v>-1.9279346210995585E-2</v>
          </cell>
          <cell r="AA55">
            <v>1258</v>
          </cell>
          <cell r="AB55">
            <v>-4.7005795235028902E-2</v>
          </cell>
          <cell r="AC55">
            <v>1173.37546275</v>
          </cell>
          <cell r="AD55">
            <v>-6.726910751192372E-2</v>
          </cell>
          <cell r="AE55">
            <v>1139.9282839554037</v>
          </cell>
          <cell r="AF55">
            <v>-2.8505094793960795E-2</v>
          </cell>
          <cell r="AG55">
            <v>1113.6672499945955</v>
          </cell>
          <cell r="AH55">
            <v>-2.3037443960672532E-2</v>
          </cell>
          <cell r="AI55">
            <v>1086.6145376915538</v>
          </cell>
          <cell r="AJ55">
            <v>-2.4291557736992875E-2</v>
          </cell>
          <cell r="AK55">
            <v>1063.2640764166335</v>
          </cell>
          <cell r="AL55">
            <v>-2.1489185414845347E-2</v>
          </cell>
          <cell r="AM55">
            <v>0.11371203000907149</v>
          </cell>
          <cell r="AN55">
            <v>1.6</v>
          </cell>
          <cell r="AO55" t="str">
            <v>mstag:averageDilutedSharesOutstanding</v>
          </cell>
          <cell r="AP55">
            <v>6</v>
          </cell>
          <cell r="AQ55" t="str">
            <v>ms_eqr_gcim_Decimal:ms_eqr_gcim_decimal</v>
          </cell>
          <cell r="AR55" t="b">
            <v>0</v>
          </cell>
          <cell r="AS55" t="b">
            <v>0</v>
          </cell>
        </row>
        <row r="56">
          <cell r="AN56" t="str">
            <v>Traget PE</v>
          </cell>
        </row>
        <row r="57">
          <cell r="AN57">
            <v>18.193924801451438</v>
          </cell>
        </row>
        <row r="58">
          <cell r="W58" t="str">
            <v>2003-FY</v>
          </cell>
          <cell r="Y58" t="str">
            <v>2004-FY</v>
          </cell>
          <cell r="AA58" t="str">
            <v>2005-FY</v>
          </cell>
          <cell r="AC58" t="str">
            <v>2006-FY</v>
          </cell>
          <cell r="AE58" t="str">
            <v>2007-FY</v>
          </cell>
          <cell r="AG58" t="str">
            <v>2008-FY</v>
          </cell>
          <cell r="AI58" t="str">
            <v>2009-FY</v>
          </cell>
          <cell r="AK58" t="str">
            <v>2010-FY</v>
          </cell>
        </row>
        <row r="59">
          <cell r="AN59" t="str">
            <v>2005 Target</v>
          </cell>
        </row>
        <row r="60">
          <cell r="B60" t="str">
            <v>Reconciliation to GAAP earnings/loss</v>
          </cell>
          <cell r="AN60">
            <v>58.269732134378252</v>
          </cell>
        </row>
        <row r="61">
          <cell r="B61" t="str">
            <v>Adjustments to pro-forma earnings:</v>
          </cell>
        </row>
        <row r="62">
          <cell r="B62" t="str">
            <v xml:space="preserve">   Amortization of intangible assets</v>
          </cell>
          <cell r="C62">
            <v>0</v>
          </cell>
          <cell r="E62">
            <v>0</v>
          </cell>
          <cell r="G62">
            <v>0</v>
          </cell>
          <cell r="I62">
            <v>0</v>
          </cell>
          <cell r="K62">
            <v>0</v>
          </cell>
          <cell r="M62">
            <v>0</v>
          </cell>
          <cell r="O62">
            <v>0</v>
          </cell>
          <cell r="Q62">
            <v>0</v>
          </cell>
          <cell r="S62">
            <v>0</v>
          </cell>
          <cell r="U62">
            <v>-155.19999999999999</v>
          </cell>
          <cell r="W62">
            <v>-335.8</v>
          </cell>
          <cell r="Y62">
            <v>-333</v>
          </cell>
          <cell r="AA62">
            <v>-347</v>
          </cell>
          <cell r="AC62">
            <v>-97</v>
          </cell>
          <cell r="AE62">
            <v>-347</v>
          </cell>
          <cell r="AG62">
            <v>-347</v>
          </cell>
          <cell r="AI62">
            <v>-347</v>
          </cell>
          <cell r="AK62">
            <v>-347</v>
          </cell>
          <cell r="AO62" t="str">
            <v>mstag:amortizationOfIntangiblesAssumedToHaveIndefiniteLifeIncomeStatement</v>
          </cell>
          <cell r="AP62">
            <v>6</v>
          </cell>
          <cell r="AQ62" t="str">
            <v>ISO4217:USD</v>
          </cell>
          <cell r="AR62" t="b">
            <v>1</v>
          </cell>
          <cell r="AS62" t="b">
            <v>0</v>
          </cell>
        </row>
        <row r="63">
          <cell r="B63" t="str">
            <v xml:space="preserve">   Write-off of acquired in-process R&amp;D</v>
          </cell>
          <cell r="C63">
            <v>0</v>
          </cell>
          <cell r="E63">
            <v>0</v>
          </cell>
          <cell r="G63">
            <v>0</v>
          </cell>
          <cell r="I63">
            <v>0</v>
          </cell>
          <cell r="K63">
            <v>0</v>
          </cell>
          <cell r="M63">
            <v>0</v>
          </cell>
          <cell r="O63">
            <v>0</v>
          </cell>
          <cell r="Q63">
            <v>0</v>
          </cell>
          <cell r="S63">
            <v>0</v>
          </cell>
          <cell r="U63">
            <v>-2991.8</v>
          </cell>
          <cell r="W63">
            <v>0</v>
          </cell>
          <cell r="Y63">
            <v>-554</v>
          </cell>
          <cell r="AA63">
            <v>0</v>
          </cell>
          <cell r="AC63">
            <v>-650</v>
          </cell>
          <cell r="AE63">
            <v>0</v>
          </cell>
          <cell r="AG63">
            <v>0</v>
          </cell>
          <cell r="AI63">
            <v>0</v>
          </cell>
          <cell r="AK63">
            <v>0</v>
          </cell>
          <cell r="AO63" t="str">
            <v>mstag:acquiredInProcessRAndDOneTime</v>
          </cell>
          <cell r="AP63">
            <v>6</v>
          </cell>
          <cell r="AQ63" t="str">
            <v>ISO4217:USD</v>
          </cell>
          <cell r="AR63" t="b">
            <v>1</v>
          </cell>
          <cell r="AS63" t="b">
            <v>0</v>
          </cell>
        </row>
        <row r="64">
          <cell r="B64" t="str">
            <v xml:space="preserve">   Legal Settlement</v>
          </cell>
          <cell r="AA64">
            <v>-49</v>
          </cell>
          <cell r="AO64" t="str">
            <v>mstag:otherProvisionsOneTime</v>
          </cell>
          <cell r="AP64">
            <v>6</v>
          </cell>
          <cell r="AQ64" t="str">
            <v>ISO4217:USD</v>
          </cell>
          <cell r="AR64" t="b">
            <v>1</v>
          </cell>
          <cell r="AS64" t="b">
            <v>0</v>
          </cell>
        </row>
        <row r="65">
          <cell r="B65" t="str">
            <v xml:space="preserve">   COGS</v>
          </cell>
          <cell r="AA65">
            <v>-47</v>
          </cell>
          <cell r="AO65" t="str">
            <v>mstag:otherProvisionsOneTime</v>
          </cell>
          <cell r="AP65">
            <v>6</v>
          </cell>
          <cell r="AQ65" t="str">
            <v>ISO4217:USD</v>
          </cell>
          <cell r="AR65" t="b">
            <v>1</v>
          </cell>
          <cell r="AS65" t="b">
            <v>0</v>
          </cell>
        </row>
        <row r="66">
          <cell r="B66" t="str">
            <v xml:space="preserve">   R&amp;D</v>
          </cell>
          <cell r="AA66">
            <v>-12</v>
          </cell>
          <cell r="AO66" t="str">
            <v>mstag:otherProvisionsOneTime</v>
          </cell>
          <cell r="AP66">
            <v>6</v>
          </cell>
          <cell r="AQ66" t="str">
            <v>ISO4217:USD</v>
          </cell>
          <cell r="AR66" t="b">
            <v>1</v>
          </cell>
          <cell r="AS66" t="b">
            <v>0</v>
          </cell>
        </row>
        <row r="67">
          <cell r="B67" t="str">
            <v xml:space="preserve">   SG&amp;A</v>
          </cell>
          <cell r="AA67">
            <v>2</v>
          </cell>
          <cell r="AO67" t="str">
            <v>mstag:otherProvisionsOneTime</v>
          </cell>
          <cell r="AP67">
            <v>6</v>
          </cell>
          <cell r="AQ67" t="str">
            <v>ISO4217:USD</v>
          </cell>
          <cell r="AR67" t="b">
            <v>1</v>
          </cell>
          <cell r="AS67" t="b">
            <v>0</v>
          </cell>
        </row>
        <row r="68">
          <cell r="B68" t="str">
            <v xml:space="preserve">   Interest expense</v>
          </cell>
          <cell r="AA68">
            <v>0</v>
          </cell>
          <cell r="AO68" t="str">
            <v>mstag:otherProvisionsOneTime</v>
          </cell>
          <cell r="AP68">
            <v>6</v>
          </cell>
          <cell r="AQ68" t="str">
            <v>ISO4217:USD</v>
          </cell>
          <cell r="AR68" t="b">
            <v>1</v>
          </cell>
          <cell r="AS68" t="b">
            <v>0</v>
          </cell>
        </row>
        <row r="69">
          <cell r="B69" t="str">
            <v xml:space="preserve">   Tax effects of adjustments</v>
          </cell>
          <cell r="C69">
            <v>0</v>
          </cell>
          <cell r="E69">
            <v>0</v>
          </cell>
          <cell r="G69">
            <v>0</v>
          </cell>
          <cell r="I69">
            <v>0</v>
          </cell>
          <cell r="K69">
            <v>0</v>
          </cell>
          <cell r="M69">
            <v>0</v>
          </cell>
          <cell r="O69">
            <v>0</v>
          </cell>
          <cell r="Q69">
            <v>0</v>
          </cell>
          <cell r="S69">
            <v>0</v>
          </cell>
          <cell r="U69">
            <v>0</v>
          </cell>
          <cell r="W69">
            <v>0</v>
          </cell>
          <cell r="Y69">
            <v>142.79999999999998</v>
          </cell>
          <cell r="AA69">
            <v>104</v>
          </cell>
          <cell r="AC69">
            <v>35.89</v>
          </cell>
          <cell r="AE69">
            <v>128.38999999999999</v>
          </cell>
          <cell r="AG69">
            <v>128.38999999999999</v>
          </cell>
          <cell r="AI69">
            <v>128.38999999999999</v>
          </cell>
          <cell r="AK69">
            <v>128.38999999999999</v>
          </cell>
          <cell r="AO69" t="str">
            <v>mstag:taxOnIncomeLossFromExtraordinaryItems</v>
          </cell>
          <cell r="AP69">
            <v>6</v>
          </cell>
          <cell r="AQ69" t="str">
            <v>ISO4217:USD</v>
          </cell>
          <cell r="AR69" t="b">
            <v>1</v>
          </cell>
          <cell r="AS69" t="b">
            <v>0</v>
          </cell>
        </row>
        <row r="70">
          <cell r="B70" t="str">
            <v>GAAP Net Income</v>
          </cell>
          <cell r="C70">
            <v>588.70000000000005</v>
          </cell>
          <cell r="E70">
            <v>556.49999999999989</v>
          </cell>
          <cell r="G70">
            <v>537.70000000000005</v>
          </cell>
          <cell r="I70">
            <v>679.79999999999984</v>
          </cell>
          <cell r="K70">
            <v>644.30000000000018</v>
          </cell>
          <cell r="M70">
            <v>863.19999999999982</v>
          </cell>
          <cell r="O70">
            <v>1096.3999999999999</v>
          </cell>
          <cell r="Q70">
            <v>1138.4999999999995</v>
          </cell>
          <cell r="S70">
            <v>1119.6999999999998</v>
          </cell>
          <cell r="U70">
            <v>-1391.9000000000012</v>
          </cell>
          <cell r="W70">
            <v>2259.4999999999991</v>
          </cell>
          <cell r="Y70">
            <v>2362.5999999999995</v>
          </cell>
          <cell r="AA70">
            <v>3674</v>
          </cell>
          <cell r="AC70">
            <v>3329.4653900000003</v>
          </cell>
          <cell r="AE70">
            <v>4180.6358985744819</v>
          </cell>
          <cell r="AG70">
            <v>4644.6218930347759</v>
          </cell>
          <cell r="AI70">
            <v>4935.4458679720119</v>
          </cell>
          <cell r="AK70">
            <v>5243.1867741883407</v>
          </cell>
        </row>
        <row r="71">
          <cell r="B71" t="str">
            <v>GAAP (loss) EPS</v>
          </cell>
          <cell r="W71">
            <v>1.7537255510710952</v>
          </cell>
          <cell r="Y71">
            <v>1.8593633179868565</v>
          </cell>
          <cell r="AA71">
            <v>2.9724919093851132</v>
          </cell>
          <cell r="AC71">
            <v>2.8658385588363804</v>
          </cell>
          <cell r="AE71">
            <v>3.7297201873627048</v>
          </cell>
          <cell r="AG71">
            <v>4.2400209179539265</v>
          </cell>
          <cell r="AI71">
            <v>4.607265010923677</v>
          </cell>
          <cell r="AK71">
            <v>4.9995539315828985</v>
          </cell>
        </row>
        <row r="72">
          <cell r="B72" t="str">
            <v>GAAP (loss) EPS diluted</v>
          </cell>
          <cell r="C72">
            <v>0.50996188496188499</v>
          </cell>
          <cell r="E72">
            <v>0.49300141743444359</v>
          </cell>
          <cell r="G72">
            <v>0.49676644493717664</v>
          </cell>
          <cell r="I72">
            <v>0.6054506590666191</v>
          </cell>
          <cell r="K72">
            <v>0.58658048069919899</v>
          </cell>
          <cell r="M72">
            <v>0.81665089877010388</v>
          </cell>
          <cell r="O72">
            <v>1.0167856811647964</v>
          </cell>
          <cell r="Q72">
            <v>1.0495989674564392</v>
          </cell>
          <cell r="S72">
            <v>1.0327430363401584</v>
          </cell>
          <cell r="U72">
            <v>-1.2066753359341147</v>
          </cell>
          <cell r="W72">
            <v>1.6939078751857348</v>
          </cell>
          <cell r="Y72">
            <v>1.8057346312639668</v>
          </cell>
          <cell r="AA72">
            <v>2.9252782193958664</v>
          </cell>
          <cell r="AC72">
            <v>2.8409196338463318</v>
          </cell>
          <cell r="AE72">
            <v>3.6709641803555715</v>
          </cell>
          <cell r="AG72">
            <v>4.1741569513311401</v>
          </cell>
          <cell r="AI72">
            <v>4.5457203972860176</v>
          </cell>
          <cell r="AK72">
            <v>4.9349798329237098</v>
          </cell>
        </row>
        <row r="73">
          <cell r="B73" t="str">
            <v>Current Actual Basic Share Count</v>
          </cell>
          <cell r="U73">
            <v>1268.2</v>
          </cell>
          <cell r="AO73" t="str">
            <v>mstag:currentBasicSharesOutstanding</v>
          </cell>
          <cell r="AP73">
            <v>6</v>
          </cell>
          <cell r="AQ73" t="str">
            <v>ms_eqr_gcim_Decimal:ms_eqr_gcim_decimal</v>
          </cell>
          <cell r="AR73" t="b">
            <v>0</v>
          </cell>
          <cell r="AS73" t="b">
            <v>0</v>
          </cell>
        </row>
        <row r="74">
          <cell r="B74" t="str">
            <v>Current Actual Diluted Share Count</v>
          </cell>
          <cell r="U74">
            <v>1317.7</v>
          </cell>
          <cell r="AO74" t="str">
            <v>mstag:currentDilutedSharesOutstanding</v>
          </cell>
          <cell r="AP74">
            <v>6</v>
          </cell>
          <cell r="AQ74" t="str">
            <v>ms_eqr_gcim_Decimal:ms_eqr_gcim_decimal</v>
          </cell>
          <cell r="AR74" t="b">
            <v>0</v>
          </cell>
          <cell r="AS74" t="b">
            <v>0</v>
          </cell>
        </row>
        <row r="75">
          <cell r="B75" t="str">
            <v>INTEREST CALCULATIONS</v>
          </cell>
        </row>
        <row r="76">
          <cell r="B76" t="str">
            <v>Cash and Equivalents</v>
          </cell>
          <cell r="U76">
            <v>3663.0499999999997</v>
          </cell>
          <cell r="W76">
            <v>4893.3999999999996</v>
          </cell>
          <cell r="Y76">
            <v>5465.4500000000007</v>
          </cell>
          <cell r="AA76">
            <v>5531.5</v>
          </cell>
          <cell r="AC76">
            <v>4977.6425651190475</v>
          </cell>
          <cell r="AE76">
            <v>5267.9289720168927</v>
          </cell>
          <cell r="AG76">
            <v>6633.1452568129571</v>
          </cell>
          <cell r="AI76">
            <v>8090.5150597020702</v>
          </cell>
          <cell r="AK76">
            <v>10095.15261005767</v>
          </cell>
        </row>
        <row r="77">
          <cell r="B77" t="str">
            <v>Return on assets</v>
          </cell>
          <cell r="U77">
            <v>3.9366102018809461E-2</v>
          </cell>
          <cell r="W77">
            <v>2.3174071197940085E-2</v>
          </cell>
          <cell r="Y77">
            <v>0.02</v>
          </cell>
          <cell r="AA77">
            <v>2.7699999999999999E-2</v>
          </cell>
          <cell r="AC77">
            <v>3.5000000000000003E-2</v>
          </cell>
          <cell r="AE77">
            <v>0.04</v>
          </cell>
          <cell r="AG77">
            <v>0.04</v>
          </cell>
          <cell r="AI77">
            <v>0.04</v>
          </cell>
          <cell r="AK77">
            <v>0.04</v>
          </cell>
        </row>
        <row r="78">
          <cell r="B78" t="str">
            <v>Interst Income</v>
          </cell>
          <cell r="C78">
            <v>27.2</v>
          </cell>
          <cell r="E78">
            <v>21.5</v>
          </cell>
          <cell r="G78">
            <v>66.099999999999994</v>
          </cell>
          <cell r="I78">
            <v>63.6</v>
          </cell>
          <cell r="K78">
            <v>72.599999999999994</v>
          </cell>
          <cell r="M78">
            <v>45.7</v>
          </cell>
          <cell r="O78">
            <v>88.3</v>
          </cell>
          <cell r="Q78">
            <v>146.19999999999999</v>
          </cell>
          <cell r="S78">
            <v>168.7</v>
          </cell>
          <cell r="U78">
            <v>144.19999999999999</v>
          </cell>
          <cell r="W78">
            <v>113.4</v>
          </cell>
          <cell r="Y78">
            <v>109.30900000000001</v>
          </cell>
          <cell r="AA78">
            <v>153.22254999999998</v>
          </cell>
          <cell r="AC78">
            <v>174.21748977916667</v>
          </cell>
          <cell r="AE78">
            <v>210.7171588806757</v>
          </cell>
          <cell r="AG78">
            <v>265.32581027251831</v>
          </cell>
          <cell r="AI78">
            <v>323.62060238808283</v>
          </cell>
          <cell r="AK78">
            <v>403.8061044023068</v>
          </cell>
        </row>
        <row r="79">
          <cell r="B79" t="str">
            <v>Test</v>
          </cell>
          <cell r="U79">
            <v>144.19999999999999</v>
          </cell>
          <cell r="W79">
            <v>113.4</v>
          </cell>
          <cell r="Y79">
            <v>99.7</v>
          </cell>
          <cell r="AA79">
            <v>157</v>
          </cell>
          <cell r="AC79">
            <v>329</v>
          </cell>
          <cell r="AE79">
            <v>210.7171588806757</v>
          </cell>
          <cell r="AG79">
            <v>265.32581027251831</v>
          </cell>
          <cell r="AI79">
            <v>323.62060238808283</v>
          </cell>
          <cell r="AK79">
            <v>403.8061044023068</v>
          </cell>
        </row>
        <row r="80">
          <cell r="B80" t="str">
            <v>Interest Bearing Obligations</v>
          </cell>
        </row>
        <row r="81">
          <cell r="B81" t="str">
            <v>Convertible Bond - 30 year</v>
          </cell>
          <cell r="W81">
            <v>2880</v>
          </cell>
          <cell r="Y81">
            <v>2912.4</v>
          </cell>
          <cell r="AA81">
            <v>1759</v>
          </cell>
          <cell r="AC81">
            <v>1778.7887499999999</v>
          </cell>
          <cell r="AE81">
            <v>1798.5774999999999</v>
          </cell>
          <cell r="AG81">
            <v>1818.3662499999998</v>
          </cell>
          <cell r="AI81">
            <v>1838.1549999999997</v>
          </cell>
          <cell r="AK81">
            <v>1857.9437499999997</v>
          </cell>
        </row>
        <row r="82">
          <cell r="B82" t="str">
            <v>Interest Rate</v>
          </cell>
          <cell r="W82">
            <v>1.125E-2</v>
          </cell>
          <cell r="Y82">
            <v>1.125E-2</v>
          </cell>
          <cell r="AA82">
            <v>1.125E-2</v>
          </cell>
          <cell r="AC82">
            <v>1.125E-2</v>
          </cell>
          <cell r="AE82">
            <v>1.125E-2</v>
          </cell>
          <cell r="AG82">
            <v>1.125E-2</v>
          </cell>
          <cell r="AI82">
            <v>1.125E-2</v>
          </cell>
          <cell r="AK82">
            <v>1.125E-2</v>
          </cell>
        </row>
        <row r="83">
          <cell r="B83" t="str">
            <v>Interest Expense</v>
          </cell>
          <cell r="W83">
            <v>32.4</v>
          </cell>
          <cell r="Y83">
            <v>32.4</v>
          </cell>
          <cell r="AA83">
            <v>19.78875</v>
          </cell>
          <cell r="AC83">
            <v>19.78875</v>
          </cell>
          <cell r="AE83">
            <v>19.78875</v>
          </cell>
          <cell r="AG83">
            <v>19.78875</v>
          </cell>
          <cell r="AI83">
            <v>19.78875</v>
          </cell>
          <cell r="AK83">
            <v>19.78875</v>
          </cell>
        </row>
        <row r="84">
          <cell r="B84" t="str">
            <v>Convertible Bond - 2011</v>
          </cell>
          <cell r="AC84">
            <v>2500</v>
          </cell>
          <cell r="AE84">
            <v>2500</v>
          </cell>
          <cell r="AG84">
            <v>2500</v>
          </cell>
          <cell r="AI84">
            <v>2500</v>
          </cell>
          <cell r="AK84">
            <v>2500</v>
          </cell>
        </row>
        <row r="85">
          <cell r="B85" t="str">
            <v>Interest Rate</v>
          </cell>
          <cell r="AC85">
            <v>1.25E-3</v>
          </cell>
          <cell r="AE85">
            <v>1.25E-3</v>
          </cell>
          <cell r="AG85">
            <v>1.25E-3</v>
          </cell>
          <cell r="AI85">
            <v>1.25E-3</v>
          </cell>
          <cell r="AK85">
            <v>1.25E-3</v>
          </cell>
        </row>
        <row r="86">
          <cell r="B86" t="str">
            <v>Interest Expense</v>
          </cell>
          <cell r="AC86">
            <v>3.125</v>
          </cell>
          <cell r="AE86">
            <v>3.125</v>
          </cell>
          <cell r="AG86">
            <v>3.125</v>
          </cell>
          <cell r="AI86">
            <v>3.125</v>
          </cell>
          <cell r="AK86">
            <v>3.125</v>
          </cell>
        </row>
        <row r="87">
          <cell r="B87" t="str">
            <v>Convertible Bond - 2013</v>
          </cell>
          <cell r="AC87">
            <v>2500</v>
          </cell>
          <cell r="AE87">
            <v>2500</v>
          </cell>
          <cell r="AG87">
            <v>2500</v>
          </cell>
          <cell r="AI87">
            <v>2500</v>
          </cell>
          <cell r="AK87">
            <v>2500</v>
          </cell>
        </row>
        <row r="88">
          <cell r="B88" t="str">
            <v>Interest Rate</v>
          </cell>
          <cell r="AC88">
            <v>3.7499999999999999E-3</v>
          </cell>
          <cell r="AE88">
            <v>3.7499999999999999E-3</v>
          </cell>
          <cell r="AG88">
            <v>3.7499999999999999E-3</v>
          </cell>
          <cell r="AI88">
            <v>3.7499999999999999E-3</v>
          </cell>
          <cell r="AK88">
            <v>3.7499999999999999E-3</v>
          </cell>
        </row>
        <row r="89">
          <cell r="B89" t="str">
            <v>Interest Expense</v>
          </cell>
          <cell r="AC89">
            <v>9.375</v>
          </cell>
          <cell r="AE89">
            <v>9.375</v>
          </cell>
          <cell r="AG89">
            <v>9.375</v>
          </cell>
          <cell r="AI89">
            <v>9.375</v>
          </cell>
          <cell r="AK89">
            <v>9.375</v>
          </cell>
        </row>
        <row r="90">
          <cell r="B90" t="str">
            <v>6.5% Debt</v>
          </cell>
          <cell r="W90">
            <v>100</v>
          </cell>
          <cell r="Y90">
            <v>100</v>
          </cell>
          <cell r="AA90">
            <v>100</v>
          </cell>
          <cell r="AC90">
            <v>100</v>
          </cell>
          <cell r="AE90">
            <v>0</v>
          </cell>
          <cell r="AG90">
            <v>0</v>
          </cell>
          <cell r="AI90">
            <v>0</v>
          </cell>
          <cell r="AK90">
            <v>0</v>
          </cell>
        </row>
        <row r="91">
          <cell r="B91" t="str">
            <v>Interest Rate</v>
          </cell>
          <cell r="W91">
            <v>6.5000000000000002E-2</v>
          </cell>
          <cell r="Y91">
            <v>6.5000000000000002E-2</v>
          </cell>
          <cell r="AA91">
            <v>6.5000000000000002E-2</v>
          </cell>
          <cell r="AC91">
            <v>6.5000000000000002E-2</v>
          </cell>
          <cell r="AE91">
            <v>6.5000000000000002E-2</v>
          </cell>
          <cell r="AG91">
            <v>6.5000000000000002E-2</v>
          </cell>
          <cell r="AI91">
            <v>6.5000000000000002E-2</v>
          </cell>
          <cell r="AK91">
            <v>6.5000000000000002E-2</v>
          </cell>
        </row>
        <row r="92">
          <cell r="B92" t="str">
            <v>Interest Expense</v>
          </cell>
          <cell r="W92">
            <v>6.5</v>
          </cell>
          <cell r="Y92">
            <v>6.5</v>
          </cell>
          <cell r="AA92">
            <v>6.5</v>
          </cell>
          <cell r="AC92">
            <v>6.5</v>
          </cell>
          <cell r="AE92">
            <v>0</v>
          </cell>
          <cell r="AG92">
            <v>0</v>
          </cell>
          <cell r="AI92">
            <v>0</v>
          </cell>
          <cell r="AK92">
            <v>0</v>
          </cell>
        </row>
        <row r="93">
          <cell r="B93" t="str">
            <v>8.1% Debt</v>
          </cell>
          <cell r="W93">
            <v>100</v>
          </cell>
          <cell r="Y93">
            <v>100</v>
          </cell>
          <cell r="AA93">
            <v>100</v>
          </cell>
          <cell r="AC93">
            <v>100</v>
          </cell>
          <cell r="AE93">
            <v>100</v>
          </cell>
          <cell r="AG93">
            <v>100</v>
          </cell>
          <cell r="AI93">
            <v>100</v>
          </cell>
          <cell r="AK93">
            <v>100</v>
          </cell>
        </row>
        <row r="94">
          <cell r="B94" t="str">
            <v>Interest Rate</v>
          </cell>
          <cell r="W94">
            <v>8.1000000000000003E-2</v>
          </cell>
          <cell r="Y94">
            <v>8.1000000000000003E-2</v>
          </cell>
          <cell r="AA94">
            <v>8.1000000000000003E-2</v>
          </cell>
          <cell r="AC94">
            <v>8.1000000000000003E-2</v>
          </cell>
          <cell r="AE94">
            <v>8.1000000000000003E-2</v>
          </cell>
          <cell r="AG94">
            <v>8.1000000000000003E-2</v>
          </cell>
          <cell r="AI94">
            <v>8.1000000000000003E-2</v>
          </cell>
          <cell r="AK94">
            <v>8.1000000000000003E-2</v>
          </cell>
        </row>
        <row r="95">
          <cell r="B95" t="str">
            <v>Interest Expense</v>
          </cell>
          <cell r="W95">
            <v>8.1</v>
          </cell>
          <cell r="Y95">
            <v>8.1</v>
          </cell>
          <cell r="AA95">
            <v>8.1</v>
          </cell>
          <cell r="AC95">
            <v>8.1</v>
          </cell>
          <cell r="AE95">
            <v>8.1</v>
          </cell>
          <cell r="AG95">
            <v>8.1</v>
          </cell>
          <cell r="AI95">
            <v>8.1</v>
          </cell>
          <cell r="AK95">
            <v>8.1</v>
          </cell>
        </row>
        <row r="96">
          <cell r="B96" t="str">
            <v>Senior Notes</v>
          </cell>
          <cell r="Y96">
            <v>2000</v>
          </cell>
          <cell r="AA96">
            <v>1998</v>
          </cell>
          <cell r="AC96">
            <v>1998</v>
          </cell>
          <cell r="AE96">
            <v>1998</v>
          </cell>
          <cell r="AG96">
            <v>1998</v>
          </cell>
          <cell r="AI96">
            <v>1000</v>
          </cell>
          <cell r="AK96">
            <v>1000</v>
          </cell>
        </row>
        <row r="97">
          <cell r="B97" t="str">
            <v>Interest Rate</v>
          </cell>
          <cell r="Y97">
            <v>4.4249999999999998E-2</v>
          </cell>
          <cell r="AA97">
            <v>4.4249999999999998E-2</v>
          </cell>
          <cell r="AC97">
            <v>4.4249999999999998E-2</v>
          </cell>
          <cell r="AE97">
            <v>4.4249999999999998E-2</v>
          </cell>
          <cell r="AG97">
            <v>4.4249999999999998E-2</v>
          </cell>
          <cell r="AI97">
            <v>4.8500000000000001E-2</v>
          </cell>
          <cell r="AK97">
            <v>4.8500000000000001E-2</v>
          </cell>
        </row>
        <row r="98">
          <cell r="B98" t="str">
            <v>Interest Expense</v>
          </cell>
          <cell r="C98">
            <v>785.5</v>
          </cell>
          <cell r="E98">
            <v>815.59999999999991</v>
          </cell>
          <cell r="G98">
            <v>743.59999999999991</v>
          </cell>
          <cell r="I98">
            <v>904.89999999999986</v>
          </cell>
          <cell r="K98">
            <v>792.50000000000023</v>
          </cell>
          <cell r="M98">
            <v>1188.6999999999998</v>
          </cell>
          <cell r="O98">
            <v>1493.1</v>
          </cell>
          <cell r="Q98">
            <v>1543.9999999999995</v>
          </cell>
          <cell r="S98">
            <v>1531.1999999999998</v>
          </cell>
          <cell r="Y98">
            <v>8.85</v>
          </cell>
          <cell r="AA98">
            <v>88.41149999999999</v>
          </cell>
          <cell r="AC98">
            <v>88.41149999999999</v>
          </cell>
          <cell r="AE98">
            <v>88.41149999999999</v>
          </cell>
          <cell r="AG98">
            <v>88.41149999999999</v>
          </cell>
          <cell r="AI98">
            <v>48.5</v>
          </cell>
          <cell r="AK98">
            <v>48.5</v>
          </cell>
        </row>
        <row r="99">
          <cell r="B99" t="str">
            <v>Total Interest</v>
          </cell>
          <cell r="W99">
            <v>47</v>
          </cell>
          <cell r="Y99">
            <v>47</v>
          </cell>
          <cell r="AA99">
            <v>122.80024999999999</v>
          </cell>
          <cell r="AC99">
            <v>135.30025000000001</v>
          </cell>
          <cell r="AE99">
            <v>128.80025000000001</v>
          </cell>
          <cell r="AG99">
            <v>128.80025000000001</v>
          </cell>
          <cell r="AI99">
            <v>88.888750000000002</v>
          </cell>
          <cell r="AK99">
            <v>88.888750000000002</v>
          </cell>
        </row>
        <row r="100">
          <cell r="B100" t="str">
            <v>Total Debt</v>
          </cell>
          <cell r="W100">
            <v>3080</v>
          </cell>
          <cell r="Y100">
            <v>5112.3999999999996</v>
          </cell>
          <cell r="AA100">
            <v>3957</v>
          </cell>
          <cell r="AC100">
            <v>8976.7887499999997</v>
          </cell>
          <cell r="AE100">
            <v>8896.5774999999994</v>
          </cell>
          <cell r="AG100">
            <v>8916.3662499999991</v>
          </cell>
          <cell r="AI100">
            <v>7938.1549999999997</v>
          </cell>
          <cell r="AK100">
            <v>7957.9437499999995</v>
          </cell>
        </row>
        <row r="101">
          <cell r="B101" t="str">
            <v>CHECK</v>
          </cell>
          <cell r="W101">
            <v>-31.5</v>
          </cell>
          <cell r="Y101">
            <v>-52.5</v>
          </cell>
          <cell r="AA101">
            <v>-137</v>
          </cell>
          <cell r="AC101">
            <v>-136</v>
          </cell>
          <cell r="AE101">
            <v>-128.80025000000001</v>
          </cell>
          <cell r="AG101">
            <v>-128.80025000000001</v>
          </cell>
          <cell r="AI101">
            <v>-88.888750000000002</v>
          </cell>
          <cell r="AK101">
            <v>-88.888750000000002</v>
          </cell>
        </row>
        <row r="105">
          <cell r="B105" t="str">
            <v>Statuatory Tax</v>
          </cell>
          <cell r="C105">
            <v>0.35</v>
          </cell>
          <cell r="E105">
            <v>0.35</v>
          </cell>
          <cell r="G105">
            <v>0.35</v>
          </cell>
          <cell r="I105">
            <v>0.35</v>
          </cell>
          <cell r="K105">
            <v>0.35</v>
          </cell>
          <cell r="M105">
            <v>0.35</v>
          </cell>
          <cell r="O105">
            <v>0.35</v>
          </cell>
          <cell r="Q105">
            <v>0.35</v>
          </cell>
          <cell r="S105">
            <v>0.35</v>
          </cell>
          <cell r="U105">
            <v>0.35</v>
          </cell>
          <cell r="W105">
            <v>0.35</v>
          </cell>
          <cell r="Y105">
            <v>0.27179593913325006</v>
          </cell>
          <cell r="AA105">
            <v>0.24393910919000189</v>
          </cell>
          <cell r="AC105">
            <v>0.2340976647582528</v>
          </cell>
          <cell r="AE105">
            <v>0.23499999999999999</v>
          </cell>
          <cell r="AG105">
            <v>0.23</v>
          </cell>
          <cell r="AI105">
            <v>0.22500000000000001</v>
          </cell>
          <cell r="AK105">
            <v>0.22450000000000001</v>
          </cell>
          <cell r="AO105" t="str">
            <v>mstag:statutoryTaxRate</v>
          </cell>
          <cell r="AP105">
            <v>0</v>
          </cell>
          <cell r="AQ105" t="str">
            <v>ms_eqr_gcim_Decimal:ms_eqr_gcim_decimal</v>
          </cell>
          <cell r="AR105" t="b">
            <v>0</v>
          </cell>
          <cell r="AS105" t="b">
            <v>0</v>
          </cell>
        </row>
        <row r="106">
          <cell r="B106" t="str">
            <v>Common Dividends</v>
          </cell>
          <cell r="C106">
            <v>0</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cell r="AO106" t="str">
            <v>mstag:commonDividends</v>
          </cell>
          <cell r="AP106">
            <v>6</v>
          </cell>
          <cell r="AQ106" t="str">
            <v>ISO4217:USD</v>
          </cell>
          <cell r="AR106" t="b">
            <v>0</v>
          </cell>
          <cell r="AS106" t="b">
            <v>0</v>
          </cell>
        </row>
        <row r="107">
          <cell r="B107" t="str">
            <v>Unrecorded Goodwill</v>
          </cell>
          <cell r="C107">
            <v>0</v>
          </cell>
          <cell r="E107">
            <v>0</v>
          </cell>
          <cell r="G107">
            <v>0</v>
          </cell>
          <cell r="I107">
            <v>0</v>
          </cell>
          <cell r="K107">
            <v>0</v>
          </cell>
          <cell r="M107">
            <v>0</v>
          </cell>
          <cell r="O107">
            <v>0</v>
          </cell>
          <cell r="Q107">
            <v>0</v>
          </cell>
          <cell r="S107">
            <v>0</v>
          </cell>
          <cell r="U107">
            <v>0</v>
          </cell>
          <cell r="W107">
            <v>0</v>
          </cell>
          <cell r="Y107">
            <v>0</v>
          </cell>
          <cell r="AA107">
            <v>0</v>
          </cell>
          <cell r="AC107">
            <v>0</v>
          </cell>
          <cell r="AE107">
            <v>0</v>
          </cell>
          <cell r="AG107">
            <v>0</v>
          </cell>
          <cell r="AI107">
            <v>0</v>
          </cell>
          <cell r="AK107">
            <v>0</v>
          </cell>
          <cell r="AO107" t="str">
            <v>mstag:unrecordedGoodwillFromPoolingAndAmortizedOrWrittenOffGoodwill</v>
          </cell>
          <cell r="AP107">
            <v>6</v>
          </cell>
          <cell r="AQ107" t="str">
            <v>ISO4217:USD</v>
          </cell>
          <cell r="AR107" t="b">
            <v>0</v>
          </cell>
          <cell r="AS107" t="b">
            <v>0</v>
          </cell>
        </row>
        <row r="109">
          <cell r="B109" t="str">
            <v>If-Converted Calculation</v>
          </cell>
        </row>
        <row r="110">
          <cell r="Y110" t="str">
            <v>2004E</v>
          </cell>
          <cell r="AA110" t="str">
            <v>2005E</v>
          </cell>
          <cell r="AC110" t="str">
            <v>2006E</v>
          </cell>
          <cell r="AE110" t="str">
            <v>2007E</v>
          </cell>
          <cell r="AG110" t="str">
            <v>2008E</v>
          </cell>
          <cell r="AI110" t="str">
            <v>2009E</v>
          </cell>
          <cell r="AK110" t="str">
            <v>2010E</v>
          </cell>
        </row>
        <row r="111">
          <cell r="B111" t="str">
            <v>Net Earnings</v>
          </cell>
          <cell r="Y111">
            <v>3106.7999999999993</v>
          </cell>
          <cell r="AA111">
            <v>4023</v>
          </cell>
          <cell r="AC111">
            <v>4335.4931825000003</v>
          </cell>
          <cell r="AE111">
            <v>4671.2119694975627</v>
          </cell>
          <cell r="AG111">
            <v>5157.5244034755797</v>
          </cell>
          <cell r="AI111">
            <v>5486.3131761720342</v>
          </cell>
          <cell r="AK111">
            <v>5830.7509225580634</v>
          </cell>
        </row>
        <row r="112">
          <cell r="B112" t="str">
            <v>Diluted Share Count</v>
          </cell>
          <cell r="Y112">
            <v>1285.05</v>
          </cell>
          <cell r="AA112">
            <v>1236</v>
          </cell>
          <cell r="AC112">
            <v>1173.37546275</v>
          </cell>
          <cell r="AE112">
            <v>1131.9282839554037</v>
          </cell>
          <cell r="AG112">
            <v>1105.6672499945955</v>
          </cell>
          <cell r="AI112">
            <v>1078.6145376915538</v>
          </cell>
          <cell r="AK112">
            <v>1055.2640764166335</v>
          </cell>
        </row>
        <row r="113">
          <cell r="B113" t="str">
            <v>EPS, diluted</v>
          </cell>
          <cell r="Y113">
            <v>2.4176491187113336</v>
          </cell>
          <cell r="AA113">
            <v>3.2548543689320391</v>
          </cell>
          <cell r="AC113">
            <v>3.6948899309169572</v>
          </cell>
          <cell r="AE113">
            <v>4.1267737856805793</v>
          </cell>
          <cell r="AG113">
            <v>4.6646261825162947</v>
          </cell>
          <cell r="AI113">
            <v>5.0864446792213815</v>
          </cell>
          <cell r="AK113">
            <v>5.5253950673253076</v>
          </cell>
        </row>
        <row r="115">
          <cell r="B115" t="str">
            <v>Interest add-back</v>
          </cell>
          <cell r="Y115">
            <v>21.06</v>
          </cell>
          <cell r="AA115">
            <v>6</v>
          </cell>
          <cell r="AC115">
            <v>4</v>
          </cell>
          <cell r="AE115">
            <v>4</v>
          </cell>
          <cell r="AG115">
            <v>4</v>
          </cell>
          <cell r="AI115">
            <v>4</v>
          </cell>
          <cell r="AK115">
            <v>4</v>
          </cell>
        </row>
        <row r="116">
          <cell r="B116" t="str">
            <v>If-converted shares</v>
          </cell>
          <cell r="Y116">
            <v>35</v>
          </cell>
          <cell r="AA116">
            <v>22</v>
          </cell>
          <cell r="AC116">
            <v>8</v>
          </cell>
          <cell r="AE116">
            <v>8</v>
          </cell>
          <cell r="AG116">
            <v>8</v>
          </cell>
          <cell r="AI116">
            <v>8</v>
          </cell>
          <cell r="AK116">
            <v>8</v>
          </cell>
        </row>
        <row r="117">
          <cell r="B117" t="str">
            <v>"If converted" EPS</v>
          </cell>
          <cell r="Y117">
            <v>2.36950115525927</v>
          </cell>
          <cell r="AA117">
            <v>3.2027027027027026</v>
          </cell>
          <cell r="AC117">
            <v>3.6732548790191979</v>
          </cell>
          <cell r="AE117">
            <v>4.1013211403748855</v>
          </cell>
          <cell r="AG117">
            <v>4.6347096976234399</v>
          </cell>
          <cell r="AI117">
            <v>5.0526778224740756</v>
          </cell>
          <cell r="AK117">
            <v>5.4875839896915242</v>
          </cell>
        </row>
        <row r="118">
          <cell r="B118" t="str">
            <v>EPS dilution</v>
          </cell>
          <cell r="Y118">
            <v>-1.9915199058218813E-2</v>
          </cell>
          <cell r="AA118">
            <v>-1.6022734143539608E-2</v>
          </cell>
          <cell r="AC118">
            <v>-5.8553982127391713E-3</v>
          </cell>
          <cell r="AE118">
            <v>-6.167686097554359E-3</v>
          </cell>
          <cell r="AG118">
            <v>-6.4134796063586297E-3</v>
          </cell>
          <cell r="AI118">
            <v>-6.6385970706114295E-3</v>
          </cell>
          <cell r="AK118">
            <v>-6.8431446390830875E-3</v>
          </cell>
        </row>
        <row r="119">
          <cell r="B119" t="str">
            <v>Modelware adjustment</v>
          </cell>
          <cell r="U119">
            <v>20.5</v>
          </cell>
          <cell r="W119">
            <v>20.5</v>
          </cell>
          <cell r="Y119">
            <v>21.06</v>
          </cell>
          <cell r="AA119">
            <v>6</v>
          </cell>
          <cell r="AC119">
            <v>4</v>
          </cell>
          <cell r="AE119">
            <v>4</v>
          </cell>
          <cell r="AG119">
            <v>4</v>
          </cell>
          <cell r="AI119">
            <v>4</v>
          </cell>
          <cell r="AK119">
            <v>4</v>
          </cell>
          <cell r="AO119" t="str">
            <v>mstag:adjustmentToNetIncomeForDilutiveItems</v>
          </cell>
          <cell r="AP119">
            <v>6</v>
          </cell>
          <cell r="AQ119" t="str">
            <v>ISO4217:USD</v>
          </cell>
          <cell r="AR119" t="b">
            <v>0</v>
          </cell>
          <cell r="AS119" t="b">
            <v>0</v>
          </cell>
        </row>
      </sheetData>
      <sheetData sheetId="7" refreshError="1">
        <row r="1">
          <cell r="B1" t="str">
            <v>Amgen Balance Sheet</v>
          </cell>
          <cell r="AO1" t="str">
            <v>ElementName</v>
          </cell>
          <cell r="AP1" t="str">
            <v>ScaleOverride</v>
          </cell>
          <cell r="AQ1" t="str">
            <v>UnitOverride</v>
          </cell>
          <cell r="AR1" t="str">
            <v>ReverseSign</v>
          </cell>
          <cell r="AS1" t="str">
            <v>IsDrivingAssumption</v>
          </cell>
          <cell r="AT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Current assets:</v>
          </cell>
        </row>
        <row r="6">
          <cell r="B6" t="str">
            <v>Cash and Equivalents</v>
          </cell>
          <cell r="C6">
            <v>128.505</v>
          </cell>
          <cell r="E6">
            <v>211.32300000000001</v>
          </cell>
          <cell r="G6">
            <v>66.7</v>
          </cell>
          <cell r="I6">
            <v>169.3</v>
          </cell>
          <cell r="K6">
            <v>239.1</v>
          </cell>
          <cell r="M6">
            <v>201.1</v>
          </cell>
          <cell r="O6">
            <v>130.9</v>
          </cell>
          <cell r="Q6">
            <v>226.5</v>
          </cell>
          <cell r="S6">
            <v>689.1</v>
          </cell>
          <cell r="U6">
            <v>1851.7</v>
          </cell>
          <cell r="W6">
            <v>836.6</v>
          </cell>
          <cell r="Y6">
            <v>1526</v>
          </cell>
          <cell r="AA6">
            <v>1840</v>
          </cell>
          <cell r="AC6">
            <v>1595.73967569264</v>
          </cell>
          <cell r="AE6">
            <v>2878.8628570857336</v>
          </cell>
          <cell r="AG6">
            <v>4488.7177429048934</v>
          </cell>
          <cell r="AI6">
            <v>5822.949278354683</v>
          </cell>
          <cell r="AK6">
            <v>8527.1936550496484</v>
          </cell>
          <cell r="AO6" t="str">
            <v>mstag:cashAndCashEquivalents</v>
          </cell>
          <cell r="AP6">
            <v>6</v>
          </cell>
          <cell r="AQ6" t="str">
            <v>ISO4217:USD</v>
          </cell>
          <cell r="AR6" t="b">
            <v>0</v>
          </cell>
          <cell r="AS6" t="b">
            <v>0</v>
          </cell>
        </row>
        <row r="7">
          <cell r="B7" t="str">
            <v>Marketable Securities</v>
          </cell>
          <cell r="C7">
            <v>594.67899999999997</v>
          </cell>
          <cell r="E7">
            <v>485.358</v>
          </cell>
          <cell r="G7">
            <v>983.6</v>
          </cell>
          <cell r="I7">
            <v>907.7</v>
          </cell>
          <cell r="K7">
            <v>787.4</v>
          </cell>
          <cell r="M7">
            <v>1074.9000000000001</v>
          </cell>
          <cell r="O7">
            <v>1202.0999999999999</v>
          </cell>
          <cell r="Q7">
            <v>1801.6</v>
          </cell>
          <cell r="S7">
            <v>1973.1</v>
          </cell>
          <cell r="U7">
            <v>2812.2</v>
          </cell>
          <cell r="W7">
            <v>4286.3</v>
          </cell>
          <cell r="Y7">
            <v>4282</v>
          </cell>
          <cell r="AA7">
            <v>3415</v>
          </cell>
          <cell r="AC7">
            <v>3104.5454545454545</v>
          </cell>
          <cell r="AE7">
            <v>2956.7099567099567</v>
          </cell>
          <cell r="AG7">
            <v>2941.99995692533</v>
          </cell>
          <cell r="AI7">
            <v>2927.363141219234</v>
          </cell>
          <cell r="AK7">
            <v>2912.7991454917751</v>
          </cell>
          <cell r="AO7" t="str">
            <v>mstag:shortTermInvestments</v>
          </cell>
          <cell r="AP7">
            <v>6</v>
          </cell>
          <cell r="AQ7" t="str">
            <v>ISO4217:USD</v>
          </cell>
          <cell r="AR7" t="b">
            <v>0</v>
          </cell>
          <cell r="AS7" t="b">
            <v>0</v>
          </cell>
        </row>
        <row r="8">
          <cell r="B8" t="str">
            <v>Trade Receivables, net</v>
          </cell>
          <cell r="C8">
            <v>164.33699999999999</v>
          </cell>
          <cell r="E8">
            <v>194.71199999999999</v>
          </cell>
          <cell r="G8">
            <v>199.3</v>
          </cell>
          <cell r="I8">
            <v>225.4</v>
          </cell>
          <cell r="K8">
            <v>269</v>
          </cell>
          <cell r="M8">
            <v>319.89999999999998</v>
          </cell>
          <cell r="O8">
            <v>412.2</v>
          </cell>
          <cell r="Q8">
            <v>389.2</v>
          </cell>
          <cell r="S8">
            <v>497.2</v>
          </cell>
          <cell r="U8">
            <v>752.4</v>
          </cell>
          <cell r="W8">
            <v>1007.9</v>
          </cell>
          <cell r="Y8">
            <v>1461</v>
          </cell>
          <cell r="AA8">
            <v>1769</v>
          </cell>
          <cell r="AC8">
            <v>1968.4285714285713</v>
          </cell>
          <cell r="AE8">
            <v>2155.6826036867242</v>
          </cell>
          <cell r="AG8">
            <v>2372.6533954538641</v>
          </cell>
          <cell r="AI8">
            <v>2597.047178258721</v>
          </cell>
          <cell r="AK8">
            <v>2826.4134872455193</v>
          </cell>
          <cell r="AO8" t="str">
            <v>mstag:tradeReceivables</v>
          </cell>
          <cell r="AP8">
            <v>6</v>
          </cell>
          <cell r="AQ8" t="str">
            <v>ISO4217:USD</v>
          </cell>
          <cell r="AR8" t="b">
            <v>0</v>
          </cell>
          <cell r="AS8" t="b">
            <v>0</v>
          </cell>
        </row>
        <row r="9">
          <cell r="B9" t="str">
            <v>Inventories</v>
          </cell>
          <cell r="C9">
            <v>74.712000000000003</v>
          </cell>
          <cell r="E9">
            <v>98.004000000000005</v>
          </cell>
          <cell r="G9">
            <v>88.8</v>
          </cell>
          <cell r="I9">
            <v>97.4</v>
          </cell>
          <cell r="K9">
            <v>109.2</v>
          </cell>
          <cell r="M9">
            <v>110.8</v>
          </cell>
          <cell r="O9">
            <v>184.3</v>
          </cell>
          <cell r="Q9">
            <v>305.2</v>
          </cell>
          <cell r="S9">
            <v>355.6</v>
          </cell>
          <cell r="U9">
            <v>544.9</v>
          </cell>
          <cell r="W9">
            <v>712.6</v>
          </cell>
          <cell r="Y9">
            <v>888</v>
          </cell>
          <cell r="AA9">
            <v>1258</v>
          </cell>
          <cell r="AC9">
            <v>1422.0328124999999</v>
          </cell>
          <cell r="AE9">
            <v>1544.5641329739619</v>
          </cell>
          <cell r="AG9">
            <v>1664.7963868306774</v>
          </cell>
          <cell r="AI9">
            <v>1826.1337440775962</v>
          </cell>
          <cell r="AK9">
            <v>2018.7024615605301</v>
          </cell>
          <cell r="AO9" t="str">
            <v>mstag:inventories</v>
          </cell>
          <cell r="AP9">
            <v>6</v>
          </cell>
          <cell r="AQ9" t="str">
            <v>ISO4217:USD</v>
          </cell>
          <cell r="AR9" t="b">
            <v>0</v>
          </cell>
          <cell r="AS9" t="b">
            <v>0</v>
          </cell>
        </row>
        <row r="10">
          <cell r="B10" t="str">
            <v>Deferred Taxes, Net</v>
          </cell>
          <cell r="C10">
            <v>58.936999999999998</v>
          </cell>
          <cell r="E10">
            <v>70.176000000000002</v>
          </cell>
          <cell r="G10">
            <v>51.7</v>
          </cell>
          <cell r="O10">
            <v>0</v>
          </cell>
          <cell r="Q10">
            <v>0</v>
          </cell>
          <cell r="S10">
            <v>0</v>
          </cell>
          <cell r="U10">
            <v>0</v>
          </cell>
          <cell r="W10">
            <v>0</v>
          </cell>
          <cell r="Y10">
            <v>0</v>
          </cell>
          <cell r="AA10">
            <v>0</v>
          </cell>
          <cell r="AC10">
            <v>0</v>
          </cell>
          <cell r="AE10">
            <v>0</v>
          </cell>
          <cell r="AG10">
            <v>0</v>
          </cell>
          <cell r="AI10">
            <v>0</v>
          </cell>
          <cell r="AK10">
            <v>0</v>
          </cell>
          <cell r="AO10" t="str">
            <v>mstag:deferredTaxAssets</v>
          </cell>
          <cell r="AP10">
            <v>6</v>
          </cell>
          <cell r="AQ10" t="str">
            <v>ISO4217:USD</v>
          </cell>
          <cell r="AR10" t="b">
            <v>0</v>
          </cell>
          <cell r="AS10" t="b">
            <v>0</v>
          </cell>
        </row>
        <row r="11">
          <cell r="B11" t="str">
            <v>Other Current Assets</v>
          </cell>
          <cell r="C11">
            <v>33.340000000000003</v>
          </cell>
          <cell r="E11">
            <v>56.064999999999998</v>
          </cell>
          <cell r="G11">
            <v>64</v>
          </cell>
          <cell r="I11">
            <v>102.8</v>
          </cell>
          <cell r="K11">
            <v>138.80000000000001</v>
          </cell>
          <cell r="M11">
            <v>156.6</v>
          </cell>
          <cell r="O11">
            <v>135.80000000000001</v>
          </cell>
          <cell r="Q11">
            <v>214.6</v>
          </cell>
          <cell r="S11">
            <v>343.6</v>
          </cell>
          <cell r="U11">
            <v>442.3</v>
          </cell>
          <cell r="W11">
            <v>558.79999999999995</v>
          </cell>
          <cell r="Y11">
            <v>1013</v>
          </cell>
          <cell r="AA11">
            <v>953</v>
          </cell>
          <cell r="AC11">
            <v>964.53000000000009</v>
          </cell>
          <cell r="AE11">
            <v>1207.1822580645655</v>
          </cell>
          <cell r="AG11">
            <v>1473.4177585768496</v>
          </cell>
          <cell r="AI11">
            <v>1612.7662976986658</v>
          </cell>
          <cell r="AK11">
            <v>1755.2027755794675</v>
          </cell>
          <cell r="AO11" t="str">
            <v>mstag:otherAssets</v>
          </cell>
          <cell r="AP11">
            <v>6</v>
          </cell>
          <cell r="AQ11" t="str">
            <v>ISO4217:USD</v>
          </cell>
          <cell r="AR11" t="b">
            <v>0</v>
          </cell>
          <cell r="AS11" t="b">
            <v>0</v>
          </cell>
        </row>
        <row r="12">
          <cell r="B12" t="str">
            <v>Total current assets</v>
          </cell>
          <cell r="C12">
            <v>1054.51</v>
          </cell>
          <cell r="E12">
            <v>1115.6380000000001</v>
          </cell>
          <cell r="G12">
            <v>1454.1</v>
          </cell>
          <cell r="I12">
            <v>1502.6000000000001</v>
          </cell>
          <cell r="K12">
            <v>1543.5</v>
          </cell>
          <cell r="M12">
            <v>1863.3</v>
          </cell>
          <cell r="O12">
            <v>2065.3000000000002</v>
          </cell>
          <cell r="Q12">
            <v>2937.0999999999995</v>
          </cell>
          <cell r="S12">
            <v>3858.5999999999995</v>
          </cell>
          <cell r="U12">
            <v>6403.4999999999991</v>
          </cell>
          <cell r="W12">
            <v>7402.2000000000007</v>
          </cell>
          <cell r="Y12">
            <v>9170</v>
          </cell>
          <cell r="AA12">
            <v>9235</v>
          </cell>
          <cell r="AC12">
            <v>9055.2765141666659</v>
          </cell>
          <cell r="AE12">
            <v>10743.001808520943</v>
          </cell>
          <cell r="AG12">
            <v>12941.585240691616</v>
          </cell>
          <cell r="AI12">
            <v>14786.259639608899</v>
          </cell>
          <cell r="AK12">
            <v>18040.311524926939</v>
          </cell>
        </row>
        <row r="14">
          <cell r="B14" t="str">
            <v>Property, Plant &amp; Equipment</v>
          </cell>
          <cell r="C14">
            <v>586.91200000000003</v>
          </cell>
          <cell r="E14">
            <v>665.31399999999996</v>
          </cell>
          <cell r="G14">
            <v>743.8</v>
          </cell>
          <cell r="I14">
            <v>910.5</v>
          </cell>
          <cell r="K14">
            <v>1186.2</v>
          </cell>
          <cell r="M14">
            <v>1450.2</v>
          </cell>
          <cell r="O14">
            <v>1553.6</v>
          </cell>
          <cell r="Q14">
            <v>1781.5</v>
          </cell>
          <cell r="S14">
            <v>1946.1</v>
          </cell>
          <cell r="U14">
            <v>2813.5</v>
          </cell>
          <cell r="W14">
            <v>3799.4</v>
          </cell>
          <cell r="Y14">
            <v>4712</v>
          </cell>
          <cell r="AA14">
            <v>5038</v>
          </cell>
          <cell r="AC14">
            <v>5980.5493333333325</v>
          </cell>
          <cell r="AE14">
            <v>6577.3994462366118</v>
          </cell>
          <cell r="AG14">
            <v>7084.1184670405946</v>
          </cell>
          <cell r="AI14">
            <v>7351.437436320256</v>
          </cell>
          <cell r="AK14">
            <v>7696.185373274071</v>
          </cell>
          <cell r="AO14" t="str">
            <v>mstag:propertyPlantAndEquipmentNet</v>
          </cell>
          <cell r="AP14">
            <v>6</v>
          </cell>
          <cell r="AQ14" t="str">
            <v>ISO4217:USD</v>
          </cell>
          <cell r="AR14" t="b">
            <v>0</v>
          </cell>
          <cell r="AS14" t="b">
            <v>0</v>
          </cell>
        </row>
        <row r="15">
          <cell r="B15" t="str">
            <v>Intangible Assets, net</v>
          </cell>
          <cell r="O15">
            <v>0</v>
          </cell>
          <cell r="Q15">
            <v>0</v>
          </cell>
          <cell r="S15">
            <v>34.1</v>
          </cell>
          <cell r="U15">
            <v>4801.8999999999996</v>
          </cell>
          <cell r="W15">
            <v>4455.5</v>
          </cell>
          <cell r="Y15">
            <v>4033</v>
          </cell>
          <cell r="AA15">
            <v>3742</v>
          </cell>
          <cell r="AC15">
            <v>3680.89</v>
          </cell>
          <cell r="AE15">
            <v>3462.2799999999997</v>
          </cell>
          <cell r="AG15">
            <v>3243.6699999999996</v>
          </cell>
          <cell r="AI15">
            <v>3025.0599999999995</v>
          </cell>
          <cell r="AK15">
            <v>2806.4499999999994</v>
          </cell>
          <cell r="AO15" t="str">
            <v>mstag:otherIntangibleAssets</v>
          </cell>
          <cell r="AP15">
            <v>6</v>
          </cell>
          <cell r="AQ15" t="str">
            <v>ISO4217:USD</v>
          </cell>
          <cell r="AR15" t="b">
            <v>0</v>
          </cell>
          <cell r="AS15" t="b">
            <v>0</v>
          </cell>
        </row>
        <row r="16">
          <cell r="B16" t="str">
            <v>Goodwill</v>
          </cell>
          <cell r="O16">
            <v>0</v>
          </cell>
          <cell r="Q16">
            <v>0</v>
          </cell>
          <cell r="S16">
            <v>97.2</v>
          </cell>
          <cell r="U16">
            <v>9871.1</v>
          </cell>
          <cell r="W16">
            <v>9715.9</v>
          </cell>
          <cell r="Y16">
            <v>10525</v>
          </cell>
          <cell r="AA16">
            <v>10495</v>
          </cell>
          <cell r="AC16">
            <v>10995</v>
          </cell>
          <cell r="AE16">
            <v>10995</v>
          </cell>
          <cell r="AG16">
            <v>10995</v>
          </cell>
          <cell r="AI16">
            <v>10995</v>
          </cell>
          <cell r="AK16">
            <v>10995</v>
          </cell>
          <cell r="AO16" t="str">
            <v>mstag:goodwill</v>
          </cell>
          <cell r="AP16">
            <v>6</v>
          </cell>
          <cell r="AQ16" t="str">
            <v>ISO4217:USD</v>
          </cell>
          <cell r="AR16" t="b">
            <v>0</v>
          </cell>
          <cell r="AS16" t="b">
            <v>0</v>
          </cell>
        </row>
        <row r="17">
          <cell r="B17" t="str">
            <v>Other Assets</v>
          </cell>
          <cell r="C17">
            <v>124.1</v>
          </cell>
          <cell r="E17">
            <v>213.2</v>
          </cell>
          <cell r="G17">
            <v>234.9</v>
          </cell>
          <cell r="I17">
            <v>352.5</v>
          </cell>
          <cell r="K17">
            <v>380.5</v>
          </cell>
          <cell r="M17">
            <v>358.7</v>
          </cell>
          <cell r="O17">
            <v>458.7</v>
          </cell>
          <cell r="Q17">
            <v>681</v>
          </cell>
          <cell r="S17">
            <v>507.1</v>
          </cell>
          <cell r="U17">
            <v>566.29999999999995</v>
          </cell>
          <cell r="W17">
            <v>803.5</v>
          </cell>
          <cell r="Y17">
            <v>781</v>
          </cell>
          <cell r="AA17">
            <v>787</v>
          </cell>
          <cell r="AC17">
            <v>787</v>
          </cell>
          <cell r="AE17">
            <v>787</v>
          </cell>
          <cell r="AG17">
            <v>787</v>
          </cell>
          <cell r="AI17">
            <v>787</v>
          </cell>
          <cell r="AK17">
            <v>787</v>
          </cell>
          <cell r="AO17" t="str">
            <v>mstag:otherAssetsNonOperating</v>
          </cell>
          <cell r="AP17">
            <v>6</v>
          </cell>
          <cell r="AQ17" t="str">
            <v>ISO4217:USD</v>
          </cell>
          <cell r="AR17" t="b">
            <v>0</v>
          </cell>
          <cell r="AS17" t="b">
            <v>0</v>
          </cell>
        </row>
        <row r="19">
          <cell r="B19" t="str">
            <v>Total assets</v>
          </cell>
          <cell r="C19">
            <v>1765.5219999999999</v>
          </cell>
          <cell r="E19">
            <v>1994.1520000000003</v>
          </cell>
          <cell r="G19">
            <v>2432.7999999999997</v>
          </cell>
          <cell r="I19">
            <v>2765.6000000000004</v>
          </cell>
          <cell r="K19">
            <v>3110.2</v>
          </cell>
          <cell r="M19">
            <v>3672.2</v>
          </cell>
          <cell r="O19">
            <v>4077.6</v>
          </cell>
          <cell r="Q19">
            <v>5399.5999999999995</v>
          </cell>
          <cell r="S19">
            <v>6443.0999999999995</v>
          </cell>
          <cell r="U19">
            <v>24456.3</v>
          </cell>
          <cell r="W19">
            <v>26176.5</v>
          </cell>
          <cell r="Y19">
            <v>29221</v>
          </cell>
          <cell r="AA19">
            <v>29297</v>
          </cell>
          <cell r="AC19">
            <v>30498.7158475</v>
          </cell>
          <cell r="AE19">
            <v>32564.681254757554</v>
          </cell>
          <cell r="AG19">
            <v>35051.373707732208</v>
          </cell>
          <cell r="AI19">
            <v>36944.757075929156</v>
          </cell>
          <cell r="AK19">
            <v>40324.946898201015</v>
          </cell>
        </row>
        <row r="21">
          <cell r="B21" t="str">
            <v>Current liabilities:</v>
          </cell>
        </row>
        <row r="22">
          <cell r="B22" t="str">
            <v>Accounts Payable</v>
          </cell>
          <cell r="C22">
            <v>23.056000000000001</v>
          </cell>
          <cell r="E22">
            <v>30.475999999999999</v>
          </cell>
          <cell r="G22">
            <v>54.4</v>
          </cell>
          <cell r="I22">
            <v>75</v>
          </cell>
          <cell r="K22">
            <v>111.1</v>
          </cell>
          <cell r="M22">
            <v>121.6</v>
          </cell>
          <cell r="O22">
            <v>83.4</v>
          </cell>
          <cell r="Q22">
            <v>143.19999999999999</v>
          </cell>
          <cell r="S22">
            <v>136.69999999999999</v>
          </cell>
          <cell r="U22">
            <v>254.6</v>
          </cell>
          <cell r="W22">
            <v>327.2</v>
          </cell>
          <cell r="Y22">
            <v>507</v>
          </cell>
          <cell r="AA22">
            <v>596</v>
          </cell>
          <cell r="AC22">
            <v>664.90923999999995</v>
          </cell>
          <cell r="AE22">
            <v>725.2428557948823</v>
          </cell>
          <cell r="AG22">
            <v>817.47919566890039</v>
          </cell>
          <cell r="AI22">
            <v>922.93696722228412</v>
          </cell>
          <cell r="AK22">
            <v>1024.8726343603414</v>
          </cell>
          <cell r="AO22" t="str">
            <v>mstag:tradeAndOtherPayables</v>
          </cell>
          <cell r="AP22">
            <v>6</v>
          </cell>
          <cell r="AQ22" t="str">
            <v>ISO4217:USD</v>
          </cell>
          <cell r="AR22" t="b">
            <v>0</v>
          </cell>
          <cell r="AS22" t="b">
            <v>0</v>
          </cell>
        </row>
        <row r="23">
          <cell r="B23" t="str">
            <v>Commercial Paper</v>
          </cell>
          <cell r="C23">
            <v>109.767</v>
          </cell>
          <cell r="E23">
            <v>99.667000000000002</v>
          </cell>
          <cell r="G23">
            <v>69.7</v>
          </cell>
          <cell r="I23">
            <v>0</v>
          </cell>
          <cell r="K23">
            <v>-302.2</v>
          </cell>
          <cell r="M23">
            <v>99.7</v>
          </cell>
          <cell r="O23">
            <v>99.5</v>
          </cell>
          <cell r="Q23">
            <v>99.7</v>
          </cell>
          <cell r="S23">
            <v>99.9</v>
          </cell>
          <cell r="U23">
            <v>0</v>
          </cell>
          <cell r="W23">
            <v>0</v>
          </cell>
          <cell r="Y23">
            <v>0</v>
          </cell>
          <cell r="AA23">
            <v>0</v>
          </cell>
          <cell r="AC23">
            <v>0</v>
          </cell>
          <cell r="AE23">
            <v>0</v>
          </cell>
          <cell r="AG23">
            <v>0</v>
          </cell>
          <cell r="AI23">
            <v>0</v>
          </cell>
          <cell r="AK23">
            <v>0</v>
          </cell>
          <cell r="AO23" t="str">
            <v>mstag:shortTermBorrowings</v>
          </cell>
          <cell r="AP23">
            <v>6</v>
          </cell>
          <cell r="AQ23" t="str">
            <v>ISO4217:USD</v>
          </cell>
          <cell r="AR23" t="b">
            <v>0</v>
          </cell>
          <cell r="AS23" t="b">
            <v>0</v>
          </cell>
        </row>
        <row r="24">
          <cell r="B24" t="str">
            <v>Accrued Liabilities</v>
          </cell>
          <cell r="C24">
            <v>279.43799999999999</v>
          </cell>
          <cell r="E24">
            <v>406.28699999999998</v>
          </cell>
          <cell r="G24">
            <v>459.7</v>
          </cell>
          <cell r="I24">
            <v>449.7</v>
          </cell>
          <cell r="K24">
            <v>608</v>
          </cell>
          <cell r="M24">
            <v>659.7</v>
          </cell>
          <cell r="O24">
            <v>648.20000000000005</v>
          </cell>
          <cell r="Q24">
            <v>619.20000000000005</v>
          </cell>
          <cell r="S24">
            <v>766.3</v>
          </cell>
          <cell r="U24">
            <v>1151.7</v>
          </cell>
          <cell r="W24">
            <v>1919.1</v>
          </cell>
          <cell r="Y24">
            <v>2477</v>
          </cell>
          <cell r="AA24">
            <v>2999</v>
          </cell>
          <cell r="AC24">
            <v>2908.9779249999997</v>
          </cell>
          <cell r="AE24">
            <v>3172.9374941026099</v>
          </cell>
          <cell r="AG24">
            <v>3335.3151183291138</v>
          </cell>
          <cell r="AI24">
            <v>3765.5828262669193</v>
          </cell>
          <cell r="AK24">
            <v>4181.4803481901936</v>
          </cell>
          <cell r="AO24" t="str">
            <v>mstag:accruedExpenses</v>
          </cell>
          <cell r="AP24">
            <v>6</v>
          </cell>
          <cell r="AQ24" t="str">
            <v>ISO4217:USD</v>
          </cell>
          <cell r="AR24" t="b">
            <v>0</v>
          </cell>
          <cell r="AS24" t="b">
            <v>0</v>
          </cell>
        </row>
        <row r="25">
          <cell r="B25" t="str">
            <v>Current Portion Long Term Debt</v>
          </cell>
          <cell r="I25">
            <v>118.2</v>
          </cell>
          <cell r="K25">
            <v>30</v>
          </cell>
          <cell r="M25">
            <v>6</v>
          </cell>
          <cell r="O25">
            <v>0</v>
          </cell>
          <cell r="Q25">
            <v>0</v>
          </cell>
          <cell r="S25">
            <v>0</v>
          </cell>
          <cell r="U25">
            <v>122.9</v>
          </cell>
          <cell r="W25">
            <v>0</v>
          </cell>
          <cell r="Y25">
            <v>1173</v>
          </cell>
          <cell r="AA25">
            <v>0</v>
          </cell>
          <cell r="AC25">
            <v>0</v>
          </cell>
          <cell r="AE25">
            <v>0</v>
          </cell>
          <cell r="AG25">
            <v>0</v>
          </cell>
          <cell r="AI25">
            <v>0</v>
          </cell>
          <cell r="AK25">
            <v>0</v>
          </cell>
          <cell r="AO25" t="str">
            <v>mstag:shortTermBorrowings</v>
          </cell>
          <cell r="AP25">
            <v>6</v>
          </cell>
          <cell r="AQ25" t="str">
            <v>ISO4217:USD</v>
          </cell>
          <cell r="AR25" t="b">
            <v>0</v>
          </cell>
          <cell r="AS25" t="b">
            <v>0</v>
          </cell>
        </row>
        <row r="26">
          <cell r="B26" t="str">
            <v>Total current liabilities</v>
          </cell>
          <cell r="C26">
            <v>412.26099999999997</v>
          </cell>
          <cell r="E26">
            <v>536.42999999999995</v>
          </cell>
          <cell r="G26">
            <v>583.79999999999995</v>
          </cell>
          <cell r="I26">
            <v>642.90000000000009</v>
          </cell>
          <cell r="K26">
            <v>446.9</v>
          </cell>
          <cell r="M26">
            <v>887</v>
          </cell>
          <cell r="O26">
            <v>831.1</v>
          </cell>
          <cell r="Q26">
            <v>862.1</v>
          </cell>
          <cell r="S26">
            <v>1002.9</v>
          </cell>
          <cell r="U26">
            <v>1529.2</v>
          </cell>
          <cell r="W26">
            <v>2246.2999999999997</v>
          </cell>
          <cell r="Y26">
            <v>4157</v>
          </cell>
          <cell r="AA26">
            <v>3595</v>
          </cell>
          <cell r="AC26">
            <v>3573.8871649999996</v>
          </cell>
          <cell r="AE26">
            <v>3898.1803498974923</v>
          </cell>
          <cell r="AG26">
            <v>4152.7943139980143</v>
          </cell>
          <cell r="AI26">
            <v>4688.519793489203</v>
          </cell>
          <cell r="AK26">
            <v>5206.3529825505348</v>
          </cell>
        </row>
        <row r="28">
          <cell r="B28" t="str">
            <v>Deferred Tax Liabilities</v>
          </cell>
          <cell r="C28">
            <v>0</v>
          </cell>
          <cell r="E28">
            <v>0</v>
          </cell>
          <cell r="G28">
            <v>0</v>
          </cell>
          <cell r="I28">
            <v>0</v>
          </cell>
          <cell r="K28">
            <v>0</v>
          </cell>
          <cell r="M28">
            <v>0</v>
          </cell>
          <cell r="O28">
            <v>0</v>
          </cell>
          <cell r="Q28">
            <v>0</v>
          </cell>
          <cell r="S28">
            <v>0</v>
          </cell>
          <cell r="U28">
            <v>1593.4</v>
          </cell>
          <cell r="W28">
            <v>1461.6</v>
          </cell>
          <cell r="Y28">
            <v>1294</v>
          </cell>
          <cell r="AA28">
            <v>1294</v>
          </cell>
          <cell r="AC28">
            <v>994</v>
          </cell>
          <cell r="AE28">
            <v>994</v>
          </cell>
          <cell r="AG28">
            <v>994</v>
          </cell>
          <cell r="AI28">
            <v>994</v>
          </cell>
          <cell r="AK28">
            <v>994</v>
          </cell>
          <cell r="AO28" t="str">
            <v>mstag:deferredTaxLiabilities</v>
          </cell>
          <cell r="AP28">
            <v>6</v>
          </cell>
          <cell r="AQ28" t="str">
            <v>ISO4217:USD</v>
          </cell>
          <cell r="AR28" t="b">
            <v>0</v>
          </cell>
          <cell r="AS28" t="b">
            <v>0</v>
          </cell>
        </row>
        <row r="29">
          <cell r="B29" t="str">
            <v xml:space="preserve">Long-Term Debt </v>
          </cell>
          <cell r="C29">
            <v>181.24199999999999</v>
          </cell>
          <cell r="E29">
            <v>183.40700000000001</v>
          </cell>
          <cell r="G29">
            <v>177.2</v>
          </cell>
          <cell r="I29">
            <v>59</v>
          </cell>
          <cell r="K29">
            <v>229</v>
          </cell>
          <cell r="M29">
            <v>223</v>
          </cell>
          <cell r="O29">
            <v>223</v>
          </cell>
          <cell r="Q29">
            <v>223</v>
          </cell>
          <cell r="S29">
            <v>223</v>
          </cell>
          <cell r="U29">
            <v>3047.7</v>
          </cell>
          <cell r="W29">
            <v>3079.5</v>
          </cell>
          <cell r="Y29">
            <v>4065</v>
          </cell>
          <cell r="AA29">
            <v>3957</v>
          </cell>
          <cell r="AC29">
            <v>8976.7887499999997</v>
          </cell>
          <cell r="AE29">
            <v>8896.5774999999994</v>
          </cell>
          <cell r="AG29">
            <v>8916.3662499999991</v>
          </cell>
          <cell r="AI29">
            <v>7938.1549999999988</v>
          </cell>
          <cell r="AK29">
            <v>7957.9437499999985</v>
          </cell>
          <cell r="AO29" t="str">
            <v>mstag:longTermDebt</v>
          </cell>
          <cell r="AP29">
            <v>6</v>
          </cell>
          <cell r="AQ29" t="str">
            <v>ISO4217:USD</v>
          </cell>
          <cell r="AR29" t="b">
            <v>0</v>
          </cell>
          <cell r="AS29" t="b">
            <v>0</v>
          </cell>
        </row>
        <row r="30">
          <cell r="B30" t="str">
            <v>Put Warrants</v>
          </cell>
          <cell r="C30">
            <v>0</v>
          </cell>
          <cell r="E30">
            <v>0</v>
          </cell>
          <cell r="G30">
            <v>0</v>
          </cell>
          <cell r="I30">
            <v>157.4</v>
          </cell>
          <cell r="K30">
            <v>0</v>
          </cell>
          <cell r="M30">
            <v>0</v>
          </cell>
          <cell r="O30">
            <v>0</v>
          </cell>
          <cell r="Q30">
            <v>0</v>
          </cell>
          <cell r="S30">
            <v>0</v>
          </cell>
          <cell r="U30">
            <v>0</v>
          </cell>
          <cell r="W30">
            <v>0</v>
          </cell>
          <cell r="Y30">
            <v>0</v>
          </cell>
          <cell r="AA30">
            <v>0</v>
          </cell>
          <cell r="AC30">
            <v>0</v>
          </cell>
          <cell r="AE30">
            <v>0</v>
          </cell>
          <cell r="AG30">
            <v>0</v>
          </cell>
          <cell r="AI30">
            <v>0</v>
          </cell>
          <cell r="AK30">
            <v>0</v>
          </cell>
          <cell r="AO30" t="str">
            <v>mstag:otherLiabilitiesNonOperating</v>
          </cell>
          <cell r="AP30">
            <v>6</v>
          </cell>
          <cell r="AQ30" t="str">
            <v>ISO4217:USD</v>
          </cell>
          <cell r="AR30" t="b">
            <v>0</v>
          </cell>
          <cell r="AS30" t="b">
            <v>0</v>
          </cell>
        </row>
        <row r="31">
          <cell r="B31" t="str">
            <v>Total liabilities</v>
          </cell>
          <cell r="C31">
            <v>593.50299999999993</v>
          </cell>
          <cell r="E31">
            <v>719.83699999999999</v>
          </cell>
          <cell r="G31">
            <v>761</v>
          </cell>
          <cell r="I31">
            <v>701.90000000000009</v>
          </cell>
          <cell r="K31">
            <v>675.9</v>
          </cell>
          <cell r="M31">
            <v>1110</v>
          </cell>
          <cell r="O31">
            <v>1054.0999999999999</v>
          </cell>
          <cell r="Q31">
            <v>1085.0999999999999</v>
          </cell>
          <cell r="S31">
            <v>1225.9000000000001</v>
          </cell>
          <cell r="U31">
            <v>6170.3</v>
          </cell>
          <cell r="W31">
            <v>6787.4</v>
          </cell>
          <cell r="Y31">
            <v>9516</v>
          </cell>
          <cell r="AA31">
            <v>8846</v>
          </cell>
          <cell r="AC31">
            <v>13544.675915</v>
          </cell>
          <cell r="AE31">
            <v>13788.757849897491</v>
          </cell>
          <cell r="AG31">
            <v>14063.160563998013</v>
          </cell>
          <cell r="AI31">
            <v>13620.674793489201</v>
          </cell>
          <cell r="AK31">
            <v>14158.296732550534</v>
          </cell>
        </row>
        <row r="33">
          <cell r="B33" t="str">
            <v>Stockholders' equity:</v>
          </cell>
        </row>
        <row r="34">
          <cell r="B34" t="str">
            <v>Preferred Stock</v>
          </cell>
          <cell r="S34">
            <v>0</v>
          </cell>
          <cell r="U34">
            <v>0</v>
          </cell>
          <cell r="W34">
            <v>0</v>
          </cell>
          <cell r="Y34">
            <v>0</v>
          </cell>
          <cell r="AA34">
            <v>0</v>
          </cell>
          <cell r="AC34">
            <v>0</v>
          </cell>
          <cell r="AE34">
            <v>0</v>
          </cell>
          <cell r="AG34">
            <v>0</v>
          </cell>
          <cell r="AI34">
            <v>0</v>
          </cell>
          <cell r="AK34">
            <v>0</v>
          </cell>
          <cell r="AO34" t="str">
            <v>mstag:preferredEquity</v>
          </cell>
          <cell r="AP34">
            <v>6</v>
          </cell>
          <cell r="AQ34" t="str">
            <v>ISO4217:USD</v>
          </cell>
          <cell r="AR34" t="b">
            <v>0</v>
          </cell>
          <cell r="AS34" t="b">
            <v>0</v>
          </cell>
        </row>
        <row r="35">
          <cell r="B35" t="str">
            <v>Common Stock and APIC</v>
          </cell>
          <cell r="C35">
            <v>583.19878761447876</v>
          </cell>
          <cell r="E35">
            <v>634.09843436545998</v>
          </cell>
          <cell r="G35">
            <v>831.89001308329694</v>
          </cell>
          <cell r="I35">
            <v>1026.9000000000001</v>
          </cell>
          <cell r="K35">
            <v>1196.0999999999999</v>
          </cell>
          <cell r="M35">
            <v>1671.9</v>
          </cell>
          <cell r="O35">
            <v>2072.3000000000002</v>
          </cell>
          <cell r="Q35">
            <v>2947.3</v>
          </cell>
          <cell r="S35">
            <v>3474.1</v>
          </cell>
          <cell r="U35">
            <v>19344.3</v>
          </cell>
          <cell r="W35">
            <v>19995.3</v>
          </cell>
          <cell r="Y35">
            <v>22078</v>
          </cell>
          <cell r="AA35">
            <v>23561</v>
          </cell>
          <cell r="AC35">
            <v>16734.574542499999</v>
          </cell>
          <cell r="AE35">
            <v>14375.822116285579</v>
          </cell>
          <cell r="AG35">
            <v>11943.489962124937</v>
          </cell>
          <cell r="AI35">
            <v>9343.913232858682</v>
          </cell>
          <cell r="AK35">
            <v>6943.2943418808663</v>
          </cell>
          <cell r="AO35" t="str">
            <v>mstag:totalShareCapital</v>
          </cell>
          <cell r="AP35">
            <v>6</v>
          </cell>
          <cell r="AQ35" t="str">
            <v>ISO4217:USD</v>
          </cell>
          <cell r="AR35" t="b">
            <v>0</v>
          </cell>
          <cell r="AS35" t="b">
            <v>0</v>
          </cell>
        </row>
        <row r="36">
          <cell r="B36" t="str">
            <v>Retained Earnings</v>
          </cell>
          <cell r="C36">
            <v>499.43033774288898</v>
          </cell>
          <cell r="E36">
            <v>543.01895333624066</v>
          </cell>
          <cell r="G36">
            <v>712.4005039492173</v>
          </cell>
          <cell r="I36">
            <v>879.4</v>
          </cell>
          <cell r="K36">
            <v>943.2</v>
          </cell>
          <cell r="M36">
            <v>894.3</v>
          </cell>
          <cell r="O36">
            <v>966</v>
          </cell>
          <cell r="Q36">
            <v>1304.5999999999999</v>
          </cell>
          <cell r="S36">
            <v>1686.8</v>
          </cell>
          <cell r="U36">
            <v>-1125.5</v>
          </cell>
          <cell r="W36">
            <v>-667</v>
          </cell>
          <cell r="Y36">
            <v>-2376</v>
          </cell>
          <cell r="AA36">
            <v>-3132</v>
          </cell>
          <cell r="AC36">
            <v>197.4653900000003</v>
          </cell>
          <cell r="AE36">
            <v>4378.1012885744822</v>
          </cell>
          <cell r="AG36">
            <v>9022.7231816092572</v>
          </cell>
          <cell r="AI36">
            <v>13958.169049581269</v>
          </cell>
          <cell r="AK36">
            <v>19201.355823769609</v>
          </cell>
          <cell r="AO36" t="str">
            <v>mstag:retainedEarnings</v>
          </cell>
          <cell r="AP36">
            <v>6</v>
          </cell>
          <cell r="AQ36" t="str">
            <v>ISO4217:USD</v>
          </cell>
          <cell r="AR36" t="b">
            <v>0</v>
          </cell>
          <cell r="AS36" t="b">
            <v>0</v>
          </cell>
        </row>
        <row r="37">
          <cell r="B37" t="str">
            <v>AOCI</v>
          </cell>
          <cell r="C37">
            <v>89.390874642632141</v>
          </cell>
          <cell r="E37">
            <v>97.192612298299153</v>
          </cell>
          <cell r="G37">
            <v>127.50948296748555</v>
          </cell>
          <cell r="I37">
            <v>157.4</v>
          </cell>
          <cell r="K37">
            <v>295</v>
          </cell>
          <cell r="M37">
            <v>-4</v>
          </cell>
          <cell r="O37">
            <v>-14.8</v>
          </cell>
          <cell r="Q37">
            <v>62.6</v>
          </cell>
          <cell r="S37">
            <v>56.3</v>
          </cell>
          <cell r="U37">
            <v>67.2</v>
          </cell>
          <cell r="W37">
            <v>60.8</v>
          </cell>
          <cell r="Y37">
            <v>3</v>
          </cell>
          <cell r="AA37">
            <v>22</v>
          </cell>
          <cell r="AC37">
            <v>22</v>
          </cell>
          <cell r="AE37">
            <v>22</v>
          </cell>
          <cell r="AG37">
            <v>22</v>
          </cell>
          <cell r="AI37">
            <v>22</v>
          </cell>
          <cell r="AK37">
            <v>22</v>
          </cell>
          <cell r="AO37" t="str">
            <v>mstag:accumulatedOtherComprehensiveIncomeLossAndReserves</v>
          </cell>
          <cell r="AP37">
            <v>6</v>
          </cell>
          <cell r="AQ37" t="str">
            <v>ISO4217:USD</v>
          </cell>
          <cell r="AR37" t="b">
            <v>0</v>
          </cell>
          <cell r="AS37" t="b">
            <v>0</v>
          </cell>
        </row>
        <row r="38">
          <cell r="B38" t="str">
            <v>Total stockholders' equity</v>
          </cell>
          <cell r="C38">
            <v>1172.02</v>
          </cell>
          <cell r="E38">
            <v>1274.31</v>
          </cell>
          <cell r="G38">
            <v>1671.8</v>
          </cell>
          <cell r="I38">
            <v>2063.7000000000003</v>
          </cell>
          <cell r="K38">
            <v>2434.3000000000002</v>
          </cell>
          <cell r="M38">
            <v>2562.1999999999998</v>
          </cell>
          <cell r="O38">
            <v>3023.5</v>
          </cell>
          <cell r="Q38">
            <v>4314.5</v>
          </cell>
          <cell r="S38">
            <v>5217.2</v>
          </cell>
          <cell r="U38">
            <v>18286</v>
          </cell>
          <cell r="W38">
            <v>19389.099999999999</v>
          </cell>
          <cell r="Y38">
            <v>19705</v>
          </cell>
          <cell r="AA38">
            <v>20451</v>
          </cell>
          <cell r="AC38">
            <v>16954.0399325</v>
          </cell>
          <cell r="AE38">
            <v>18775.923404860063</v>
          </cell>
          <cell r="AG38">
            <v>20988.213143734196</v>
          </cell>
          <cell r="AI38">
            <v>23324.082282439951</v>
          </cell>
          <cell r="AK38">
            <v>26166.650165650477</v>
          </cell>
        </row>
        <row r="40">
          <cell r="B40" t="str">
            <v>Total Liabilities and Equity</v>
          </cell>
          <cell r="C40">
            <v>1765.5229999999999</v>
          </cell>
          <cell r="E40">
            <v>1994.1469999999999</v>
          </cell>
          <cell r="G40">
            <v>2432.8000000000002</v>
          </cell>
          <cell r="I40">
            <v>2765.6000000000004</v>
          </cell>
          <cell r="K40">
            <v>3110.2000000000003</v>
          </cell>
          <cell r="M40">
            <v>3672.2</v>
          </cell>
          <cell r="O40">
            <v>4077.6</v>
          </cell>
          <cell r="Q40">
            <v>5399.6</v>
          </cell>
          <cell r="S40">
            <v>6443.1</v>
          </cell>
          <cell r="U40">
            <v>24456.3</v>
          </cell>
          <cell r="W40">
            <v>26176.5</v>
          </cell>
          <cell r="Y40">
            <v>29221</v>
          </cell>
          <cell r="AA40">
            <v>29297</v>
          </cell>
          <cell r="AC40">
            <v>30498.7158475</v>
          </cell>
          <cell r="AE40">
            <v>32564.681254757554</v>
          </cell>
          <cell r="AG40">
            <v>35051.373707732208</v>
          </cell>
          <cell r="AI40">
            <v>36944.757075929156</v>
          </cell>
          <cell r="AK40">
            <v>40324.946898201015</v>
          </cell>
        </row>
        <row r="42">
          <cell r="C42">
            <v>-9.9999999997635314E-4</v>
          </cell>
          <cell r="E42">
            <v>5.000000000336513E-3</v>
          </cell>
          <cell r="G42">
            <v>0</v>
          </cell>
          <cell r="I42">
            <v>0</v>
          </cell>
          <cell r="K42">
            <v>0</v>
          </cell>
          <cell r="M42">
            <v>0</v>
          </cell>
          <cell r="O42">
            <v>0</v>
          </cell>
          <cell r="Q42">
            <v>0</v>
          </cell>
          <cell r="S42">
            <v>0</v>
          </cell>
          <cell r="U42">
            <v>0</v>
          </cell>
          <cell r="W42">
            <v>0</v>
          </cell>
          <cell r="Y42">
            <v>0</v>
          </cell>
          <cell r="AA42">
            <v>0</v>
          </cell>
          <cell r="AC42">
            <v>0</v>
          </cell>
          <cell r="AE42">
            <v>0</v>
          </cell>
          <cell r="AG42">
            <v>0</v>
          </cell>
          <cell r="AI42">
            <v>0</v>
          </cell>
          <cell r="AK42">
            <v>0</v>
          </cell>
        </row>
        <row r="43">
          <cell r="C43">
            <v>-4.9999999998817657E-4</v>
          </cell>
          <cell r="E43">
            <v>2.5000000001682565E-3</v>
          </cell>
          <cell r="G43">
            <v>0</v>
          </cell>
          <cell r="I43">
            <v>0</v>
          </cell>
          <cell r="K43">
            <v>0</v>
          </cell>
          <cell r="M43">
            <v>0</v>
          </cell>
          <cell r="O43">
            <v>0</v>
          </cell>
          <cell r="Q43">
            <v>0</v>
          </cell>
          <cell r="S43">
            <v>0</v>
          </cell>
          <cell r="U43">
            <v>0</v>
          </cell>
          <cell r="W43">
            <v>0</v>
          </cell>
          <cell r="Y43">
            <v>0</v>
          </cell>
          <cell r="AA43">
            <v>0</v>
          </cell>
          <cell r="AC43">
            <v>0</v>
          </cell>
          <cell r="AE43">
            <v>0</v>
          </cell>
          <cell r="AG43">
            <v>0</v>
          </cell>
          <cell r="AI43">
            <v>0</v>
          </cell>
          <cell r="AK43">
            <v>0</v>
          </cell>
        </row>
        <row r="44">
          <cell r="B44" t="str">
            <v>Common Stock and APIC</v>
          </cell>
          <cell r="U44">
            <v>15870.199999999999</v>
          </cell>
          <cell r="W44">
            <v>651</v>
          </cell>
          <cell r="Y44">
            <v>2082.7000000000007</v>
          </cell>
          <cell r="AA44">
            <v>1483</v>
          </cell>
          <cell r="AC44">
            <v>-6826.4254575000014</v>
          </cell>
          <cell r="AE44">
            <v>-2358.7524262144198</v>
          </cell>
          <cell r="AG44">
            <v>-2432.3321541606419</v>
          </cell>
          <cell r="AI44">
            <v>-2599.5767292662549</v>
          </cell>
        </row>
        <row r="45">
          <cell r="B45" t="str">
            <v>Retained Earnings</v>
          </cell>
          <cell r="U45">
            <v>-2812.3</v>
          </cell>
          <cell r="W45">
            <v>2461.5</v>
          </cell>
          <cell r="Y45">
            <v>-1709</v>
          </cell>
          <cell r="AA45">
            <v>-756</v>
          </cell>
          <cell r="AC45">
            <v>3329.4653900000003</v>
          </cell>
          <cell r="AE45">
            <v>4180.6358985744819</v>
          </cell>
          <cell r="AG45">
            <v>4644.621893034775</v>
          </cell>
          <cell r="AI45">
            <v>4935.4458679720119</v>
          </cell>
        </row>
        <row r="46">
          <cell r="B46" t="str">
            <v>AOCI</v>
          </cell>
          <cell r="U46">
            <v>10.900000000000006</v>
          </cell>
          <cell r="W46">
            <v>-6.4000000000000057</v>
          </cell>
          <cell r="Y46">
            <v>-57.8</v>
          </cell>
          <cell r="AA46">
            <v>19</v>
          </cell>
          <cell r="AC46">
            <v>0</v>
          </cell>
          <cell r="AE46">
            <v>0</v>
          </cell>
          <cell r="AG46">
            <v>0</v>
          </cell>
          <cell r="AI46">
            <v>0</v>
          </cell>
        </row>
        <row r="48">
          <cell r="B48" t="str">
            <v>CALCULATIONS</v>
          </cell>
        </row>
        <row r="49">
          <cell r="W49" t="str">
            <v>2003-FY</v>
          </cell>
          <cell r="Y49" t="str">
            <v>2004-FY</v>
          </cell>
          <cell r="AA49" t="str">
            <v>2005-FY</v>
          </cell>
          <cell r="AC49" t="str">
            <v>2006-FY</v>
          </cell>
          <cell r="AE49" t="str">
            <v>2007-FY</v>
          </cell>
          <cell r="AG49" t="str">
            <v>2008-FY</v>
          </cell>
          <cell r="AI49" t="str">
            <v>2009-FY</v>
          </cell>
          <cell r="AK49" t="str">
            <v>2010-FY</v>
          </cell>
        </row>
        <row r="50">
          <cell r="A50" t="str">
            <v>Revenues</v>
          </cell>
          <cell r="O50">
            <v>3340.1</v>
          </cell>
          <cell r="Q50">
            <v>3629.3999999999996</v>
          </cell>
          <cell r="S50">
            <v>4015.7</v>
          </cell>
          <cell r="U50">
            <v>5522.9999999999991</v>
          </cell>
          <cell r="W50">
            <v>8356</v>
          </cell>
          <cell r="Y50">
            <v>10549.9</v>
          </cell>
          <cell r="AA50">
            <v>12430</v>
          </cell>
          <cell r="AC50">
            <v>13779</v>
          </cell>
          <cell r="AE50">
            <v>15089.778225807069</v>
          </cell>
          <cell r="AG50">
            <v>16371.308428631663</v>
          </cell>
          <cell r="AI50">
            <v>17919.625529985176</v>
          </cell>
          <cell r="AK50">
            <v>19502.253061994084</v>
          </cell>
        </row>
        <row r="51">
          <cell r="A51" t="str">
            <v>Operating expenses</v>
          </cell>
          <cell r="O51">
            <v>1847</v>
          </cell>
          <cell r="Q51">
            <v>2085.4</v>
          </cell>
          <cell r="S51">
            <v>2484.5</v>
          </cell>
          <cell r="U51">
            <v>3160.5</v>
          </cell>
          <cell r="W51">
            <v>4929.0000000000009</v>
          </cell>
          <cell r="Y51">
            <v>6315</v>
          </cell>
          <cell r="AA51">
            <v>7129</v>
          </cell>
          <cell r="AC51">
            <v>8311.3654999999999</v>
          </cell>
          <cell r="AE51">
            <v>9065.5356974360293</v>
          </cell>
          <cell r="AG51">
            <v>9809.7503480268042</v>
          </cell>
          <cell r="AI51">
            <v>11075.243606667409</v>
          </cell>
          <cell r="AK51">
            <v>12298.471612324098</v>
          </cell>
        </row>
        <row r="52">
          <cell r="A52" t="str">
            <v>COGS</v>
          </cell>
          <cell r="O52">
            <v>402.1</v>
          </cell>
          <cell r="Q52">
            <v>408.4</v>
          </cell>
          <cell r="S52">
            <v>443</v>
          </cell>
          <cell r="U52">
            <v>735.7</v>
          </cell>
          <cell r="W52">
            <v>1340.7</v>
          </cell>
          <cell r="Y52">
            <v>1731</v>
          </cell>
          <cell r="AA52">
            <v>2035</v>
          </cell>
          <cell r="AC52">
            <v>2275.2525000000001</v>
          </cell>
          <cell r="AE52">
            <v>2471.3026127583394</v>
          </cell>
          <cell r="AG52">
            <v>2663.674218929084</v>
          </cell>
          <cell r="AI52">
            <v>2921.8139905241542</v>
          </cell>
          <cell r="AK52">
            <v>3229.9239384968482</v>
          </cell>
        </row>
        <row r="54">
          <cell r="B54" t="str">
            <v>Depreciation and Amortization from</v>
          </cell>
          <cell r="AL54">
            <v>7.5</v>
          </cell>
        </row>
        <row r="55">
          <cell r="A55" t="str">
            <v xml:space="preserve">Existing PP&amp;E </v>
          </cell>
          <cell r="O55">
            <v>176.8</v>
          </cell>
          <cell r="Q55">
            <v>211.8</v>
          </cell>
          <cell r="S55">
            <v>265.89999999999998</v>
          </cell>
          <cell r="U55">
            <v>204.3</v>
          </cell>
          <cell r="W55">
            <v>77.599999999999994</v>
          </cell>
          <cell r="Y55">
            <v>0</v>
          </cell>
          <cell r="AA55">
            <v>0</v>
          </cell>
          <cell r="AC55">
            <v>0</v>
          </cell>
          <cell r="AE55">
            <v>0</v>
          </cell>
          <cell r="AG55">
            <v>0</v>
          </cell>
          <cell r="AI55">
            <v>0</v>
          </cell>
          <cell r="AK55">
            <v>0</v>
          </cell>
        </row>
        <row r="56">
          <cell r="A56" t="str">
            <v>2002 capital expenditures</v>
          </cell>
          <cell r="U56">
            <v>87.8</v>
          </cell>
          <cell r="W56">
            <v>87.8</v>
          </cell>
          <cell r="Y56">
            <v>87.8</v>
          </cell>
          <cell r="AA56">
            <v>87.8</v>
          </cell>
          <cell r="AC56">
            <v>87.8</v>
          </cell>
          <cell r="AE56">
            <v>87.8</v>
          </cell>
          <cell r="AG56">
            <v>87.8</v>
          </cell>
          <cell r="AI56">
            <v>87.8</v>
          </cell>
          <cell r="AK56">
            <v>87.8</v>
          </cell>
        </row>
        <row r="57">
          <cell r="A57" t="str">
            <v>2003 capital expenditures</v>
          </cell>
          <cell r="W57">
            <v>180.93333333333334</v>
          </cell>
          <cell r="Y57">
            <v>180.93333333333334</v>
          </cell>
          <cell r="AA57">
            <v>180.93333333333334</v>
          </cell>
          <cell r="AC57">
            <v>180.93333333333334</v>
          </cell>
          <cell r="AE57">
            <v>180.93333333333334</v>
          </cell>
          <cell r="AG57">
            <v>180.93333333333334</v>
          </cell>
          <cell r="AI57">
            <v>180.93333333333334</v>
          </cell>
          <cell r="AK57">
            <v>180.93333333333334</v>
          </cell>
        </row>
        <row r="58">
          <cell r="A58" t="str">
            <v>2004 capital expenditures</v>
          </cell>
          <cell r="Y58">
            <v>106.13333333333333</v>
          </cell>
          <cell r="AA58">
            <v>106.13333333333333</v>
          </cell>
          <cell r="AC58">
            <v>106.13333333333333</v>
          </cell>
          <cell r="AE58">
            <v>106.13333333333333</v>
          </cell>
          <cell r="AG58">
            <v>106.13333333333333</v>
          </cell>
          <cell r="AI58">
            <v>106.13333333333333</v>
          </cell>
          <cell r="AK58">
            <v>106.13333333333333</v>
          </cell>
        </row>
        <row r="59">
          <cell r="A59" t="str">
            <v>2005 capital expenditures</v>
          </cell>
          <cell r="AA59">
            <v>115.6</v>
          </cell>
          <cell r="AC59">
            <v>115.6</v>
          </cell>
          <cell r="AE59">
            <v>115.6</v>
          </cell>
          <cell r="AG59">
            <v>115.6</v>
          </cell>
          <cell r="AI59">
            <v>115.6</v>
          </cell>
          <cell r="AK59">
            <v>115.6</v>
          </cell>
        </row>
        <row r="60">
          <cell r="A60" t="str">
            <v>2006 capital expenditures</v>
          </cell>
          <cell r="AC60">
            <v>220.464</v>
          </cell>
          <cell r="AE60">
            <v>220.464</v>
          </cell>
          <cell r="AG60">
            <v>220.464</v>
          </cell>
          <cell r="AI60">
            <v>220.464</v>
          </cell>
          <cell r="AK60">
            <v>220.464</v>
          </cell>
        </row>
        <row r="61">
          <cell r="A61" t="str">
            <v>2007 capital expenditures</v>
          </cell>
          <cell r="AE61">
            <v>201.19704301076092</v>
          </cell>
          <cell r="AG61">
            <v>201.19704301076092</v>
          </cell>
          <cell r="AI61">
            <v>201.19704301076092</v>
          </cell>
          <cell r="AK61">
            <v>201.19704301076092</v>
          </cell>
        </row>
        <row r="62">
          <cell r="A62" t="str">
            <v>2008 capital expenditures</v>
          </cell>
          <cell r="AG62">
            <v>218.28411238175553</v>
          </cell>
          <cell r="AI62">
            <v>218.28411238175553</v>
          </cell>
          <cell r="AK62">
            <v>218.28411238175553</v>
          </cell>
        </row>
        <row r="63">
          <cell r="A63" t="str">
            <v>2009 capital expenditures</v>
          </cell>
          <cell r="AI63">
            <v>215.03550635982211</v>
          </cell>
          <cell r="AK63">
            <v>215.03550635982211</v>
          </cell>
        </row>
        <row r="64">
          <cell r="A64" t="str">
            <v>2010 capital expenditures</v>
          </cell>
          <cell r="AK64">
            <v>260.03004082658782</v>
          </cell>
        </row>
        <row r="65">
          <cell r="A65" t="str">
            <v>Total depreciation</v>
          </cell>
          <cell r="U65">
            <v>292.10000000000002</v>
          </cell>
          <cell r="W65">
            <v>350.7</v>
          </cell>
          <cell r="Y65">
            <v>374.86666666666667</v>
          </cell>
          <cell r="AA65">
            <v>598</v>
          </cell>
          <cell r="AC65">
            <v>710.93066666666664</v>
          </cell>
          <cell r="AE65">
            <v>912.12770967742756</v>
          </cell>
          <cell r="AG65">
            <v>1130.4118220591831</v>
          </cell>
          <cell r="AI65">
            <v>1345.4473284190053</v>
          </cell>
          <cell r="AK65">
            <v>1605.4773692455931</v>
          </cell>
        </row>
        <row r="66">
          <cell r="A66" t="str">
            <v>Amortization of Existing Intangible Assets</v>
          </cell>
          <cell r="U66">
            <v>155.19999999999999</v>
          </cell>
          <cell r="W66">
            <v>335.8</v>
          </cell>
          <cell r="Y66">
            <v>744.2</v>
          </cell>
          <cell r="AA66">
            <v>243</v>
          </cell>
          <cell r="AC66">
            <v>61.11</v>
          </cell>
          <cell r="AE66">
            <v>218.61</v>
          </cell>
          <cell r="AG66">
            <v>218.61</v>
          </cell>
          <cell r="AI66">
            <v>218.61</v>
          </cell>
          <cell r="AK66">
            <v>218.61</v>
          </cell>
        </row>
        <row r="67">
          <cell r="A67" t="str">
            <v>Total depreciation and amortization</v>
          </cell>
          <cell r="O67" t="e">
            <v>#REF!</v>
          </cell>
          <cell r="Q67">
            <v>211.8</v>
          </cell>
          <cell r="S67">
            <v>265.89999999999998</v>
          </cell>
          <cell r="U67">
            <v>447.3</v>
          </cell>
          <cell r="W67">
            <v>686.5</v>
          </cell>
          <cell r="Y67">
            <v>1119.0666666666666</v>
          </cell>
          <cell r="AA67">
            <v>841</v>
          </cell>
          <cell r="AC67">
            <v>772.04066666666665</v>
          </cell>
          <cell r="AE67">
            <v>1130.7377096774276</v>
          </cell>
          <cell r="AG67">
            <v>1349.0218220591833</v>
          </cell>
          <cell r="AI67">
            <v>1564.0573284190054</v>
          </cell>
          <cell r="AK67">
            <v>1824.087369245593</v>
          </cell>
        </row>
        <row r="68">
          <cell r="A68" t="str">
            <v xml:space="preserve">     Depreciation as % operating expenses</v>
          </cell>
          <cell r="U68">
            <v>9.2422085113115018E-2</v>
          </cell>
          <cell r="W68">
            <v>7.1150334753499675E-2</v>
          </cell>
          <cell r="Y68">
            <v>5.9361309052520454E-2</v>
          </cell>
          <cell r="AA68">
            <v>8.3882732501052035E-2</v>
          </cell>
          <cell r="AC68">
            <v>8.5537167949919501E-2</v>
          </cell>
          <cell r="AE68">
            <v>0.10061487154425977</v>
          </cell>
          <cell r="AG68">
            <v>0.11523349544635061</v>
          </cell>
          <cell r="AI68">
            <v>0.12148241394970602</v>
          </cell>
          <cell r="AK68">
            <v>0.13054283652911558</v>
          </cell>
        </row>
        <row r="69">
          <cell r="A69" t="str">
            <v xml:space="preserve">    Amortization as % of operating expenses</v>
          </cell>
          <cell r="U69">
            <v>4.9106154089542789E-2</v>
          </cell>
          <cell r="W69">
            <v>6.8127409210793258E-2</v>
          </cell>
          <cell r="Y69">
            <v>0.11784639746634996</v>
          </cell>
          <cell r="AA69">
            <v>3.4086127086547902E-2</v>
          </cell>
          <cell r="AC69">
            <v>7.3525824366645889E-3</v>
          </cell>
          <cell r="AE69">
            <v>2.4114405071707857E-2</v>
          </cell>
          <cell r="AG69">
            <v>2.2284970793774853E-2</v>
          </cell>
          <cell r="AI69">
            <v>1.973861774637576E-2</v>
          </cell>
          <cell r="AK69">
            <v>1.7775379485442281E-2</v>
          </cell>
        </row>
        <row r="71">
          <cell r="A71" t="str">
            <v>Working Capital</v>
          </cell>
        </row>
        <row r="72">
          <cell r="A72" t="str">
            <v>Trade receivables</v>
          </cell>
          <cell r="O72">
            <v>412.2</v>
          </cell>
          <cell r="Q72">
            <v>389.2</v>
          </cell>
          <cell r="S72">
            <v>497.2</v>
          </cell>
          <cell r="U72">
            <v>752.4</v>
          </cell>
          <cell r="W72">
            <v>1007.9</v>
          </cell>
          <cell r="Y72">
            <v>1461</v>
          </cell>
          <cell r="AA72">
            <v>1769</v>
          </cell>
          <cell r="AC72">
            <v>1968.4285714285713</v>
          </cell>
          <cell r="AE72">
            <v>2155.6826036867242</v>
          </cell>
          <cell r="AG72">
            <v>2372.6533954538641</v>
          </cell>
          <cell r="AI72">
            <v>2597.047178258721</v>
          </cell>
          <cell r="AK72">
            <v>2826.4134872455193</v>
          </cell>
        </row>
        <row r="73">
          <cell r="A73" t="str">
            <v>% revenue</v>
          </cell>
          <cell r="O73">
            <v>0.12340947875812101</v>
          </cell>
          <cell r="Q73">
            <v>0.10723535570617734</v>
          </cell>
          <cell r="S73">
            <v>0.12381402993251488</v>
          </cell>
          <cell r="U73">
            <v>0.13623030961434004</v>
          </cell>
          <cell r="W73">
            <v>0.12061991383437051</v>
          </cell>
          <cell r="Y73">
            <v>0.13848472497369643</v>
          </cell>
          <cell r="AA73">
            <v>0.14231697506033789</v>
          </cell>
          <cell r="AC73">
            <v>0.14285714285714285</v>
          </cell>
          <cell r="AE73">
            <v>0.14285714285714285</v>
          </cell>
          <cell r="AG73">
            <v>0.14492753623188406</v>
          </cell>
          <cell r="AI73">
            <v>0.14492753623188404</v>
          </cell>
          <cell r="AK73">
            <v>0.14492753623188404</v>
          </cell>
        </row>
        <row r="74">
          <cell r="A74" t="str">
            <v>Days receivables outstanding (CHECK)</v>
          </cell>
          <cell r="O74">
            <v>45.044459746714175</v>
          </cell>
          <cell r="Q74">
            <v>39.140904832754728</v>
          </cell>
          <cell r="S74">
            <v>45.192120925367938</v>
          </cell>
          <cell r="U74">
            <v>49.724063009234122</v>
          </cell>
          <cell r="W74">
            <v>44.026268549545236</v>
          </cell>
          <cell r="Y74">
            <v>50.546924615399199</v>
          </cell>
          <cell r="AA74">
            <v>51.945695897023327</v>
          </cell>
          <cell r="AC74">
            <v>52.142857142857146</v>
          </cell>
          <cell r="AE74">
            <v>52.142857142857146</v>
          </cell>
          <cell r="AG74">
            <v>52.89855072463768</v>
          </cell>
          <cell r="AI74">
            <v>52.89855072463768</v>
          </cell>
          <cell r="AK74">
            <v>52.89855072463768</v>
          </cell>
        </row>
        <row r="75">
          <cell r="A75" t="str">
            <v>Accounts receivable turnover</v>
          </cell>
          <cell r="O75">
            <v>8.1031052886948078</v>
          </cell>
          <cell r="Q75">
            <v>9.3252826310380268</v>
          </cell>
          <cell r="S75">
            <v>8.0766291230892993</v>
          </cell>
          <cell r="U75">
            <v>7.3405103668261553</v>
          </cell>
          <cell r="W75">
            <v>8.2905050104177</v>
          </cell>
          <cell r="Y75">
            <v>7.2210130047912386</v>
          </cell>
          <cell r="AA75">
            <v>7.0265686828716793</v>
          </cell>
          <cell r="AC75">
            <v>7</v>
          </cell>
          <cell r="AE75">
            <v>7</v>
          </cell>
          <cell r="AG75">
            <v>6.9</v>
          </cell>
          <cell r="AI75">
            <v>6.9</v>
          </cell>
          <cell r="AK75">
            <v>6.9</v>
          </cell>
        </row>
        <row r="76">
          <cell r="A76" t="str">
            <v>Inventories</v>
          </cell>
          <cell r="O76">
            <v>184.3</v>
          </cell>
          <cell r="Q76">
            <v>305.2</v>
          </cell>
          <cell r="S76">
            <v>355.6</v>
          </cell>
          <cell r="U76">
            <v>544.9</v>
          </cell>
          <cell r="W76">
            <v>712.6</v>
          </cell>
          <cell r="Y76">
            <v>888</v>
          </cell>
          <cell r="AA76">
            <v>1258</v>
          </cell>
          <cell r="AC76">
            <v>1422.0328124999999</v>
          </cell>
          <cell r="AE76">
            <v>1544.5641329739619</v>
          </cell>
          <cell r="AG76">
            <v>1664.7963868306774</v>
          </cell>
          <cell r="AI76">
            <v>1826.1337440775962</v>
          </cell>
          <cell r="AK76">
            <v>2018.7024615605301</v>
          </cell>
        </row>
        <row r="77">
          <cell r="A77" t="str">
            <v>% revenue</v>
          </cell>
          <cell r="O77">
            <v>5.5177988682973571E-2</v>
          </cell>
          <cell r="Q77">
            <v>8.4091034330743372E-2</v>
          </cell>
          <cell r="S77">
            <v>8.8552431705555698E-2</v>
          </cell>
          <cell r="U77">
            <v>9.8660148470034417E-2</v>
          </cell>
          <cell r="W77">
            <v>8.5280038295835331E-2</v>
          </cell>
          <cell r="Y77">
            <v>8.4171413947051632E-2</v>
          </cell>
          <cell r="AA77">
            <v>0.10120675784392598</v>
          </cell>
          <cell r="AC77">
            <v>0.10320290387546265</v>
          </cell>
          <cell r="AE77">
            <v>0.10235830572595123</v>
          </cell>
          <cell r="AG77">
            <v>0.10168987983386392</v>
          </cell>
          <cell r="AI77">
            <v>0.10190691435052029</v>
          </cell>
          <cell r="AK77">
            <v>0.10351124329806639</v>
          </cell>
        </row>
        <row r="78">
          <cell r="A78" t="str">
            <v>Days inventory outstanding (CHECK)</v>
          </cell>
          <cell r="O78">
            <v>167.29544889331012</v>
          </cell>
          <cell r="Q78">
            <v>272.76689520078355</v>
          </cell>
          <cell r="S78">
            <v>292.98871331828445</v>
          </cell>
          <cell r="U78">
            <v>270.33913279869506</v>
          </cell>
          <cell r="W78">
            <v>194.00238681285896</v>
          </cell>
          <cell r="Y78">
            <v>187.24436741767764</v>
          </cell>
          <cell r="AA78">
            <v>225.63636363636363</v>
          </cell>
          <cell r="AC78">
            <v>228.125</v>
          </cell>
          <cell r="AE78">
            <v>228.125</v>
          </cell>
          <cell r="AG78">
            <v>228.125</v>
          </cell>
          <cell r="AI78">
            <v>228.125</v>
          </cell>
          <cell r="AK78">
            <v>228.125</v>
          </cell>
        </row>
        <row r="79">
          <cell r="A79" t="str">
            <v>Inventory Turnover</v>
          </cell>
          <cell r="O79">
            <v>2.1817688551275096</v>
          </cell>
          <cell r="Q79">
            <v>1.3381389252948885</v>
          </cell>
          <cell r="S79">
            <v>1.2457817772778401</v>
          </cell>
          <cell r="U79">
            <v>1.350155991925124</v>
          </cell>
          <cell r="W79">
            <v>1.8814201515576761</v>
          </cell>
          <cell r="Y79">
            <v>1.9493243243243243</v>
          </cell>
          <cell r="AA79">
            <v>1.6176470588235294</v>
          </cell>
          <cell r="AC79">
            <v>1.6</v>
          </cell>
          <cell r="AE79">
            <v>1.6</v>
          </cell>
          <cell r="AG79">
            <v>1.6</v>
          </cell>
          <cell r="AI79">
            <v>1.6</v>
          </cell>
          <cell r="AK79">
            <v>1.6</v>
          </cell>
        </row>
        <row r="80">
          <cell r="A80" t="str">
            <v>Other current assets</v>
          </cell>
          <cell r="O80">
            <v>135.80000000000001</v>
          </cell>
          <cell r="Q80">
            <v>214.6</v>
          </cell>
          <cell r="S80">
            <v>343.6</v>
          </cell>
          <cell r="U80">
            <v>442.3</v>
          </cell>
          <cell r="W80">
            <v>558.79999999999995</v>
          </cell>
          <cell r="Y80">
            <v>1013</v>
          </cell>
          <cell r="AA80">
            <v>953</v>
          </cell>
          <cell r="AC80">
            <v>964.53000000000009</v>
          </cell>
          <cell r="AE80">
            <v>1207.1822580645655</v>
          </cell>
          <cell r="AG80">
            <v>1473.4177585768496</v>
          </cell>
          <cell r="AI80">
            <v>1612.7662976986658</v>
          </cell>
          <cell r="AK80">
            <v>1755.2027755794675</v>
          </cell>
        </row>
        <row r="81">
          <cell r="A81" t="str">
            <v>% revenue</v>
          </cell>
          <cell r="O81">
            <v>4.0657465345348948E-2</v>
          </cell>
          <cell r="Q81">
            <v>5.9128230561525323E-2</v>
          </cell>
          <cell r="S81">
            <v>8.5564160669372724E-2</v>
          </cell>
          <cell r="U81">
            <v>8.0083288068078962E-2</v>
          </cell>
          <cell r="W81">
            <v>6.6874102441359495E-2</v>
          </cell>
          <cell r="Y81">
            <v>9.6019867486895616E-2</v>
          </cell>
          <cell r="AA81">
            <v>7.6669348350764277E-2</v>
          </cell>
          <cell r="AC81">
            <v>7.0000000000000007E-2</v>
          </cell>
          <cell r="AE81">
            <v>0.08</v>
          </cell>
          <cell r="AG81">
            <v>0.09</v>
          </cell>
          <cell r="AI81">
            <v>0.09</v>
          </cell>
          <cell r="AK81">
            <v>0.09</v>
          </cell>
        </row>
        <row r="82">
          <cell r="A82" t="str">
            <v>% total current assets</v>
          </cell>
          <cell r="O82">
            <v>6.5753159347310311E-2</v>
          </cell>
          <cell r="Q82">
            <v>7.3065268462088467E-2</v>
          </cell>
          <cell r="S82">
            <v>8.9047841185922377E-2</v>
          </cell>
          <cell r="U82">
            <v>6.9071601467947233E-2</v>
          </cell>
          <cell r="W82">
            <v>7.5491070222366313E-2</v>
          </cell>
          <cell r="Y82">
            <v>0.11046892039258452</v>
          </cell>
          <cell r="AA82">
            <v>0.10319436924742827</v>
          </cell>
          <cell r="AC82">
            <v>0.10651579755637791</v>
          </cell>
          <cell r="AE82">
            <v>0.11236917572768854</v>
          </cell>
          <cell r="AG82">
            <v>0.11385141241770379</v>
          </cell>
          <cell r="AI82">
            <v>0.10907195849438796</v>
          </cell>
          <cell r="AK82">
            <v>9.7293373961654786E-2</v>
          </cell>
        </row>
        <row r="83">
          <cell r="A83" t="str">
            <v xml:space="preserve">Accounts payable </v>
          </cell>
          <cell r="O83">
            <v>83.4</v>
          </cell>
          <cell r="Q83">
            <v>143.19999999999999</v>
          </cell>
          <cell r="S83">
            <v>136.69999999999999</v>
          </cell>
          <cell r="U83">
            <v>254.6</v>
          </cell>
          <cell r="W83">
            <v>327.2</v>
          </cell>
          <cell r="Y83">
            <v>507</v>
          </cell>
          <cell r="AA83">
            <v>596</v>
          </cell>
          <cell r="AC83">
            <v>664.90923999999995</v>
          </cell>
          <cell r="AE83">
            <v>725.2428557948823</v>
          </cell>
          <cell r="AG83">
            <v>817.47919566890039</v>
          </cell>
          <cell r="AI83">
            <v>922.93696722228412</v>
          </cell>
          <cell r="AK83">
            <v>1024.8726343603414</v>
          </cell>
        </row>
        <row r="84">
          <cell r="A84" t="str">
            <v>% operating expenses</v>
          </cell>
          <cell r="O84">
            <v>4.5154304277206285E-2</v>
          </cell>
          <cell r="Q84">
            <v>6.86678814615901E-2</v>
          </cell>
          <cell r="S84">
            <v>5.5021131012276105E-2</v>
          </cell>
          <cell r="U84">
            <v>8.0556873912355637E-2</v>
          </cell>
          <cell r="W84">
            <v>6.6382633394197588E-2</v>
          </cell>
          <cell r="Y84">
            <v>8.0285035629453688E-2</v>
          </cell>
          <cell r="AA84">
            <v>8.3602188245195677E-2</v>
          </cell>
          <cell r="AC84">
            <v>0.08</v>
          </cell>
          <cell r="AE84">
            <v>0.08</v>
          </cell>
          <cell r="AG84">
            <v>8.3333333333333343E-2</v>
          </cell>
          <cell r="AI84">
            <v>8.3333333333333343E-2</v>
          </cell>
          <cell r="AK84">
            <v>8.3333333333333329E-2</v>
          </cell>
        </row>
        <row r="85">
          <cell r="A85" t="str">
            <v>Days payable outstanding (CHECK)</v>
          </cell>
          <cell r="O85">
            <v>75.705048495399154</v>
          </cell>
          <cell r="Q85">
            <v>127.98237022526935</v>
          </cell>
          <cell r="S85">
            <v>20.082712819480779</v>
          </cell>
          <cell r="U85">
            <v>29.403258978009809</v>
          </cell>
          <cell r="W85">
            <v>24.229661188882123</v>
          </cell>
          <cell r="Y85">
            <v>29.304038004750595</v>
          </cell>
          <cell r="AA85">
            <v>30.514798709496421</v>
          </cell>
          <cell r="AC85">
            <v>29.2</v>
          </cell>
          <cell r="AE85">
            <v>29.2</v>
          </cell>
          <cell r="AG85">
            <v>30.416666666666668</v>
          </cell>
          <cell r="AI85">
            <v>30.416666666666668</v>
          </cell>
          <cell r="AK85">
            <v>30.416666666666668</v>
          </cell>
        </row>
        <row r="86">
          <cell r="A86" t="str">
            <v>Accounts payable turnover</v>
          </cell>
          <cell r="O86">
            <v>5.3114027134456823</v>
          </cell>
          <cell r="Q86">
            <v>3.1910645136603657</v>
          </cell>
          <cell r="S86">
            <v>18.17483540599854</v>
          </cell>
          <cell r="U86">
            <v>12.413589945011783</v>
          </cell>
          <cell r="W86">
            <v>15.064180929095357</v>
          </cell>
          <cell r="Y86">
            <v>12.455621301775148</v>
          </cell>
          <cell r="AA86">
            <v>11.961409395973154</v>
          </cell>
          <cell r="AC86">
            <v>12.5</v>
          </cell>
          <cell r="AE86">
            <v>12.5</v>
          </cell>
          <cell r="AG86">
            <v>12</v>
          </cell>
          <cell r="AI86">
            <v>12</v>
          </cell>
          <cell r="AK86">
            <v>12</v>
          </cell>
        </row>
        <row r="87">
          <cell r="A87" t="str">
            <v>Accrued liabilities</v>
          </cell>
          <cell r="O87">
            <v>648.20000000000005</v>
          </cell>
          <cell r="Q87">
            <v>619.20000000000005</v>
          </cell>
          <cell r="S87">
            <v>766.3</v>
          </cell>
          <cell r="U87">
            <v>1151.7</v>
          </cell>
          <cell r="W87">
            <v>1919.1</v>
          </cell>
          <cell r="Y87">
            <v>2477</v>
          </cell>
          <cell r="AA87">
            <v>2999</v>
          </cell>
          <cell r="AC87">
            <v>2908.9779249999997</v>
          </cell>
          <cell r="AE87">
            <v>3172.9374941026099</v>
          </cell>
          <cell r="AG87">
            <v>3335.3151183291138</v>
          </cell>
          <cell r="AI87">
            <v>3765.5828262669193</v>
          </cell>
          <cell r="AK87">
            <v>4181.4803481901936</v>
          </cell>
        </row>
        <row r="88">
          <cell r="A88" t="str">
            <v>% operating expenses</v>
          </cell>
          <cell r="O88">
            <v>0.35094748240389823</v>
          </cell>
          <cell r="Q88">
            <v>0.29692145391771363</v>
          </cell>
          <cell r="S88">
            <v>0.30843228013684842</v>
          </cell>
          <cell r="U88">
            <v>0.36440436639772189</v>
          </cell>
          <cell r="W88">
            <v>0.38934875228241012</v>
          </cell>
          <cell r="Y88">
            <v>0.39224069675376089</v>
          </cell>
          <cell r="AA88">
            <v>0.42067611165661384</v>
          </cell>
          <cell r="AC88">
            <v>0.35</v>
          </cell>
          <cell r="AE88">
            <v>0.35</v>
          </cell>
          <cell r="AG88">
            <v>0.34</v>
          </cell>
          <cell r="AI88">
            <v>0.34</v>
          </cell>
          <cell r="AK88">
            <v>0.34</v>
          </cell>
        </row>
        <row r="89">
          <cell r="A89" t="str">
            <v>% total current liabilities</v>
          </cell>
          <cell r="O89">
            <v>0.7799302129707617</v>
          </cell>
          <cell r="Q89">
            <v>0.71824614313884705</v>
          </cell>
          <cell r="S89">
            <v>0.76408415594775148</v>
          </cell>
          <cell r="U89">
            <v>0.75313889615485219</v>
          </cell>
          <cell r="W89">
            <v>0.85433824511418788</v>
          </cell>
          <cell r="Y89">
            <v>0.59586240076978592</v>
          </cell>
          <cell r="AA89">
            <v>0.83421418636995825</v>
          </cell>
          <cell r="AC89">
            <v>0.81395348837209303</v>
          </cell>
          <cell r="AE89">
            <v>0.81395348837209303</v>
          </cell>
          <cell r="AG89">
            <v>0.80314960629921262</v>
          </cell>
          <cell r="AI89">
            <v>0.80314960629921262</v>
          </cell>
          <cell r="AK89">
            <v>0.80314960629921262</v>
          </cell>
        </row>
        <row r="91">
          <cell r="A91" t="str">
            <v>Property and Equipment, Net</v>
          </cell>
        </row>
        <row r="92">
          <cell r="A92" t="str">
            <v>Beginning balance</v>
          </cell>
          <cell r="O92">
            <v>1450.2</v>
          </cell>
          <cell r="Q92">
            <v>1553.6</v>
          </cell>
          <cell r="S92">
            <v>1781.5</v>
          </cell>
          <cell r="U92">
            <v>1946.1</v>
          </cell>
          <cell r="W92">
            <v>2813.5</v>
          </cell>
          <cell r="Y92">
            <v>3799.4</v>
          </cell>
          <cell r="AA92">
            <v>4712</v>
          </cell>
          <cell r="AC92">
            <v>5038</v>
          </cell>
          <cell r="AE92">
            <v>5980.5493333333325</v>
          </cell>
          <cell r="AG92">
            <v>6577.3994462366118</v>
          </cell>
          <cell r="AI92">
            <v>7084.1184670405946</v>
          </cell>
          <cell r="AK92">
            <v>7351.437436320256</v>
          </cell>
        </row>
        <row r="93">
          <cell r="A93" t="str">
            <v>Capital expenditures</v>
          </cell>
          <cell r="O93">
            <v>304.2</v>
          </cell>
          <cell r="Q93">
            <v>437.7</v>
          </cell>
          <cell r="S93">
            <v>441.8</v>
          </cell>
          <cell r="U93">
            <v>658.5</v>
          </cell>
          <cell r="W93">
            <v>1357</v>
          </cell>
          <cell r="Y93">
            <v>1336</v>
          </cell>
          <cell r="AA93">
            <v>867</v>
          </cell>
          <cell r="AC93">
            <v>1653.48</v>
          </cell>
          <cell r="AE93">
            <v>1508.977822580707</v>
          </cell>
          <cell r="AG93">
            <v>1637.1308428631664</v>
          </cell>
          <cell r="AI93">
            <v>1612.7662976986658</v>
          </cell>
          <cell r="AK93">
            <v>1950.2253061994086</v>
          </cell>
        </row>
        <row r="94">
          <cell r="A94" t="str">
            <v>% revenue</v>
          </cell>
          <cell r="O94">
            <v>9.1075117511451753E-2</v>
          </cell>
          <cell r="Q94">
            <v>0.12059844602413623</v>
          </cell>
          <cell r="S94">
            <v>0.11001817864880345</v>
          </cell>
          <cell r="U94">
            <v>0.11922868006518199</v>
          </cell>
          <cell r="W94">
            <v>0.16239827668741025</v>
          </cell>
          <cell r="Y94">
            <v>0.12663627143385245</v>
          </cell>
          <cell r="AA94">
            <v>6.9750603378921958E-2</v>
          </cell>
          <cell r="AC94">
            <v>0.12</v>
          </cell>
          <cell r="AE94">
            <v>0.1</v>
          </cell>
          <cell r="AG94">
            <v>0.1</v>
          </cell>
          <cell r="AI94">
            <v>0.09</v>
          </cell>
          <cell r="AK94">
            <v>0.1</v>
          </cell>
        </row>
        <row r="95">
          <cell r="A95" t="str">
            <v>Depreciation</v>
          </cell>
          <cell r="O95">
            <v>-176.8</v>
          </cell>
          <cell r="Q95">
            <v>-211.8</v>
          </cell>
          <cell r="S95">
            <v>-265.89999999999998</v>
          </cell>
          <cell r="U95">
            <v>-447.3</v>
          </cell>
          <cell r="W95">
            <v>-350.7</v>
          </cell>
          <cell r="Y95">
            <v>-374.86666666666667</v>
          </cell>
          <cell r="AA95">
            <v>-598</v>
          </cell>
          <cell r="AC95">
            <v>-710.93066666666664</v>
          </cell>
          <cell r="AE95">
            <v>-912.12770967742756</v>
          </cell>
          <cell r="AG95">
            <v>-1130.4118220591831</v>
          </cell>
          <cell r="AI95">
            <v>-1345.4473284190053</v>
          </cell>
          <cell r="AK95">
            <v>-1605.4773692455931</v>
          </cell>
        </row>
        <row r="96">
          <cell r="A96" t="str">
            <v>Ending balance</v>
          </cell>
          <cell r="O96">
            <v>1577.6000000000001</v>
          </cell>
          <cell r="Q96">
            <v>1779.5</v>
          </cell>
          <cell r="S96">
            <v>1946.1</v>
          </cell>
          <cell r="U96">
            <v>2813.5</v>
          </cell>
          <cell r="W96">
            <v>3799.4</v>
          </cell>
          <cell r="Y96">
            <v>4712</v>
          </cell>
          <cell r="AA96">
            <v>5038</v>
          </cell>
          <cell r="AC96">
            <v>5980.5493333333325</v>
          </cell>
          <cell r="AE96">
            <v>6577.3994462366118</v>
          </cell>
          <cell r="AG96">
            <v>7084.1184670405946</v>
          </cell>
          <cell r="AI96">
            <v>7351.437436320256</v>
          </cell>
          <cell r="AK96">
            <v>7696.185373274071</v>
          </cell>
        </row>
        <row r="97">
          <cell r="A97" t="str">
            <v>Fixed Asset Turnover (CHECK)</v>
          </cell>
          <cell r="Q97">
            <v>2.1764864621750473</v>
          </cell>
          <cell r="S97">
            <v>2.154576671316665</v>
          </cell>
          <cell r="U97">
            <v>2.3207832590974027</v>
          </cell>
          <cell r="W97">
            <v>2.5271817205764493</v>
          </cell>
          <cell r="Y97">
            <v>2.4790046290856966</v>
          </cell>
          <cell r="AA97">
            <v>2.5497435897435898</v>
          </cell>
          <cell r="AC97">
            <v>2.501055190326325</v>
          </cell>
          <cell r="AE97">
            <v>2.4032234070513274</v>
          </cell>
          <cell r="AG97">
            <v>2.3967041631180521</v>
          </cell>
          <cell r="AI97">
            <v>2.4827066792506649</v>
          </cell>
          <cell r="AK97">
            <v>2.6528489470157131</v>
          </cell>
        </row>
        <row r="99">
          <cell r="A99" t="str">
            <v>Employee Stock Option Analysis</v>
          </cell>
          <cell r="AC99">
            <v>1</v>
          </cell>
          <cell r="AE99">
            <v>2</v>
          </cell>
          <cell r="AG99">
            <v>3</v>
          </cell>
          <cell r="AI99">
            <v>4</v>
          </cell>
          <cell r="AK99">
            <v>5</v>
          </cell>
        </row>
        <row r="100">
          <cell r="O100">
            <v>1999</v>
          </cell>
          <cell r="Q100">
            <v>2000</v>
          </cell>
          <cell r="S100" t="str">
            <v>2001</v>
          </cell>
          <cell r="U100" t="str">
            <v>2002</v>
          </cell>
          <cell r="W100" t="str">
            <v>2003</v>
          </cell>
          <cell r="Y100" t="str">
            <v>2004</v>
          </cell>
          <cell r="AA100" t="str">
            <v>2005</v>
          </cell>
          <cell r="AC100" t="str">
            <v>2006E</v>
          </cell>
          <cell r="AE100" t="str">
            <v>2007E</v>
          </cell>
          <cell r="AG100" t="str">
            <v>2008E</v>
          </cell>
          <cell r="AI100" t="str">
            <v>2009E</v>
          </cell>
          <cell r="AK100" t="str">
            <v>2010E</v>
          </cell>
        </row>
        <row r="101">
          <cell r="A101" t="str">
            <v xml:space="preserve">Stock Price (average) </v>
          </cell>
          <cell r="S101">
            <v>62.31</v>
          </cell>
          <cell r="U101">
            <v>49.42</v>
          </cell>
          <cell r="W101">
            <v>61.4</v>
          </cell>
          <cell r="Y101">
            <v>63</v>
          </cell>
          <cell r="AA101">
            <v>70</v>
          </cell>
          <cell r="AC101">
            <v>75.775000000000006</v>
          </cell>
          <cell r="AE101">
            <v>82.026437500000014</v>
          </cell>
          <cell r="AG101">
            <v>88.793618593750011</v>
          </cell>
          <cell r="AI101">
            <v>96.11909212773439</v>
          </cell>
          <cell r="AK101">
            <v>104.04891722827247</v>
          </cell>
          <cell r="AM101">
            <v>8.2500000000000004E-2</v>
          </cell>
          <cell r="AN101" t="str">
            <v>Cost of Equity</v>
          </cell>
        </row>
        <row r="102">
          <cell r="A102" t="str">
            <v>Option Balance (Beginning Year)</v>
          </cell>
          <cell r="Q102">
            <v>115.8</v>
          </cell>
          <cell r="S102">
            <v>98.7</v>
          </cell>
          <cell r="U102">
            <v>94.399999999999991</v>
          </cell>
          <cell r="W102">
            <v>102.99999999999999</v>
          </cell>
          <cell r="Y102">
            <v>95</v>
          </cell>
          <cell r="AA102">
            <v>89</v>
          </cell>
          <cell r="AC102">
            <v>68</v>
          </cell>
          <cell r="AE102">
            <v>66.98</v>
          </cell>
          <cell r="AG102">
            <v>62.626300000000001</v>
          </cell>
          <cell r="AI102">
            <v>56.989932999999994</v>
          </cell>
          <cell r="AK102">
            <v>50.151141039999999</v>
          </cell>
          <cell r="AL102">
            <v>44.133004115199995</v>
          </cell>
        </row>
        <row r="103">
          <cell r="A103" t="str">
            <v xml:space="preserve"> Average Options In-the-Money</v>
          </cell>
          <cell r="S103">
            <v>53.4</v>
          </cell>
          <cell r="U103">
            <v>62.4</v>
          </cell>
          <cell r="W103">
            <v>53.4</v>
          </cell>
          <cell r="Y103">
            <v>47</v>
          </cell>
          <cell r="AA103">
            <v>34</v>
          </cell>
          <cell r="AC103">
            <v>30.370500000000003</v>
          </cell>
          <cell r="AE103">
            <v>29.161417500000002</v>
          </cell>
          <cell r="AG103">
            <v>26.913652424999999</v>
          </cell>
          <cell r="AI103">
            <v>21.428214808</v>
          </cell>
          <cell r="AK103">
            <v>18.85682903104</v>
          </cell>
          <cell r="AM103">
            <v>58</v>
          </cell>
          <cell r="AN103" t="str">
            <v>Target Price</v>
          </cell>
        </row>
        <row r="104">
          <cell r="A104" t="str">
            <v xml:space="preserve">   % Exercisable</v>
          </cell>
          <cell r="S104">
            <v>0.55308130502330399</v>
          </cell>
          <cell r="U104">
            <v>0.63221884498480252</v>
          </cell>
          <cell r="W104">
            <v>0.53939393939393943</v>
          </cell>
          <cell r="Y104">
            <v>0.51086956521739135</v>
          </cell>
          <cell r="AA104">
            <v>0.43312101910828027</v>
          </cell>
          <cell r="AC104">
            <v>0.45</v>
          </cell>
          <cell r="AE104">
            <v>0.45</v>
          </cell>
          <cell r="AG104">
            <v>0.45</v>
          </cell>
          <cell r="AI104">
            <v>0.4</v>
          </cell>
          <cell r="AK104">
            <v>0.4</v>
          </cell>
        </row>
        <row r="105">
          <cell r="A105" t="str">
            <v>Weighted Average Exercise Price of exercisable</v>
          </cell>
          <cell r="S105">
            <v>20.81</v>
          </cell>
          <cell r="U105">
            <v>27.03</v>
          </cell>
          <cell r="W105">
            <v>34.28</v>
          </cell>
          <cell r="Y105">
            <v>34.28</v>
          </cell>
          <cell r="AA105">
            <v>51.77</v>
          </cell>
          <cell r="AC105">
            <v>47</v>
          </cell>
          <cell r="AE105">
            <v>51</v>
          </cell>
          <cell r="AG105">
            <v>55</v>
          </cell>
          <cell r="AI105">
            <v>63</v>
          </cell>
          <cell r="AK105">
            <v>68</v>
          </cell>
        </row>
        <row r="106">
          <cell r="A106" t="str">
            <v>Options Cancelled</v>
          </cell>
          <cell r="S106">
            <v>2.2999999999999998</v>
          </cell>
          <cell r="U106">
            <v>4.9000000000000004</v>
          </cell>
          <cell r="W106">
            <v>3.8</v>
          </cell>
          <cell r="Y106">
            <v>6</v>
          </cell>
          <cell r="AA106">
            <v>6</v>
          </cell>
          <cell r="AC106">
            <v>4.42</v>
          </cell>
          <cell r="AE106">
            <v>4.3537000000000008</v>
          </cell>
          <cell r="AG106">
            <v>3.7575780000000001</v>
          </cell>
          <cell r="AI106">
            <v>3.4193959799999996</v>
          </cell>
          <cell r="AK106">
            <v>3.0090684623999997</v>
          </cell>
        </row>
        <row r="107">
          <cell r="A107" t="str">
            <v xml:space="preserve">   % Cancelled </v>
          </cell>
          <cell r="S107">
            <v>2.3302938196555215E-2</v>
          </cell>
          <cell r="U107">
            <v>5.1906779661016957E-2</v>
          </cell>
          <cell r="W107">
            <v>3.6893203883495151E-2</v>
          </cell>
          <cell r="Y107">
            <v>6.3157894736842107E-2</v>
          </cell>
          <cell r="AA107">
            <v>6.741573033707865E-2</v>
          </cell>
          <cell r="AC107">
            <v>6.5000000000000002E-2</v>
          </cell>
          <cell r="AE107">
            <v>6.5000000000000002E-2</v>
          </cell>
          <cell r="AG107">
            <v>0.06</v>
          </cell>
          <cell r="AI107">
            <v>0.06</v>
          </cell>
          <cell r="AK107">
            <v>0.06</v>
          </cell>
        </row>
        <row r="108">
          <cell r="A108" t="str">
            <v>Options Exercised</v>
          </cell>
          <cell r="Q108">
            <v>28.2</v>
          </cell>
          <cell r="S108">
            <v>20.6</v>
          </cell>
          <cell r="U108">
            <v>26.2</v>
          </cell>
          <cell r="W108">
            <v>23</v>
          </cell>
          <cell r="Y108">
            <v>20</v>
          </cell>
          <cell r="AA108">
            <v>25</v>
          </cell>
          <cell r="AC108">
            <v>10.199999999999999</v>
          </cell>
          <cell r="AE108">
            <v>13.396000000000001</v>
          </cell>
          <cell r="AG108">
            <v>15.656575</v>
          </cell>
          <cell r="AI108">
            <v>15.957181239999999</v>
          </cell>
          <cell r="AK108">
            <v>14.042319491200001</v>
          </cell>
        </row>
        <row r="109">
          <cell r="A109" t="str">
            <v xml:space="preserve">   % Exercised</v>
          </cell>
          <cell r="Q109">
            <v>0.24352331606217617</v>
          </cell>
          <cell r="S109">
            <v>0.2087132725430598</v>
          </cell>
          <cell r="U109">
            <v>0.27754237288135597</v>
          </cell>
          <cell r="W109">
            <v>0.22330097087378645</v>
          </cell>
          <cell r="Y109">
            <v>0.21052631578947367</v>
          </cell>
          <cell r="AA109">
            <v>0.2808988764044944</v>
          </cell>
          <cell r="AC109">
            <v>0.15</v>
          </cell>
          <cell r="AE109">
            <v>0.2</v>
          </cell>
          <cell r="AG109">
            <v>0.25</v>
          </cell>
          <cell r="AI109">
            <v>0.28000000000000003</v>
          </cell>
          <cell r="AK109">
            <v>0.28000000000000003</v>
          </cell>
        </row>
        <row r="110">
          <cell r="A110" t="str">
            <v>Weighted Average Exercise Price</v>
          </cell>
          <cell r="S110">
            <v>13.12</v>
          </cell>
          <cell r="U110">
            <v>15.9</v>
          </cell>
          <cell r="W110">
            <v>20.98</v>
          </cell>
          <cell r="Y110">
            <v>20.420000000000002</v>
          </cell>
          <cell r="AA110">
            <v>39.729999999999997</v>
          </cell>
          <cell r="AC110">
            <v>28</v>
          </cell>
          <cell r="AE110">
            <v>30.520000000000003</v>
          </cell>
          <cell r="AG110">
            <v>33.266800000000003</v>
          </cell>
          <cell r="AI110">
            <v>36.260812000000008</v>
          </cell>
          <cell r="AK110">
            <v>39.524285080000013</v>
          </cell>
          <cell r="AM110">
            <v>0.09</v>
          </cell>
        </row>
        <row r="111">
          <cell r="A111" t="str">
            <v xml:space="preserve">   Statuatory  Tax rate</v>
          </cell>
          <cell r="S111">
            <v>0.35</v>
          </cell>
          <cell r="U111">
            <v>0.35</v>
          </cell>
          <cell r="W111">
            <v>0.35</v>
          </cell>
          <cell r="Y111">
            <v>0.35</v>
          </cell>
          <cell r="AA111">
            <v>0.35</v>
          </cell>
          <cell r="AC111">
            <v>0.35</v>
          </cell>
          <cell r="AE111">
            <v>0.35</v>
          </cell>
          <cell r="AG111">
            <v>0.35</v>
          </cell>
          <cell r="AI111">
            <v>0.35</v>
          </cell>
          <cell r="AK111">
            <v>0.35</v>
          </cell>
        </row>
        <row r="112">
          <cell r="A112" t="str">
            <v>Proceeds from option</v>
          </cell>
          <cell r="Q112">
            <v>333.7</v>
          </cell>
          <cell r="S112">
            <v>282.3</v>
          </cell>
          <cell r="U112">
            <v>435.4</v>
          </cell>
          <cell r="W112">
            <v>537.70000000000005</v>
          </cell>
          <cell r="Y112">
            <v>513</v>
          </cell>
          <cell r="AA112">
            <v>1207</v>
          </cell>
          <cell r="AC112">
            <v>285.59999999999997</v>
          </cell>
          <cell r="AE112">
            <v>408.84592000000009</v>
          </cell>
          <cell r="AG112">
            <v>520.84414921000007</v>
          </cell>
          <cell r="AI112">
            <v>578.62034899356695</v>
          </cell>
          <cell r="AK112">
            <v>555.01263875462951</v>
          </cell>
        </row>
        <row r="113">
          <cell r="A113" t="str">
            <v>Tax Benefit from Options</v>
          </cell>
          <cell r="Q113">
            <v>376.6</v>
          </cell>
          <cell r="S113">
            <v>244.5</v>
          </cell>
          <cell r="U113">
            <v>251.6</v>
          </cell>
          <cell r="W113">
            <v>113.3</v>
          </cell>
          <cell r="Y113">
            <v>167</v>
          </cell>
          <cell r="AA113">
            <v>276</v>
          </cell>
          <cell r="AC113">
            <v>170.55674999999999</v>
          </cell>
          <cell r="AE113">
            <v>241.49308286250007</v>
          </cell>
          <cell r="AG113">
            <v>304.2759299385545</v>
          </cell>
          <cell r="AI113">
            <v>334.30929864953174</v>
          </cell>
          <cell r="AK113">
            <v>317.12642488736873</v>
          </cell>
        </row>
        <row r="114">
          <cell r="A114" t="str">
            <v>Options Granted</v>
          </cell>
          <cell r="Q114">
            <v>13.1</v>
          </cell>
          <cell r="S114">
            <v>18.600000000000001</v>
          </cell>
          <cell r="U114">
            <v>39.700000000000003</v>
          </cell>
          <cell r="W114">
            <v>18.5</v>
          </cell>
          <cell r="Y114">
            <v>16</v>
          </cell>
          <cell r="AA114">
            <v>10</v>
          </cell>
          <cell r="AC114">
            <v>13.600000000000001</v>
          </cell>
          <cell r="AE114">
            <v>13.396000000000001</v>
          </cell>
          <cell r="AG114">
            <v>13.777786000000001</v>
          </cell>
          <cell r="AI114">
            <v>12.537785259999998</v>
          </cell>
          <cell r="AK114">
            <v>11.033251028800001</v>
          </cell>
        </row>
        <row r="115">
          <cell r="A115" t="str">
            <v xml:space="preserve">     % of Outstanding Options</v>
          </cell>
          <cell r="Q115">
            <v>0.11312607944732297</v>
          </cell>
          <cell r="S115">
            <v>0.18844984802431611</v>
          </cell>
          <cell r="U115">
            <v>0.42055084745762716</v>
          </cell>
          <cell r="W115">
            <v>0.17961165048543692</v>
          </cell>
          <cell r="Y115">
            <v>0.16842105263157894</v>
          </cell>
          <cell r="AA115">
            <v>0.11235955056179775</v>
          </cell>
          <cell r="AC115">
            <v>0.2</v>
          </cell>
          <cell r="AE115">
            <v>0.2</v>
          </cell>
          <cell r="AG115">
            <v>0.22</v>
          </cell>
          <cell r="AI115">
            <v>0.22</v>
          </cell>
          <cell r="AK115">
            <v>0.22</v>
          </cell>
        </row>
        <row r="116">
          <cell r="A116" t="str">
            <v>Shares Issued</v>
          </cell>
          <cell r="S116">
            <v>0</v>
          </cell>
          <cell r="U116">
            <v>0</v>
          </cell>
          <cell r="W116">
            <v>0</v>
          </cell>
          <cell r="Y116">
            <v>22.6</v>
          </cell>
          <cell r="AA116">
            <v>0</v>
          </cell>
          <cell r="AC116">
            <v>0</v>
          </cell>
          <cell r="AE116">
            <v>0</v>
          </cell>
          <cell r="AG116">
            <v>0</v>
          </cell>
          <cell r="AI116">
            <v>0</v>
          </cell>
          <cell r="AK116">
            <v>0</v>
          </cell>
        </row>
        <row r="117">
          <cell r="A117" t="str">
            <v>Proceeds from share issuance</v>
          </cell>
          <cell r="S117">
            <v>0</v>
          </cell>
          <cell r="U117">
            <v>0</v>
          </cell>
          <cell r="W117">
            <v>0</v>
          </cell>
          <cell r="Y117">
            <v>0</v>
          </cell>
          <cell r="AA117">
            <v>0</v>
          </cell>
          <cell r="AC117">
            <v>0</v>
          </cell>
          <cell r="AE117">
            <v>0</v>
          </cell>
          <cell r="AG117">
            <v>0</v>
          </cell>
          <cell r="AI117">
            <v>0</v>
          </cell>
          <cell r="AK117">
            <v>0</v>
          </cell>
        </row>
        <row r="118">
          <cell r="A118" t="str">
            <v>Shares Repurchased (mm)</v>
          </cell>
          <cell r="S118">
            <v>12.7</v>
          </cell>
          <cell r="U118">
            <v>28</v>
          </cell>
          <cell r="W118">
            <v>29.7</v>
          </cell>
          <cell r="Y118">
            <v>69</v>
          </cell>
          <cell r="AA118">
            <v>63</v>
          </cell>
          <cell r="AC118">
            <v>100</v>
          </cell>
          <cell r="AE118">
            <v>40</v>
          </cell>
          <cell r="AG118">
            <v>40</v>
          </cell>
          <cell r="AI118">
            <v>40</v>
          </cell>
          <cell r="AK118">
            <v>35</v>
          </cell>
        </row>
        <row r="119">
          <cell r="A119" t="str">
            <v>Share Repurchase Cost</v>
          </cell>
          <cell r="Q119">
            <v>799.9</v>
          </cell>
          <cell r="S119">
            <v>737.5</v>
          </cell>
          <cell r="U119">
            <v>1420.4</v>
          </cell>
          <cell r="W119">
            <v>1801</v>
          </cell>
          <cell r="Y119">
            <v>4072</v>
          </cell>
          <cell r="AA119">
            <v>4430</v>
          </cell>
          <cell r="AC119">
            <v>7577.5000000000009</v>
          </cell>
          <cell r="AE119">
            <v>3281.0575000000008</v>
          </cell>
          <cell r="AG119">
            <v>3551.7447437500005</v>
          </cell>
          <cell r="AI119">
            <v>3844.7636851093757</v>
          </cell>
          <cell r="AK119">
            <v>3641.7121029895366</v>
          </cell>
        </row>
        <row r="120">
          <cell r="A120" t="str">
            <v>Share Issuance from Acquisitions</v>
          </cell>
          <cell r="Q120">
            <v>164.7</v>
          </cell>
          <cell r="U120">
            <v>15183.2</v>
          </cell>
          <cell r="Y120">
            <v>1403</v>
          </cell>
        </row>
        <row r="121">
          <cell r="A121" t="str">
            <v>Stock options expense</v>
          </cell>
          <cell r="AC121">
            <v>294.91779250000002</v>
          </cell>
          <cell r="AE121">
            <v>271.96607092308085</v>
          </cell>
          <cell r="AG121">
            <v>294.29251044080411</v>
          </cell>
          <cell r="AI121">
            <v>332.25730820002224</v>
          </cell>
          <cell r="AK121">
            <v>368.95414836972293</v>
          </cell>
        </row>
        <row r="122">
          <cell r="A122" t="str">
            <v>Total Change in APIC</v>
          </cell>
          <cell r="K122">
            <v>169.19999999999982</v>
          </cell>
          <cell r="M122">
            <v>475.80000000000018</v>
          </cell>
          <cell r="O122">
            <v>0</v>
          </cell>
          <cell r="Q122">
            <v>75.100000000000023</v>
          </cell>
          <cell r="S122">
            <v>-210.7</v>
          </cell>
          <cell r="U122">
            <v>14449.800000000001</v>
          </cell>
          <cell r="W122">
            <v>-1150</v>
          </cell>
          <cell r="Y122">
            <v>-1989</v>
          </cell>
          <cell r="AA122">
            <v>-2947</v>
          </cell>
          <cell r="AC122">
            <v>-6826.4254575000004</v>
          </cell>
          <cell r="AE122">
            <v>-2358.7524262144198</v>
          </cell>
          <cell r="AG122">
            <v>-2432.3321541606419</v>
          </cell>
          <cell r="AI122">
            <v>-2599.5767292662549</v>
          </cell>
          <cell r="AK122">
            <v>-2400.6188909778157</v>
          </cell>
          <cell r="AO122" t="str">
            <v>mstag:netIssuanceRepurchaseOfCommonStock</v>
          </cell>
          <cell r="AP122">
            <v>6</v>
          </cell>
          <cell r="AQ122" t="str">
            <v>ISO4217:USD</v>
          </cell>
          <cell r="AR122" t="b">
            <v>0</v>
          </cell>
          <cell r="AS122" t="b">
            <v>0</v>
          </cell>
        </row>
        <row r="123">
          <cell r="A123" t="str">
            <v>Beginning Period Shares</v>
          </cell>
          <cell r="Q123">
            <v>1021.8</v>
          </cell>
          <cell r="S123">
            <v>1037.4000000000001</v>
          </cell>
          <cell r="U123">
            <v>1045.8</v>
          </cell>
          <cell r="W123">
            <v>1289.0999999999999</v>
          </cell>
          <cell r="Y123">
            <v>1283.7</v>
          </cell>
          <cell r="AA123">
            <v>1260</v>
          </cell>
          <cell r="AC123">
            <v>1224</v>
          </cell>
          <cell r="AE123">
            <v>1134.2</v>
          </cell>
          <cell r="AG123">
            <v>1107.596</v>
          </cell>
          <cell r="AI123">
            <v>1083.252575</v>
          </cell>
          <cell r="AK123">
            <v>1059.2097562399999</v>
          </cell>
        </row>
        <row r="124">
          <cell r="A124" t="str">
            <v>End of Period Shares</v>
          </cell>
          <cell r="O124">
            <v>1021.8</v>
          </cell>
          <cell r="Q124">
            <v>1037.4000000000001</v>
          </cell>
          <cell r="S124">
            <v>1045.8</v>
          </cell>
          <cell r="U124">
            <v>1289.0999999999999</v>
          </cell>
          <cell r="W124">
            <v>1283.7</v>
          </cell>
          <cell r="Y124">
            <v>1260</v>
          </cell>
          <cell r="AA124">
            <v>1224</v>
          </cell>
          <cell r="AC124">
            <v>1134.2</v>
          </cell>
          <cell r="AE124">
            <v>1107.596</v>
          </cell>
          <cell r="AG124">
            <v>1083.252575</v>
          </cell>
          <cell r="AI124">
            <v>1059.2097562399999</v>
          </cell>
          <cell r="AK124">
            <v>1038.2520757312</v>
          </cell>
          <cell r="AO124" t="str">
            <v>mstag:periodEndBasicSharesOutstanding</v>
          </cell>
          <cell r="AP124">
            <v>6</v>
          </cell>
          <cell r="AQ124" t="str">
            <v>ms_eqr_gcim_Decimal:ms_eqr_gcim_decimal</v>
          </cell>
          <cell r="AR124" t="b">
            <v>0</v>
          </cell>
          <cell r="AS124" t="b">
            <v>0</v>
          </cell>
        </row>
        <row r="125">
          <cell r="A125" t="str">
            <v xml:space="preserve">Average Shares Outstanding-basic </v>
          </cell>
          <cell r="O125">
            <v>1021.7</v>
          </cell>
          <cell r="Q125">
            <v>1029.5999999999999</v>
          </cell>
          <cell r="S125">
            <v>1045.5</v>
          </cell>
          <cell r="U125">
            <v>1153.5</v>
          </cell>
          <cell r="W125">
            <v>1288.4000000000001</v>
          </cell>
          <cell r="Y125">
            <v>1270.6500000000001</v>
          </cell>
          <cell r="AA125">
            <v>1236</v>
          </cell>
          <cell r="AC125">
            <v>1179.0999999999999</v>
          </cell>
          <cell r="AE125">
            <v>1120.8980000000001</v>
          </cell>
          <cell r="AG125">
            <v>1095.4242875</v>
          </cell>
          <cell r="AI125">
            <v>1071.23116562</v>
          </cell>
          <cell r="AK125">
            <v>1048.7309159855999</v>
          </cell>
        </row>
        <row r="126">
          <cell r="A126" t="str">
            <v>Average Shares Outstanding-diluted</v>
          </cell>
          <cell r="O126">
            <v>1078.3</v>
          </cell>
          <cell r="Q126">
            <v>1084.7</v>
          </cell>
          <cell r="S126">
            <v>1084.2</v>
          </cell>
          <cell r="U126">
            <v>1153.5</v>
          </cell>
          <cell r="W126">
            <v>1346</v>
          </cell>
          <cell r="Y126">
            <v>1285.05</v>
          </cell>
          <cell r="AA126">
            <v>1258</v>
          </cell>
          <cell r="AC126">
            <v>1190.6329744308807</v>
          </cell>
          <cell r="AE126">
            <v>1131.9282839554037</v>
          </cell>
          <cell r="AG126">
            <v>1105.6672499945955</v>
          </cell>
          <cell r="AI126">
            <v>1078.6145376915538</v>
          </cell>
          <cell r="AK126">
            <v>1055.2640764166335</v>
          </cell>
        </row>
        <row r="130">
          <cell r="B130" t="str">
            <v>Amgen</v>
          </cell>
          <cell r="S130" t="str">
            <v>2001A</v>
          </cell>
          <cell r="U130" t="str">
            <v>2002A</v>
          </cell>
          <cell r="W130" t="str">
            <v>2003A</v>
          </cell>
          <cell r="Y130" t="str">
            <v>2004A</v>
          </cell>
          <cell r="AA130" t="str">
            <v>2005A</v>
          </cell>
          <cell r="AC130" t="str">
            <v>2006E</v>
          </cell>
          <cell r="AE130" t="str">
            <v>2007E</v>
          </cell>
          <cell r="AG130" t="str">
            <v>2008E</v>
          </cell>
          <cell r="AI130" t="str">
            <v>2009E</v>
          </cell>
          <cell r="AK130" t="str">
            <v>2010E</v>
          </cell>
        </row>
        <row r="131">
          <cell r="B131" t="str">
            <v>Current diluted EPS</v>
          </cell>
          <cell r="S131">
            <v>1.0327430363401584</v>
          </cell>
          <cell r="U131">
            <v>1.5215431296055475</v>
          </cell>
          <cell r="W131">
            <v>1.9281575037147096</v>
          </cell>
          <cell r="Y131">
            <v>2.36950115525927</v>
          </cell>
          <cell r="AA131">
            <v>3.2027027027027026</v>
          </cell>
          <cell r="AC131">
            <v>3.6698689952539394</v>
          </cell>
          <cell r="AE131">
            <v>4.1013211403748855</v>
          </cell>
          <cell r="AG131">
            <v>4.6347096976234399</v>
          </cell>
          <cell r="AI131">
            <v>5.0526778224740756</v>
          </cell>
          <cell r="AK131">
            <v>5.4875839896915242</v>
          </cell>
        </row>
        <row r="132">
          <cell r="B132" t="str">
            <v>Option expense</v>
          </cell>
          <cell r="S132">
            <v>189.1</v>
          </cell>
          <cell r="U132">
            <v>189.8</v>
          </cell>
          <cell r="W132">
            <v>198</v>
          </cell>
          <cell r="Y132">
            <v>200</v>
          </cell>
          <cell r="AA132">
            <v>200</v>
          </cell>
          <cell r="AC132">
            <v>200</v>
          </cell>
          <cell r="AE132">
            <v>200</v>
          </cell>
          <cell r="AG132">
            <v>200</v>
          </cell>
          <cell r="AI132">
            <v>200</v>
          </cell>
          <cell r="AK132">
            <v>200</v>
          </cell>
        </row>
        <row r="133">
          <cell r="B133" t="str">
            <v>Diluted EPS, pro forma</v>
          </cell>
          <cell r="S133">
            <v>0.85832872163807394</v>
          </cell>
          <cell r="U133">
            <v>1.3570004334633714</v>
          </cell>
          <cell r="W133">
            <v>1.7810549777117379</v>
          </cell>
          <cell r="Y133">
            <v>2.2179917427370168</v>
          </cell>
          <cell r="AA133">
            <v>3.0437201907790143</v>
          </cell>
          <cell r="AC133">
            <v>3.4994205698784278</v>
          </cell>
          <cell r="AE133">
            <v>3.925871506555795</v>
          </cell>
          <cell r="AG133">
            <v>4.4551228416743482</v>
          </cell>
          <cell r="AI133">
            <v>4.8686199131947765</v>
          </cell>
          <cell r="AK133">
            <v>5.2994839640854385</v>
          </cell>
        </row>
        <row r="134">
          <cell r="B134" t="str">
            <v>difference</v>
          </cell>
          <cell r="S134">
            <v>-0.16888452263999287</v>
          </cell>
          <cell r="U134">
            <v>-0.10814198621161197</v>
          </cell>
          <cell r="W134">
            <v>-7.6291758178245295E-2</v>
          </cell>
          <cell r="Y134">
            <v>-6.3941480756811497E-2</v>
          </cell>
          <cell r="AA134">
            <v>-4.9640109208240246E-2</v>
          </cell>
          <cell r="AC134">
            <v>-4.6445370555718513E-2</v>
          </cell>
          <cell r="AE134">
            <v>-4.2778809026169928E-2</v>
          </cell>
          <cell r="AG134">
            <v>-3.8748242644232711E-2</v>
          </cell>
          <cell r="AI134">
            <v>-3.6427794477735809E-2</v>
          </cell>
          <cell r="AK134">
            <v>-3.4277384357019991E-2</v>
          </cell>
        </row>
        <row r="136">
          <cell r="B136" t="str">
            <v>diluted shares</v>
          </cell>
          <cell r="S136">
            <v>1084.2</v>
          </cell>
          <cell r="U136">
            <v>1153.5</v>
          </cell>
          <cell r="W136">
            <v>1346</v>
          </cell>
          <cell r="Y136">
            <v>1320.05</v>
          </cell>
          <cell r="AA136">
            <v>1258</v>
          </cell>
          <cell r="AC136">
            <v>1173.37546275</v>
          </cell>
          <cell r="AE136">
            <v>1139.9282839554037</v>
          </cell>
          <cell r="AG136">
            <v>1113.6672499945955</v>
          </cell>
          <cell r="AI136">
            <v>1086.6145376915538</v>
          </cell>
          <cell r="AK136">
            <v>1063.2640764166335</v>
          </cell>
        </row>
      </sheetData>
      <sheetData sheetId="8" refreshError="1"/>
      <sheetData sheetId="9" refreshError="1">
        <row r="1">
          <cell r="B1" t="str">
            <v>Amgen Cash Flow Statements</v>
          </cell>
          <cell r="AN1" t="str">
            <v>ElementName</v>
          </cell>
          <cell r="AO1" t="str">
            <v>ScaleOverride</v>
          </cell>
          <cell r="AP1" t="str">
            <v>UnitOverride</v>
          </cell>
          <cell r="AQ1" t="str">
            <v>ReverseSign</v>
          </cell>
          <cell r="AR1" t="str">
            <v>IsDrivingAssumption</v>
          </cell>
          <cell r="AS1" t="str">
            <v>SegmentID</v>
          </cell>
        </row>
        <row r="2">
          <cell r="B2" t="str">
            <v>(Dollars in thousands)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CASH FLOWS FROM OPERATING ACTIVITIES</v>
          </cell>
        </row>
        <row r="6">
          <cell r="B6" t="str">
            <v>Net Income (Loss)</v>
          </cell>
          <cell r="C6">
            <v>383.3</v>
          </cell>
          <cell r="E6">
            <v>319.7</v>
          </cell>
          <cell r="G6">
            <v>537.70000000000005</v>
          </cell>
          <cell r="I6">
            <v>679.8</v>
          </cell>
          <cell r="K6">
            <v>644.29999999999995</v>
          </cell>
          <cell r="M6">
            <v>863.2</v>
          </cell>
          <cell r="O6">
            <v>1096.4000000000001</v>
          </cell>
          <cell r="Q6">
            <v>1138.5</v>
          </cell>
          <cell r="S6">
            <v>1119.7</v>
          </cell>
          <cell r="U6">
            <v>-1391.9</v>
          </cell>
          <cell r="W6">
            <v>2259.4999999999991</v>
          </cell>
          <cell r="Y6">
            <v>2363</v>
          </cell>
          <cell r="AA6">
            <v>3674</v>
          </cell>
          <cell r="AC6">
            <v>3329.4653900000003</v>
          </cell>
          <cell r="AE6">
            <v>4180.6358985744819</v>
          </cell>
          <cell r="AG6">
            <v>4644.6218930347759</v>
          </cell>
          <cell r="AI6">
            <v>4935.4458679720119</v>
          </cell>
          <cell r="AK6">
            <v>5243.1867741883407</v>
          </cell>
          <cell r="AN6" t="str">
            <v>mstag:netIncomeReported</v>
          </cell>
          <cell r="AO6">
            <v>6</v>
          </cell>
          <cell r="AP6" t="str">
            <v>ISO4217:USD</v>
          </cell>
          <cell r="AQ6" t="b">
            <v>0</v>
          </cell>
          <cell r="AR6" t="b">
            <v>0</v>
          </cell>
        </row>
        <row r="7">
          <cell r="B7" t="str">
            <v>Write-Off Of In-Process Research and Development</v>
          </cell>
          <cell r="C7">
            <v>0</v>
          </cell>
          <cell r="E7">
            <v>116.4</v>
          </cell>
          <cell r="G7">
            <v>0</v>
          </cell>
          <cell r="I7">
            <v>0</v>
          </cell>
          <cell r="K7">
            <v>0</v>
          </cell>
          <cell r="M7">
            <v>0</v>
          </cell>
          <cell r="O7">
            <v>0</v>
          </cell>
          <cell r="Q7">
            <v>30.1</v>
          </cell>
          <cell r="S7">
            <v>0</v>
          </cell>
          <cell r="U7">
            <v>2991.8</v>
          </cell>
          <cell r="W7">
            <v>0</v>
          </cell>
          <cell r="Y7">
            <v>554</v>
          </cell>
          <cell r="AA7">
            <v>0</v>
          </cell>
          <cell r="AC7">
            <v>0</v>
          </cell>
          <cell r="AE7">
            <v>0</v>
          </cell>
          <cell r="AG7">
            <v>0</v>
          </cell>
          <cell r="AI7">
            <v>0</v>
          </cell>
          <cell r="AK7">
            <v>0</v>
          </cell>
          <cell r="AN7" t="str">
            <v>mstag:acquiredInProcessRAndD</v>
          </cell>
          <cell r="AO7">
            <v>6</v>
          </cell>
          <cell r="AP7" t="str">
            <v>ISO4217:USD</v>
          </cell>
          <cell r="AQ7" t="b">
            <v>0</v>
          </cell>
          <cell r="AR7" t="b">
            <v>0</v>
          </cell>
        </row>
        <row r="8">
          <cell r="B8" t="str">
            <v>Depreciation &amp; Amort.</v>
          </cell>
          <cell r="C8">
            <v>50.7</v>
          </cell>
          <cell r="E8">
            <v>74.5</v>
          </cell>
          <cell r="G8">
            <v>84.2</v>
          </cell>
          <cell r="I8">
            <v>100.3</v>
          </cell>
          <cell r="K8">
            <v>117.1</v>
          </cell>
          <cell r="M8">
            <v>143.80000000000001</v>
          </cell>
          <cell r="O8">
            <v>176.8</v>
          </cell>
          <cell r="Q8">
            <v>211.8</v>
          </cell>
          <cell r="S8">
            <v>265.89999999999998</v>
          </cell>
          <cell r="U8">
            <v>447.3</v>
          </cell>
          <cell r="W8">
            <v>686.5</v>
          </cell>
          <cell r="Y8">
            <v>734</v>
          </cell>
          <cell r="AA8">
            <v>841</v>
          </cell>
          <cell r="AC8">
            <v>772.04066666666665</v>
          </cell>
          <cell r="AE8">
            <v>1130.7377096774276</v>
          </cell>
          <cell r="AG8">
            <v>1349.0218220591833</v>
          </cell>
          <cell r="AI8">
            <v>1564.0573284190054</v>
          </cell>
          <cell r="AK8">
            <v>1824.087369245593</v>
          </cell>
        </row>
        <row r="9">
          <cell r="B9" t="str">
            <v xml:space="preserve">     Depreciation</v>
          </cell>
          <cell r="C9">
            <v>50.7</v>
          </cell>
          <cell r="E9">
            <v>74.5</v>
          </cell>
          <cell r="G9">
            <v>84.2</v>
          </cell>
          <cell r="I9">
            <v>100.3</v>
          </cell>
          <cell r="K9">
            <v>117.1</v>
          </cell>
          <cell r="M9">
            <v>143.80000000000001</v>
          </cell>
          <cell r="O9">
            <v>176.8</v>
          </cell>
          <cell r="Q9">
            <v>211.8</v>
          </cell>
          <cell r="S9">
            <v>265.89999999999998</v>
          </cell>
          <cell r="U9">
            <v>292.10000000000002</v>
          </cell>
          <cell r="W9">
            <v>350.7</v>
          </cell>
          <cell r="Y9">
            <v>374.86666666666667</v>
          </cell>
          <cell r="AA9">
            <v>598</v>
          </cell>
          <cell r="AC9">
            <v>710.93066666666664</v>
          </cell>
          <cell r="AE9">
            <v>912.12770967742756</v>
          </cell>
          <cell r="AG9">
            <v>1130.4118220591831</v>
          </cell>
          <cell r="AI9">
            <v>1345.4473284190053</v>
          </cell>
          <cell r="AK9">
            <v>1605.4773692455931</v>
          </cell>
          <cell r="AN9" t="str">
            <v>mstag:depreciation</v>
          </cell>
          <cell r="AO9">
            <v>6</v>
          </cell>
          <cell r="AP9" t="str">
            <v>ISO4217:USD</v>
          </cell>
          <cell r="AQ9" t="b">
            <v>0</v>
          </cell>
          <cell r="AR9" t="b">
            <v>0</v>
          </cell>
        </row>
        <row r="10">
          <cell r="B10" t="str">
            <v xml:space="preserve">     Amortization</v>
          </cell>
          <cell r="U10">
            <v>155.19999999999999</v>
          </cell>
          <cell r="W10">
            <v>335.8</v>
          </cell>
          <cell r="Y10">
            <v>359.13333333333333</v>
          </cell>
          <cell r="AA10">
            <v>243</v>
          </cell>
          <cell r="AC10">
            <v>61.11</v>
          </cell>
          <cell r="AE10">
            <v>218.61</v>
          </cell>
          <cell r="AG10">
            <v>218.61</v>
          </cell>
          <cell r="AI10">
            <v>218.61</v>
          </cell>
          <cell r="AK10">
            <v>218.61</v>
          </cell>
          <cell r="AN10" t="str">
            <v>mstag:amortizationOfOtherIntangibles</v>
          </cell>
          <cell r="AO10">
            <v>6</v>
          </cell>
          <cell r="AP10" t="str">
            <v>ISO4217:USD</v>
          </cell>
          <cell r="AQ10" t="b">
            <v>0</v>
          </cell>
          <cell r="AR10" t="b">
            <v>0</v>
          </cell>
        </row>
        <row r="11">
          <cell r="B11" t="str">
            <v>Tax Benefits Related to Employee Stock Options</v>
          </cell>
          <cell r="C11">
            <v>0</v>
          </cell>
          <cell r="E11">
            <v>0</v>
          </cell>
          <cell r="G11">
            <v>0</v>
          </cell>
          <cell r="I11">
            <v>48.6</v>
          </cell>
          <cell r="K11">
            <v>54.7</v>
          </cell>
          <cell r="M11">
            <v>108.2</v>
          </cell>
          <cell r="O11">
            <v>151.80000000000001</v>
          </cell>
          <cell r="Q11">
            <v>376.6</v>
          </cell>
          <cell r="S11">
            <v>244.5</v>
          </cell>
          <cell r="U11">
            <v>251.6</v>
          </cell>
          <cell r="W11">
            <v>268.60000000000002</v>
          </cell>
          <cell r="Y11">
            <v>203</v>
          </cell>
          <cell r="AA11">
            <v>315</v>
          </cell>
          <cell r="AC11">
            <v>0</v>
          </cell>
          <cell r="AE11">
            <v>0</v>
          </cell>
          <cell r="AG11">
            <v>0</v>
          </cell>
          <cell r="AI11">
            <v>0</v>
          </cell>
          <cell r="AK11">
            <v>0</v>
          </cell>
          <cell r="AN11" t="str">
            <v>mstag:taxBenefitFromExerciseOfEsosCashFlowStatement</v>
          </cell>
          <cell r="AO11">
            <v>6</v>
          </cell>
          <cell r="AP11" t="str">
            <v>ISO4217:USD</v>
          </cell>
          <cell r="AQ11" t="b">
            <v>0</v>
          </cell>
          <cell r="AR11" t="b">
            <v>0</v>
          </cell>
        </row>
        <row r="12">
          <cell r="B12" t="str">
            <v>Options expense (add back)</v>
          </cell>
          <cell r="AA12">
            <v>0</v>
          </cell>
          <cell r="AC12">
            <v>294.91779250000002</v>
          </cell>
          <cell r="AE12">
            <v>271.96607092308085</v>
          </cell>
          <cell r="AG12">
            <v>294.29251044080411</v>
          </cell>
          <cell r="AI12">
            <v>332.25730820002224</v>
          </cell>
          <cell r="AK12">
            <v>368.95414836972293</v>
          </cell>
          <cell r="AN12" t="str">
            <v>mstag:otherCashFlow</v>
          </cell>
          <cell r="AO12">
            <v>6</v>
          </cell>
          <cell r="AP12" t="str">
            <v>ISO4217:USD</v>
          </cell>
          <cell r="AQ12" t="b">
            <v>0</v>
          </cell>
          <cell r="AR12" t="b">
            <v>0</v>
          </cell>
        </row>
        <row r="13">
          <cell r="B13" t="str">
            <v>Other</v>
          </cell>
          <cell r="C13">
            <v>7.9</v>
          </cell>
          <cell r="E13">
            <v>2.8</v>
          </cell>
          <cell r="G13">
            <v>0.1</v>
          </cell>
          <cell r="I13">
            <v>0</v>
          </cell>
          <cell r="K13">
            <v>0</v>
          </cell>
          <cell r="M13">
            <v>15.8</v>
          </cell>
          <cell r="O13">
            <v>0</v>
          </cell>
          <cell r="Q13">
            <v>-8.3000000000000007</v>
          </cell>
          <cell r="S13">
            <v>97.8</v>
          </cell>
          <cell r="U13">
            <v>24.9</v>
          </cell>
          <cell r="W13">
            <v>99</v>
          </cell>
          <cell r="Y13">
            <v>161</v>
          </cell>
          <cell r="AA13">
            <v>166</v>
          </cell>
          <cell r="AC13">
            <v>0</v>
          </cell>
          <cell r="AE13">
            <v>0</v>
          </cell>
          <cell r="AG13">
            <v>0</v>
          </cell>
          <cell r="AI13">
            <v>0</v>
          </cell>
          <cell r="AK13">
            <v>0</v>
          </cell>
          <cell r="AN13" t="str">
            <v>mstag:otherProvisionsRecurringCashFlowStatement</v>
          </cell>
          <cell r="AO13">
            <v>6</v>
          </cell>
          <cell r="AP13" t="str">
            <v>ISO4217:USD</v>
          </cell>
          <cell r="AQ13" t="b">
            <v>0</v>
          </cell>
          <cell r="AR13" t="b">
            <v>0</v>
          </cell>
        </row>
        <row r="14">
          <cell r="B14" t="str">
            <v>Deferred Income Taxes</v>
          </cell>
          <cell r="C14">
            <v>17.399999999999999</v>
          </cell>
          <cell r="E14">
            <v>2.4</v>
          </cell>
          <cell r="G14">
            <v>23.9</v>
          </cell>
          <cell r="I14">
            <v>25.6</v>
          </cell>
          <cell r="K14">
            <v>-31.4</v>
          </cell>
          <cell r="M14">
            <v>-5.6</v>
          </cell>
          <cell r="O14">
            <v>9.8000000000000007</v>
          </cell>
          <cell r="Q14">
            <v>6.6</v>
          </cell>
          <cell r="S14">
            <v>-148.30000000000001</v>
          </cell>
          <cell r="U14">
            <v>174.7</v>
          </cell>
          <cell r="W14">
            <v>-189.6</v>
          </cell>
          <cell r="Y14">
            <v>57</v>
          </cell>
          <cell r="AA14">
            <v>-95</v>
          </cell>
          <cell r="AC14">
            <v>-300</v>
          </cell>
          <cell r="AE14">
            <v>0</v>
          </cell>
          <cell r="AG14">
            <v>0</v>
          </cell>
          <cell r="AI14">
            <v>0</v>
          </cell>
          <cell r="AK14">
            <v>0</v>
          </cell>
          <cell r="AN14" t="str">
            <v>mstag:deferredTax</v>
          </cell>
          <cell r="AO14">
            <v>6</v>
          </cell>
          <cell r="AP14" t="str">
            <v>ISO4217:USD</v>
          </cell>
          <cell r="AQ14" t="b">
            <v>0</v>
          </cell>
          <cell r="AR14" t="b">
            <v>0</v>
          </cell>
        </row>
        <row r="15">
          <cell r="B15" t="str">
            <v>Loss Of Affiliates, Net</v>
          </cell>
          <cell r="C15">
            <v>12.6</v>
          </cell>
          <cell r="E15">
            <v>31.2</v>
          </cell>
          <cell r="G15">
            <v>53.3</v>
          </cell>
          <cell r="I15">
            <v>52.8</v>
          </cell>
          <cell r="K15">
            <v>36.1</v>
          </cell>
          <cell r="M15">
            <v>28.6</v>
          </cell>
          <cell r="O15">
            <v>16.8</v>
          </cell>
          <cell r="Q15">
            <v>0</v>
          </cell>
          <cell r="S15">
            <v>0</v>
          </cell>
          <cell r="U15">
            <v>0</v>
          </cell>
          <cell r="W15">
            <v>0</v>
          </cell>
          <cell r="Y15">
            <v>0</v>
          </cell>
          <cell r="AA15">
            <v>0</v>
          </cell>
          <cell r="AC15">
            <v>0</v>
          </cell>
          <cell r="AE15">
            <v>0</v>
          </cell>
          <cell r="AG15">
            <v>0</v>
          </cell>
          <cell r="AI15">
            <v>0</v>
          </cell>
          <cell r="AK15">
            <v>0</v>
          </cell>
          <cell r="AN15" t="str">
            <v>mstag:incomeLossFromInvestmentsAccountedForUnderTheEquityMethodNonOperating</v>
          </cell>
          <cell r="AO15">
            <v>6</v>
          </cell>
          <cell r="AP15" t="str">
            <v>ISO4217:USD</v>
          </cell>
          <cell r="AQ15" t="b">
            <v>1</v>
          </cell>
          <cell r="AR15" t="b">
            <v>0</v>
          </cell>
        </row>
        <row r="16">
          <cell r="B16" t="str">
            <v>Changes in operating assets and liabilities</v>
          </cell>
        </row>
        <row r="17">
          <cell r="B17" t="str">
            <v xml:space="preserve">     net of the acquisition:</v>
          </cell>
        </row>
        <row r="18">
          <cell r="B18" t="str">
            <v>Trade Receivables</v>
          </cell>
          <cell r="C18">
            <v>-8.3000000000000007</v>
          </cell>
          <cell r="E18">
            <v>-30.4</v>
          </cell>
          <cell r="G18">
            <v>-4.5999999999999996</v>
          </cell>
          <cell r="I18">
            <v>-26.1</v>
          </cell>
          <cell r="K18">
            <v>-43.6</v>
          </cell>
          <cell r="M18">
            <v>-50.9</v>
          </cell>
          <cell r="O18">
            <v>-92.3</v>
          </cell>
          <cell r="Q18">
            <v>23</v>
          </cell>
          <cell r="S18">
            <v>-123</v>
          </cell>
          <cell r="U18">
            <v>-121.9</v>
          </cell>
          <cell r="W18">
            <v>-255.5</v>
          </cell>
          <cell r="Y18">
            <v>-453</v>
          </cell>
          <cell r="AA18">
            <v>-308</v>
          </cell>
          <cell r="AC18">
            <v>-199.42857142857133</v>
          </cell>
          <cell r="AE18">
            <v>-187.25403225815285</v>
          </cell>
          <cell r="AG18">
            <v>-216.97079176713987</v>
          </cell>
          <cell r="AI18">
            <v>-224.39378280485698</v>
          </cell>
          <cell r="AK18">
            <v>-229.36630898679823</v>
          </cell>
          <cell r="AN18" t="str">
            <v>mstag:netDecreaseInTradeReceivables</v>
          </cell>
          <cell r="AO18">
            <v>6</v>
          </cell>
          <cell r="AP18" t="str">
            <v>ISO4217:USD</v>
          </cell>
          <cell r="AQ18" t="b">
            <v>0</v>
          </cell>
          <cell r="AR18" t="b">
            <v>0</v>
          </cell>
        </row>
        <row r="19">
          <cell r="B19" t="str">
            <v>Inventories</v>
          </cell>
          <cell r="C19">
            <v>-17.899999999999999</v>
          </cell>
          <cell r="E19">
            <v>-23.3</v>
          </cell>
          <cell r="G19">
            <v>9.1999999999999993</v>
          </cell>
          <cell r="I19">
            <v>-8.6</v>
          </cell>
          <cell r="K19">
            <v>-11.8</v>
          </cell>
          <cell r="M19">
            <v>-1.6</v>
          </cell>
          <cell r="O19">
            <v>-73.5</v>
          </cell>
          <cell r="Q19">
            <v>-120.9</v>
          </cell>
          <cell r="S19">
            <v>-85.5</v>
          </cell>
          <cell r="U19">
            <v>-101.7</v>
          </cell>
          <cell r="W19">
            <v>-167.7</v>
          </cell>
          <cell r="Y19">
            <v>-175</v>
          </cell>
          <cell r="AA19">
            <v>-370</v>
          </cell>
          <cell r="AC19">
            <v>-164.03281249999986</v>
          </cell>
          <cell r="AE19">
            <v>-122.53132047396207</v>
          </cell>
          <cell r="AG19">
            <v>-120.23225385671549</v>
          </cell>
          <cell r="AI19">
            <v>-161.33735724691883</v>
          </cell>
          <cell r="AK19">
            <v>-192.56871748293383</v>
          </cell>
          <cell r="AN19" t="str">
            <v>mstag:netDecreaseInInventories</v>
          </cell>
          <cell r="AO19">
            <v>6</v>
          </cell>
          <cell r="AP19" t="str">
            <v>ISO4217:USD</v>
          </cell>
          <cell r="AQ19" t="b">
            <v>0</v>
          </cell>
          <cell r="AR19" t="b">
            <v>0</v>
          </cell>
        </row>
        <row r="20">
          <cell r="B20" t="str">
            <v>Other Current Assets</v>
          </cell>
          <cell r="C20">
            <v>-4.8</v>
          </cell>
          <cell r="E20">
            <v>1.8</v>
          </cell>
          <cell r="G20">
            <v>-8</v>
          </cell>
          <cell r="I20">
            <v>-11.8</v>
          </cell>
          <cell r="K20">
            <v>5</v>
          </cell>
          <cell r="M20">
            <v>-21.2</v>
          </cell>
          <cell r="O20">
            <v>-9</v>
          </cell>
          <cell r="Q20">
            <v>-51.4</v>
          </cell>
          <cell r="S20">
            <v>-31.5</v>
          </cell>
          <cell r="U20">
            <v>-5.2</v>
          </cell>
          <cell r="W20">
            <v>-32.799999999999997</v>
          </cell>
          <cell r="Y20">
            <v>-85</v>
          </cell>
          <cell r="AA20">
            <v>-47</v>
          </cell>
          <cell r="AC20">
            <v>-11.530000000000086</v>
          </cell>
          <cell r="AE20">
            <v>-242.65225806456544</v>
          </cell>
          <cell r="AG20">
            <v>-266.23550051228403</v>
          </cell>
          <cell r="AI20">
            <v>-139.3485391218162</v>
          </cell>
          <cell r="AK20">
            <v>-142.4364778808017</v>
          </cell>
          <cell r="AN20" t="str">
            <v>mstag:netDecreaseInOtherAssets</v>
          </cell>
          <cell r="AO20">
            <v>6</v>
          </cell>
          <cell r="AP20" t="str">
            <v>ISO4217:USD</v>
          </cell>
          <cell r="AQ20" t="b">
            <v>0</v>
          </cell>
          <cell r="AR20" t="b">
            <v>0</v>
          </cell>
        </row>
        <row r="21">
          <cell r="B21" t="str">
            <v>Goodwill</v>
          </cell>
          <cell r="AA21">
            <v>0</v>
          </cell>
          <cell r="AC21">
            <v>-500</v>
          </cell>
          <cell r="AE21">
            <v>0</v>
          </cell>
          <cell r="AG21">
            <v>0</v>
          </cell>
          <cell r="AI21">
            <v>0</v>
          </cell>
          <cell r="AK21">
            <v>0</v>
          </cell>
          <cell r="AN21" t="str">
            <v>mstag:premiumGoodwillOnAcquisions</v>
          </cell>
          <cell r="AO21">
            <v>6</v>
          </cell>
          <cell r="AP21" t="str">
            <v>ISO4217:USD</v>
          </cell>
          <cell r="AQ21" t="b">
            <v>1</v>
          </cell>
          <cell r="AR21" t="b">
            <v>0</v>
          </cell>
        </row>
        <row r="22">
          <cell r="B22" t="str">
            <v>Accounts Payable</v>
          </cell>
          <cell r="C22">
            <v>-14.9</v>
          </cell>
          <cell r="E22">
            <v>4.5999999999999996</v>
          </cell>
          <cell r="G22">
            <v>23.9</v>
          </cell>
          <cell r="I22">
            <v>20.6</v>
          </cell>
          <cell r="K22">
            <v>28.9</v>
          </cell>
          <cell r="M22">
            <v>17.7</v>
          </cell>
          <cell r="O22">
            <v>-38.200000000000003</v>
          </cell>
          <cell r="Q22">
            <v>59.8</v>
          </cell>
          <cell r="S22">
            <v>-6.5</v>
          </cell>
          <cell r="U22">
            <v>11</v>
          </cell>
          <cell r="W22">
            <v>74</v>
          </cell>
          <cell r="Y22">
            <v>179</v>
          </cell>
          <cell r="AA22">
            <v>72</v>
          </cell>
          <cell r="AC22">
            <v>68.909239999999954</v>
          </cell>
          <cell r="AE22">
            <v>60.333615794882348</v>
          </cell>
          <cell r="AG22">
            <v>92.236339874018086</v>
          </cell>
          <cell r="AI22">
            <v>105.45777155338374</v>
          </cell>
          <cell r="AK22">
            <v>101.93566713805728</v>
          </cell>
          <cell r="AN22" t="str">
            <v>mstag:netIncreaseInTradeAndOtherPayables</v>
          </cell>
          <cell r="AO22">
            <v>6</v>
          </cell>
          <cell r="AP22" t="str">
            <v>ISO4217:USD</v>
          </cell>
          <cell r="AQ22" t="b">
            <v>0</v>
          </cell>
          <cell r="AR22" t="b">
            <v>0</v>
          </cell>
        </row>
        <row r="23">
          <cell r="B23" t="str">
            <v>Accrued Liabilities</v>
          </cell>
          <cell r="C23">
            <v>7</v>
          </cell>
          <cell r="E23">
            <v>32.200000000000003</v>
          </cell>
          <cell r="G23">
            <v>53.5</v>
          </cell>
          <cell r="I23">
            <v>-10</v>
          </cell>
          <cell r="K23">
            <v>158.30000000000001</v>
          </cell>
          <cell r="M23">
            <v>51.7</v>
          </cell>
          <cell r="O23">
            <v>-11.5</v>
          </cell>
          <cell r="Q23">
            <v>-31.2</v>
          </cell>
          <cell r="S23">
            <v>147.1</v>
          </cell>
          <cell r="U23">
            <v>-31.8</v>
          </cell>
          <cell r="W23">
            <v>824.6</v>
          </cell>
          <cell r="Y23">
            <v>159</v>
          </cell>
          <cell r="AA23">
            <v>663</v>
          </cell>
          <cell r="AC23">
            <v>-90.022075000000314</v>
          </cell>
          <cell r="AE23">
            <v>263.9595691026102</v>
          </cell>
          <cell r="AG23">
            <v>162.37762422650394</v>
          </cell>
          <cell r="AI23">
            <v>430.26770793780543</v>
          </cell>
          <cell r="AK23">
            <v>415.89752192327433</v>
          </cell>
          <cell r="AN23" t="str">
            <v>mstag:netIncreaseInAccruedExpenses</v>
          </cell>
          <cell r="AO23">
            <v>6</v>
          </cell>
          <cell r="AP23" t="str">
            <v>ISO4217:USD</v>
          </cell>
          <cell r="AQ23" t="b">
            <v>0</v>
          </cell>
          <cell r="AR23" t="b">
            <v>0</v>
          </cell>
        </row>
        <row r="24">
          <cell r="B24" t="str">
            <v>Net cash provided by (used in) operating activities</v>
          </cell>
          <cell r="C24">
            <v>433</v>
          </cell>
          <cell r="E24">
            <v>531.9</v>
          </cell>
          <cell r="G24">
            <v>773.2</v>
          </cell>
          <cell r="I24">
            <v>871.19999999999993</v>
          </cell>
          <cell r="K24">
            <v>957.6</v>
          </cell>
          <cell r="M24">
            <v>1149.7</v>
          </cell>
          <cell r="O24">
            <v>1227.1000000000001</v>
          </cell>
          <cell r="Q24">
            <v>1634.6</v>
          </cell>
          <cell r="S24">
            <v>1480.1999999999998</v>
          </cell>
          <cell r="U24">
            <v>2248.8000000000002</v>
          </cell>
          <cell r="W24">
            <v>3566.5999999999995</v>
          </cell>
          <cell r="Y24">
            <v>3697</v>
          </cell>
          <cell r="AA24">
            <v>4911</v>
          </cell>
          <cell r="AC24">
            <v>3200.3196302380957</v>
          </cell>
          <cell r="AE24">
            <v>5355.1952532758032</v>
          </cell>
          <cell r="AG24">
            <v>5939.1116434991454</v>
          </cell>
          <cell r="AI24">
            <v>6842.4063049086362</v>
          </cell>
          <cell r="AK24">
            <v>7389.6899765144535</v>
          </cell>
        </row>
        <row r="26">
          <cell r="B26" t="str">
            <v>CASH FLOWS FROM INVESTING ACTIVITIES</v>
          </cell>
        </row>
        <row r="27">
          <cell r="B27" t="str">
            <v>Purchases of PP&amp;E</v>
          </cell>
          <cell r="C27">
            <v>-209.9</v>
          </cell>
          <cell r="E27">
            <v>-130.80000000000001</v>
          </cell>
          <cell r="G27">
            <v>-162.69999999999999</v>
          </cell>
          <cell r="I27">
            <v>-266.89999999999998</v>
          </cell>
          <cell r="K27">
            <v>-387.8</v>
          </cell>
          <cell r="M27">
            <v>-407.8</v>
          </cell>
          <cell r="O27">
            <v>-304.2</v>
          </cell>
          <cell r="Q27">
            <v>-437.7</v>
          </cell>
          <cell r="S27">
            <v>-441.8</v>
          </cell>
          <cell r="U27">
            <v>-658.5</v>
          </cell>
          <cell r="W27">
            <v>-1356.8</v>
          </cell>
          <cell r="Y27">
            <v>-1336</v>
          </cell>
          <cell r="AA27">
            <v>-867</v>
          </cell>
          <cell r="AC27">
            <v>-1653.48</v>
          </cell>
          <cell r="AE27">
            <v>-1508.977822580707</v>
          </cell>
          <cell r="AG27">
            <v>-1637.1308428631664</v>
          </cell>
          <cell r="AI27">
            <v>-1612.7662976986658</v>
          </cell>
          <cell r="AK27">
            <v>-1950.2253061994086</v>
          </cell>
          <cell r="AN27" t="str">
            <v>mstag:capitalExpenditures</v>
          </cell>
          <cell r="AO27">
            <v>6</v>
          </cell>
          <cell r="AP27" t="str">
            <v>ISO4217:USD</v>
          </cell>
          <cell r="AQ27" t="b">
            <v>1</v>
          </cell>
          <cell r="AR27" t="b">
            <v>0</v>
          </cell>
        </row>
        <row r="28">
          <cell r="B28" t="str">
            <v>Proceeds From Maturities Of Mktable Sec.</v>
          </cell>
          <cell r="C28">
            <v>0</v>
          </cell>
          <cell r="E28">
            <v>1593.5</v>
          </cell>
          <cell r="G28">
            <v>1148.3999999999999</v>
          </cell>
          <cell r="I28">
            <v>930.7</v>
          </cell>
          <cell r="K28">
            <v>891.40000000000009</v>
          </cell>
          <cell r="M28">
            <v>486.3</v>
          </cell>
          <cell r="O28">
            <v>40</v>
          </cell>
          <cell r="Q28">
            <v>0</v>
          </cell>
          <cell r="S28">
            <v>490.3</v>
          </cell>
          <cell r="U28">
            <v>778.2</v>
          </cell>
          <cell r="W28">
            <v>370.8</v>
          </cell>
          <cell r="Y28">
            <v>8354</v>
          </cell>
          <cell r="AA28">
            <v>603</v>
          </cell>
          <cell r="AC28">
            <v>310.4545454545455</v>
          </cell>
          <cell r="AE28">
            <v>147.83549783549785</v>
          </cell>
          <cell r="AG28">
            <v>14.70999978462665</v>
          </cell>
          <cell r="AI28">
            <v>14.63681570609617</v>
          </cell>
          <cell r="AK28">
            <v>14.563995727458876</v>
          </cell>
          <cell r="AN28" t="str">
            <v>mstag:otherCashFlow</v>
          </cell>
          <cell r="AO28">
            <v>6</v>
          </cell>
          <cell r="AP28" t="str">
            <v>ISO4217:USD</v>
          </cell>
          <cell r="AQ28" t="b">
            <v>0</v>
          </cell>
          <cell r="AR28" t="b">
            <v>0</v>
          </cell>
        </row>
        <row r="29">
          <cell r="B29" t="str">
            <v>Proceeds From Sales Of Mktable Sec.</v>
          </cell>
          <cell r="O29">
            <v>843.5</v>
          </cell>
          <cell r="Q29">
            <v>1067.8</v>
          </cell>
          <cell r="S29">
            <v>301.7</v>
          </cell>
          <cell r="U29">
            <v>1621.5</v>
          </cell>
          <cell r="W29">
            <v>3338.6</v>
          </cell>
          <cell r="Y29">
            <v>13079</v>
          </cell>
          <cell r="AA29">
            <v>9835</v>
          </cell>
          <cell r="AC29">
            <v>0</v>
          </cell>
          <cell r="AE29">
            <v>0</v>
          </cell>
          <cell r="AG29">
            <v>0</v>
          </cell>
          <cell r="AI29">
            <v>0</v>
          </cell>
          <cell r="AK29">
            <v>0</v>
          </cell>
          <cell r="AN29" t="str">
            <v>mstag:otherCashFlow</v>
          </cell>
          <cell r="AO29">
            <v>6</v>
          </cell>
          <cell r="AP29" t="str">
            <v>ISO4217:USD</v>
          </cell>
          <cell r="AQ29" t="b">
            <v>0</v>
          </cell>
          <cell r="AR29" t="b">
            <v>0</v>
          </cell>
        </row>
        <row r="30">
          <cell r="B30" t="str">
            <v>Purchases Of Marketable Securities</v>
          </cell>
          <cell r="C30">
            <v>-131.30000000000001</v>
          </cell>
          <cell r="E30">
            <v>-1395.1</v>
          </cell>
          <cell r="G30">
            <v>-1646.6</v>
          </cell>
          <cell r="I30">
            <v>-854.8</v>
          </cell>
          <cell r="K30">
            <v>-767.5</v>
          </cell>
          <cell r="M30">
            <v>-766.3</v>
          </cell>
          <cell r="O30">
            <v>-1032.7</v>
          </cell>
          <cell r="Q30">
            <v>-1638.7</v>
          </cell>
          <cell r="S30">
            <v>-918.2</v>
          </cell>
          <cell r="U30">
            <v>-2952.8</v>
          </cell>
          <cell r="W30">
            <v>-5320.3</v>
          </cell>
          <cell r="Y30">
            <v>-21488</v>
          </cell>
          <cell r="AA30">
            <v>-9597</v>
          </cell>
          <cell r="AC30">
            <v>0</v>
          </cell>
          <cell r="AE30">
            <v>0</v>
          </cell>
          <cell r="AG30">
            <v>0</v>
          </cell>
          <cell r="AI30">
            <v>0</v>
          </cell>
          <cell r="AK30">
            <v>0</v>
          </cell>
          <cell r="AN30" t="str">
            <v>mstag:otherCashFlow</v>
          </cell>
          <cell r="AO30">
            <v>6</v>
          </cell>
          <cell r="AP30" t="str">
            <v>ISO4217:USD</v>
          </cell>
          <cell r="AQ30" t="b">
            <v>0</v>
          </cell>
          <cell r="AR30" t="b">
            <v>0</v>
          </cell>
        </row>
        <row r="31">
          <cell r="B31" t="str">
            <v>Acquisitions, Net Of Cash</v>
          </cell>
          <cell r="C31">
            <v>0</v>
          </cell>
          <cell r="E31">
            <v>-240.8</v>
          </cell>
          <cell r="G31">
            <v>0</v>
          </cell>
          <cell r="I31">
            <v>0</v>
          </cell>
          <cell r="K31">
            <v>0</v>
          </cell>
          <cell r="M31">
            <v>0</v>
          </cell>
          <cell r="O31">
            <v>0</v>
          </cell>
          <cell r="Q31">
            <v>0</v>
          </cell>
          <cell r="S31">
            <v>0</v>
          </cell>
          <cell r="U31">
            <v>-1899</v>
          </cell>
          <cell r="W31">
            <v>0</v>
          </cell>
          <cell r="Y31">
            <v>115</v>
          </cell>
          <cell r="AA31">
            <v>0</v>
          </cell>
          <cell r="AC31">
            <v>0</v>
          </cell>
          <cell r="AE31">
            <v>0</v>
          </cell>
          <cell r="AG31">
            <v>0</v>
          </cell>
          <cell r="AI31">
            <v>0</v>
          </cell>
          <cell r="AK31">
            <v>0</v>
          </cell>
          <cell r="AN31" t="str">
            <v>mstag:otherCashFlow</v>
          </cell>
          <cell r="AO31">
            <v>6</v>
          </cell>
          <cell r="AP31" t="str">
            <v>ISO4217:USD</v>
          </cell>
          <cell r="AQ31" t="b">
            <v>0</v>
          </cell>
          <cell r="AR31" t="b">
            <v>0</v>
          </cell>
        </row>
        <row r="32">
          <cell r="B32" t="str">
            <v>Proceeds from Sale of Leukine Business</v>
          </cell>
          <cell r="U32">
            <v>389.9</v>
          </cell>
          <cell r="W32">
            <v>0</v>
          </cell>
          <cell r="Y32">
            <v>0</v>
          </cell>
          <cell r="AA32">
            <v>0</v>
          </cell>
          <cell r="AC32">
            <v>0</v>
          </cell>
          <cell r="AE32">
            <v>0</v>
          </cell>
          <cell r="AG32">
            <v>0</v>
          </cell>
          <cell r="AI32">
            <v>0</v>
          </cell>
          <cell r="AK32">
            <v>0</v>
          </cell>
          <cell r="AN32" t="str">
            <v>mstag:gainsLossesFromSaleOfOperatingAssetsOneTime</v>
          </cell>
          <cell r="AO32">
            <v>6</v>
          </cell>
          <cell r="AP32" t="str">
            <v>ISO4217:USD</v>
          </cell>
          <cell r="AQ32" t="b">
            <v>1</v>
          </cell>
          <cell r="AR32" t="b">
            <v>0</v>
          </cell>
        </row>
        <row r="33">
          <cell r="B33" t="str">
            <v>Purchase of Certain Rights from Roche</v>
          </cell>
          <cell r="U33">
            <v>-137.5</v>
          </cell>
          <cell r="W33">
            <v>0</v>
          </cell>
          <cell r="Y33">
            <v>0</v>
          </cell>
          <cell r="AA33">
            <v>0</v>
          </cell>
          <cell r="AC33">
            <v>0</v>
          </cell>
          <cell r="AE33">
            <v>0</v>
          </cell>
          <cell r="AG33">
            <v>0</v>
          </cell>
          <cell r="AI33">
            <v>0</v>
          </cell>
          <cell r="AK33">
            <v>0</v>
          </cell>
          <cell r="AN33" t="str">
            <v>mstag:otherCashFlow</v>
          </cell>
          <cell r="AO33">
            <v>6</v>
          </cell>
          <cell r="AP33" t="str">
            <v>ISO4217:USD</v>
          </cell>
          <cell r="AQ33" t="b">
            <v>0</v>
          </cell>
          <cell r="AR33" t="b">
            <v>0</v>
          </cell>
        </row>
        <row r="34">
          <cell r="B34" t="str">
            <v>Other</v>
          </cell>
          <cell r="C34">
            <v>-48.7</v>
          </cell>
          <cell r="E34">
            <v>-17.8</v>
          </cell>
          <cell r="G34">
            <v>-33.200000000000003</v>
          </cell>
          <cell r="I34">
            <v>-119.19999999999999</v>
          </cell>
          <cell r="K34">
            <v>-38.299999999999997</v>
          </cell>
          <cell r="M34">
            <v>14.100000000000001</v>
          </cell>
          <cell r="O34">
            <v>-10</v>
          </cell>
          <cell r="Q34">
            <v>-27.7</v>
          </cell>
          <cell r="S34">
            <v>28.4</v>
          </cell>
          <cell r="U34">
            <v>-5.6</v>
          </cell>
          <cell r="W34">
            <v>-242.5</v>
          </cell>
          <cell r="Y34">
            <v>-123</v>
          </cell>
          <cell r="AA34">
            <v>-33</v>
          </cell>
          <cell r="AC34">
            <v>0</v>
          </cell>
          <cell r="AE34">
            <v>0</v>
          </cell>
          <cell r="AG34">
            <v>0</v>
          </cell>
          <cell r="AI34">
            <v>0</v>
          </cell>
          <cell r="AK34">
            <v>0</v>
          </cell>
          <cell r="AN34" t="str">
            <v>mstag:otherCashFlow</v>
          </cell>
          <cell r="AO34">
            <v>6</v>
          </cell>
          <cell r="AP34" t="str">
            <v>ISO4217:USD</v>
          </cell>
          <cell r="AQ34" t="b">
            <v>0</v>
          </cell>
          <cell r="AR34" t="b">
            <v>0</v>
          </cell>
        </row>
        <row r="35">
          <cell r="B35" t="str">
            <v>Net cash used in investing activities</v>
          </cell>
          <cell r="C35">
            <v>-180</v>
          </cell>
          <cell r="E35">
            <v>-1653.6999999999998</v>
          </cell>
          <cell r="G35">
            <v>-694.10000000000014</v>
          </cell>
          <cell r="I35">
            <v>-310.19999999999987</v>
          </cell>
          <cell r="K35">
            <v>-302.19999999999993</v>
          </cell>
          <cell r="M35">
            <v>-673.69999999999993</v>
          </cell>
          <cell r="O35">
            <v>-463.40000000000009</v>
          </cell>
          <cell r="Q35">
            <v>-1036.3000000000002</v>
          </cell>
          <cell r="S35">
            <v>-539.6</v>
          </cell>
          <cell r="U35">
            <v>-2863.8</v>
          </cell>
          <cell r="W35">
            <v>-3210.2000000000003</v>
          </cell>
          <cell r="Y35">
            <v>-1399</v>
          </cell>
          <cell r="AA35">
            <v>-59</v>
          </cell>
          <cell r="AC35">
            <v>-1343.0254545454545</v>
          </cell>
          <cell r="AE35">
            <v>-1361.1423247452092</v>
          </cell>
          <cell r="AG35">
            <v>-1622.4208430785397</v>
          </cell>
          <cell r="AI35">
            <v>-1598.1294819925697</v>
          </cell>
          <cell r="AK35">
            <v>-1935.6613104719497</v>
          </cell>
        </row>
        <row r="37">
          <cell r="B37" t="str">
            <v>CASH FLOWS FROM FINANCING ACTIVITIES</v>
          </cell>
        </row>
        <row r="38">
          <cell r="B38" t="str">
            <v>Net Proceeds from Issuance Of Common Stock Upon</v>
          </cell>
        </row>
        <row r="39">
          <cell r="B39" t="str">
            <v xml:space="preserve">      Exercise of ESO in connection with ESOP</v>
          </cell>
          <cell r="C39">
            <v>62.199999999999996</v>
          </cell>
          <cell r="E39">
            <v>82.8</v>
          </cell>
          <cell r="G39">
            <v>145.39999999999998</v>
          </cell>
          <cell r="I39">
            <v>112.6</v>
          </cell>
          <cell r="K39">
            <v>134.30000000000001</v>
          </cell>
          <cell r="M39">
            <v>345.5</v>
          </cell>
          <cell r="O39">
            <v>248.8</v>
          </cell>
          <cell r="Q39">
            <v>333.7</v>
          </cell>
          <cell r="S39">
            <v>277.7</v>
          </cell>
          <cell r="U39">
            <v>427.8</v>
          </cell>
          <cell r="W39">
            <v>529</v>
          </cell>
          <cell r="Y39">
            <v>453</v>
          </cell>
          <cell r="AA39">
            <v>1087</v>
          </cell>
          <cell r="AC39">
            <v>285.59999999999997</v>
          </cell>
          <cell r="AE39">
            <v>408.84592000000009</v>
          </cell>
          <cell r="AG39">
            <v>520.84414921000007</v>
          </cell>
          <cell r="AI39">
            <v>578.62034899356695</v>
          </cell>
          <cell r="AK39">
            <v>555.01263875462951</v>
          </cell>
          <cell r="AN39" t="str">
            <v>mstag:proceedsFromIssuanceOfCommonStock</v>
          </cell>
          <cell r="AO39">
            <v>6</v>
          </cell>
          <cell r="AP39" t="str">
            <v>ISO4217:USD</v>
          </cell>
          <cell r="AQ39" t="b">
            <v>0</v>
          </cell>
          <cell r="AR39" t="b">
            <v>0</v>
          </cell>
        </row>
        <row r="40">
          <cell r="B40" t="str">
            <v xml:space="preserve">Issuance of Zero-Coupon Convertible Notes, net </v>
          </cell>
          <cell r="U40">
            <v>2764.7</v>
          </cell>
          <cell r="W40">
            <v>0</v>
          </cell>
          <cell r="Y40">
            <v>1989</v>
          </cell>
          <cell r="AA40">
            <v>0</v>
          </cell>
          <cell r="AC40">
            <v>19.78875</v>
          </cell>
          <cell r="AE40">
            <v>19.78875</v>
          </cell>
          <cell r="AG40">
            <v>19.78875</v>
          </cell>
          <cell r="AI40">
            <v>19.78875</v>
          </cell>
          <cell r="AK40">
            <v>19.78875</v>
          </cell>
          <cell r="AN40" t="str">
            <v>mstag:proceedsFromIssuanceAndCashUsedToRepayLongTermDebt</v>
          </cell>
          <cell r="AO40">
            <v>6</v>
          </cell>
          <cell r="AP40" t="str">
            <v>ISO4217:USD</v>
          </cell>
          <cell r="AQ40" t="b">
            <v>0</v>
          </cell>
          <cell r="AR40" t="b">
            <v>0</v>
          </cell>
        </row>
        <row r="41">
          <cell r="B41" t="str">
            <v>Stock Repurchases</v>
          </cell>
          <cell r="C41">
            <v>-207.4</v>
          </cell>
          <cell r="E41">
            <v>-300.5</v>
          </cell>
          <cell r="G41">
            <v>-285.7</v>
          </cell>
          <cell r="I41">
            <v>-450</v>
          </cell>
          <cell r="K41">
            <v>-737.9</v>
          </cell>
          <cell r="M41">
            <v>-912.1</v>
          </cell>
          <cell r="O41">
            <v>-1024.7</v>
          </cell>
          <cell r="Q41">
            <v>-799.9</v>
          </cell>
          <cell r="S41">
            <v>-737.5</v>
          </cell>
          <cell r="U41">
            <v>-1420.4</v>
          </cell>
          <cell r="W41">
            <v>-1801</v>
          </cell>
          <cell r="Y41">
            <v>-4072</v>
          </cell>
          <cell r="AA41">
            <v>-4430</v>
          </cell>
          <cell r="AC41">
            <v>-7577.5000000000009</v>
          </cell>
          <cell r="AE41">
            <v>-3281.0575000000008</v>
          </cell>
          <cell r="AG41">
            <v>-3551.7447437500005</v>
          </cell>
          <cell r="AI41">
            <v>-3844.7636851093757</v>
          </cell>
          <cell r="AK41">
            <v>-3641.7121029895366</v>
          </cell>
          <cell r="AN41" t="str">
            <v>mstag:fundsUsedToRepurchaseCommonStock</v>
          </cell>
          <cell r="AO41">
            <v>6</v>
          </cell>
          <cell r="AP41" t="str">
            <v>ISO4217:USD</v>
          </cell>
          <cell r="AQ41" t="b">
            <v>1</v>
          </cell>
          <cell r="AR41" t="b">
            <v>0</v>
          </cell>
        </row>
        <row r="42">
          <cell r="B42" t="str">
            <v>Tax Benefits Related to Employee Stock Options</v>
          </cell>
          <cell r="AC42">
            <v>170.55674999999999</v>
          </cell>
          <cell r="AE42">
            <v>241.49308286250007</v>
          </cell>
          <cell r="AG42">
            <v>304.2759299385545</v>
          </cell>
          <cell r="AI42">
            <v>334.30929864953174</v>
          </cell>
          <cell r="AK42">
            <v>317.12642488736873</v>
          </cell>
          <cell r="AN42" t="str">
            <v>mstag:taxBenefitFromExerciseOfEsosCashFlowStatement</v>
          </cell>
          <cell r="AO42">
            <v>6</v>
          </cell>
          <cell r="AP42" t="str">
            <v>ISO4217:USD</v>
          </cell>
          <cell r="AQ42" t="b">
            <v>0</v>
          </cell>
          <cell r="AR42" t="b">
            <v>0</v>
          </cell>
        </row>
        <row r="43">
          <cell r="B43" t="str">
            <v>Increase (Decrease) In Commercial Paper</v>
          </cell>
          <cell r="C43">
            <v>109.8</v>
          </cell>
          <cell r="E43">
            <v>-10.1</v>
          </cell>
          <cell r="G43">
            <v>-30</v>
          </cell>
          <cell r="I43">
            <v>-69.7</v>
          </cell>
          <cell r="K43">
            <v>0</v>
          </cell>
          <cell r="M43">
            <v>99.7</v>
          </cell>
          <cell r="O43">
            <v>-0.2</v>
          </cell>
          <cell r="Q43">
            <v>0</v>
          </cell>
          <cell r="S43">
            <v>0</v>
          </cell>
          <cell r="U43">
            <v>0</v>
          </cell>
          <cell r="W43">
            <v>0</v>
          </cell>
          <cell r="Y43">
            <v>0</v>
          </cell>
          <cell r="AA43">
            <v>0</v>
          </cell>
          <cell r="AC43">
            <v>0</v>
          </cell>
          <cell r="AE43">
            <v>0</v>
          </cell>
          <cell r="AG43">
            <v>0</v>
          </cell>
          <cell r="AI43">
            <v>0</v>
          </cell>
          <cell r="AK43">
            <v>0</v>
          </cell>
          <cell r="AN43" t="str">
            <v>mstag:proceedsFromIssuanceAndCashUsedToRepayLongTermDebt</v>
          </cell>
          <cell r="AO43">
            <v>6</v>
          </cell>
          <cell r="AP43" t="str">
            <v>ISO4217:USD</v>
          </cell>
          <cell r="AQ43" t="b">
            <v>0</v>
          </cell>
          <cell r="AR43" t="b">
            <v>0</v>
          </cell>
        </row>
        <row r="44">
          <cell r="B44" t="str">
            <v>Proceeds From Additions To Long-Term Debt</v>
          </cell>
          <cell r="C44">
            <v>53</v>
          </cell>
          <cell r="E44">
            <v>12.5</v>
          </cell>
          <cell r="G44">
            <v>0</v>
          </cell>
          <cell r="I44">
            <v>0</v>
          </cell>
          <cell r="K44">
            <v>200</v>
          </cell>
          <cell r="M44">
            <v>0</v>
          </cell>
          <cell r="O44">
            <v>0</v>
          </cell>
          <cell r="Q44">
            <v>0</v>
          </cell>
          <cell r="S44">
            <v>0</v>
          </cell>
          <cell r="U44">
            <v>0</v>
          </cell>
          <cell r="W44">
            <v>0</v>
          </cell>
          <cell r="Y44">
            <v>0</v>
          </cell>
          <cell r="AA44">
            <v>0</v>
          </cell>
          <cell r="AC44">
            <v>5000</v>
          </cell>
          <cell r="AE44">
            <v>0</v>
          </cell>
          <cell r="AG44">
            <v>0</v>
          </cell>
          <cell r="AI44">
            <v>0</v>
          </cell>
          <cell r="AK44">
            <v>0</v>
          </cell>
          <cell r="AN44" t="str">
            <v>mstag:proceedsFromIssuanceAndCashUsedToRepayLongTermDebt</v>
          </cell>
          <cell r="AO44">
            <v>6</v>
          </cell>
          <cell r="AP44" t="str">
            <v>ISO4217:USD</v>
          </cell>
          <cell r="AQ44" t="b">
            <v>0</v>
          </cell>
          <cell r="AR44" t="b">
            <v>0</v>
          </cell>
        </row>
        <row r="45">
          <cell r="B45" t="str">
            <v>Repayments Of Long-Term Debt</v>
          </cell>
          <cell r="C45">
            <v>-2</v>
          </cell>
          <cell r="E45">
            <v>-12</v>
          </cell>
          <cell r="G45">
            <v>-6.2</v>
          </cell>
          <cell r="I45">
            <v>0</v>
          </cell>
          <cell r="K45">
            <v>-118.2</v>
          </cell>
          <cell r="M45">
            <v>-30</v>
          </cell>
          <cell r="O45">
            <v>-6</v>
          </cell>
          <cell r="Q45">
            <v>0</v>
          </cell>
          <cell r="S45">
            <v>0</v>
          </cell>
          <cell r="U45">
            <v>0</v>
          </cell>
          <cell r="W45">
            <v>-123</v>
          </cell>
          <cell r="Y45">
            <v>0</v>
          </cell>
          <cell r="AA45">
            <v>-1175</v>
          </cell>
          <cell r="AC45">
            <v>0</v>
          </cell>
          <cell r="AE45">
            <v>-100</v>
          </cell>
          <cell r="AG45">
            <v>0</v>
          </cell>
          <cell r="AI45">
            <v>-998</v>
          </cell>
          <cell r="AK45">
            <v>0</v>
          </cell>
          <cell r="AN45" t="str">
            <v>mstag:proceedsFromIssuanceAndCashUsedToRepayLongTermDebt</v>
          </cell>
          <cell r="AO45">
            <v>6</v>
          </cell>
          <cell r="AP45" t="str">
            <v>ISO4217:USD</v>
          </cell>
          <cell r="AQ45" t="b">
            <v>0</v>
          </cell>
          <cell r="AR45" t="b">
            <v>0</v>
          </cell>
        </row>
        <row r="46">
          <cell r="B46" t="str">
            <v>Other</v>
          </cell>
          <cell r="C46">
            <v>-22.2</v>
          </cell>
          <cell r="E46">
            <v>-30.8</v>
          </cell>
          <cell r="G46">
            <v>-47.2</v>
          </cell>
          <cell r="I46">
            <v>-51.3</v>
          </cell>
          <cell r="K46">
            <v>-63.8</v>
          </cell>
          <cell r="M46">
            <v>-17.100000000000001</v>
          </cell>
          <cell r="O46">
            <v>-51.8</v>
          </cell>
          <cell r="Q46">
            <v>-36.5</v>
          </cell>
          <cell r="S46">
            <v>-18.2</v>
          </cell>
          <cell r="U46">
            <v>5.5</v>
          </cell>
          <cell r="W46">
            <v>23.5</v>
          </cell>
          <cell r="Y46">
            <v>21</v>
          </cell>
          <cell r="AA46">
            <v>-20</v>
          </cell>
          <cell r="AC46">
            <v>0</v>
          </cell>
          <cell r="AE46">
            <v>0</v>
          </cell>
          <cell r="AG46">
            <v>0</v>
          </cell>
          <cell r="AI46">
            <v>0</v>
          </cell>
          <cell r="AK46">
            <v>0</v>
          </cell>
          <cell r="AN46" t="str">
            <v>mstag:otherCashFlow</v>
          </cell>
          <cell r="AO46">
            <v>6</v>
          </cell>
          <cell r="AP46" t="str">
            <v>ISO4217:USD</v>
          </cell>
          <cell r="AQ46" t="b">
            <v>0</v>
          </cell>
          <cell r="AR46" t="b">
            <v>0</v>
          </cell>
        </row>
        <row r="47">
          <cell r="B47" t="str">
            <v>Net cash provided by financing activities</v>
          </cell>
          <cell r="C47">
            <v>138.60000000000002</v>
          </cell>
          <cell r="E47">
            <v>-40.4</v>
          </cell>
          <cell r="G47">
            <v>-223.7</v>
          </cell>
          <cell r="I47">
            <v>-458.4</v>
          </cell>
          <cell r="K47">
            <v>-585.59999999999991</v>
          </cell>
          <cell r="M47">
            <v>-514</v>
          </cell>
          <cell r="O47">
            <v>-833.90000000000009</v>
          </cell>
          <cell r="Q47">
            <v>-502.7</v>
          </cell>
          <cell r="S47">
            <v>-478</v>
          </cell>
          <cell r="U47">
            <v>1777.6</v>
          </cell>
          <cell r="W47">
            <v>-1371.5</v>
          </cell>
          <cell r="Y47">
            <v>-1609</v>
          </cell>
          <cell r="AA47">
            <v>-4538</v>
          </cell>
          <cell r="AC47">
            <v>-2101.5545000000011</v>
          </cell>
          <cell r="AE47">
            <v>-2710.9297471375007</v>
          </cell>
          <cell r="AG47">
            <v>-2706.8359146014459</v>
          </cell>
          <cell r="AI47">
            <v>-3910.0452874662769</v>
          </cell>
          <cell r="AK47">
            <v>-2749.7842893475386</v>
          </cell>
        </row>
        <row r="49">
          <cell r="B49" t="str">
            <v xml:space="preserve">Change in cash </v>
          </cell>
          <cell r="C49">
            <v>391.6</v>
          </cell>
          <cell r="E49">
            <v>-1162.1999999999998</v>
          </cell>
          <cell r="G49">
            <v>-144.60000000000014</v>
          </cell>
          <cell r="I49">
            <v>102.60000000000002</v>
          </cell>
          <cell r="K49">
            <v>69.800000000000182</v>
          </cell>
          <cell r="M49">
            <v>-37.999999999999773</v>
          </cell>
          <cell r="O49">
            <v>-70.200000000000045</v>
          </cell>
          <cell r="Q49">
            <v>95.599999999999682</v>
          </cell>
          <cell r="S49">
            <v>462.5999999999998</v>
          </cell>
          <cell r="U49">
            <v>1162.5999999999999</v>
          </cell>
          <cell r="W49">
            <v>-1015.1000000000013</v>
          </cell>
          <cell r="Y49">
            <v>689</v>
          </cell>
          <cell r="AA49">
            <v>314</v>
          </cell>
          <cell r="AC49">
            <v>-244.26032430735995</v>
          </cell>
          <cell r="AE49">
            <v>1283.1231813930935</v>
          </cell>
          <cell r="AG49">
            <v>1609.8548858191598</v>
          </cell>
          <cell r="AI49">
            <v>1334.2315354497896</v>
          </cell>
          <cell r="AK49">
            <v>2704.2443766949655</v>
          </cell>
        </row>
        <row r="50">
          <cell r="B50" t="str">
            <v>Cash at beginning of year</v>
          </cell>
          <cell r="C50">
            <v>92</v>
          </cell>
          <cell r="E50">
            <v>128.5</v>
          </cell>
          <cell r="G50">
            <v>211.3</v>
          </cell>
          <cell r="I50">
            <v>66.699999999999875</v>
          </cell>
          <cell r="K50">
            <v>169.2999999999999</v>
          </cell>
          <cell r="M50">
            <v>239.10000000000008</v>
          </cell>
          <cell r="O50">
            <v>201.10000000000031</v>
          </cell>
          <cell r="Q50">
            <v>130.90000000000026</v>
          </cell>
          <cell r="S50">
            <v>226.49999999999994</v>
          </cell>
          <cell r="U50">
            <v>689.09999999999968</v>
          </cell>
          <cell r="W50">
            <v>1851.6999999999996</v>
          </cell>
          <cell r="Y50">
            <v>836.59999999999832</v>
          </cell>
          <cell r="AA50">
            <v>1525.5999999999983</v>
          </cell>
          <cell r="AC50">
            <v>1839.5999999999983</v>
          </cell>
          <cell r="AE50">
            <v>1595.3396756926384</v>
          </cell>
          <cell r="AG50">
            <v>2878.4628570857321</v>
          </cell>
          <cell r="AI50">
            <v>4488.3177429048919</v>
          </cell>
          <cell r="AK50">
            <v>5822.5492783546815</v>
          </cell>
        </row>
        <row r="51">
          <cell r="B51" t="str">
            <v>Cash at end of year</v>
          </cell>
          <cell r="C51">
            <v>128.505</v>
          </cell>
          <cell r="E51">
            <v>-1033.6999999999998</v>
          </cell>
          <cell r="G51">
            <v>66.699999999999875</v>
          </cell>
          <cell r="I51">
            <v>169.2999999999999</v>
          </cell>
          <cell r="K51">
            <v>239.10000000000008</v>
          </cell>
          <cell r="M51">
            <v>201.10000000000031</v>
          </cell>
          <cell r="O51">
            <v>130.90000000000026</v>
          </cell>
          <cell r="Q51">
            <v>226.49999999999994</v>
          </cell>
          <cell r="S51">
            <v>689.09999999999968</v>
          </cell>
          <cell r="U51">
            <v>1851.6999999999996</v>
          </cell>
          <cell r="W51">
            <v>836.59999999999832</v>
          </cell>
          <cell r="Y51">
            <v>1525.5999999999983</v>
          </cell>
          <cell r="AA51">
            <v>1839.5999999999983</v>
          </cell>
          <cell r="AC51">
            <v>1595.3396756926384</v>
          </cell>
          <cell r="AE51">
            <v>2878.4628570857321</v>
          </cell>
          <cell r="AG51">
            <v>4488.3177429048919</v>
          </cell>
          <cell r="AI51">
            <v>5822.5492783546815</v>
          </cell>
          <cell r="AK51">
            <v>8526.793655049647</v>
          </cell>
        </row>
        <row r="52">
          <cell r="B52" t="str">
            <v>Cash and marketable securities at end of year</v>
          </cell>
          <cell r="C52">
            <v>723.18399999999997</v>
          </cell>
          <cell r="E52">
            <v>696.68100000000004</v>
          </cell>
          <cell r="G52">
            <v>1050.3</v>
          </cell>
          <cell r="I52">
            <v>1077</v>
          </cell>
          <cell r="K52">
            <v>1026.5</v>
          </cell>
          <cell r="M52">
            <v>1276</v>
          </cell>
          <cell r="O52">
            <v>1333</v>
          </cell>
          <cell r="Q52">
            <v>2028.1</v>
          </cell>
          <cell r="S52">
            <v>2662.2</v>
          </cell>
          <cell r="U52">
            <v>4663.8999999999996</v>
          </cell>
          <cell r="W52">
            <v>5122.9000000000005</v>
          </cell>
          <cell r="Y52">
            <v>5808</v>
          </cell>
          <cell r="AA52">
            <v>5255</v>
          </cell>
          <cell r="AC52">
            <v>4700.285130238095</v>
          </cell>
          <cell r="AE52">
            <v>5835.5728137956903</v>
          </cell>
          <cell r="AG52">
            <v>7430.7176998302239</v>
          </cell>
          <cell r="AI52">
            <v>8750.3124195739165</v>
          </cell>
          <cell r="AK52">
            <v>11439.992800541424</v>
          </cell>
        </row>
        <row r="54">
          <cell r="B54" t="str">
            <v>Source: Company data and Morgan Stanley Research</v>
          </cell>
        </row>
        <row r="56">
          <cell r="W56" t="str">
            <v>2003-FY</v>
          </cell>
          <cell r="Y56" t="str">
            <v>2004-FY</v>
          </cell>
          <cell r="AA56" t="str">
            <v>2005-FY</v>
          </cell>
          <cell r="AC56" t="str">
            <v>2006-FY</v>
          </cell>
          <cell r="AE56" t="str">
            <v>2007-FY</v>
          </cell>
          <cell r="AG56" t="str">
            <v>2008-FY</v>
          </cell>
          <cell r="AI56" t="str">
            <v>2009-FY</v>
          </cell>
          <cell r="AK56" t="str">
            <v>2010-FY</v>
          </cell>
        </row>
        <row r="59">
          <cell r="B59" t="str">
            <v>EBIT</v>
          </cell>
          <cell r="C59">
            <v>785.5</v>
          </cell>
          <cell r="E59">
            <v>815.59999999999991</v>
          </cell>
          <cell r="G59">
            <v>743.59999999999991</v>
          </cell>
          <cell r="I59">
            <v>904.89999999999986</v>
          </cell>
          <cell r="K59">
            <v>792.50000000000023</v>
          </cell>
          <cell r="M59">
            <v>1188.6999999999998</v>
          </cell>
          <cell r="O59">
            <v>1493.1</v>
          </cell>
          <cell r="Q59">
            <v>1543.9999999999995</v>
          </cell>
          <cell r="S59">
            <v>1531.1999999999998</v>
          </cell>
          <cell r="U59">
            <v>2362.4999999999991</v>
          </cell>
          <cell r="W59">
            <v>3426.9999999999991</v>
          </cell>
          <cell r="Y59">
            <v>4234.8999999999996</v>
          </cell>
          <cell r="AA59">
            <v>5301</v>
          </cell>
          <cell r="AC59">
            <v>5467.6345000000001</v>
          </cell>
          <cell r="AE59">
            <v>6024.24252837104</v>
          </cell>
          <cell r="AG59">
            <v>6561.5580806048583</v>
          </cell>
          <cell r="AI59">
            <v>6844.3819233177674</v>
          </cell>
          <cell r="AK59">
            <v>7203.7814496699866</v>
          </cell>
        </row>
        <row r="60">
          <cell r="B60" t="str">
            <v>EBIT * (1-tax)</v>
          </cell>
          <cell r="C60">
            <v>573.37117172969624</v>
          </cell>
          <cell r="E60">
            <v>550.09259483698941</v>
          </cell>
          <cell r="G60">
            <v>503.3153575025176</v>
          </cell>
          <cell r="I60">
            <v>639.25077418684384</v>
          </cell>
          <cell r="K60">
            <v>592.76497562108227</v>
          </cell>
          <cell r="M60">
            <v>838.03155831427625</v>
          </cell>
          <cell r="O60">
            <v>1045.2271995913677</v>
          </cell>
          <cell r="Q60">
            <v>1049.897867765633</v>
          </cell>
          <cell r="S60">
            <v>1016.7138943248531</v>
          </cell>
          <cell r="U60">
            <v>1683.8269035532987</v>
          </cell>
          <cell r="W60">
            <v>2440.2970281428247</v>
          </cell>
          <cell r="Y60">
            <v>3083.8713773645991</v>
          </cell>
          <cell r="AA60">
            <v>4007.8787821838005</v>
          </cell>
          <cell r="AC60">
            <v>4187.6740317983431</v>
          </cell>
          <cell r="AE60">
            <v>4608.5455342038458</v>
          </cell>
          <cell r="AG60">
            <v>5052.3997220657411</v>
          </cell>
          <cell r="AI60">
            <v>5304.39599057127</v>
          </cell>
          <cell r="AK60">
            <v>5586.5325142190741</v>
          </cell>
        </row>
        <row r="61">
          <cell r="B61" t="str">
            <v>Depreciation</v>
          </cell>
          <cell r="C61">
            <v>50.7</v>
          </cell>
          <cell r="E61">
            <v>74.5</v>
          </cell>
          <cell r="G61">
            <v>84.2</v>
          </cell>
          <cell r="I61">
            <v>100.3</v>
          </cell>
          <cell r="K61">
            <v>117.1</v>
          </cell>
          <cell r="M61">
            <v>143.80000000000001</v>
          </cell>
          <cell r="O61">
            <v>176.8</v>
          </cell>
          <cell r="Q61">
            <v>211.8</v>
          </cell>
          <cell r="S61">
            <v>265.89999999999998</v>
          </cell>
          <cell r="U61">
            <v>447.3</v>
          </cell>
          <cell r="W61">
            <v>686.5</v>
          </cell>
          <cell r="Y61">
            <v>734</v>
          </cell>
          <cell r="AA61">
            <v>841</v>
          </cell>
          <cell r="AC61">
            <v>772.04066666666665</v>
          </cell>
          <cell r="AE61">
            <v>1130.7377096774276</v>
          </cell>
          <cell r="AG61">
            <v>1349.0218220591833</v>
          </cell>
          <cell r="AI61">
            <v>1564.0573284190054</v>
          </cell>
          <cell r="AK61">
            <v>1824.087369245593</v>
          </cell>
        </row>
        <row r="62">
          <cell r="B62" t="str">
            <v>Cap Ex</v>
          </cell>
          <cell r="C62">
            <v>-209.9</v>
          </cell>
          <cell r="E62">
            <v>-130.80000000000001</v>
          </cell>
          <cell r="G62">
            <v>-162.69999999999999</v>
          </cell>
          <cell r="I62">
            <v>-266.89999999999998</v>
          </cell>
          <cell r="K62">
            <v>-387.8</v>
          </cell>
          <cell r="M62">
            <v>-407.8</v>
          </cell>
          <cell r="O62">
            <v>-304.2</v>
          </cell>
          <cell r="Q62">
            <v>-437.7</v>
          </cell>
          <cell r="S62">
            <v>-441.8</v>
          </cell>
          <cell r="U62">
            <v>-658.5</v>
          </cell>
          <cell r="W62">
            <v>-1356.8</v>
          </cell>
          <cell r="Y62">
            <v>-1336</v>
          </cell>
          <cell r="AA62">
            <v>-867</v>
          </cell>
          <cell r="AC62">
            <v>-1653.48</v>
          </cell>
          <cell r="AE62">
            <v>-1508.977822580707</v>
          </cell>
          <cell r="AG62">
            <v>-1637.1308428631664</v>
          </cell>
          <cell r="AI62">
            <v>-1612.7662976986658</v>
          </cell>
          <cell r="AK62">
            <v>-1950.2253061994086</v>
          </cell>
        </row>
        <row r="63">
          <cell r="B63" t="str">
            <v>Change to WC</v>
          </cell>
          <cell r="C63">
            <v>-38.9</v>
          </cell>
          <cell r="E63">
            <v>-15.100000000000001</v>
          </cell>
          <cell r="G63">
            <v>74</v>
          </cell>
          <cell r="I63">
            <v>-35.9</v>
          </cell>
          <cell r="K63">
            <v>136.80000000000001</v>
          </cell>
          <cell r="M63">
            <v>-4.2999999999999972</v>
          </cell>
          <cell r="O63">
            <v>-224.5</v>
          </cell>
          <cell r="Q63">
            <v>-120.70000000000002</v>
          </cell>
          <cell r="S63">
            <v>-99.4</v>
          </cell>
          <cell r="U63">
            <v>-249.60000000000002</v>
          </cell>
          <cell r="W63">
            <v>442.6</v>
          </cell>
          <cell r="Y63">
            <v>-375</v>
          </cell>
          <cell r="AA63">
            <v>10</v>
          </cell>
          <cell r="AC63">
            <v>-896.10421892857164</v>
          </cell>
          <cell r="AE63">
            <v>-228.14442589918781</v>
          </cell>
          <cell r="AG63">
            <v>-348.82458203561737</v>
          </cell>
          <cell r="AI63">
            <v>10.64580031759715</v>
          </cell>
          <cell r="AK63">
            <v>-46.53831528920216</v>
          </cell>
        </row>
        <row r="64">
          <cell r="B64" t="str">
            <v>Non-Cash Charges</v>
          </cell>
          <cell r="C64">
            <v>37.9</v>
          </cell>
          <cell r="E64">
            <v>152.80000000000001</v>
          </cell>
          <cell r="G64">
            <v>77.3</v>
          </cell>
          <cell r="I64">
            <v>78.400000000000006</v>
          </cell>
          <cell r="K64">
            <v>4.7000000000000028</v>
          </cell>
          <cell r="M64">
            <v>38.800000000000004</v>
          </cell>
          <cell r="O64">
            <v>26.6</v>
          </cell>
          <cell r="Q64">
            <v>28.4</v>
          </cell>
          <cell r="S64">
            <v>-50.500000000000014</v>
          </cell>
          <cell r="U64">
            <v>3191.4</v>
          </cell>
          <cell r="W64">
            <v>-90.6</v>
          </cell>
          <cell r="Y64">
            <v>772</v>
          </cell>
          <cell r="AA64">
            <v>71</v>
          </cell>
          <cell r="AC64">
            <v>-300</v>
          </cell>
          <cell r="AE64">
            <v>0</v>
          </cell>
          <cell r="AG64">
            <v>0</v>
          </cell>
          <cell r="AI64">
            <v>0</v>
          </cell>
          <cell r="AK64">
            <v>0</v>
          </cell>
        </row>
        <row r="65">
          <cell r="B65" t="str">
            <v>Tax Benefit from Stock Options</v>
          </cell>
          <cell r="C65">
            <v>0</v>
          </cell>
          <cell r="E65">
            <v>0</v>
          </cell>
          <cell r="G65">
            <v>0</v>
          </cell>
          <cell r="I65">
            <v>48.6</v>
          </cell>
          <cell r="K65">
            <v>54.7</v>
          </cell>
          <cell r="M65">
            <v>108.2</v>
          </cell>
          <cell r="O65">
            <v>151.80000000000001</v>
          </cell>
          <cell r="Q65">
            <v>376.6</v>
          </cell>
          <cell r="S65">
            <v>244.5</v>
          </cell>
          <cell r="U65">
            <v>251.6</v>
          </cell>
          <cell r="W65">
            <v>268.60000000000002</v>
          </cell>
          <cell r="Y65">
            <v>203</v>
          </cell>
          <cell r="AA65">
            <v>315</v>
          </cell>
          <cell r="AC65">
            <v>0</v>
          </cell>
          <cell r="AE65">
            <v>0</v>
          </cell>
          <cell r="AG65">
            <v>0</v>
          </cell>
          <cell r="AI65">
            <v>0</v>
          </cell>
          <cell r="AK65">
            <v>0</v>
          </cell>
        </row>
        <row r="66">
          <cell r="B66" t="str">
            <v>Free Cash Flow</v>
          </cell>
          <cell r="C66">
            <v>413.17117172969631</v>
          </cell>
          <cell r="E66">
            <v>631.49259483698938</v>
          </cell>
          <cell r="G66">
            <v>576.11535750251767</v>
          </cell>
          <cell r="I66">
            <v>563.75077418684384</v>
          </cell>
          <cell r="K66">
            <v>518.26497562108227</v>
          </cell>
          <cell r="M66">
            <v>716.7315583142763</v>
          </cell>
          <cell r="O66">
            <v>871.72719959136771</v>
          </cell>
          <cell r="Q66">
            <v>1108.2978677656329</v>
          </cell>
          <cell r="S66">
            <v>935.413894324853</v>
          </cell>
          <cell r="U66">
            <v>4666.0269035532992</v>
          </cell>
          <cell r="W66">
            <v>2390.5970281428249</v>
          </cell>
          <cell r="Y66">
            <v>3081.8713773645991</v>
          </cell>
          <cell r="AA66">
            <v>4377.8787821838005</v>
          </cell>
          <cell r="AC66">
            <v>2110.1304795364381</v>
          </cell>
          <cell r="AE66">
            <v>4002.1609954013784</v>
          </cell>
          <cell r="AG66">
            <v>4415.466119226141</v>
          </cell>
          <cell r="AI66">
            <v>5266.3328216092068</v>
          </cell>
          <cell r="AK66">
            <v>5413.8562619760569</v>
          </cell>
        </row>
        <row r="68">
          <cell r="B68" t="str">
            <v>CFO</v>
          </cell>
          <cell r="C68">
            <v>433</v>
          </cell>
          <cell r="E68">
            <v>531.9</v>
          </cell>
          <cell r="G68">
            <v>773.2</v>
          </cell>
          <cell r="I68">
            <v>871.19999999999993</v>
          </cell>
          <cell r="K68">
            <v>957.6</v>
          </cell>
          <cell r="M68">
            <v>1149.7</v>
          </cell>
          <cell r="O68">
            <v>1227.1000000000001</v>
          </cell>
          <cell r="Q68">
            <v>1634.6</v>
          </cell>
          <cell r="S68">
            <v>1480.1999999999998</v>
          </cell>
          <cell r="U68">
            <v>2248.8000000000002</v>
          </cell>
          <cell r="W68">
            <v>3566.5999999999995</v>
          </cell>
          <cell r="Y68">
            <v>3697</v>
          </cell>
          <cell r="AA68">
            <v>4911</v>
          </cell>
          <cell r="AC68">
            <v>3200.3196302380957</v>
          </cell>
          <cell r="AE68">
            <v>5355.1952532758032</v>
          </cell>
          <cell r="AG68">
            <v>5939.1116434991454</v>
          </cell>
          <cell r="AI68">
            <v>6842.4063049086362</v>
          </cell>
          <cell r="AK68">
            <v>7389.6899765144535</v>
          </cell>
        </row>
        <row r="69">
          <cell r="B69" t="str">
            <v>Cap Ex</v>
          </cell>
          <cell r="C69">
            <v>-209.9</v>
          </cell>
          <cell r="E69">
            <v>-130.80000000000001</v>
          </cell>
          <cell r="G69">
            <v>-162.69999999999999</v>
          </cell>
          <cell r="I69">
            <v>-266.89999999999998</v>
          </cell>
          <cell r="K69">
            <v>-387.8</v>
          </cell>
          <cell r="M69">
            <v>-407.8</v>
          </cell>
          <cell r="O69">
            <v>-304.2</v>
          </cell>
          <cell r="Q69">
            <v>-437.7</v>
          </cell>
          <cell r="S69">
            <v>-441.8</v>
          </cell>
          <cell r="U69">
            <v>-658.5</v>
          </cell>
          <cell r="W69">
            <v>-1356.8</v>
          </cell>
          <cell r="Y69">
            <v>-1336</v>
          </cell>
          <cell r="AA69">
            <v>-867</v>
          </cell>
          <cell r="AC69">
            <v>-1653.48</v>
          </cell>
          <cell r="AE69">
            <v>-1508.977822580707</v>
          </cell>
          <cell r="AG69">
            <v>-1637.1308428631664</v>
          </cell>
          <cell r="AI69">
            <v>-1612.7662976986658</v>
          </cell>
          <cell r="AK69">
            <v>-1950.2253061994086</v>
          </cell>
        </row>
        <row r="70">
          <cell r="AC70">
            <v>170.55674999999999</v>
          </cell>
          <cell r="AE70">
            <v>241.49308286250007</v>
          </cell>
          <cell r="AG70">
            <v>304.2759299385545</v>
          </cell>
          <cell r="AI70">
            <v>334.30929864953174</v>
          </cell>
          <cell r="AK70">
            <v>317.12642488736873</v>
          </cell>
        </row>
        <row r="71">
          <cell r="B71" t="str">
            <v>Free Cash Flow</v>
          </cell>
          <cell r="C71">
            <v>223.1</v>
          </cell>
          <cell r="E71">
            <v>401.09999999999997</v>
          </cell>
          <cell r="G71">
            <v>610.5</v>
          </cell>
          <cell r="I71">
            <v>604.29999999999995</v>
          </cell>
          <cell r="K71">
            <v>569.79999999999995</v>
          </cell>
          <cell r="M71">
            <v>741.90000000000009</v>
          </cell>
          <cell r="O71">
            <v>922.90000000000009</v>
          </cell>
          <cell r="Q71">
            <v>1196.8999999999999</v>
          </cell>
          <cell r="S71">
            <v>1038.3999999999999</v>
          </cell>
          <cell r="U71">
            <v>1590.3000000000002</v>
          </cell>
          <cell r="W71">
            <v>2209.7999999999993</v>
          </cell>
          <cell r="Y71">
            <v>2361</v>
          </cell>
          <cell r="AA71">
            <v>4044</v>
          </cell>
          <cell r="AC71">
            <v>1717.3963802380956</v>
          </cell>
          <cell r="AE71">
            <v>4087.7105135575966</v>
          </cell>
          <cell r="AG71">
            <v>4606.2567305745333</v>
          </cell>
          <cell r="AI71">
            <v>5563.9493058595026</v>
          </cell>
          <cell r="AK71">
            <v>5756.5910952024133</v>
          </cell>
        </row>
        <row r="76">
          <cell r="S76" t="str">
            <v>Cap Ex</v>
          </cell>
          <cell r="U76">
            <v>0.29282283884738525</v>
          </cell>
          <cell r="W76">
            <v>0.38041832557617905</v>
          </cell>
          <cell r="Y76">
            <v>0.36137408709764673</v>
          </cell>
          <cell r="AA76">
            <v>0.17654245571166768</v>
          </cell>
          <cell r="AC76">
            <v>0.51666089361111267</v>
          </cell>
          <cell r="AE76">
            <v>0.28177830148352795</v>
          </cell>
          <cell r="AG76">
            <v>0.27565247820440336</v>
          </cell>
          <cell r="AI76">
            <v>0.23570162685920773</v>
          </cell>
          <cell r="AK76">
            <v>0.26391165426391605</v>
          </cell>
        </row>
        <row r="77">
          <cell r="S77" t="str">
            <v>Repurchase</v>
          </cell>
          <cell r="U77">
            <v>0.63162575595873349</v>
          </cell>
          <cell r="W77">
            <v>0.50496270958335676</v>
          </cell>
          <cell r="Y77">
            <v>1.1014335948065999</v>
          </cell>
          <cell r="AA77">
            <v>0.90205660761555695</v>
          </cell>
          <cell r="AC77">
            <v>2.3677322503678342</v>
          </cell>
          <cell r="AE77">
            <v>0.61268681062431096</v>
          </cell>
          <cell r="AG77">
            <v>0.59802626334490316</v>
          </cell>
          <cell r="AI77">
            <v>0.56190227732474785</v>
          </cell>
          <cell r="AK77">
            <v>0.49280986273625083</v>
          </cell>
        </row>
        <row r="78">
          <cell r="S78" t="str">
            <v>Debt Repayment</v>
          </cell>
          <cell r="U78">
            <v>0</v>
          </cell>
          <cell r="W78">
            <v>3.4486625918241469E-2</v>
          </cell>
          <cell r="Y78">
            <v>0</v>
          </cell>
          <cell r="AA78">
            <v>0.23925880676033395</v>
          </cell>
          <cell r="AC78">
            <v>0</v>
          </cell>
          <cell r="AE78">
            <v>1.8673455452222668E-2</v>
          </cell>
          <cell r="AG78">
            <v>0</v>
          </cell>
          <cell r="AI78">
            <v>0.1458551210681614</v>
          </cell>
          <cell r="AK78">
            <v>0</v>
          </cell>
        </row>
        <row r="79">
          <cell r="S79" t="str">
            <v>M&amp;A</v>
          </cell>
          <cell r="U79">
            <v>0.84445037353255059</v>
          </cell>
          <cell r="W79">
            <v>0</v>
          </cell>
          <cell r="Y79">
            <v>-3.1106302407357317E-2</v>
          </cell>
          <cell r="AA79">
            <v>0</v>
          </cell>
          <cell r="AC79">
            <v>0.68743133629947006</v>
          </cell>
          <cell r="AE79">
            <v>0</v>
          </cell>
          <cell r="AG79">
            <v>0</v>
          </cell>
          <cell r="AI79">
            <v>0</v>
          </cell>
          <cell r="AK79">
            <v>0</v>
          </cell>
        </row>
      </sheetData>
      <sheetData sheetId="10" refreshError="1"/>
      <sheetData sheetId="11" refreshError="1"/>
      <sheetData sheetId="12" refreshError="1"/>
      <sheetData sheetId="13" refreshError="1"/>
      <sheetData sheetId="14" refreshError="1">
        <row r="1">
          <cell r="A1" t="str">
            <v>US Sales ($M)</v>
          </cell>
          <cell r="B1" t="str">
            <v xml:space="preserve">Aranesp </v>
          </cell>
          <cell r="C1" t="str">
            <v xml:space="preserve">YoY </v>
          </cell>
          <cell r="D1" t="str">
            <v>Aranesp  Share</v>
          </cell>
          <cell r="E1" t="str">
            <v xml:space="preserve">Procrit </v>
          </cell>
          <cell r="F1" t="str">
            <v xml:space="preserve">YoY </v>
          </cell>
          <cell r="G1" t="str">
            <v>Total ($M)</v>
          </cell>
          <cell r="H1" t="str">
            <v xml:space="preserve">YoY </v>
          </cell>
        </row>
        <row r="2">
          <cell r="A2" t="str">
            <v>4Q02A</v>
          </cell>
          <cell r="B2">
            <v>150</v>
          </cell>
          <cell r="D2">
            <v>0.15739769150052466</v>
          </cell>
          <cell r="E2">
            <v>803</v>
          </cell>
          <cell r="G2">
            <v>953</v>
          </cell>
        </row>
        <row r="3">
          <cell r="A3" t="str">
            <v>2002A</v>
          </cell>
          <cell r="B3">
            <v>150</v>
          </cell>
          <cell r="D3">
            <v>4.7110552763819098E-2</v>
          </cell>
          <cell r="E3">
            <v>3034</v>
          </cell>
          <cell r="G3">
            <v>3184</v>
          </cell>
        </row>
        <row r="4">
          <cell r="A4" t="str">
            <v>1Q03A</v>
          </cell>
          <cell r="B4">
            <v>157.9</v>
          </cell>
          <cell r="D4">
            <v>0.1792484958565104</v>
          </cell>
          <cell r="E4">
            <v>723</v>
          </cell>
          <cell r="G4">
            <v>880.9</v>
          </cell>
        </row>
        <row r="5">
          <cell r="A5" t="str">
            <v>2Q03A</v>
          </cell>
          <cell r="B5">
            <v>216.6</v>
          </cell>
          <cell r="D5">
            <v>0.23451710697271544</v>
          </cell>
          <cell r="E5">
            <v>707</v>
          </cell>
          <cell r="G5">
            <v>923.6</v>
          </cell>
        </row>
        <row r="6">
          <cell r="A6" t="str">
            <v>3Q03A</v>
          </cell>
          <cell r="B6">
            <v>283.89999999999998</v>
          </cell>
          <cell r="D6">
            <v>0.28766845678386865</v>
          </cell>
          <cell r="E6">
            <v>703</v>
          </cell>
          <cell r="G6">
            <v>986.9</v>
          </cell>
        </row>
        <row r="7">
          <cell r="A7" t="str">
            <v>4Q03A</v>
          </cell>
          <cell r="B7">
            <v>321.5</v>
          </cell>
          <cell r="C7">
            <v>1.1433333333333335</v>
          </cell>
          <cell r="D7">
            <v>0.32392947103274561</v>
          </cell>
          <cell r="E7">
            <v>671</v>
          </cell>
          <cell r="F7">
            <v>-0.16438356164383561</v>
          </cell>
          <cell r="G7">
            <v>992.5</v>
          </cell>
          <cell r="H7">
            <v>4.1448058761804907E-2</v>
          </cell>
        </row>
        <row r="8">
          <cell r="A8" t="str">
            <v>2003A</v>
          </cell>
          <cell r="B8">
            <v>979.9</v>
          </cell>
          <cell r="C8">
            <v>5.5326666666666666</v>
          </cell>
          <cell r="D8">
            <v>0.25896561748460584</v>
          </cell>
          <cell r="E8">
            <v>2804</v>
          </cell>
          <cell r="F8">
            <v>-7.5807514831905065E-2</v>
          </cell>
          <cell r="G8">
            <v>3783.9</v>
          </cell>
          <cell r="H8">
            <v>0.18841080402010046</v>
          </cell>
        </row>
        <row r="9">
          <cell r="A9" t="str">
            <v>1Q04A</v>
          </cell>
          <cell r="B9">
            <v>329.6</v>
          </cell>
          <cell r="C9">
            <v>1.0873970867637746</v>
          </cell>
          <cell r="D9">
            <v>0.32389937106918243</v>
          </cell>
          <cell r="E9">
            <v>688</v>
          </cell>
          <cell r="F9">
            <v>-4.8409405255878335E-2</v>
          </cell>
          <cell r="G9">
            <v>1017.6</v>
          </cell>
          <cell r="H9">
            <v>0.15518220002270411</v>
          </cell>
        </row>
        <row r="10">
          <cell r="A10" t="str">
            <v>2Q04A</v>
          </cell>
          <cell r="B10">
            <v>380.7</v>
          </cell>
          <cell r="C10">
            <v>0.75761772853185594</v>
          </cell>
          <cell r="D10">
            <v>0.3954502960423808</v>
          </cell>
          <cell r="E10">
            <v>582</v>
          </cell>
          <cell r="F10">
            <v>-0.1768033946251768</v>
          </cell>
          <cell r="G10">
            <v>962.7</v>
          </cell>
          <cell r="H10">
            <v>4.2334343871806013E-2</v>
          </cell>
        </row>
        <row r="11">
          <cell r="A11" t="str">
            <v>3Q04A</v>
          </cell>
          <cell r="B11">
            <v>374</v>
          </cell>
          <cell r="C11">
            <v>0.31736526946107801</v>
          </cell>
          <cell r="D11">
            <v>0.3789260385005066</v>
          </cell>
          <cell r="E11">
            <v>613</v>
          </cell>
          <cell r="F11">
            <v>-0.12802275960170695</v>
          </cell>
          <cell r="G11">
            <v>987</v>
          </cell>
          <cell r="H11">
            <v>1.0132738879331527E-4</v>
          </cell>
        </row>
        <row r="12">
          <cell r="A12" t="str">
            <v>4Q04A</v>
          </cell>
          <cell r="B12">
            <v>424</v>
          </cell>
          <cell r="C12">
            <v>0.3188180404354588</v>
          </cell>
          <cell r="D12">
            <v>0.42315369261477048</v>
          </cell>
          <cell r="E12">
            <v>578</v>
          </cell>
          <cell r="F12">
            <v>-0.13859910581222057</v>
          </cell>
          <cell r="G12">
            <v>1002</v>
          </cell>
          <cell r="H12">
            <v>9.5717884130981368E-3</v>
          </cell>
        </row>
        <row r="13">
          <cell r="A13" t="str">
            <v>2004A</v>
          </cell>
          <cell r="B13">
            <v>1533.3</v>
          </cell>
          <cell r="C13">
            <v>0.56475150525563822</v>
          </cell>
          <cell r="D13">
            <v>0.38387201762511575</v>
          </cell>
          <cell r="E13">
            <v>2461</v>
          </cell>
          <cell r="F13">
            <v>-0.12232524964336666</v>
          </cell>
          <cell r="G13">
            <v>3994.3</v>
          </cell>
          <cell r="H13">
            <v>5.5604006448373378E-2</v>
          </cell>
        </row>
        <row r="14">
          <cell r="A14" t="str">
            <v>1Q05A</v>
          </cell>
          <cell r="B14">
            <v>447</v>
          </cell>
          <cell r="C14">
            <v>0.3561893203883495</v>
          </cell>
          <cell r="D14">
            <v>0.44169960474308301</v>
          </cell>
          <cell r="E14">
            <v>565</v>
          </cell>
          <cell r="F14">
            <v>-0.17877906976744184</v>
          </cell>
          <cell r="G14">
            <v>1012</v>
          </cell>
          <cell r="H14">
            <v>-5.5031446540880768E-3</v>
          </cell>
        </row>
        <row r="15">
          <cell r="A15" t="str">
            <v>2Q05A</v>
          </cell>
          <cell r="B15">
            <v>536</v>
          </cell>
          <cell r="C15">
            <v>0.40793275545048591</v>
          </cell>
          <cell r="D15">
            <v>0.48638838475499091</v>
          </cell>
          <cell r="E15">
            <v>566</v>
          </cell>
          <cell r="F15">
            <v>-2.7491408934707917E-2</v>
          </cell>
          <cell r="G15">
            <v>1102</v>
          </cell>
          <cell r="H15">
            <v>0.14469720577542322</v>
          </cell>
        </row>
        <row r="16">
          <cell r="A16" t="str">
            <v>3Q05A</v>
          </cell>
          <cell r="B16">
            <v>542</v>
          </cell>
          <cell r="C16">
            <v>0.44919786096256686</v>
          </cell>
          <cell r="D16">
            <v>0.48522829006266788</v>
          </cell>
          <cell r="E16">
            <v>575</v>
          </cell>
          <cell r="F16">
            <v>-6.1990212071778128E-2</v>
          </cell>
          <cell r="G16">
            <v>1117</v>
          </cell>
          <cell r="H16">
            <v>0.13171225937183384</v>
          </cell>
        </row>
        <row r="17">
          <cell r="A17" t="str">
            <v>4Q05A</v>
          </cell>
          <cell r="B17">
            <v>579</v>
          </cell>
          <cell r="C17">
            <v>0.36556603773584895</v>
          </cell>
          <cell r="D17">
            <v>0.51742627345844505</v>
          </cell>
          <cell r="E17">
            <v>540</v>
          </cell>
          <cell r="F17">
            <v>-6.5743944636678209E-2</v>
          </cell>
          <cell r="G17">
            <v>1119</v>
          </cell>
          <cell r="H17">
            <v>0.11676646706586835</v>
          </cell>
        </row>
        <row r="18">
          <cell r="A18" t="str">
            <v>2005A</v>
          </cell>
          <cell r="B18">
            <v>2104</v>
          </cell>
          <cell r="C18">
            <v>0.37220374355964259</v>
          </cell>
          <cell r="D18">
            <v>0.48367816091954025</v>
          </cell>
          <cell r="E18">
            <v>2246</v>
          </cell>
          <cell r="F18">
            <v>-8.7362860625761929E-2</v>
          </cell>
          <cell r="G18">
            <v>4350</v>
          </cell>
          <cell r="H18">
            <v>8.9051898956012288E-2</v>
          </cell>
        </row>
        <row r="19">
          <cell r="A19" t="str">
            <v>1Q06A</v>
          </cell>
          <cell r="B19">
            <v>596</v>
          </cell>
          <cell r="C19">
            <v>0.33333333333333326</v>
          </cell>
          <cell r="D19">
            <v>0.53072128227960824</v>
          </cell>
          <cell r="E19">
            <v>527</v>
          </cell>
          <cell r="F19">
            <v>-6.7256637168141564E-2</v>
          </cell>
          <cell r="G19">
            <v>1123</v>
          </cell>
          <cell r="H19">
            <v>0.10968379446640308</v>
          </cell>
        </row>
        <row r="20">
          <cell r="A20" t="str">
            <v>2Q06E</v>
          </cell>
          <cell r="B20">
            <v>645</v>
          </cell>
          <cell r="C20">
            <v>0.20335820895522394</v>
          </cell>
          <cell r="D20">
            <v>0.54020100502512558</v>
          </cell>
          <cell r="E20">
            <v>549</v>
          </cell>
          <cell r="F20">
            <v>-3.0035335689045928E-2</v>
          </cell>
          <cell r="G20">
            <v>1194</v>
          </cell>
          <cell r="H20">
            <v>8.3484573502722315E-2</v>
          </cell>
        </row>
        <row r="21">
          <cell r="A21" t="str">
            <v>3Q06E</v>
          </cell>
          <cell r="B21">
            <v>665</v>
          </cell>
          <cell r="C21">
            <v>0.22693726937269365</v>
          </cell>
          <cell r="D21">
            <v>0.53115015974440893</v>
          </cell>
          <cell r="E21">
            <v>587</v>
          </cell>
          <cell r="F21">
            <v>2.0869565217391362E-2</v>
          </cell>
          <cell r="G21">
            <v>1252</v>
          </cell>
          <cell r="H21">
            <v>0.12085944494180834</v>
          </cell>
        </row>
        <row r="22">
          <cell r="A22" t="str">
            <v>4Q06E</v>
          </cell>
          <cell r="B22">
            <v>690</v>
          </cell>
          <cell r="C22">
            <v>0.19170984455958551</v>
          </cell>
          <cell r="D22">
            <v>0.56097560975609762</v>
          </cell>
          <cell r="E22">
            <v>540</v>
          </cell>
          <cell r="F22">
            <v>0</v>
          </cell>
          <cell r="G22">
            <v>1230</v>
          </cell>
          <cell r="H22">
            <v>9.9195710455764141E-2</v>
          </cell>
        </row>
        <row r="23">
          <cell r="A23" t="str">
            <v>2006E</v>
          </cell>
          <cell r="B23">
            <v>2596</v>
          </cell>
          <cell r="C23">
            <v>0.23384030418250945</v>
          </cell>
          <cell r="D23">
            <v>0.54094603042300482</v>
          </cell>
          <cell r="E23">
            <v>2203</v>
          </cell>
          <cell r="F23">
            <v>-1.9145146927871726E-2</v>
          </cell>
          <cell r="G23">
            <v>4799</v>
          </cell>
          <cell r="H23">
            <v>0.1032183908045976</v>
          </cell>
        </row>
        <row r="24">
          <cell r="A24" t="str">
            <v>2007E</v>
          </cell>
          <cell r="B24">
            <v>2975</v>
          </cell>
          <cell r="C24">
            <v>0.14599383667180277</v>
          </cell>
          <cell r="D24">
            <v>0.60198300283286121</v>
          </cell>
          <cell r="E24">
            <v>1967</v>
          </cell>
          <cell r="F24">
            <v>-0.10712664548343165</v>
          </cell>
          <cell r="G24">
            <v>4942</v>
          </cell>
          <cell r="H24">
            <v>2.97978745571994E-2</v>
          </cell>
        </row>
        <row r="25">
          <cell r="A25" t="str">
            <v>2008E</v>
          </cell>
          <cell r="B25">
            <v>3300</v>
          </cell>
          <cell r="C25">
            <v>0.10924369747899165</v>
          </cell>
          <cell r="D25">
            <v>0.65075921908893708</v>
          </cell>
          <cell r="E25">
            <v>1771</v>
          </cell>
          <cell r="F25">
            <v>-9.9644128113879016E-2</v>
          </cell>
          <cell r="G25">
            <v>5071</v>
          </cell>
          <cell r="H25">
            <v>2.6102792391744289E-2</v>
          </cell>
        </row>
        <row r="26">
          <cell r="A26" t="str">
            <v>2009E</v>
          </cell>
          <cell r="B26">
            <v>3600</v>
          </cell>
          <cell r="C26">
            <v>9.0909090909090828E-2</v>
          </cell>
          <cell r="D26">
            <v>0.69310743165190603</v>
          </cell>
          <cell r="E26">
            <v>1594</v>
          </cell>
          <cell r="F26">
            <v>-9.9943534726143368E-2</v>
          </cell>
          <cell r="G26">
            <v>5194</v>
          </cell>
          <cell r="H26">
            <v>2.4255570893314982E-2</v>
          </cell>
        </row>
      </sheetData>
      <sheetData sheetId="15" refreshError="1"/>
      <sheetData sheetId="16" refreshError="1"/>
      <sheetData sheetId="17"/>
      <sheetData sheetId="18" refreshError="1">
        <row r="1">
          <cell r="C1" t="str">
            <v>At Risk
for FN</v>
          </cell>
          <cell r="D1" t="str">
            <v>Treated Front-line</v>
          </cell>
          <cell r="E1" t="str">
            <v>Untreated
Front-line</v>
          </cell>
        </row>
        <row r="2">
          <cell r="B2" t="str">
            <v>Breast Cancer</v>
          </cell>
          <cell r="C2">
            <v>117000</v>
          </cell>
          <cell r="D2">
            <v>30420</v>
          </cell>
          <cell r="E2">
            <v>86580</v>
          </cell>
          <cell r="G2" t="str">
            <v>US</v>
          </cell>
          <cell r="H2" t="str">
            <v>1Q04</v>
          </cell>
          <cell r="I2" t="str">
            <v>2Q04</v>
          </cell>
          <cell r="J2" t="str">
            <v>3Q04</v>
          </cell>
          <cell r="L2" t="str">
            <v>n= 411</v>
          </cell>
          <cell r="M2" t="str">
            <v>AMG 162</v>
          </cell>
          <cell r="N2" t="str">
            <v>Fosamax</v>
          </cell>
          <cell r="O2" t="str">
            <v>Placebo</v>
          </cell>
        </row>
        <row r="3">
          <cell r="B3" t="str">
            <v>Lung Cancer</v>
          </cell>
          <cell r="C3">
            <v>138000</v>
          </cell>
          <cell r="D3">
            <v>11040</v>
          </cell>
          <cell r="E3">
            <v>126960</v>
          </cell>
          <cell r="G3" t="str">
            <v>Aranesp</v>
          </cell>
          <cell r="H3">
            <v>0.37</v>
          </cell>
          <cell r="I3">
            <v>0.39</v>
          </cell>
          <cell r="J3">
            <v>0.43</v>
          </cell>
          <cell r="L3" t="str">
            <v>BMD (6 months)</v>
          </cell>
          <cell r="M3" t="str">
            <v>+4-5%</v>
          </cell>
          <cell r="N3" t="str">
            <v>+5%</v>
          </cell>
        </row>
        <row r="4">
          <cell r="G4" t="str">
            <v>Procrit</v>
          </cell>
          <cell r="H4">
            <v>0.63</v>
          </cell>
          <cell r="I4">
            <v>0.61</v>
          </cell>
          <cell r="J4">
            <v>0.56999999999999995</v>
          </cell>
          <cell r="L4" t="str">
            <v>BMD (12 months)</v>
          </cell>
          <cell r="M4" t="str">
            <v>+4-7%</v>
          </cell>
          <cell r="N4" t="str">
            <v>+5%</v>
          </cell>
          <cell r="O4">
            <v>0.01</v>
          </cell>
          <cell r="S4" t="str">
            <v>Patent</v>
          </cell>
          <cell r="T4" t="str">
            <v>Date Issued</v>
          </cell>
          <cell r="U4" t="str">
            <v>Description*</v>
          </cell>
          <cell r="V4" t="str">
            <v>Status</v>
          </cell>
        </row>
        <row r="5">
          <cell r="L5" t="str">
            <v>Dyspepsia</v>
          </cell>
          <cell r="M5">
            <v>0.05</v>
          </cell>
          <cell r="N5">
            <v>0.2</v>
          </cell>
          <cell r="O5">
            <v>0.04</v>
          </cell>
          <cell r="S5" t="str">
            <v>'422</v>
          </cell>
          <cell r="T5">
            <v>36424</v>
          </cell>
          <cell r="U5" t="str">
            <v>Composition of therapeutically effective amount of erythropoietin</v>
          </cell>
          <cell r="V5" t="str">
            <v>Previously found to be valid and infringed upon</v>
          </cell>
        </row>
        <row r="6">
          <cell r="S6" t="str">
            <v>'080</v>
          </cell>
          <cell r="T6">
            <v>35535</v>
          </cell>
          <cell r="U6" t="str">
            <v>Erythropoietin product and manufacturing process</v>
          </cell>
          <cell r="V6" t="str">
            <v>Previously found to be valid and infringed upon</v>
          </cell>
        </row>
        <row r="7">
          <cell r="S7" t="str">
            <v>'698</v>
          </cell>
          <cell r="T7">
            <v>35521</v>
          </cell>
          <cell r="U7" t="str">
            <v>Preparation process of erythropoietin product active in vivo</v>
          </cell>
          <cell r="V7" t="str">
            <v>Found to be valid and infringed upon today</v>
          </cell>
        </row>
        <row r="8">
          <cell r="M8" t="str">
            <v>AMG 162</v>
          </cell>
          <cell r="N8" t="str">
            <v>Fosamax</v>
          </cell>
          <cell r="O8" t="str">
            <v>Placebo</v>
          </cell>
          <cell r="P8" t="str">
            <v>p-value 
(AMG162 vs. Fosomax)</v>
          </cell>
          <cell r="S8" t="str">
            <v>'349</v>
          </cell>
          <cell r="T8">
            <v>35916</v>
          </cell>
          <cell r="U8" t="str">
            <v>Use of vertebrae cells to produce erythropoietin products</v>
          </cell>
          <cell r="V8" t="str">
            <v>Found to be valid and infringed upon today</v>
          </cell>
        </row>
        <row r="9">
          <cell r="L9" t="str">
            <v>Lumbar Spine</v>
          </cell>
          <cell r="M9" t="str">
            <v>+5%</v>
          </cell>
          <cell r="N9" t="str">
            <v>+5%</v>
          </cell>
          <cell r="O9" t="str">
            <v>-1%</v>
          </cell>
          <cell r="P9" t="str">
            <v>NS</v>
          </cell>
          <cell r="S9" t="str">
            <v>Note:  * Broadest claim</v>
          </cell>
        </row>
        <row r="10">
          <cell r="L10" t="str">
            <v>Hip</v>
          </cell>
          <cell r="M10" t="str">
            <v>+3%</v>
          </cell>
          <cell r="N10" t="str">
            <v>+2%</v>
          </cell>
          <cell r="O10" t="str">
            <v>-1%</v>
          </cell>
          <cell r="P10" t="str">
            <v>p=0.01</v>
          </cell>
        </row>
        <row r="11">
          <cell r="L11" t="str">
            <v>Distal radius</v>
          </cell>
          <cell r="M11" t="str">
            <v>+1.2%</v>
          </cell>
          <cell r="N11" t="str">
            <v>0%</v>
          </cell>
          <cell r="O11" t="str">
            <v>-2%</v>
          </cell>
          <cell r="P11" t="str">
            <v>p&lt;0.01</v>
          </cell>
        </row>
      </sheetData>
      <sheetData sheetId="19" refreshError="1">
        <row r="4">
          <cell r="B4" t="str">
            <v>(For Marketing Pack)</v>
          </cell>
        </row>
        <row r="6">
          <cell r="D6" t="str">
            <v>2004A</v>
          </cell>
          <cell r="F6" t="str">
            <v>2005A</v>
          </cell>
          <cell r="H6" t="str">
            <v>2006E</v>
          </cell>
          <cell r="J6" t="str">
            <v>2007E</v>
          </cell>
        </row>
        <row r="7">
          <cell r="B7" t="str">
            <v>Epogen</v>
          </cell>
          <cell r="D7">
            <v>2600.6</v>
          </cell>
          <cell r="F7">
            <v>2455</v>
          </cell>
          <cell r="H7">
            <v>2514</v>
          </cell>
          <cell r="J7">
            <v>2572.1174973954289</v>
          </cell>
        </row>
        <row r="8">
          <cell r="B8" t="str">
            <v>Aranesp</v>
          </cell>
          <cell r="D8">
            <v>2472.9</v>
          </cell>
          <cell r="F8">
            <v>3273</v>
          </cell>
          <cell r="H8">
            <v>3913</v>
          </cell>
          <cell r="J8">
            <v>4350</v>
          </cell>
        </row>
        <row r="9">
          <cell r="B9" t="str">
            <v>Neulasta</v>
          </cell>
          <cell r="D9">
            <v>1739.6</v>
          </cell>
          <cell r="F9">
            <v>2288</v>
          </cell>
          <cell r="H9">
            <v>2603</v>
          </cell>
          <cell r="J9">
            <v>2889.3300000000004</v>
          </cell>
        </row>
        <row r="10">
          <cell r="B10" t="str">
            <v>Enbrel</v>
          </cell>
          <cell r="D10">
            <v>1900.3</v>
          </cell>
          <cell r="F10">
            <v>2573</v>
          </cell>
          <cell r="H10">
            <v>2793</v>
          </cell>
          <cell r="J10">
            <v>3016.8307284116399</v>
          </cell>
        </row>
        <row r="11">
          <cell r="B11" t="str">
            <v>EPS</v>
          </cell>
          <cell r="D11">
            <v>2.36950115525927</v>
          </cell>
          <cell r="F11">
            <v>3.2027027027027026</v>
          </cell>
          <cell r="H11">
            <v>3.6698689952539394</v>
          </cell>
          <cell r="J11">
            <v>4.1013211403748855</v>
          </cell>
        </row>
        <row r="12">
          <cell r="B12" t="str">
            <v>Consensus</v>
          </cell>
          <cell r="D12">
            <v>2.41</v>
          </cell>
          <cell r="F12">
            <v>3.21</v>
          </cell>
          <cell r="H12">
            <v>3.64</v>
          </cell>
          <cell r="J12">
            <v>4.13</v>
          </cell>
        </row>
      </sheetData>
      <sheetData sheetId="20" refreshError="1"/>
      <sheetData sheetId="21" refreshError="1"/>
      <sheetData sheetId="22" refreshError="1"/>
      <sheetData sheetId="23" refreshError="1"/>
      <sheetData sheetId="2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387.53433721053443</v>
          </cell>
          <cell r="E12">
            <v>1892.7531972332217</v>
          </cell>
          <cell r="F12">
            <v>1644.5642158571281</v>
          </cell>
          <cell r="G12">
            <v>571.56336447899957</v>
          </cell>
          <cell r="H12">
            <v>311.15444329433376</v>
          </cell>
          <cell r="BA12" t="str">
            <v>.</v>
          </cell>
        </row>
        <row r="13">
          <cell r="C13" t="str">
            <v>Pipeline products launching 2010–2015</v>
          </cell>
          <cell r="D13">
            <v>488.88851560750004</v>
          </cell>
          <cell r="E13">
            <v>1032.6222136879819</v>
          </cell>
          <cell r="F13">
            <v>1194.3879881319788</v>
          </cell>
          <cell r="G13">
            <v>1592.9509373847059</v>
          </cell>
          <cell r="H13">
            <v>1925.324300143996</v>
          </cell>
          <cell r="BA13" t="str">
            <v>.</v>
          </cell>
        </row>
        <row r="14">
          <cell r="C14" t="str">
            <v>Products expiring 2010–15</v>
          </cell>
          <cell r="D14">
            <v>-2503.8715283726815</v>
          </cell>
          <cell r="E14">
            <v>-9665.2260233533452</v>
          </cell>
          <cell r="F14">
            <v>-2334.8086457217214</v>
          </cell>
          <cell r="G14">
            <v>-1585.5303074590174</v>
          </cell>
          <cell r="H14">
            <v>-1978.5871314405576</v>
          </cell>
          <cell r="BA14" t="str">
            <v>.</v>
          </cell>
        </row>
        <row r="15">
          <cell r="C15" t="str">
            <v>Net YOY change</v>
          </cell>
          <cell r="D15">
            <v>-1627.4486755546532</v>
          </cell>
          <cell r="E15">
            <v>-6739.8506124321284</v>
          </cell>
          <cell r="F15">
            <v>504.14355826737301</v>
          </cell>
          <cell r="G15">
            <v>578.98399440469802</v>
          </cell>
          <cell r="H15">
            <v>257.89161199776572</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row>
      </sheetData>
      <sheetData sheetId="3">
        <row r="1">
          <cell r="S1" t="str">
            <v>SmartCharts</v>
          </cell>
        </row>
      </sheetData>
      <sheetData sheetId="4"/>
      <sheetData sheetId="5">
        <row r="1">
          <cell r="S1" t="str">
            <v>SmartCharts</v>
          </cell>
        </row>
      </sheetData>
      <sheetData sheetId="6"/>
      <sheetData sheetId="7"/>
      <sheetData sheetId="8"/>
      <sheetData sheetId="9"/>
      <sheetData sheetId="10"/>
      <sheetData sheetId="11"/>
      <sheetData sheetId="12">
        <row r="2">
          <cell r="B2" t="str">
            <v>($M)</v>
          </cell>
        </row>
      </sheetData>
      <sheetData sheetId="13">
        <row r="1">
          <cell r="B1" t="str">
            <v>Historical Planned vs. Realized Cost Savings</v>
          </cell>
        </row>
      </sheetData>
      <sheetData sheetId="14"/>
      <sheetData sheetId="1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ipeline-handout"/>
      <sheetName val="summary"/>
    </sheetNames>
    <sheetDataSet>
      <sheetData sheetId="0"/>
      <sheetData sheetId="1">
        <row r="1">
          <cell r="R1" t="str">
            <v>SmartCharts</v>
          </cell>
        </row>
      </sheetData>
      <sheetData sheetId="2"/>
      <sheetData sheetId="3" refreshError="1"/>
      <sheetData sheetId="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Quarterly"/>
      <sheetName val="Annual"/>
      <sheetName val="Balance Sheet"/>
      <sheetName val="Cash Flow"/>
      <sheetName val="MS Est vs Rpt"/>
      <sheetName val="Changes to Model"/>
      <sheetName val="RSV Market"/>
      <sheetName val="NPV Valuation"/>
      <sheetName val="Pipeline Drugs"/>
      <sheetName val="Milestones &amp; Royalties"/>
      <sheetName val="mwareValPrintout"/>
      <sheetName val="mwareSettings"/>
      <sheetName val="mwareDates"/>
      <sheetName val="Marketing"/>
      <sheetName val="DCF"/>
      <sheetName val="NY UPLOAD shadow"/>
    </sheetNames>
    <sheetDataSet>
      <sheetData sheetId="0"/>
      <sheetData sheetId="1">
        <row r="1">
          <cell r="B1" t="str">
            <v>Alnylam Quarterly Income Statement</v>
          </cell>
          <cell r="CD1" t="str">
            <v>ElementName</v>
          </cell>
          <cell r="CE1" t="str">
            <v>ScaleOverride</v>
          </cell>
          <cell r="CF1" t="str">
            <v>UnitOverride</v>
          </cell>
          <cell r="CG1" t="str">
            <v>ReverseSign</v>
          </cell>
          <cell r="CH1" t="str">
            <v>IsDrivingAssumption</v>
          </cell>
          <cell r="CI1" t="str">
            <v>SegmentID</v>
          </cell>
        </row>
        <row r="2">
          <cell r="B2" t="str">
            <v>(Dollars in thousands except per-share data)</v>
          </cell>
          <cell r="BO2" t="str">
            <v>2008 Guidance</v>
          </cell>
        </row>
        <row r="3">
          <cell r="D3" t="str">
            <v>1Q04A</v>
          </cell>
          <cell r="E3" t="str">
            <v>% yoy</v>
          </cell>
          <cell r="F3" t="str">
            <v>2Q04A</v>
          </cell>
          <cell r="G3" t="str">
            <v>% yoy</v>
          </cell>
          <cell r="H3" t="str">
            <v>3Q04A</v>
          </cell>
          <cell r="I3" t="str">
            <v>% yoy</v>
          </cell>
          <cell r="J3" t="str">
            <v>4Q04A</v>
          </cell>
          <cell r="K3" t="str">
            <v>% yoy</v>
          </cell>
          <cell r="L3" t="str">
            <v>2004A</v>
          </cell>
          <cell r="N3" t="str">
            <v>1Q05A</v>
          </cell>
          <cell r="O3" t="str">
            <v>% yoy</v>
          </cell>
          <cell r="P3" t="str">
            <v>2Q05A</v>
          </cell>
          <cell r="Q3" t="str">
            <v>% yoy</v>
          </cell>
          <cell r="R3" t="str">
            <v>3Q05A</v>
          </cell>
          <cell r="S3" t="str">
            <v>% yoy</v>
          </cell>
          <cell r="T3" t="str">
            <v>4Q05A</v>
          </cell>
          <cell r="U3" t="str">
            <v>% yoy</v>
          </cell>
          <cell r="V3" t="str">
            <v>2005A</v>
          </cell>
          <cell r="W3" t="str">
            <v>% yoy</v>
          </cell>
          <cell r="Z3" t="str">
            <v>1Q06A</v>
          </cell>
          <cell r="AA3" t="str">
            <v xml:space="preserve"> </v>
          </cell>
          <cell r="AB3" t="str">
            <v>2Q06A</v>
          </cell>
          <cell r="AC3" t="str">
            <v>% yoy</v>
          </cell>
          <cell r="AD3" t="str">
            <v>3Q06A</v>
          </cell>
          <cell r="AE3" t="str">
            <v>% yoy</v>
          </cell>
          <cell r="AF3" t="str">
            <v>4Q06A</v>
          </cell>
          <cell r="AG3" t="str">
            <v>% yoy</v>
          </cell>
          <cell r="AH3" t="str">
            <v>2006A</v>
          </cell>
          <cell r="AI3" t="str">
            <v>% yoy</v>
          </cell>
          <cell r="AK3" t="str">
            <v>2006 Guidance</v>
          </cell>
          <cell r="AQ3" t="str">
            <v>1Q07A</v>
          </cell>
          <cell r="AR3" t="str">
            <v>% yoy</v>
          </cell>
          <cell r="AS3" t="str">
            <v>2Q07A</v>
          </cell>
          <cell r="AT3" t="str">
            <v>% yoy</v>
          </cell>
          <cell r="AU3" t="str">
            <v>3Q07A</v>
          </cell>
          <cell r="AV3" t="str">
            <v>% yoy</v>
          </cell>
          <cell r="AW3" t="str">
            <v>4Q07A</v>
          </cell>
          <cell r="AX3" t="str">
            <v>% yoy</v>
          </cell>
          <cell r="AY3" t="str">
            <v>2007E</v>
          </cell>
          <cell r="AZ3" t="str">
            <v>% yoy</v>
          </cell>
          <cell r="BA3" t="str">
            <v>Guidance</v>
          </cell>
          <cell r="BC3" t="str">
            <v>1Q08E</v>
          </cell>
          <cell r="BD3" t="str">
            <v>% yoy</v>
          </cell>
          <cell r="BE3" t="str">
            <v>2Q08E</v>
          </cell>
          <cell r="BF3" t="str">
            <v>% yoy</v>
          </cell>
          <cell r="BG3" t="str">
            <v>3Q08E</v>
          </cell>
          <cell r="BH3" t="str">
            <v>% yoy</v>
          </cell>
          <cell r="BI3" t="str">
            <v>4Q08E</v>
          </cell>
          <cell r="BJ3" t="str">
            <v>% yoy</v>
          </cell>
          <cell r="BK3" t="str">
            <v>2008E</v>
          </cell>
          <cell r="BL3" t="str">
            <v>% yoy</v>
          </cell>
          <cell r="BO3" t="str">
            <v>4Q07</v>
          </cell>
          <cell r="BP3" t="str">
            <v>1Q08</v>
          </cell>
          <cell r="BQ3" t="str">
            <v>2Q08</v>
          </cell>
          <cell r="BR3" t="str">
            <v>3Q08</v>
          </cell>
        </row>
        <row r="5">
          <cell r="B5" t="str">
            <v>Product Sales</v>
          </cell>
        </row>
        <row r="6">
          <cell r="B6" t="str">
            <v>Pandemic Flu (Total Sales)</v>
          </cell>
          <cell r="D6">
            <v>0</v>
          </cell>
          <cell r="F6">
            <v>0</v>
          </cell>
          <cell r="H6">
            <v>0</v>
          </cell>
          <cell r="J6">
            <v>0</v>
          </cell>
          <cell r="L6">
            <v>0</v>
          </cell>
          <cell r="N6">
            <v>0</v>
          </cell>
          <cell r="P6">
            <v>0</v>
          </cell>
          <cell r="R6">
            <v>0</v>
          </cell>
          <cell r="T6">
            <v>0</v>
          </cell>
          <cell r="V6">
            <v>0</v>
          </cell>
          <cell r="Z6">
            <v>0</v>
          </cell>
          <cell r="AB6">
            <v>0</v>
          </cell>
          <cell r="AD6">
            <v>0</v>
          </cell>
          <cell r="AF6">
            <v>0</v>
          </cell>
          <cell r="AH6">
            <v>0</v>
          </cell>
          <cell r="AQ6">
            <v>0</v>
          </cell>
          <cell r="AS6">
            <v>0</v>
          </cell>
          <cell r="AU6">
            <v>0</v>
          </cell>
          <cell r="AW6">
            <v>0</v>
          </cell>
          <cell r="AY6">
            <v>0</v>
          </cell>
          <cell r="BC6">
            <v>0</v>
          </cell>
          <cell r="BE6">
            <v>0</v>
          </cell>
          <cell r="BG6">
            <v>0</v>
          </cell>
          <cell r="BI6">
            <v>0</v>
          </cell>
          <cell r="BK6">
            <v>0</v>
          </cell>
        </row>
        <row r="7">
          <cell r="B7" t="str">
            <v>RSV (Total Sales)</v>
          </cell>
          <cell r="D7">
            <v>0</v>
          </cell>
          <cell r="F7">
            <v>0</v>
          </cell>
          <cell r="H7">
            <v>0</v>
          </cell>
          <cell r="J7">
            <v>0</v>
          </cell>
          <cell r="L7">
            <v>0</v>
          </cell>
          <cell r="N7">
            <v>0</v>
          </cell>
          <cell r="P7">
            <v>0</v>
          </cell>
          <cell r="R7">
            <v>0</v>
          </cell>
          <cell r="T7">
            <v>0</v>
          </cell>
          <cell r="V7">
            <v>0</v>
          </cell>
          <cell r="Z7">
            <v>0</v>
          </cell>
          <cell r="AB7">
            <v>0</v>
          </cell>
          <cell r="AD7">
            <v>0</v>
          </cell>
          <cell r="AF7">
            <v>0</v>
          </cell>
          <cell r="AH7">
            <v>0</v>
          </cell>
          <cell r="AQ7">
            <v>0</v>
          </cell>
          <cell r="AS7">
            <v>0</v>
          </cell>
          <cell r="AU7">
            <v>0</v>
          </cell>
          <cell r="AW7">
            <v>0</v>
          </cell>
          <cell r="AY7">
            <v>0</v>
          </cell>
          <cell r="BC7">
            <v>0</v>
          </cell>
          <cell r="BE7">
            <v>0</v>
          </cell>
          <cell r="BG7">
            <v>0</v>
          </cell>
          <cell r="BI7">
            <v>0</v>
          </cell>
          <cell r="BK7">
            <v>0</v>
          </cell>
        </row>
        <row r="8">
          <cell r="B8" t="str">
            <v xml:space="preserve">   RSV Operating Profit (ALNY Share)</v>
          </cell>
          <cell r="D8">
            <v>0</v>
          </cell>
          <cell r="F8">
            <v>0</v>
          </cell>
          <cell r="H8">
            <v>0</v>
          </cell>
          <cell r="J8">
            <v>0</v>
          </cell>
          <cell r="L8">
            <v>0</v>
          </cell>
          <cell r="N8">
            <v>0</v>
          </cell>
          <cell r="P8">
            <v>0</v>
          </cell>
          <cell r="R8">
            <v>0</v>
          </cell>
          <cell r="T8">
            <v>0</v>
          </cell>
          <cell r="V8">
            <v>0</v>
          </cell>
          <cell r="Z8">
            <v>0</v>
          </cell>
          <cell r="AB8">
            <v>0</v>
          </cell>
          <cell r="AD8">
            <v>0</v>
          </cell>
          <cell r="AF8">
            <v>0</v>
          </cell>
          <cell r="AH8">
            <v>0</v>
          </cell>
          <cell r="AQ8">
            <v>0</v>
          </cell>
          <cell r="AS8">
            <v>0</v>
          </cell>
          <cell r="AU8">
            <v>0</v>
          </cell>
          <cell r="AW8">
            <v>0</v>
          </cell>
          <cell r="AY8">
            <v>0</v>
          </cell>
          <cell r="BC8">
            <v>0</v>
          </cell>
          <cell r="BE8">
            <v>0</v>
          </cell>
          <cell r="BG8">
            <v>0</v>
          </cell>
          <cell r="BI8">
            <v>0</v>
          </cell>
          <cell r="BK8">
            <v>0</v>
          </cell>
        </row>
        <row r="9">
          <cell r="B9" t="str">
            <v xml:space="preserve">   RSV Expense Reimbursement (ALNY Share)</v>
          </cell>
          <cell r="D9">
            <v>0</v>
          </cell>
          <cell r="F9">
            <v>0</v>
          </cell>
          <cell r="H9">
            <v>0</v>
          </cell>
          <cell r="J9">
            <v>0</v>
          </cell>
          <cell r="L9">
            <v>0</v>
          </cell>
          <cell r="N9">
            <v>0</v>
          </cell>
          <cell r="P9">
            <v>0</v>
          </cell>
          <cell r="R9">
            <v>0</v>
          </cell>
          <cell r="T9">
            <v>0</v>
          </cell>
          <cell r="V9">
            <v>0</v>
          </cell>
          <cell r="Z9">
            <v>0</v>
          </cell>
          <cell r="AB9">
            <v>0</v>
          </cell>
          <cell r="AD9">
            <v>0</v>
          </cell>
          <cell r="AF9">
            <v>0</v>
          </cell>
          <cell r="AH9">
            <v>0</v>
          </cell>
          <cell r="AQ9">
            <v>0</v>
          </cell>
          <cell r="AS9">
            <v>0</v>
          </cell>
          <cell r="AU9">
            <v>0</v>
          </cell>
          <cell r="AW9">
            <v>0</v>
          </cell>
          <cell r="AY9">
            <v>0</v>
          </cell>
          <cell r="BC9">
            <v>0</v>
          </cell>
          <cell r="BE9">
            <v>0</v>
          </cell>
          <cell r="BG9">
            <v>0</v>
          </cell>
          <cell r="BI9">
            <v>0</v>
          </cell>
          <cell r="BK9">
            <v>0</v>
          </cell>
        </row>
        <row r="10">
          <cell r="BK10">
            <v>0</v>
          </cell>
        </row>
        <row r="11">
          <cell r="B11" t="str">
            <v xml:space="preserve">  Royalties from Collaborations</v>
          </cell>
          <cell r="D11">
            <v>0</v>
          </cell>
          <cell r="F11">
            <v>0</v>
          </cell>
          <cell r="H11">
            <v>0</v>
          </cell>
          <cell r="J11">
            <v>0</v>
          </cell>
          <cell r="L11">
            <v>0</v>
          </cell>
          <cell r="N11">
            <v>0</v>
          </cell>
          <cell r="P11">
            <v>0</v>
          </cell>
          <cell r="R11">
            <v>0</v>
          </cell>
          <cell r="T11">
            <v>0</v>
          </cell>
          <cell r="V11">
            <v>0</v>
          </cell>
          <cell r="Z11">
            <v>0</v>
          </cell>
          <cell r="AB11">
            <v>0</v>
          </cell>
          <cell r="AD11">
            <v>0</v>
          </cell>
          <cell r="AF11">
            <v>0</v>
          </cell>
          <cell r="AH11">
            <v>0</v>
          </cell>
          <cell r="AQ11">
            <v>0</v>
          </cell>
          <cell r="AS11">
            <v>0</v>
          </cell>
          <cell r="AU11">
            <v>0</v>
          </cell>
          <cell r="AW11">
            <v>0</v>
          </cell>
          <cell r="AY11">
            <v>0</v>
          </cell>
          <cell r="BC11">
            <v>0</v>
          </cell>
          <cell r="BE11">
            <v>0</v>
          </cell>
          <cell r="BG11">
            <v>0</v>
          </cell>
          <cell r="BI11">
            <v>0</v>
          </cell>
          <cell r="BK11">
            <v>0</v>
          </cell>
        </row>
        <row r="12">
          <cell r="B12" t="str">
            <v xml:space="preserve">   Committed Milestones</v>
          </cell>
          <cell r="D12">
            <v>134</v>
          </cell>
          <cell r="F12">
            <v>131</v>
          </cell>
          <cell r="H12">
            <v>1367</v>
          </cell>
          <cell r="J12">
            <v>2646</v>
          </cell>
          <cell r="L12">
            <v>4278</v>
          </cell>
          <cell r="N12">
            <v>1643</v>
          </cell>
          <cell r="P12">
            <v>1108</v>
          </cell>
          <cell r="R12">
            <v>1413</v>
          </cell>
          <cell r="T12">
            <v>1552</v>
          </cell>
          <cell r="V12">
            <v>5716</v>
          </cell>
          <cell r="Z12">
            <v>5717</v>
          </cell>
          <cell r="AB12">
            <v>6021</v>
          </cell>
          <cell r="AD12">
            <v>8211</v>
          </cell>
          <cell r="AF12">
            <v>6981</v>
          </cell>
          <cell r="AH12">
            <v>26930</v>
          </cell>
          <cell r="AQ12">
            <v>7217</v>
          </cell>
          <cell r="AS12">
            <v>9133</v>
          </cell>
          <cell r="AU12">
            <v>10333</v>
          </cell>
          <cell r="AW12">
            <v>18232</v>
          </cell>
          <cell r="AY12">
            <v>44915</v>
          </cell>
          <cell r="BC12">
            <v>19621.5</v>
          </cell>
          <cell r="BE12">
            <v>19621.5</v>
          </cell>
          <cell r="BG12">
            <v>19621.5</v>
          </cell>
          <cell r="BI12">
            <v>19621.5</v>
          </cell>
          <cell r="BK12">
            <v>78486</v>
          </cell>
        </row>
        <row r="13">
          <cell r="B13" t="str">
            <v xml:space="preserve">   R&amp;D Reimbursements</v>
          </cell>
          <cell r="D13">
            <v>0</v>
          </cell>
          <cell r="F13">
            <v>0</v>
          </cell>
          <cell r="H13">
            <v>0</v>
          </cell>
          <cell r="J13">
            <v>0</v>
          </cell>
          <cell r="L13">
            <v>0</v>
          </cell>
          <cell r="N13">
            <v>0</v>
          </cell>
          <cell r="P13">
            <v>0</v>
          </cell>
          <cell r="R13">
            <v>0</v>
          </cell>
          <cell r="T13">
            <v>0</v>
          </cell>
          <cell r="V13">
            <v>0</v>
          </cell>
          <cell r="Z13">
            <v>0</v>
          </cell>
          <cell r="AB13">
            <v>0</v>
          </cell>
          <cell r="AD13">
            <v>0</v>
          </cell>
          <cell r="AF13">
            <v>0</v>
          </cell>
          <cell r="AH13">
            <v>0</v>
          </cell>
          <cell r="AQ13">
            <v>0</v>
          </cell>
          <cell r="AS13">
            <v>0</v>
          </cell>
          <cell r="AU13">
            <v>0</v>
          </cell>
          <cell r="AW13">
            <v>0</v>
          </cell>
          <cell r="AY13">
            <v>0</v>
          </cell>
          <cell r="BK13">
            <v>0</v>
          </cell>
        </row>
        <row r="14">
          <cell r="B14" t="str">
            <v xml:space="preserve">   Projected Milestones</v>
          </cell>
          <cell r="D14">
            <v>0</v>
          </cell>
          <cell r="F14">
            <v>0</v>
          </cell>
          <cell r="H14">
            <v>0</v>
          </cell>
          <cell r="J14">
            <v>0</v>
          </cell>
          <cell r="L14">
            <v>0</v>
          </cell>
          <cell r="N14">
            <v>0</v>
          </cell>
          <cell r="P14">
            <v>0</v>
          </cell>
          <cell r="R14">
            <v>0</v>
          </cell>
          <cell r="T14">
            <v>0</v>
          </cell>
          <cell r="V14">
            <v>0</v>
          </cell>
          <cell r="Z14">
            <v>0</v>
          </cell>
          <cell r="AB14">
            <v>0</v>
          </cell>
          <cell r="AD14">
            <v>0</v>
          </cell>
          <cell r="AF14">
            <v>0</v>
          </cell>
          <cell r="AH14">
            <v>0</v>
          </cell>
          <cell r="AQ14">
            <v>0</v>
          </cell>
          <cell r="AS14">
            <v>0</v>
          </cell>
          <cell r="AU14">
            <v>5982</v>
          </cell>
          <cell r="AW14">
            <v>0</v>
          </cell>
          <cell r="AY14">
            <v>5982</v>
          </cell>
          <cell r="BC14">
            <v>12750</v>
          </cell>
          <cell r="BE14">
            <v>12750</v>
          </cell>
          <cell r="BG14">
            <v>12750</v>
          </cell>
          <cell r="BI14">
            <v>12750</v>
          </cell>
          <cell r="BK14">
            <v>51000</v>
          </cell>
        </row>
        <row r="15">
          <cell r="B15" t="str">
            <v>Collaberative Research (Total Milestones)</v>
          </cell>
          <cell r="D15">
            <v>134</v>
          </cell>
          <cell r="F15">
            <v>131</v>
          </cell>
          <cell r="H15">
            <v>1367</v>
          </cell>
          <cell r="J15">
            <v>2646</v>
          </cell>
          <cell r="L15">
            <v>4278</v>
          </cell>
          <cell r="N15">
            <v>1643</v>
          </cell>
          <cell r="P15">
            <v>1108</v>
          </cell>
          <cell r="R15">
            <v>1413</v>
          </cell>
          <cell r="T15">
            <v>1552</v>
          </cell>
          <cell r="V15">
            <v>5716</v>
          </cell>
          <cell r="Z15">
            <v>5717</v>
          </cell>
          <cell r="AB15">
            <v>6021</v>
          </cell>
          <cell r="AD15">
            <v>8211</v>
          </cell>
          <cell r="AF15">
            <v>6981</v>
          </cell>
          <cell r="AH15">
            <v>26930</v>
          </cell>
          <cell r="AK15" t="str">
            <v>&gt;15MM</v>
          </cell>
          <cell r="AQ15">
            <v>7217</v>
          </cell>
          <cell r="AS15">
            <v>9133</v>
          </cell>
          <cell r="AU15">
            <v>16315</v>
          </cell>
          <cell r="AW15">
            <v>18232</v>
          </cell>
          <cell r="AY15">
            <v>50897</v>
          </cell>
          <cell r="BA15" t="str">
            <v>&gt;25mm</v>
          </cell>
          <cell r="BC15">
            <v>32371.5</v>
          </cell>
          <cell r="BE15">
            <v>32371.5</v>
          </cell>
          <cell r="BG15">
            <v>32371.5</v>
          </cell>
          <cell r="BI15">
            <v>32371.5</v>
          </cell>
          <cell r="BK15">
            <v>129486</v>
          </cell>
        </row>
        <row r="16">
          <cell r="B16" t="str">
            <v xml:space="preserve">  US Profit Share (RSV)</v>
          </cell>
          <cell r="D16">
            <v>0</v>
          </cell>
          <cell r="F16">
            <v>0</v>
          </cell>
          <cell r="H16">
            <v>0</v>
          </cell>
          <cell r="J16">
            <v>0</v>
          </cell>
          <cell r="L16">
            <v>0</v>
          </cell>
          <cell r="N16">
            <v>0</v>
          </cell>
          <cell r="P16">
            <v>0</v>
          </cell>
          <cell r="R16">
            <v>0</v>
          </cell>
          <cell r="T16">
            <v>0</v>
          </cell>
          <cell r="V16">
            <v>0</v>
          </cell>
          <cell r="Z16">
            <v>0</v>
          </cell>
          <cell r="AB16">
            <v>0</v>
          </cell>
          <cell r="AD16">
            <v>0</v>
          </cell>
          <cell r="AF16">
            <v>0</v>
          </cell>
          <cell r="AH16">
            <v>0</v>
          </cell>
          <cell r="AQ16">
            <v>0</v>
          </cell>
          <cell r="AS16">
            <v>0</v>
          </cell>
          <cell r="AU16">
            <v>0</v>
          </cell>
          <cell r="AW16">
            <v>0</v>
          </cell>
          <cell r="AY16">
            <v>0</v>
          </cell>
          <cell r="BC16">
            <v>0</v>
          </cell>
          <cell r="BE16">
            <v>0</v>
          </cell>
          <cell r="BG16">
            <v>0</v>
          </cell>
          <cell r="BI16">
            <v>0</v>
          </cell>
          <cell r="BK16">
            <v>0</v>
          </cell>
        </row>
        <row r="17">
          <cell r="B17" t="str">
            <v xml:space="preserve">  ex-US royalties (RSV)</v>
          </cell>
          <cell r="D17">
            <v>0</v>
          </cell>
          <cell r="F17">
            <v>0</v>
          </cell>
          <cell r="H17">
            <v>0</v>
          </cell>
          <cell r="J17">
            <v>0</v>
          </cell>
          <cell r="L17">
            <v>0</v>
          </cell>
          <cell r="N17">
            <v>0</v>
          </cell>
          <cell r="P17">
            <v>0</v>
          </cell>
          <cell r="R17">
            <v>0</v>
          </cell>
          <cell r="T17">
            <v>0</v>
          </cell>
          <cell r="V17">
            <v>0</v>
          </cell>
          <cell r="Z17">
            <v>0</v>
          </cell>
          <cell r="AB17">
            <v>0</v>
          </cell>
          <cell r="AD17">
            <v>0</v>
          </cell>
          <cell r="AF17">
            <v>0</v>
          </cell>
          <cell r="AH17">
            <v>0</v>
          </cell>
          <cell r="AQ17">
            <v>0</v>
          </cell>
          <cell r="AS17">
            <v>0</v>
          </cell>
          <cell r="AU17">
            <v>0</v>
          </cell>
          <cell r="AW17">
            <v>0</v>
          </cell>
          <cell r="AY17">
            <v>0</v>
          </cell>
          <cell r="BC17">
            <v>0</v>
          </cell>
          <cell r="BE17">
            <v>0</v>
          </cell>
          <cell r="BG17">
            <v>0</v>
          </cell>
          <cell r="BI17">
            <v>0</v>
          </cell>
          <cell r="BK17">
            <v>0</v>
          </cell>
        </row>
        <row r="18">
          <cell r="B18" t="str">
            <v>Pandemic Flu</v>
          </cell>
          <cell r="D18">
            <v>0</v>
          </cell>
          <cell r="F18">
            <v>0</v>
          </cell>
          <cell r="H18">
            <v>0</v>
          </cell>
          <cell r="J18">
            <v>0</v>
          </cell>
          <cell r="L18">
            <v>0</v>
          </cell>
          <cell r="N18">
            <v>0</v>
          </cell>
          <cell r="P18">
            <v>0</v>
          </cell>
          <cell r="R18">
            <v>0</v>
          </cell>
          <cell r="T18">
            <v>0</v>
          </cell>
          <cell r="V18">
            <v>0</v>
          </cell>
          <cell r="Z18">
            <v>0</v>
          </cell>
          <cell r="AB18">
            <v>0</v>
          </cell>
          <cell r="AD18">
            <v>0</v>
          </cell>
          <cell r="AF18">
            <v>0</v>
          </cell>
          <cell r="AH18">
            <v>0</v>
          </cell>
          <cell r="AQ18">
            <v>0</v>
          </cell>
          <cell r="AS18">
            <v>0</v>
          </cell>
          <cell r="AU18">
            <v>0</v>
          </cell>
          <cell r="AW18">
            <v>0</v>
          </cell>
          <cell r="AY18">
            <v>0</v>
          </cell>
          <cell r="BC18">
            <v>0</v>
          </cell>
          <cell r="BE18">
            <v>0</v>
          </cell>
          <cell r="BG18">
            <v>0</v>
          </cell>
          <cell r="BI18">
            <v>0</v>
          </cell>
          <cell r="BK18">
            <v>0</v>
          </cell>
        </row>
        <row r="19">
          <cell r="B19" t="str">
            <v>Total Revenues</v>
          </cell>
          <cell r="D19">
            <v>134</v>
          </cell>
          <cell r="F19">
            <v>131</v>
          </cell>
          <cell r="H19">
            <v>1367</v>
          </cell>
          <cell r="J19">
            <v>2646</v>
          </cell>
          <cell r="L19">
            <v>4278</v>
          </cell>
          <cell r="N19">
            <v>1643</v>
          </cell>
          <cell r="P19">
            <v>1108</v>
          </cell>
          <cell r="R19">
            <v>1413</v>
          </cell>
          <cell r="T19">
            <v>1552</v>
          </cell>
          <cell r="V19">
            <v>5716</v>
          </cell>
          <cell r="Z19">
            <v>5717</v>
          </cell>
          <cell r="AB19">
            <v>6021</v>
          </cell>
          <cell r="AD19">
            <v>8211</v>
          </cell>
          <cell r="AF19">
            <v>6981</v>
          </cell>
          <cell r="AH19">
            <v>26930</v>
          </cell>
          <cell r="AQ19">
            <v>7217</v>
          </cell>
          <cell r="AS19">
            <v>9133</v>
          </cell>
          <cell r="AU19">
            <v>16315</v>
          </cell>
          <cell r="AW19">
            <v>18232</v>
          </cell>
          <cell r="AY19">
            <v>50897</v>
          </cell>
          <cell r="BC19">
            <v>32371.5</v>
          </cell>
          <cell r="BE19">
            <v>32371.5</v>
          </cell>
          <cell r="BG19">
            <v>32371.5</v>
          </cell>
          <cell r="BI19">
            <v>32371.5</v>
          </cell>
          <cell r="BK19">
            <v>129486</v>
          </cell>
          <cell r="CD19" t="str">
            <v>mstag:revenueNet</v>
          </cell>
          <cell r="CE19">
            <v>3</v>
          </cell>
          <cell r="CF19" t="str">
            <v>ISO4217:USD</v>
          </cell>
          <cell r="CG19" t="b">
            <v>0</v>
          </cell>
          <cell r="CH19" t="b">
            <v>0</v>
          </cell>
        </row>
        <row r="20">
          <cell r="B20" t="str">
            <v>Operating Expenses:</v>
          </cell>
        </row>
        <row r="21">
          <cell r="B21" t="str">
            <v xml:space="preserve">    COGS</v>
          </cell>
          <cell r="D21">
            <v>0</v>
          </cell>
          <cell r="F21">
            <v>0</v>
          </cell>
          <cell r="H21">
            <v>0</v>
          </cell>
          <cell r="J21">
            <v>0</v>
          </cell>
          <cell r="L21">
            <v>0</v>
          </cell>
          <cell r="N21">
            <v>0</v>
          </cell>
          <cell r="P21">
            <v>0</v>
          </cell>
          <cell r="R21">
            <v>0</v>
          </cell>
          <cell r="T21">
            <v>0</v>
          </cell>
          <cell r="V21">
            <v>0</v>
          </cell>
          <cell r="Z21">
            <v>0</v>
          </cell>
          <cell r="AB21">
            <v>0</v>
          </cell>
          <cell r="AD21">
            <v>0</v>
          </cell>
          <cell r="AF21">
            <v>0</v>
          </cell>
          <cell r="AH21">
            <v>0</v>
          </cell>
          <cell r="AQ21">
            <v>0</v>
          </cell>
          <cell r="AS21">
            <v>0</v>
          </cell>
          <cell r="AU21">
            <v>0</v>
          </cell>
          <cell r="AW21">
            <v>0</v>
          </cell>
          <cell r="AY21">
            <v>0</v>
          </cell>
          <cell r="BC21">
            <v>0</v>
          </cell>
          <cell r="BE21">
            <v>0</v>
          </cell>
          <cell r="BG21">
            <v>0</v>
          </cell>
          <cell r="BI21">
            <v>0</v>
          </cell>
          <cell r="BK21">
            <v>0</v>
          </cell>
          <cell r="CD21" t="str">
            <v>mstag:costOfSalesWithDepreciation</v>
          </cell>
          <cell r="CE21">
            <v>3</v>
          </cell>
          <cell r="CF21" t="str">
            <v>ISO4217:USD</v>
          </cell>
          <cell r="CG21" t="b">
            <v>0</v>
          </cell>
          <cell r="CH21" t="b">
            <v>0</v>
          </cell>
        </row>
        <row r="22">
          <cell r="B22" t="str">
            <v xml:space="preserve">        % of sales</v>
          </cell>
          <cell r="D22">
            <v>0</v>
          </cell>
          <cell r="F22">
            <v>0</v>
          </cell>
          <cell r="H22">
            <v>0</v>
          </cell>
          <cell r="J22">
            <v>0</v>
          </cell>
          <cell r="L22">
            <v>0</v>
          </cell>
          <cell r="N22">
            <v>0</v>
          </cell>
          <cell r="P22">
            <v>0</v>
          </cell>
          <cell r="R22">
            <v>0</v>
          </cell>
          <cell r="T22">
            <v>0</v>
          </cell>
          <cell r="V22">
            <v>0</v>
          </cell>
          <cell r="Z22">
            <v>0</v>
          </cell>
          <cell r="AB22">
            <v>0</v>
          </cell>
          <cell r="AD22">
            <v>0</v>
          </cell>
          <cell r="AF22">
            <v>0</v>
          </cell>
          <cell r="AH22">
            <v>0</v>
          </cell>
          <cell r="AQ22">
            <v>0</v>
          </cell>
          <cell r="AS22">
            <v>0</v>
          </cell>
          <cell r="AU22">
            <v>0</v>
          </cell>
          <cell r="AW22">
            <v>0</v>
          </cell>
          <cell r="AY22">
            <v>0</v>
          </cell>
          <cell r="BC22">
            <v>0</v>
          </cell>
          <cell r="BE22">
            <v>0</v>
          </cell>
          <cell r="BG22">
            <v>0</v>
          </cell>
          <cell r="BI22">
            <v>0</v>
          </cell>
          <cell r="BK22">
            <v>0</v>
          </cell>
        </row>
        <row r="23">
          <cell r="B23" t="str">
            <v>R&amp;D</v>
          </cell>
          <cell r="D23">
            <v>10435</v>
          </cell>
          <cell r="F23">
            <v>4159</v>
          </cell>
          <cell r="H23">
            <v>4831</v>
          </cell>
          <cell r="J23">
            <v>5178</v>
          </cell>
          <cell r="L23">
            <v>24603</v>
          </cell>
          <cell r="N23">
            <v>5372</v>
          </cell>
          <cell r="P23">
            <v>9190</v>
          </cell>
          <cell r="R23">
            <v>7995</v>
          </cell>
          <cell r="T23">
            <v>12146</v>
          </cell>
          <cell r="V23">
            <v>34703</v>
          </cell>
          <cell r="Z23">
            <v>10400</v>
          </cell>
          <cell r="AB23">
            <v>11774</v>
          </cell>
          <cell r="AD23">
            <v>11950</v>
          </cell>
          <cell r="AF23">
            <v>10668</v>
          </cell>
          <cell r="AH23">
            <v>44792</v>
          </cell>
          <cell r="AQ23">
            <v>25515</v>
          </cell>
          <cell r="AS23">
            <v>17949</v>
          </cell>
          <cell r="AU23">
            <v>53951</v>
          </cell>
          <cell r="AW23">
            <v>13951</v>
          </cell>
          <cell r="AY23">
            <v>111366</v>
          </cell>
          <cell r="BC23">
            <v>22000</v>
          </cell>
          <cell r="BE23">
            <v>25500</v>
          </cell>
          <cell r="BG23">
            <v>29500</v>
          </cell>
          <cell r="BI23">
            <v>33000</v>
          </cell>
          <cell r="BK23">
            <v>110000</v>
          </cell>
          <cell r="CD23" t="str">
            <v>mstag:researchAndDevelopment</v>
          </cell>
          <cell r="CE23">
            <v>3</v>
          </cell>
          <cell r="CF23" t="str">
            <v>ISO4217:USD</v>
          </cell>
          <cell r="CG23" t="b">
            <v>0</v>
          </cell>
          <cell r="CH23" t="b">
            <v>0</v>
          </cell>
        </row>
        <row r="24">
          <cell r="B24" t="str">
            <v>% of revenues</v>
          </cell>
          <cell r="D24" t="str">
            <v>na</v>
          </cell>
          <cell r="F24" t="str">
            <v>na</v>
          </cell>
          <cell r="H24" t="str">
            <v>na</v>
          </cell>
          <cell r="J24" t="str">
            <v>na</v>
          </cell>
          <cell r="L24" t="str">
            <v>na</v>
          </cell>
          <cell r="N24">
            <v>3.2696287279367011</v>
          </cell>
          <cell r="P24">
            <v>8.2942238267148021</v>
          </cell>
          <cell r="R24">
            <v>5.6581740976645438</v>
          </cell>
          <cell r="T24">
            <v>7.8260309278350517</v>
          </cell>
          <cell r="V24">
            <v>6.0712036389083277</v>
          </cell>
          <cell r="Z24">
            <v>1.8191359104425397</v>
          </cell>
          <cell r="AB24">
            <v>1.955489121408404</v>
          </cell>
          <cell r="AD24">
            <v>1.4553647545974913</v>
          </cell>
          <cell r="AF24">
            <v>1.5281478298238074</v>
          </cell>
          <cell r="AH24">
            <v>1.6632751578165614</v>
          </cell>
          <cell r="AQ24">
            <v>3.5354025218234724</v>
          </cell>
          <cell r="AS24">
            <v>1.9652907040402934</v>
          </cell>
          <cell r="AU24">
            <v>3.3068342016549188</v>
          </cell>
          <cell r="AW24">
            <v>0.76519306713470825</v>
          </cell>
          <cell r="AY24">
            <v>2.1880660942688173</v>
          </cell>
          <cell r="BC24">
            <v>0.67961015090434485</v>
          </cell>
          <cell r="BE24">
            <v>0.78772994763912696</v>
          </cell>
          <cell r="BG24">
            <v>0.91129542962173515</v>
          </cell>
          <cell r="BI24">
            <v>1.0194152263565173</v>
          </cell>
          <cell r="BK24">
            <v>0.84951268863043106</v>
          </cell>
        </row>
        <row r="25">
          <cell r="B25" t="str">
            <v>G&amp;A</v>
          </cell>
          <cell r="D25">
            <v>3031</v>
          </cell>
          <cell r="F25">
            <v>2947</v>
          </cell>
          <cell r="H25">
            <v>2962</v>
          </cell>
          <cell r="J25">
            <v>2999</v>
          </cell>
          <cell r="L25">
            <v>11939</v>
          </cell>
          <cell r="N25">
            <v>2952</v>
          </cell>
          <cell r="P25">
            <v>3122</v>
          </cell>
          <cell r="R25">
            <v>4088</v>
          </cell>
          <cell r="T25">
            <v>3321</v>
          </cell>
          <cell r="V25">
            <v>13483</v>
          </cell>
          <cell r="Z25">
            <v>2739</v>
          </cell>
          <cell r="AB25">
            <v>3750</v>
          </cell>
          <cell r="AD25">
            <v>3151</v>
          </cell>
          <cell r="AF25">
            <v>3695</v>
          </cell>
          <cell r="AH25">
            <v>13335</v>
          </cell>
          <cell r="AQ25">
            <v>3536</v>
          </cell>
          <cell r="AS25">
            <v>4351</v>
          </cell>
          <cell r="AU25">
            <v>5780</v>
          </cell>
          <cell r="AW25">
            <v>4569</v>
          </cell>
          <cell r="AY25">
            <v>18236</v>
          </cell>
          <cell r="BC25">
            <v>5750</v>
          </cell>
          <cell r="BE25">
            <v>5750</v>
          </cell>
          <cell r="BG25">
            <v>5750</v>
          </cell>
          <cell r="BI25">
            <v>5750</v>
          </cell>
          <cell r="BK25">
            <v>23000</v>
          </cell>
          <cell r="CD25" t="str">
            <v>mstag:generalAndAdministrativeExpenses</v>
          </cell>
          <cell r="CE25">
            <v>3</v>
          </cell>
          <cell r="CF25" t="str">
            <v>ISO4217:USD</v>
          </cell>
          <cell r="CG25" t="b">
            <v>0</v>
          </cell>
          <cell r="CH25" t="b">
            <v>0</v>
          </cell>
        </row>
        <row r="26">
          <cell r="B26" t="str">
            <v>% of revenues</v>
          </cell>
          <cell r="D26" t="str">
            <v>na</v>
          </cell>
          <cell r="F26" t="str">
            <v>na</v>
          </cell>
          <cell r="H26" t="str">
            <v>na</v>
          </cell>
          <cell r="J26" t="str">
            <v>na</v>
          </cell>
          <cell r="L26" t="str">
            <v>na</v>
          </cell>
          <cell r="N26">
            <v>1.7967133292757151</v>
          </cell>
          <cell r="P26">
            <v>2.8176895306859207</v>
          </cell>
          <cell r="R26">
            <v>2.8931351733899504</v>
          </cell>
          <cell r="T26">
            <v>2.1398195876288661</v>
          </cell>
          <cell r="V26">
            <v>2.3588173547935618</v>
          </cell>
          <cell r="Z26">
            <v>0.47909742872135735</v>
          </cell>
          <cell r="AB26">
            <v>0.62282012954658694</v>
          </cell>
          <cell r="AD26">
            <v>0.38375350140056025</v>
          </cell>
          <cell r="AF26">
            <v>0.52929379745022198</v>
          </cell>
          <cell r="AH26">
            <v>0.49517266988488673</v>
          </cell>
          <cell r="AQ26">
            <v>0.48995427462934737</v>
          </cell>
          <cell r="AS26">
            <v>0.47640424833023104</v>
          </cell>
          <cell r="AU26">
            <v>0.35427520686484831</v>
          </cell>
          <cell r="AW26">
            <v>0.25060333479596314</v>
          </cell>
          <cell r="AY26">
            <v>0.35829223726349296</v>
          </cell>
          <cell r="BC26">
            <v>0.17762538034999922</v>
          </cell>
          <cell r="BE26">
            <v>0.17762538034999922</v>
          </cell>
          <cell r="BG26">
            <v>0.17762538034999922</v>
          </cell>
          <cell r="BI26">
            <v>0.17762538034999922</v>
          </cell>
          <cell r="BK26">
            <v>0.17762538034999922</v>
          </cell>
        </row>
        <row r="27">
          <cell r="B27" t="str">
            <v>Total Operating Expenses</v>
          </cell>
          <cell r="D27">
            <v>13466</v>
          </cell>
          <cell r="F27">
            <v>7106</v>
          </cell>
          <cell r="H27">
            <v>7793</v>
          </cell>
          <cell r="J27">
            <v>8177</v>
          </cell>
          <cell r="L27">
            <v>36542</v>
          </cell>
          <cell r="N27">
            <v>8324</v>
          </cell>
          <cell r="P27">
            <v>12312</v>
          </cell>
          <cell r="R27">
            <v>12083</v>
          </cell>
          <cell r="T27">
            <v>15467</v>
          </cell>
          <cell r="V27">
            <v>48186</v>
          </cell>
          <cell r="Z27">
            <v>13139</v>
          </cell>
          <cell r="AB27">
            <v>15524</v>
          </cell>
          <cell r="AD27">
            <v>15101</v>
          </cell>
          <cell r="AF27">
            <v>14363</v>
          </cell>
          <cell r="AH27">
            <v>58127</v>
          </cell>
          <cell r="AK27" t="str">
            <v>Cash expenses of $40MM</v>
          </cell>
          <cell r="AQ27">
            <v>29051</v>
          </cell>
          <cell r="AS27">
            <v>22300</v>
          </cell>
          <cell r="AU27">
            <v>59731</v>
          </cell>
          <cell r="AW27">
            <v>18520</v>
          </cell>
          <cell r="AY27">
            <v>129602</v>
          </cell>
          <cell r="BC27">
            <v>27750</v>
          </cell>
          <cell r="BE27">
            <v>31250</v>
          </cell>
          <cell r="BG27">
            <v>35250</v>
          </cell>
          <cell r="BI27">
            <v>38750</v>
          </cell>
          <cell r="BK27">
            <v>133000</v>
          </cell>
        </row>
        <row r="28">
          <cell r="B28" t="str">
            <v>Operating Income (Loss)</v>
          </cell>
          <cell r="D28">
            <v>-13332</v>
          </cell>
          <cell r="F28">
            <v>-6975</v>
          </cell>
          <cell r="H28">
            <v>-6426</v>
          </cell>
          <cell r="J28">
            <v>-5531</v>
          </cell>
          <cell r="L28">
            <v>-32264</v>
          </cell>
          <cell r="N28">
            <v>-6681</v>
          </cell>
          <cell r="P28">
            <v>-11204</v>
          </cell>
          <cell r="R28">
            <v>-10670</v>
          </cell>
          <cell r="T28">
            <v>-13915</v>
          </cell>
          <cell r="V28">
            <v>-42470</v>
          </cell>
          <cell r="Z28">
            <v>-7422</v>
          </cell>
          <cell r="AB28">
            <v>-9503</v>
          </cell>
          <cell r="AD28">
            <v>-6890</v>
          </cell>
          <cell r="AF28">
            <v>-7382</v>
          </cell>
          <cell r="AH28">
            <v>-31197</v>
          </cell>
          <cell r="AQ28">
            <v>-21834</v>
          </cell>
          <cell r="AS28">
            <v>-13167</v>
          </cell>
          <cell r="AU28">
            <v>-43416</v>
          </cell>
          <cell r="AW28">
            <v>-288</v>
          </cell>
          <cell r="AY28">
            <v>-78705</v>
          </cell>
          <cell r="BC28">
            <v>4621.5</v>
          </cell>
          <cell r="BE28">
            <v>1121.5</v>
          </cell>
          <cell r="BG28">
            <v>-2878.5</v>
          </cell>
          <cell r="BI28">
            <v>-6378.5</v>
          </cell>
          <cell r="BK28">
            <v>-3514</v>
          </cell>
        </row>
        <row r="29">
          <cell r="B29" t="str">
            <v>Interest Income</v>
          </cell>
          <cell r="D29">
            <v>37</v>
          </cell>
          <cell r="F29">
            <v>74</v>
          </cell>
          <cell r="H29">
            <v>185</v>
          </cell>
          <cell r="J29">
            <v>208</v>
          </cell>
          <cell r="L29">
            <v>504</v>
          </cell>
          <cell r="N29">
            <v>264</v>
          </cell>
          <cell r="P29">
            <v>258</v>
          </cell>
          <cell r="R29">
            <v>237</v>
          </cell>
          <cell r="T29">
            <v>790</v>
          </cell>
          <cell r="V29">
            <v>1549</v>
          </cell>
          <cell r="Z29">
            <v>1260</v>
          </cell>
          <cell r="AB29">
            <v>1538</v>
          </cell>
          <cell r="AD29">
            <v>1555</v>
          </cell>
          <cell r="AF29">
            <v>1824</v>
          </cell>
          <cell r="AH29">
            <v>6177</v>
          </cell>
          <cell r="AQ29">
            <v>2690</v>
          </cell>
          <cell r="AS29">
            <v>2578</v>
          </cell>
          <cell r="AU29">
            <v>4311</v>
          </cell>
          <cell r="AW29">
            <v>5814</v>
          </cell>
          <cell r="AY29">
            <v>15393</v>
          </cell>
          <cell r="BC29">
            <v>4050</v>
          </cell>
          <cell r="BE29">
            <v>3950</v>
          </cell>
          <cell r="BG29">
            <v>3875</v>
          </cell>
          <cell r="BI29">
            <v>4265.6522827570989</v>
          </cell>
          <cell r="BK29">
            <v>16140.652282757099</v>
          </cell>
          <cell r="CD29" t="str">
            <v>mstag:interestAndDividendIncome</v>
          </cell>
          <cell r="CE29">
            <v>3</v>
          </cell>
          <cell r="CF29" t="str">
            <v>ISO4217:USD</v>
          </cell>
          <cell r="CG29" t="b">
            <v>0</v>
          </cell>
          <cell r="CH29" t="b">
            <v>0</v>
          </cell>
        </row>
        <row r="30">
          <cell r="B30" t="str">
            <v>Interest Expense</v>
          </cell>
          <cell r="D30">
            <v>-208</v>
          </cell>
          <cell r="F30">
            <v>-97</v>
          </cell>
          <cell r="H30">
            <v>-175</v>
          </cell>
          <cell r="J30">
            <v>-181</v>
          </cell>
          <cell r="L30">
            <v>-661</v>
          </cell>
          <cell r="N30">
            <v>-225</v>
          </cell>
          <cell r="P30">
            <v>-248</v>
          </cell>
          <cell r="R30">
            <v>-244</v>
          </cell>
          <cell r="T30">
            <v>-252</v>
          </cell>
          <cell r="V30">
            <v>-969</v>
          </cell>
          <cell r="Z30">
            <v>-323</v>
          </cell>
          <cell r="AB30">
            <v>-230</v>
          </cell>
          <cell r="AD30">
            <v>-265</v>
          </cell>
          <cell r="AF30">
            <v>-296</v>
          </cell>
          <cell r="AH30">
            <v>-1114</v>
          </cell>
          <cell r="AQ30">
            <v>-341</v>
          </cell>
          <cell r="AS30">
            <v>-275</v>
          </cell>
          <cell r="AU30">
            <v>-272</v>
          </cell>
          <cell r="AW30">
            <v>-250</v>
          </cell>
          <cell r="AY30">
            <v>-1138</v>
          </cell>
          <cell r="BC30">
            <v>-229</v>
          </cell>
          <cell r="BE30">
            <v>-228.5</v>
          </cell>
          <cell r="BG30">
            <v>-228.5</v>
          </cell>
          <cell r="BI30">
            <v>10.199999999999932</v>
          </cell>
          <cell r="BK30">
            <v>-675.80000000000007</v>
          </cell>
          <cell r="CD30" t="str">
            <v>mstag:interestExpense</v>
          </cell>
          <cell r="CE30">
            <v>3</v>
          </cell>
          <cell r="CF30" t="str">
            <v>ISO4217:USD</v>
          </cell>
          <cell r="CG30" t="b">
            <v>1</v>
          </cell>
          <cell r="CH30" t="b">
            <v>0</v>
          </cell>
        </row>
        <row r="31">
          <cell r="B31" t="str">
            <v>Other Income (Expense)</v>
          </cell>
          <cell r="D31">
            <v>-79</v>
          </cell>
          <cell r="F31">
            <v>42</v>
          </cell>
          <cell r="H31">
            <v>0</v>
          </cell>
          <cell r="J31">
            <v>-196</v>
          </cell>
          <cell r="L31">
            <v>-233</v>
          </cell>
          <cell r="N31">
            <v>42</v>
          </cell>
          <cell r="P31">
            <v>49</v>
          </cell>
          <cell r="R31">
            <v>-1</v>
          </cell>
          <cell r="T31">
            <v>29</v>
          </cell>
          <cell r="V31">
            <v>119</v>
          </cell>
          <cell r="Z31">
            <v>0</v>
          </cell>
          <cell r="AB31">
            <v>-109</v>
          </cell>
          <cell r="AD31">
            <v>-86</v>
          </cell>
          <cell r="AF31">
            <v>25</v>
          </cell>
          <cell r="AH31">
            <v>-170</v>
          </cell>
          <cell r="AQ31">
            <v>0</v>
          </cell>
          <cell r="AS31">
            <v>-41</v>
          </cell>
          <cell r="AU31">
            <v>-308</v>
          </cell>
          <cell r="AW31">
            <v>-950</v>
          </cell>
          <cell r="AY31">
            <v>-1299</v>
          </cell>
          <cell r="BC31">
            <v>0</v>
          </cell>
          <cell r="BE31">
            <v>0</v>
          </cell>
          <cell r="BG31">
            <v>0</v>
          </cell>
          <cell r="BI31">
            <v>0</v>
          </cell>
          <cell r="BK31">
            <v>0</v>
          </cell>
          <cell r="CD31" t="str">
            <v>mstag:otherInterestIncomeExpense</v>
          </cell>
          <cell r="CE31">
            <v>3</v>
          </cell>
          <cell r="CF31" t="str">
            <v>ISO4217:USD</v>
          </cell>
          <cell r="CG31" t="b">
            <v>0</v>
          </cell>
          <cell r="CH31" t="b">
            <v>0</v>
          </cell>
        </row>
        <row r="32">
          <cell r="B32" t="str">
            <v>Pretax Income (Loss)</v>
          </cell>
          <cell r="D32">
            <v>-13582</v>
          </cell>
          <cell r="F32">
            <v>-6956</v>
          </cell>
          <cell r="H32">
            <v>-6416</v>
          </cell>
          <cell r="J32">
            <v>-5700</v>
          </cell>
          <cell r="L32">
            <v>-32654</v>
          </cell>
          <cell r="N32">
            <v>-6600</v>
          </cell>
          <cell r="P32">
            <v>-11145</v>
          </cell>
          <cell r="R32">
            <v>-10678</v>
          </cell>
          <cell r="T32">
            <v>-13348</v>
          </cell>
          <cell r="V32">
            <v>-41771</v>
          </cell>
          <cell r="Z32">
            <v>-6485</v>
          </cell>
          <cell r="AB32">
            <v>-8304</v>
          </cell>
          <cell r="AD32">
            <v>-5686</v>
          </cell>
          <cell r="AF32">
            <v>-5829</v>
          </cell>
          <cell r="AH32">
            <v>-26304</v>
          </cell>
          <cell r="AQ32">
            <v>-19485</v>
          </cell>
          <cell r="AS32">
            <v>-10905</v>
          </cell>
          <cell r="AU32">
            <v>-39685</v>
          </cell>
          <cell r="AW32">
            <v>4326</v>
          </cell>
          <cell r="AY32">
            <v>-65749</v>
          </cell>
          <cell r="BA32" t="str">
            <v>YE cash of $180M</v>
          </cell>
          <cell r="BC32">
            <v>8442.5</v>
          </cell>
          <cell r="BE32">
            <v>4843</v>
          </cell>
          <cell r="BG32">
            <v>768</v>
          </cell>
          <cell r="BI32">
            <v>-2102.6477172429013</v>
          </cell>
          <cell r="BK32">
            <v>11950.8522827571</v>
          </cell>
        </row>
        <row r="33">
          <cell r="B33" t="str">
            <v xml:space="preserve">   Provision For Income Taxes</v>
          </cell>
          <cell r="D33">
            <v>0</v>
          </cell>
          <cell r="F33">
            <v>0</v>
          </cell>
          <cell r="H33">
            <v>0</v>
          </cell>
          <cell r="J33">
            <v>0</v>
          </cell>
          <cell r="L33">
            <v>0</v>
          </cell>
          <cell r="N33">
            <v>0</v>
          </cell>
          <cell r="P33">
            <v>0</v>
          </cell>
          <cell r="R33">
            <v>0</v>
          </cell>
          <cell r="T33">
            <v>-141</v>
          </cell>
          <cell r="V33">
            <v>-141</v>
          </cell>
          <cell r="Z33">
            <v>0</v>
          </cell>
          <cell r="AB33">
            <v>0</v>
          </cell>
          <cell r="AD33">
            <v>0</v>
          </cell>
          <cell r="AF33">
            <v>0</v>
          </cell>
          <cell r="AH33">
            <v>0</v>
          </cell>
          <cell r="AQ33">
            <v>0</v>
          </cell>
          <cell r="AS33">
            <v>0</v>
          </cell>
          <cell r="AU33">
            <v>5185</v>
          </cell>
          <cell r="AW33">
            <v>60</v>
          </cell>
          <cell r="AY33">
            <v>5245</v>
          </cell>
          <cell r="BC33">
            <v>0</v>
          </cell>
          <cell r="BE33">
            <v>0</v>
          </cell>
          <cell r="BG33">
            <v>0</v>
          </cell>
          <cell r="BI33">
            <v>0</v>
          </cell>
          <cell r="BK33">
            <v>0</v>
          </cell>
          <cell r="CD33" t="str">
            <v>mstag:taxExpenseIncome</v>
          </cell>
          <cell r="CE33">
            <v>3</v>
          </cell>
          <cell r="CF33" t="str">
            <v>ISO4217:USD</v>
          </cell>
          <cell r="CG33" t="b">
            <v>0</v>
          </cell>
          <cell r="CH33" t="b">
            <v>0</v>
          </cell>
        </row>
        <row r="34">
          <cell r="B34" t="str">
            <v xml:space="preserve">   Tax Rate</v>
          </cell>
          <cell r="D34">
            <v>0</v>
          </cell>
          <cell r="F34">
            <v>0</v>
          </cell>
          <cell r="H34">
            <v>0</v>
          </cell>
          <cell r="J34">
            <v>0</v>
          </cell>
          <cell r="L34">
            <v>0</v>
          </cell>
          <cell r="N34">
            <v>0</v>
          </cell>
          <cell r="P34">
            <v>0</v>
          </cell>
          <cell r="R34">
            <v>0</v>
          </cell>
          <cell r="T34">
            <v>1.0563380281690141E-2</v>
          </cell>
          <cell r="V34">
            <v>3.375547628737641E-3</v>
          </cell>
          <cell r="Z34">
            <v>0</v>
          </cell>
          <cell r="AB34">
            <v>0</v>
          </cell>
          <cell r="AD34">
            <v>0</v>
          </cell>
          <cell r="AF34">
            <v>0</v>
          </cell>
          <cell r="AH34">
            <v>0</v>
          </cell>
          <cell r="AQ34">
            <v>0</v>
          </cell>
          <cell r="AS34">
            <v>0</v>
          </cell>
          <cell r="AU34">
            <v>0</v>
          </cell>
          <cell r="AW34">
            <v>1.3869625520110958E-2</v>
          </cell>
          <cell r="AY34">
            <v>-7.9773076396599182E-2</v>
          </cell>
          <cell r="BC34">
            <v>0</v>
          </cell>
          <cell r="BE34">
            <v>0</v>
          </cell>
          <cell r="BG34">
            <v>0</v>
          </cell>
          <cell r="BI34">
            <v>0</v>
          </cell>
          <cell r="BK34">
            <v>0</v>
          </cell>
        </row>
        <row r="35">
          <cell r="B35" t="str">
            <v>Net Income (Loss) Non-GAAP</v>
          </cell>
          <cell r="D35">
            <v>-13582</v>
          </cell>
          <cell r="F35">
            <v>-6956</v>
          </cell>
          <cell r="H35">
            <v>-6416</v>
          </cell>
          <cell r="J35">
            <v>-5700</v>
          </cell>
          <cell r="L35">
            <v>-32654</v>
          </cell>
          <cell r="N35">
            <v>-6600</v>
          </cell>
          <cell r="P35">
            <v>-11145</v>
          </cell>
          <cell r="R35">
            <v>-10678</v>
          </cell>
          <cell r="T35">
            <v>-13489</v>
          </cell>
          <cell r="V35">
            <v>-41912</v>
          </cell>
          <cell r="Z35">
            <v>-6485</v>
          </cell>
          <cell r="AB35">
            <v>-8304</v>
          </cell>
          <cell r="AD35">
            <v>-5686</v>
          </cell>
          <cell r="AF35">
            <v>-5829</v>
          </cell>
          <cell r="AH35">
            <v>-26304</v>
          </cell>
          <cell r="AK35" t="str">
            <v>$115MM in cash by YE06</v>
          </cell>
          <cell r="AQ35">
            <v>-19485</v>
          </cell>
          <cell r="AS35">
            <v>-10905</v>
          </cell>
          <cell r="AU35">
            <v>-44870</v>
          </cell>
          <cell r="AW35">
            <v>4266</v>
          </cell>
          <cell r="AY35">
            <v>-70994</v>
          </cell>
          <cell r="BC35">
            <v>8442.5</v>
          </cell>
          <cell r="BE35">
            <v>4843</v>
          </cell>
          <cell r="BG35">
            <v>768</v>
          </cell>
          <cell r="BI35">
            <v>-2102.6477172429013</v>
          </cell>
          <cell r="BK35">
            <v>11950.8522827571</v>
          </cell>
        </row>
        <row r="37">
          <cell r="B37" t="str">
            <v>EPS, Basic</v>
          </cell>
          <cell r="D37">
            <v>-8.2058135488361312</v>
          </cell>
          <cell r="F37">
            <v>-0.99407229375036343</v>
          </cell>
          <cell r="H37">
            <v>-0.32889968088118865</v>
          </cell>
          <cell r="J37">
            <v>-0.29404178488522054</v>
          </cell>
          <cell r="L37">
            <v>-2.7472365680794568</v>
          </cell>
          <cell r="N37">
            <v>-0.3229769312258795</v>
          </cell>
          <cell r="P37">
            <v>-0.54087025806135691</v>
          </cell>
          <cell r="R37">
            <v>-0.5105774354419349</v>
          </cell>
          <cell r="T37">
            <v>-0.52423147176557461</v>
          </cell>
          <cell r="V37">
            <v>-1.9095175178823636</v>
          </cell>
          <cell r="Z37">
            <v>-0.21596509924070867</v>
          </cell>
          <cell r="AB37">
            <v>-0.25941893158388002</v>
          </cell>
          <cell r="AD37">
            <v>-0.17701263931262062</v>
          </cell>
          <cell r="AF37">
            <v>-0.17637981118373275</v>
          </cell>
          <cell r="AH37">
            <v>-0.82483537158984011</v>
          </cell>
          <cell r="AQ37">
            <v>-0.5213238441780822</v>
          </cell>
          <cell r="AS37">
            <v>-0.29053658016731498</v>
          </cell>
          <cell r="AU37">
            <v>-1.1497757847533632</v>
          </cell>
          <cell r="AW37">
            <v>0.10478997789240972</v>
          </cell>
          <cell r="AY37">
            <v>-1.8365108518508937</v>
          </cell>
          <cell r="BC37">
            <v>0.2053281967843063</v>
          </cell>
          <cell r="BE37">
            <v>0.11627398244221572</v>
          </cell>
          <cell r="BG37">
            <v>1.8202031145311583E-2</v>
          </cell>
          <cell r="BI37">
            <v>-4.9194404045422011E-2</v>
          </cell>
          <cell r="BK37">
            <v>0.28504731347941048</v>
          </cell>
        </row>
        <row r="38">
          <cell r="B38" t="str">
            <v>EPS, Diluted (w/out options expense)</v>
          </cell>
          <cell r="D38">
            <v>-8.2058135488361312</v>
          </cell>
          <cell r="F38">
            <v>-0.99407229375036343</v>
          </cell>
          <cell r="H38">
            <v>-0.32889968088118865</v>
          </cell>
          <cell r="J38">
            <v>-0.29404178488522054</v>
          </cell>
          <cell r="L38">
            <v>-2.7472365680794568</v>
          </cell>
          <cell r="N38">
            <v>-0.3229769312258795</v>
          </cell>
          <cell r="P38">
            <v>-0.54087025806135691</v>
          </cell>
          <cell r="R38">
            <v>-0.5105774354419349</v>
          </cell>
          <cell r="T38">
            <v>-0.52423147176557461</v>
          </cell>
          <cell r="V38">
            <v>-1.9095175178823636</v>
          </cell>
          <cell r="Z38">
            <v>-0.21596509924070867</v>
          </cell>
          <cell r="AB38">
            <v>-0.25941893158388002</v>
          </cell>
          <cell r="AD38">
            <v>-0.17701263931262062</v>
          </cell>
          <cell r="AF38">
            <v>-0.17637981118373275</v>
          </cell>
          <cell r="AH38">
            <v>-0.82483537158984011</v>
          </cell>
          <cell r="AQ38">
            <v>-0.5213238441780822</v>
          </cell>
          <cell r="AS38">
            <v>-0.29053658016731498</v>
          </cell>
          <cell r="AU38">
            <v>-1.1497757847533632</v>
          </cell>
          <cell r="AW38">
            <v>9.9759137572200271E-2</v>
          </cell>
          <cell r="AY38">
            <v>-1.8365108518508937</v>
          </cell>
          <cell r="BC38">
            <v>0.20045302264400922</v>
          </cell>
          <cell r="BE38">
            <v>0.11354784973794538</v>
          </cell>
          <cell r="BG38">
            <v>1.7780620458630648E-2</v>
          </cell>
          <cell r="BI38">
            <v>-4.9194404045422011E-2</v>
          </cell>
          <cell r="BK38">
            <v>0.28003779495906911</v>
          </cell>
        </row>
        <row r="40">
          <cell r="B40" t="str">
            <v>Stock Compensation Expense</v>
          </cell>
          <cell r="Z40">
            <v>2375</v>
          </cell>
          <cell r="AB40">
            <v>1606</v>
          </cell>
          <cell r="AD40">
            <v>1714</v>
          </cell>
          <cell r="AF40">
            <v>2609</v>
          </cell>
          <cell r="AH40">
            <v>8304</v>
          </cell>
          <cell r="AQ40">
            <v>2160</v>
          </cell>
          <cell r="AS40">
            <v>1786</v>
          </cell>
          <cell r="AU40">
            <v>7922</v>
          </cell>
          <cell r="AW40">
            <v>2604</v>
          </cell>
          <cell r="AY40">
            <v>14472</v>
          </cell>
          <cell r="BC40">
            <v>3900</v>
          </cell>
          <cell r="BE40">
            <v>3900</v>
          </cell>
          <cell r="BG40">
            <v>3900</v>
          </cell>
          <cell r="BI40">
            <v>3900</v>
          </cell>
          <cell r="BK40">
            <v>15600</v>
          </cell>
        </row>
        <row r="41">
          <cell r="B41" t="str">
            <v>Tax Benefit from ESOs</v>
          </cell>
          <cell r="Z41">
            <v>0</v>
          </cell>
          <cell r="AB41">
            <v>0</v>
          </cell>
          <cell r="AD41">
            <v>0</v>
          </cell>
          <cell r="AF41">
            <v>0</v>
          </cell>
          <cell r="AH41">
            <v>0</v>
          </cell>
          <cell r="AQ41">
            <v>0</v>
          </cell>
          <cell r="AS41">
            <v>0</v>
          </cell>
          <cell r="AU41">
            <v>0</v>
          </cell>
          <cell r="AW41">
            <v>0</v>
          </cell>
          <cell r="AY41">
            <v>0</v>
          </cell>
          <cell r="BC41">
            <v>0</v>
          </cell>
          <cell r="BE41">
            <v>0</v>
          </cell>
          <cell r="BG41">
            <v>0</v>
          </cell>
          <cell r="BI41">
            <v>0</v>
          </cell>
          <cell r="BK41">
            <v>0</v>
          </cell>
        </row>
        <row r="43">
          <cell r="B43" t="str">
            <v>Non-GAAP Net Income (Loss) (w/ Options Expense)</v>
          </cell>
          <cell r="Z43">
            <v>-8860</v>
          </cell>
          <cell r="AB43">
            <v>-9910</v>
          </cell>
          <cell r="AD43">
            <v>-7400</v>
          </cell>
          <cell r="AF43">
            <v>-8438</v>
          </cell>
          <cell r="AH43">
            <v>-34608</v>
          </cell>
          <cell r="AQ43">
            <v>-21645</v>
          </cell>
          <cell r="AS43">
            <v>-12691</v>
          </cell>
          <cell r="AU43">
            <v>-52792</v>
          </cell>
          <cell r="AW43">
            <v>1662</v>
          </cell>
          <cell r="AY43">
            <v>-85466</v>
          </cell>
          <cell r="BC43">
            <v>4542.5</v>
          </cell>
          <cell r="BE43">
            <v>943</v>
          </cell>
          <cell r="BG43">
            <v>-3132</v>
          </cell>
          <cell r="BI43">
            <v>-6002.6477172429013</v>
          </cell>
          <cell r="BK43">
            <v>-3649.1477172429004</v>
          </cell>
        </row>
        <row r="44">
          <cell r="B44" t="str">
            <v>GAAP Net Income (Loss)</v>
          </cell>
          <cell r="D44">
            <v>-15544</v>
          </cell>
          <cell r="F44">
            <v>-7707</v>
          </cell>
          <cell r="H44">
            <v>-6416</v>
          </cell>
          <cell r="J44">
            <v>-5700</v>
          </cell>
          <cell r="L44">
            <v>-35367</v>
          </cell>
          <cell r="N44">
            <v>-6600</v>
          </cell>
          <cell r="P44">
            <v>-11145</v>
          </cell>
          <cell r="R44">
            <v>-10678</v>
          </cell>
          <cell r="T44">
            <v>-14491</v>
          </cell>
          <cell r="V44">
            <v>-41912</v>
          </cell>
          <cell r="Z44">
            <v>-8860</v>
          </cell>
          <cell r="AB44">
            <v>-9910</v>
          </cell>
          <cell r="AD44">
            <v>-7400</v>
          </cell>
          <cell r="AF44">
            <v>-8438</v>
          </cell>
          <cell r="AH44">
            <v>-34608</v>
          </cell>
          <cell r="AQ44">
            <v>-21645</v>
          </cell>
          <cell r="AS44">
            <v>-12691</v>
          </cell>
          <cell r="AU44">
            <v>-52792</v>
          </cell>
          <cell r="AW44">
            <v>1662</v>
          </cell>
          <cell r="AY44">
            <v>-85466</v>
          </cell>
          <cell r="BC44">
            <v>4542.5</v>
          </cell>
          <cell r="BE44">
            <v>943</v>
          </cell>
          <cell r="BG44">
            <v>-3132</v>
          </cell>
          <cell r="BI44">
            <v>-6002.6477172429013</v>
          </cell>
          <cell r="BK44">
            <v>-3649.1477172429004</v>
          </cell>
        </row>
        <row r="46">
          <cell r="B46" t="str">
            <v>EPS, Diluted, Fully-Taxed</v>
          </cell>
          <cell r="D46">
            <v>-8.2058135488361312</v>
          </cell>
          <cell r="F46">
            <v>-0.99407229375036343</v>
          </cell>
          <cell r="H46">
            <v>-0.32889968088118865</v>
          </cell>
          <cell r="J46">
            <v>-0.29404178488522054</v>
          </cell>
          <cell r="L46">
            <v>-2.7472365680794568</v>
          </cell>
          <cell r="N46">
            <v>-0.3229769312258795</v>
          </cell>
          <cell r="P46">
            <v>-0.54087025806135691</v>
          </cell>
          <cell r="R46">
            <v>-0.5105774354419349</v>
          </cell>
          <cell r="T46">
            <v>-0.52423147176557461</v>
          </cell>
          <cell r="V46">
            <v>-1.9095175178823636</v>
          </cell>
          <cell r="Z46">
            <v>-0.21596509924070867</v>
          </cell>
          <cell r="AB46">
            <v>-0.25941893158388002</v>
          </cell>
          <cell r="AD46">
            <v>-0.17701263931262062</v>
          </cell>
          <cell r="AF46">
            <v>-0.17637981118373275</v>
          </cell>
          <cell r="AH46">
            <v>-0.82483537158984011</v>
          </cell>
          <cell r="AQ46">
            <v>-0.5213238441780822</v>
          </cell>
          <cell r="AS46">
            <v>-0.29053658016731498</v>
          </cell>
          <cell r="AU46">
            <v>-1.1497757847533632</v>
          </cell>
          <cell r="AW46">
            <v>9.9759137572200271E-2</v>
          </cell>
          <cell r="AY46">
            <v>-1.8365108518508937</v>
          </cell>
          <cell r="BC46">
            <v>0.20045302264400922</v>
          </cell>
          <cell r="BE46">
            <v>0.11354784973794538</v>
          </cell>
          <cell r="BG46">
            <v>1.7780620458630648E-2</v>
          </cell>
          <cell r="BI46">
            <v>-4.9194404045422011E-2</v>
          </cell>
        </row>
        <row r="47">
          <cell r="B47" t="str">
            <v>EPS, Diluted Non-GAAP (w/ options expense)</v>
          </cell>
          <cell r="D47">
            <v>-8.2058135488361312</v>
          </cell>
          <cell r="F47">
            <v>-0.99407229375036343</v>
          </cell>
          <cell r="H47">
            <v>-0.32889968088118865</v>
          </cell>
          <cell r="J47">
            <v>-0.29404178488522054</v>
          </cell>
          <cell r="L47">
            <v>-2.7472365680794568</v>
          </cell>
          <cell r="N47">
            <v>-0.3229769312258795</v>
          </cell>
          <cell r="P47">
            <v>-0.54087025806135691</v>
          </cell>
          <cell r="R47">
            <v>-0.5105774354419349</v>
          </cell>
          <cell r="T47">
            <v>-0.56317282655163037</v>
          </cell>
          <cell r="V47">
            <v>-1.9095175178823636</v>
          </cell>
          <cell r="Z47">
            <v>-0.29505794591714402</v>
          </cell>
          <cell r="AB47">
            <v>-0.30959075288972199</v>
          </cell>
          <cell r="AD47">
            <v>-0.23037170786376937</v>
          </cell>
          <cell r="AF47">
            <v>-0.25532558702493341</v>
          </cell>
          <cell r="AH47">
            <v>-1.0852304797742238</v>
          </cell>
          <cell r="AQ47">
            <v>-0.57911494006849318</v>
          </cell>
          <cell r="AS47">
            <v>-0.33812010443864232</v>
          </cell>
          <cell r="AU47">
            <v>-1.3527738629083921</v>
          </cell>
          <cell r="AW47">
            <v>3.8865374272151157E-2</v>
          </cell>
          <cell r="AY47">
            <v>-2.2108803062834674</v>
          </cell>
          <cell r="BC47">
            <v>0.10785405452892056</v>
          </cell>
          <cell r="BE47">
            <v>2.2109358311559468E-2</v>
          </cell>
          <cell r="BG47">
            <v>-7.2511592807853104E-2</v>
          </cell>
          <cell r="BI47">
            <v>-0.14044039556544707</v>
          </cell>
          <cell r="BK47">
            <v>-8.2988575532820158E-2</v>
          </cell>
          <cell r="CD47" t="str">
            <v>mstag:adjEpsForConsensus</v>
          </cell>
          <cell r="CE47">
            <v>0</v>
          </cell>
          <cell r="CF47" t="str">
            <v>ISO4217:USD</v>
          </cell>
          <cell r="CG47" t="b">
            <v>0</v>
          </cell>
          <cell r="CH47" t="b">
            <v>0</v>
          </cell>
        </row>
        <row r="48">
          <cell r="B48" t="str">
            <v>EPS, Diluted GAAP NI (w/ options expense)</v>
          </cell>
          <cell r="D48">
            <v>-9.391191709844561</v>
          </cell>
          <cell r="F48">
            <v>-1.1013966601400305</v>
          </cell>
          <cell r="H48">
            <v>-0.32889968088118865</v>
          </cell>
          <cell r="J48">
            <v>-0.29404178488522054</v>
          </cell>
          <cell r="L48">
            <v>-2.9754858731936711</v>
          </cell>
          <cell r="N48">
            <v>-0.3229769312258795</v>
          </cell>
          <cell r="P48">
            <v>-0.54087025806135691</v>
          </cell>
          <cell r="R48">
            <v>-0.5105774354419349</v>
          </cell>
          <cell r="T48">
            <v>-0.56317282655163037</v>
          </cell>
          <cell r="V48">
            <v>-1.9095175178823636</v>
          </cell>
          <cell r="Z48">
            <v>-0.29505794591714402</v>
          </cell>
          <cell r="AB48">
            <v>-0.30959075288972199</v>
          </cell>
          <cell r="AD48">
            <v>-0.23037170786376937</v>
          </cell>
          <cell r="AF48">
            <v>-0.25532558702493341</v>
          </cell>
          <cell r="AH48">
            <v>-1.0852304797742238</v>
          </cell>
          <cell r="AQ48">
            <v>-0.57911494006849318</v>
          </cell>
          <cell r="AS48">
            <v>-0.33812010443864232</v>
          </cell>
          <cell r="AU48">
            <v>-1.3527738629083921</v>
          </cell>
          <cell r="AW48">
            <v>3.8865374272151157E-2</v>
          </cell>
          <cell r="AY48">
            <v>-2.2108803062834674</v>
          </cell>
          <cell r="BC48">
            <v>0.10785405452892056</v>
          </cell>
          <cell r="BE48">
            <v>2.2109358311559468E-2</v>
          </cell>
          <cell r="BG48">
            <v>-7.2511592807853104E-2</v>
          </cell>
          <cell r="BI48">
            <v>-0.14044039556544707</v>
          </cell>
          <cell r="BK48">
            <v>-8.2988575532820158E-2</v>
          </cell>
        </row>
        <row r="49">
          <cell r="AS49">
            <v>158</v>
          </cell>
          <cell r="AU49">
            <v>1491</v>
          </cell>
          <cell r="AW49">
            <v>1685</v>
          </cell>
          <cell r="CD49" t="str">
            <v>mstag:averageBasicSharesOutstanding</v>
          </cell>
          <cell r="CE49">
            <v>3</v>
          </cell>
          <cell r="CF49" t="str">
            <v>ms_eqr_gcim_Decimal:ms_eqr_gcim_decimal</v>
          </cell>
          <cell r="CG49" t="b">
            <v>0</v>
          </cell>
          <cell r="CH49" t="b">
            <v>0</v>
          </cell>
        </row>
        <row r="50">
          <cell r="B50" t="str">
            <v>Shares Outstanding, Basic</v>
          </cell>
          <cell r="D50">
            <v>1655.1679999999999</v>
          </cell>
          <cell r="F50">
            <v>6997.4790000000003</v>
          </cell>
          <cell r="H50">
            <v>19507.468000000001</v>
          </cell>
          <cell r="J50">
            <v>19385</v>
          </cell>
          <cell r="L50">
            <v>11886.126</v>
          </cell>
          <cell r="N50">
            <v>20434.896000000001</v>
          </cell>
          <cell r="P50">
            <v>20605.681</v>
          </cell>
          <cell r="R50">
            <v>20913.576000000001</v>
          </cell>
          <cell r="T50">
            <v>25731</v>
          </cell>
          <cell r="V50">
            <v>21949</v>
          </cell>
          <cell r="Z50">
            <v>30028</v>
          </cell>
          <cell r="AB50">
            <v>32010</v>
          </cell>
          <cell r="AD50">
            <v>32122</v>
          </cell>
          <cell r="AF50">
            <v>33048</v>
          </cell>
          <cell r="AH50">
            <v>31890</v>
          </cell>
          <cell r="AQ50">
            <v>37376</v>
          </cell>
          <cell r="AS50">
            <v>37534</v>
          </cell>
          <cell r="AU50">
            <v>39025</v>
          </cell>
          <cell r="AW50">
            <v>40710</v>
          </cell>
          <cell r="AY50">
            <v>38657</v>
          </cell>
          <cell r="BC50">
            <v>41117.1</v>
          </cell>
          <cell r="BE50">
            <v>41651.622299999995</v>
          </cell>
          <cell r="BG50">
            <v>42193.093389899994</v>
          </cell>
          <cell r="BI50">
            <v>42741.603603968688</v>
          </cell>
          <cell r="BK50">
            <v>41925.854823467169</v>
          </cell>
          <cell r="CD50" t="str">
            <v>mstag:averageDilutedSharesOutstanding</v>
          </cell>
          <cell r="CE50">
            <v>3</v>
          </cell>
          <cell r="CF50" t="str">
            <v>ms_eqr_gcim_Decimal:ms_eqr_gcim_decimal</v>
          </cell>
          <cell r="CG50" t="b">
            <v>0</v>
          </cell>
          <cell r="CH50" t="b">
            <v>0</v>
          </cell>
        </row>
        <row r="51">
          <cell r="B51" t="str">
            <v>Shares Outstanding, Diluted</v>
          </cell>
          <cell r="D51">
            <v>1655.1679999999999</v>
          </cell>
          <cell r="F51">
            <v>6997.4790000000003</v>
          </cell>
          <cell r="H51">
            <v>19507.468000000001</v>
          </cell>
          <cell r="J51">
            <v>19385</v>
          </cell>
          <cell r="L51">
            <v>11886.126</v>
          </cell>
          <cell r="N51">
            <v>20434.896000000001</v>
          </cell>
          <cell r="P51">
            <v>20605.681</v>
          </cell>
          <cell r="R51">
            <v>20913.576000000001</v>
          </cell>
          <cell r="T51">
            <v>25731</v>
          </cell>
          <cell r="V51">
            <v>21949</v>
          </cell>
          <cell r="Z51">
            <v>30028</v>
          </cell>
          <cell r="AB51">
            <v>32010</v>
          </cell>
          <cell r="AD51">
            <v>32122</v>
          </cell>
          <cell r="AF51">
            <v>33048</v>
          </cell>
          <cell r="AH51">
            <v>31890</v>
          </cell>
          <cell r="AQ51">
            <v>37376</v>
          </cell>
          <cell r="AS51">
            <v>37534</v>
          </cell>
          <cell r="AU51">
            <v>39025</v>
          </cell>
          <cell r="AW51">
            <v>42763</v>
          </cell>
          <cell r="AY51">
            <v>38657</v>
          </cell>
          <cell r="BC51">
            <v>42117.1</v>
          </cell>
          <cell r="BE51">
            <v>42651.622299999995</v>
          </cell>
          <cell r="BG51">
            <v>43193.093389899994</v>
          </cell>
          <cell r="BI51">
            <v>42741.603603968688</v>
          </cell>
          <cell r="BK51">
            <v>42675.854823467169</v>
          </cell>
        </row>
        <row r="55">
          <cell r="B55" t="str">
            <v>Reconciliation to GAAP earnings/loss</v>
          </cell>
        </row>
        <row r="56">
          <cell r="B56" t="str">
            <v>Adjustments to pro-forma earnings:</v>
          </cell>
        </row>
        <row r="57">
          <cell r="B57" t="str">
            <v>Write-off of acquired in-process R&amp;D</v>
          </cell>
        </row>
        <row r="58">
          <cell r="B58" t="str">
            <v>Stock Compensation Expense</v>
          </cell>
          <cell r="T58">
            <v>1002</v>
          </cell>
          <cell r="Z58">
            <v>2375</v>
          </cell>
          <cell r="AB58">
            <v>1606</v>
          </cell>
          <cell r="AD58">
            <v>1714</v>
          </cell>
          <cell r="AF58">
            <v>2609</v>
          </cell>
          <cell r="AH58">
            <v>8304</v>
          </cell>
          <cell r="AQ58">
            <v>2160</v>
          </cell>
          <cell r="AS58">
            <v>1786</v>
          </cell>
          <cell r="AU58">
            <v>7922</v>
          </cell>
          <cell r="AW58">
            <v>2604</v>
          </cell>
          <cell r="AY58">
            <v>14472</v>
          </cell>
          <cell r="BC58">
            <v>3900</v>
          </cell>
          <cell r="BE58">
            <v>3900</v>
          </cell>
          <cell r="BG58">
            <v>3900</v>
          </cell>
          <cell r="BI58">
            <v>3900</v>
          </cell>
          <cell r="BK58">
            <v>15600</v>
          </cell>
          <cell r="CD58" t="str">
            <v>mstag:stockCompensation</v>
          </cell>
          <cell r="CE58">
            <v>3</v>
          </cell>
          <cell r="CF58" t="str">
            <v>ISO4217:USD</v>
          </cell>
          <cell r="CG58" t="b">
            <v>0</v>
          </cell>
          <cell r="CH58" t="b">
            <v>0</v>
          </cell>
        </row>
        <row r="59">
          <cell r="B59" t="str">
            <v>Tax Benefit from ESOs</v>
          </cell>
          <cell r="Z59">
            <v>0</v>
          </cell>
          <cell r="AB59">
            <v>0</v>
          </cell>
          <cell r="AD59">
            <v>0</v>
          </cell>
          <cell r="AF59">
            <v>0</v>
          </cell>
          <cell r="AH59">
            <v>0</v>
          </cell>
          <cell r="AQ59">
            <v>0</v>
          </cell>
          <cell r="AS59">
            <v>0</v>
          </cell>
          <cell r="AU59">
            <v>0</v>
          </cell>
          <cell r="AW59">
            <v>0</v>
          </cell>
          <cell r="AY59">
            <v>0</v>
          </cell>
          <cell r="BC59">
            <v>0</v>
          </cell>
          <cell r="BE59">
            <v>0</v>
          </cell>
          <cell r="BG59">
            <v>0</v>
          </cell>
          <cell r="BI59">
            <v>0</v>
          </cell>
          <cell r="BK59">
            <v>0</v>
          </cell>
          <cell r="CD59" t="str">
            <v>mstag:taxExpenseIncome</v>
          </cell>
          <cell r="CE59">
            <v>3</v>
          </cell>
          <cell r="CF59" t="str">
            <v>ISO4217:USD</v>
          </cell>
          <cell r="CG59" t="b">
            <v>1</v>
          </cell>
          <cell r="CH59" t="b">
            <v>0</v>
          </cell>
        </row>
        <row r="60">
          <cell r="B60" t="str">
            <v>Amortization of intangible assets</v>
          </cell>
        </row>
        <row r="61">
          <cell r="B61" t="str">
            <v>Accretion of Redeemable Preferred Stock</v>
          </cell>
          <cell r="D61">
            <v>-1962</v>
          </cell>
          <cell r="F61">
            <v>-751</v>
          </cell>
          <cell r="L61">
            <v>-2713</v>
          </cell>
        </row>
        <row r="62">
          <cell r="B62" t="str">
            <v>Tax effects of adjustments</v>
          </cell>
        </row>
        <row r="63">
          <cell r="B63" t="str">
            <v>Tax effects of Royalty Payments, one-time</v>
          </cell>
        </row>
        <row r="64">
          <cell r="B64" t="str">
            <v xml:space="preserve"> Profit from sale of Klumbach facility</v>
          </cell>
          <cell r="AU64">
            <v>0</v>
          </cell>
          <cell r="AY64">
            <v>0</v>
          </cell>
        </row>
        <row r="65">
          <cell r="B65" t="str">
            <v>GAAP Net Income</v>
          </cell>
          <cell r="D65">
            <v>-15544</v>
          </cell>
          <cell r="F65">
            <v>-7707</v>
          </cell>
          <cell r="H65">
            <v>-6416</v>
          </cell>
          <cell r="J65">
            <v>-5700</v>
          </cell>
          <cell r="L65">
            <v>-35367</v>
          </cell>
          <cell r="N65">
            <v>-6600</v>
          </cell>
          <cell r="P65">
            <v>-11145</v>
          </cell>
          <cell r="R65">
            <v>-10678</v>
          </cell>
          <cell r="T65">
            <v>-14491</v>
          </cell>
          <cell r="V65">
            <v>-41912</v>
          </cell>
          <cell r="Z65">
            <v>-8860</v>
          </cell>
          <cell r="AB65">
            <v>-9910</v>
          </cell>
          <cell r="AD65">
            <v>-7400</v>
          </cell>
          <cell r="AF65">
            <v>-8438</v>
          </cell>
          <cell r="AH65">
            <v>-34608</v>
          </cell>
          <cell r="AQ65">
            <v>-21645</v>
          </cell>
          <cell r="AS65">
            <v>-12691</v>
          </cell>
          <cell r="AU65">
            <v>-52792</v>
          </cell>
          <cell r="AW65">
            <v>1662</v>
          </cell>
          <cell r="AY65">
            <v>-85466</v>
          </cell>
          <cell r="BC65">
            <v>4542.5</v>
          </cell>
          <cell r="BE65">
            <v>943</v>
          </cell>
          <cell r="BG65">
            <v>-3132</v>
          </cell>
          <cell r="BI65">
            <v>-6002.6477172429013</v>
          </cell>
          <cell r="BK65">
            <v>-3649.1477172429004</v>
          </cell>
        </row>
        <row r="66">
          <cell r="B66" t="str">
            <v>GAAP (loss) earnings per share</v>
          </cell>
          <cell r="D66">
            <v>-9.391191709844561</v>
          </cell>
          <cell r="F66">
            <v>-1.1013966601400305</v>
          </cell>
          <cell r="H66">
            <v>-0.32889968088118865</v>
          </cell>
          <cell r="J66">
            <v>-0.29404178488522054</v>
          </cell>
          <cell r="L66">
            <v>-2.9754858731936711</v>
          </cell>
          <cell r="N66">
            <v>-0.3229769312258795</v>
          </cell>
          <cell r="P66">
            <v>-0.54539059068370099</v>
          </cell>
          <cell r="R66">
            <v>-0.51820660525609419</v>
          </cell>
          <cell r="T66">
            <v>-0.6928991961967671</v>
          </cell>
          <cell r="V66">
            <v>-1.6288523570790097</v>
          </cell>
          <cell r="Z66">
            <v>-0.29505794591714402</v>
          </cell>
          <cell r="AB66">
            <v>-0.30959075288972199</v>
          </cell>
          <cell r="AD66">
            <v>-0.23037170786376937</v>
          </cell>
          <cell r="AF66">
            <v>-0.25532558702493341</v>
          </cell>
          <cell r="AH66">
            <v>-1.0852304797742238</v>
          </cell>
          <cell r="AQ66">
            <v>-0.57911494006849318</v>
          </cell>
          <cell r="AS66">
            <v>-0.33812010443864232</v>
          </cell>
          <cell r="AU66">
            <v>-1.3527738629083921</v>
          </cell>
          <cell r="AW66">
            <v>3.8865374272151157E-2</v>
          </cell>
          <cell r="AY66">
            <v>-2.2108803062834674</v>
          </cell>
          <cell r="BC66">
            <v>0.10785405452892056</v>
          </cell>
          <cell r="BE66">
            <v>2.2109358311559468E-2</v>
          </cell>
          <cell r="BG66">
            <v>-7.2511592807853104E-2</v>
          </cell>
          <cell r="BI66">
            <v>-0.14044039556544707</v>
          </cell>
          <cell r="BK66">
            <v>-8.5508485590691866E-2</v>
          </cell>
        </row>
        <row r="70">
          <cell r="AF70">
            <v>37376</v>
          </cell>
          <cell r="CD70" t="str">
            <v>mstag:currentDilutedSharesOutstanding</v>
          </cell>
          <cell r="CE70">
            <v>3</v>
          </cell>
          <cell r="CF70" t="str">
            <v>ms_eqr_gcim_Decimal:ms_eqr_gcim_decimal</v>
          </cell>
          <cell r="CG70" t="b">
            <v>0</v>
          </cell>
        </row>
        <row r="72">
          <cell r="Z72" t="str">
            <v>2006-Q1</v>
          </cell>
          <cell r="AB72" t="str">
            <v>2006-Q2</v>
          </cell>
          <cell r="AD72" t="str">
            <v>2006-Q3</v>
          </cell>
          <cell r="AF72" t="str">
            <v>2006-Q4</v>
          </cell>
          <cell r="AQ72" t="str">
            <v>2007-Q1</v>
          </cell>
          <cell r="AS72" t="str">
            <v>2007-Q2</v>
          </cell>
          <cell r="AU72" t="str">
            <v>2007-Q3</v>
          </cell>
          <cell r="AW72" t="str">
            <v>2007-Q4</v>
          </cell>
          <cell r="BC72" t="str">
            <v>2008-Q1</v>
          </cell>
          <cell r="BE72" t="str">
            <v>2008-Q2</v>
          </cell>
          <cell r="BG72" t="str">
            <v>2008-Q3</v>
          </cell>
          <cell r="BI72" t="str">
            <v>2008-Q4</v>
          </cell>
        </row>
      </sheetData>
      <sheetData sheetId="2">
        <row r="1">
          <cell r="AF1" t="str">
            <v>ElementName</v>
          </cell>
        </row>
      </sheetData>
      <sheetData sheetId="3">
        <row r="1">
          <cell r="AF1" t="str">
            <v>ElementName</v>
          </cell>
          <cell r="AG1" t="str">
            <v>ScaleOverride</v>
          </cell>
          <cell r="AH1" t="str">
            <v>UnitOverride</v>
          </cell>
          <cell r="AI1" t="str">
            <v>ReverseSign</v>
          </cell>
          <cell r="AJ1" t="str">
            <v>IsDrivingAssumption</v>
          </cell>
          <cell r="AK1" t="str">
            <v>SegmentID</v>
          </cell>
        </row>
        <row r="2">
          <cell r="D2" t="str">
            <v>2003-FY</v>
          </cell>
          <cell r="F2" t="str">
            <v>2004-FY</v>
          </cell>
          <cell r="H2" t="str">
            <v>2005-FY</v>
          </cell>
          <cell r="J2" t="str">
            <v>2006-FY</v>
          </cell>
          <cell r="L2" t="str">
            <v>2007-FY</v>
          </cell>
          <cell r="N2" t="str">
            <v>2008-FY</v>
          </cell>
          <cell r="P2" t="str">
            <v>2009-FY</v>
          </cell>
          <cell r="R2" t="str">
            <v>2010-FY</v>
          </cell>
          <cell r="T2" t="str">
            <v>2011-FY</v>
          </cell>
          <cell r="V2" t="str">
            <v>2012-FY</v>
          </cell>
          <cell r="X2" t="str">
            <v>2013-FY</v>
          </cell>
          <cell r="Z2" t="str">
            <v>2014-FY</v>
          </cell>
          <cell r="AB2" t="str">
            <v>2015-FY</v>
          </cell>
        </row>
        <row r="3">
          <cell r="B3" t="str">
            <v>Alnylam Balance Sheet</v>
          </cell>
        </row>
        <row r="4">
          <cell r="B4" t="str">
            <v>(Dollars in thousands)</v>
          </cell>
          <cell r="D4" t="str">
            <v>2003A</v>
          </cell>
          <cell r="F4" t="str">
            <v>2004A</v>
          </cell>
          <cell r="H4" t="str">
            <v>2005A</v>
          </cell>
          <cell r="J4" t="str">
            <v>2006A</v>
          </cell>
          <cell r="L4" t="str">
            <v>2007E</v>
          </cell>
          <cell r="N4" t="str">
            <v>2008E</v>
          </cell>
          <cell r="P4" t="str">
            <v>2009E</v>
          </cell>
          <cell r="R4" t="str">
            <v>2010E</v>
          </cell>
          <cell r="T4" t="str">
            <v>2011E</v>
          </cell>
          <cell r="V4" t="str">
            <v>2012E</v>
          </cell>
          <cell r="X4" t="str">
            <v>2013E</v>
          </cell>
          <cell r="Z4" t="str">
            <v>2014E</v>
          </cell>
          <cell r="AB4" t="str">
            <v>2015E</v>
          </cell>
        </row>
        <row r="5">
          <cell r="B5" t="str">
            <v>Cash and Equiavalents</v>
          </cell>
          <cell r="D5">
            <v>23193</v>
          </cell>
          <cell r="F5">
            <v>20272</v>
          </cell>
          <cell r="H5">
            <v>15757</v>
          </cell>
          <cell r="J5">
            <v>127955</v>
          </cell>
          <cell r="L5">
            <v>105157</v>
          </cell>
          <cell r="N5">
            <v>280005.51488195255</v>
          </cell>
          <cell r="P5">
            <v>246301.58696348954</v>
          </cell>
          <cell r="R5">
            <v>190501.60386993084</v>
          </cell>
          <cell r="T5">
            <v>121628.56090034709</v>
          </cell>
          <cell r="V5">
            <v>90219.762105196467</v>
          </cell>
          <cell r="X5">
            <v>73947.180703212216</v>
          </cell>
          <cell r="Z5">
            <v>110443.72727635846</v>
          </cell>
          <cell r="AB5">
            <v>158950.58606184987</v>
          </cell>
          <cell r="AF5" t="str">
            <v>mstag:cashAndCashEquivalents</v>
          </cell>
          <cell r="AG5">
            <v>3</v>
          </cell>
          <cell r="AH5" t="str">
            <v>ISO4217:USD</v>
          </cell>
          <cell r="AI5" t="b">
            <v>0</v>
          </cell>
          <cell r="AJ5" t="b">
            <v>0</v>
          </cell>
        </row>
        <row r="6">
          <cell r="B6" t="str">
            <v>Marketable Securities</v>
          </cell>
          <cell r="D6">
            <v>0</v>
          </cell>
          <cell r="F6">
            <v>25774</v>
          </cell>
          <cell r="H6">
            <v>64245</v>
          </cell>
          <cell r="J6">
            <v>89305</v>
          </cell>
          <cell r="L6">
            <v>350445</v>
          </cell>
          <cell r="N6">
            <v>113900.5</v>
          </cell>
          <cell r="P6">
            <v>98476.503720488137</v>
          </cell>
          <cell r="R6">
            <v>86194.522670994425</v>
          </cell>
          <cell r="T6">
            <v>69174.031635231309</v>
          </cell>
          <cell r="V6">
            <v>38160.518507115681</v>
          </cell>
          <cell r="X6">
            <v>44933.098214309248</v>
          </cell>
          <cell r="Z6">
            <v>35664.083675256443</v>
          </cell>
          <cell r="AB6">
            <v>43832.343285484465</v>
          </cell>
          <cell r="AF6" t="str">
            <v>mstag:shortTermInvestments</v>
          </cell>
          <cell r="AG6">
            <v>3</v>
          </cell>
          <cell r="AH6" t="str">
            <v>ISO4217:USD</v>
          </cell>
          <cell r="AI6" t="b">
            <v>0</v>
          </cell>
          <cell r="AJ6" t="b">
            <v>0</v>
          </cell>
        </row>
        <row r="7">
          <cell r="B7" t="str">
            <v>Restricted Cash</v>
          </cell>
          <cell r="D7">
            <v>373</v>
          </cell>
          <cell r="F7">
            <v>0</v>
          </cell>
          <cell r="H7">
            <v>0</v>
          </cell>
          <cell r="J7">
            <v>0</v>
          </cell>
          <cell r="L7">
            <v>0</v>
          </cell>
          <cell r="N7">
            <v>0</v>
          </cell>
          <cell r="P7">
            <v>0</v>
          </cell>
          <cell r="R7">
            <v>0</v>
          </cell>
          <cell r="T7">
            <v>0</v>
          </cell>
          <cell r="V7">
            <v>0</v>
          </cell>
          <cell r="X7">
            <v>0</v>
          </cell>
          <cell r="Z7">
            <v>0</v>
          </cell>
          <cell r="AB7">
            <v>0</v>
          </cell>
          <cell r="AF7" t="str">
            <v>mstag:otherAssetsOperatingCurrent</v>
          </cell>
          <cell r="AG7">
            <v>3</v>
          </cell>
          <cell r="AH7" t="str">
            <v>ISO4217:USD</v>
          </cell>
          <cell r="AI7" t="b">
            <v>0</v>
          </cell>
          <cell r="AJ7" t="b">
            <v>0</v>
          </cell>
        </row>
        <row r="8">
          <cell r="B8" t="str">
            <v>Receivables (Collaboration/Related Party)</v>
          </cell>
          <cell r="D8">
            <v>0</v>
          </cell>
          <cell r="F8">
            <v>1169</v>
          </cell>
          <cell r="H8">
            <v>755</v>
          </cell>
          <cell r="J8">
            <v>3829</v>
          </cell>
          <cell r="L8">
            <v>5031</v>
          </cell>
          <cell r="N8">
            <v>18498</v>
          </cell>
          <cell r="P8">
            <v>18759.30735930736</v>
          </cell>
          <cell r="R8">
            <v>17992.03772418058</v>
          </cell>
          <cell r="T8">
            <v>17142.857142857141</v>
          </cell>
          <cell r="V8">
            <v>27289.099141295865</v>
          </cell>
          <cell r="X8">
            <v>37176.325906509388</v>
          </cell>
          <cell r="Z8">
            <v>48992.917857142849</v>
          </cell>
          <cell r="AB8">
            <v>55778.690271289284</v>
          </cell>
          <cell r="AF8" t="str">
            <v>mstag:tradeReceivablesCurrent</v>
          </cell>
          <cell r="AG8">
            <v>3</v>
          </cell>
          <cell r="AH8" t="str">
            <v>ISO4217:USD</v>
          </cell>
          <cell r="AI8" t="b">
            <v>0</v>
          </cell>
          <cell r="AJ8" t="b">
            <v>0</v>
          </cell>
        </row>
        <row r="9">
          <cell r="B9" t="str">
            <v xml:space="preserve">Inventory </v>
          </cell>
          <cell r="D9">
            <v>0</v>
          </cell>
          <cell r="F9">
            <v>0</v>
          </cell>
          <cell r="H9">
            <v>0</v>
          </cell>
          <cell r="J9">
            <v>0</v>
          </cell>
          <cell r="L9">
            <v>0</v>
          </cell>
          <cell r="N9">
            <v>0</v>
          </cell>
          <cell r="P9">
            <v>0</v>
          </cell>
          <cell r="R9">
            <v>0</v>
          </cell>
          <cell r="T9">
            <v>0</v>
          </cell>
          <cell r="V9">
            <v>5901.4500000000007</v>
          </cell>
          <cell r="X9">
            <v>11624.362499999997</v>
          </cell>
          <cell r="Z9">
            <v>16081.087499999994</v>
          </cell>
          <cell r="AB9">
            <v>18514.200000000023</v>
          </cell>
          <cell r="AF9" t="str">
            <v>mstag:inventories</v>
          </cell>
          <cell r="AG9">
            <v>3</v>
          </cell>
          <cell r="AH9" t="str">
            <v>ISO4217:USD</v>
          </cell>
          <cell r="AI9" t="b">
            <v>0</v>
          </cell>
          <cell r="AJ9" t="b">
            <v>0</v>
          </cell>
        </row>
        <row r="10">
          <cell r="B10" t="str">
            <v>Other Current Assets</v>
          </cell>
          <cell r="D10">
            <v>623</v>
          </cell>
          <cell r="F10">
            <v>966</v>
          </cell>
          <cell r="H10">
            <v>1657</v>
          </cell>
          <cell r="J10">
            <v>1695</v>
          </cell>
          <cell r="L10">
            <v>2926</v>
          </cell>
          <cell r="N10">
            <v>21705.474467471187</v>
          </cell>
          <cell r="P10">
            <v>19133.547265436056</v>
          </cell>
          <cell r="R10">
            <v>15509.903382373988</v>
          </cell>
          <cell r="T10">
            <v>10944.497351496608</v>
          </cell>
          <cell r="V10">
            <v>8503.7278817688421</v>
          </cell>
          <cell r="X10">
            <v>8825.3140696858354</v>
          </cell>
          <cell r="Z10">
            <v>11114.832437303039</v>
          </cell>
          <cell r="AB10">
            <v>14582.937874664402</v>
          </cell>
          <cell r="AF10" t="str">
            <v>mstag:otherAssetsOperatingCurrent</v>
          </cell>
          <cell r="AG10">
            <v>3</v>
          </cell>
          <cell r="AH10" t="str">
            <v>ISO4217:USD</v>
          </cell>
          <cell r="AI10" t="b">
            <v>0</v>
          </cell>
          <cell r="AJ10" t="b">
            <v>0</v>
          </cell>
        </row>
        <row r="11">
          <cell r="B11" t="str">
            <v>Total current assets</v>
          </cell>
          <cell r="D11">
            <v>24189</v>
          </cell>
          <cell r="F11">
            <v>48181</v>
          </cell>
          <cell r="H11">
            <v>82414</v>
          </cell>
          <cell r="J11">
            <v>222784</v>
          </cell>
          <cell r="L11">
            <v>463559</v>
          </cell>
          <cell r="N11">
            <v>434109.48934942373</v>
          </cell>
          <cell r="P11">
            <v>382670.9453087211</v>
          </cell>
          <cell r="R11">
            <v>310198.06764747977</v>
          </cell>
          <cell r="T11">
            <v>218889.94702993214</v>
          </cell>
          <cell r="V11">
            <v>170074.55763537684</v>
          </cell>
          <cell r="X11">
            <v>176506.28139371669</v>
          </cell>
          <cell r="Z11">
            <v>222296.64874606076</v>
          </cell>
          <cell r="AB11">
            <v>291658.75749328802</v>
          </cell>
        </row>
        <row r="13">
          <cell r="B13" t="str">
            <v>Property and equipment, net</v>
          </cell>
          <cell r="D13">
            <v>4756</v>
          </cell>
          <cell r="F13">
            <v>11694</v>
          </cell>
          <cell r="H13">
            <v>10580</v>
          </cell>
          <cell r="J13">
            <v>12173</v>
          </cell>
          <cell r="L13">
            <v>13810</v>
          </cell>
          <cell r="N13">
            <v>20826.288999999997</v>
          </cell>
          <cell r="P13">
            <v>26930.716736363633</v>
          </cell>
          <cell r="R13">
            <v>31443.250677445889</v>
          </cell>
          <cell r="T13">
            <v>34345.532042601735</v>
          </cell>
          <cell r="V13">
            <v>42605.702314673981</v>
          </cell>
          <cell r="X13">
            <v>55333.769312050026</v>
          </cell>
          <cell r="Z13">
            <v>79211.316797668507</v>
          </cell>
          <cell r="AB13">
            <v>104224.33957890078</v>
          </cell>
          <cell r="AF13" t="str">
            <v>mstag:propertyPlantAndEquipmentNet</v>
          </cell>
          <cell r="AG13">
            <v>3</v>
          </cell>
          <cell r="AH13" t="str">
            <v>ISO4217:USD</v>
          </cell>
          <cell r="AI13" t="b">
            <v>0</v>
          </cell>
          <cell r="AJ13" t="b">
            <v>0</v>
          </cell>
        </row>
        <row r="14">
          <cell r="B14" t="str">
            <v xml:space="preserve">   Property and Equipment, Gross</v>
          </cell>
          <cell r="D14">
            <v>5414</v>
          </cell>
          <cell r="F14">
            <v>14157</v>
          </cell>
          <cell r="H14">
            <v>15677</v>
          </cell>
          <cell r="J14">
            <v>21065</v>
          </cell>
          <cell r="L14">
            <v>17619</v>
          </cell>
          <cell r="N14">
            <v>26767.599999999999</v>
          </cell>
          <cell r="P14">
            <v>33957.804151515149</v>
          </cell>
          <cell r="R14">
            <v>39525.143143290043</v>
          </cell>
          <cell r="T14">
            <v>43443.250677445889</v>
          </cell>
          <cell r="V14">
            <v>53447.901441508846</v>
          </cell>
          <cell r="X14">
            <v>68629.13044923055</v>
          </cell>
          <cell r="Z14">
            <v>96487.820312050026</v>
          </cell>
          <cell r="AB14">
            <v>126065.4166255515</v>
          </cell>
        </row>
        <row r="15">
          <cell r="B15" t="str">
            <v xml:space="preserve">   Accumulated Depreciation</v>
          </cell>
          <cell r="D15">
            <v>-658</v>
          </cell>
          <cell r="F15">
            <v>-2463</v>
          </cell>
          <cell r="H15">
            <v>-5097</v>
          </cell>
          <cell r="J15">
            <v>-8892</v>
          </cell>
          <cell r="L15">
            <v>-3800</v>
          </cell>
          <cell r="N15">
            <v>-5941.3109999999997</v>
          </cell>
          <cell r="P15">
            <v>-7027.0874151515154</v>
          </cell>
          <cell r="R15">
            <v>-8081.8924658441556</v>
          </cell>
          <cell r="T15">
            <v>-9097.7186348441555</v>
          </cell>
          <cell r="V15">
            <v>-10842.199126834865</v>
          </cell>
          <cell r="X15">
            <v>-13295.361137180524</v>
          </cell>
          <cell r="Z15">
            <v>-17276.503514381522</v>
          </cell>
          <cell r="AB15">
            <v>-21841.077046650724</v>
          </cell>
        </row>
        <row r="16">
          <cell r="B16" t="str">
            <v>Restricted Investments</v>
          </cell>
          <cell r="D16">
            <v>2313</v>
          </cell>
          <cell r="F16">
            <v>2313</v>
          </cell>
          <cell r="H16">
            <v>2313</v>
          </cell>
          <cell r="J16">
            <v>2313</v>
          </cell>
          <cell r="L16">
            <v>6152</v>
          </cell>
          <cell r="N16">
            <v>6152</v>
          </cell>
          <cell r="P16">
            <v>6152</v>
          </cell>
          <cell r="R16">
            <v>6152</v>
          </cell>
          <cell r="T16">
            <v>6152</v>
          </cell>
          <cell r="V16">
            <v>6152</v>
          </cell>
          <cell r="X16">
            <v>6152</v>
          </cell>
          <cell r="Z16">
            <v>6152</v>
          </cell>
          <cell r="AB16">
            <v>6152</v>
          </cell>
          <cell r="AF16" t="str">
            <v>mstag:otherAssetsOperatingNonCurrent</v>
          </cell>
          <cell r="AG16">
            <v>3</v>
          </cell>
          <cell r="AH16" t="str">
            <v>ISO4217:USD</v>
          </cell>
          <cell r="AI16" t="b">
            <v>0</v>
          </cell>
          <cell r="AJ16" t="b">
            <v>0</v>
          </cell>
        </row>
        <row r="17">
          <cell r="B17" t="str">
            <v>Intangible Assets, net</v>
          </cell>
          <cell r="D17">
            <v>3878</v>
          </cell>
          <cell r="F17">
            <v>3405</v>
          </cell>
          <cell r="H17">
            <v>2491</v>
          </cell>
          <cell r="J17">
            <v>1933</v>
          </cell>
          <cell r="L17">
            <v>968</v>
          </cell>
          <cell r="N17">
            <v>1933</v>
          </cell>
          <cell r="P17">
            <v>1933</v>
          </cell>
          <cell r="R17">
            <v>1933</v>
          </cell>
          <cell r="T17">
            <v>1933</v>
          </cell>
          <cell r="V17">
            <v>1933</v>
          </cell>
          <cell r="X17">
            <v>1933</v>
          </cell>
          <cell r="Z17">
            <v>1933</v>
          </cell>
          <cell r="AB17">
            <v>1933</v>
          </cell>
          <cell r="AF17" t="str">
            <v>mstag:otherIntangibleAssets</v>
          </cell>
          <cell r="AG17">
            <v>3</v>
          </cell>
          <cell r="AH17" t="str">
            <v>ISO4217:USD</v>
          </cell>
          <cell r="AI17" t="b">
            <v>0</v>
          </cell>
          <cell r="AJ17" t="b">
            <v>0</v>
          </cell>
        </row>
        <row r="18">
          <cell r="B18" t="str">
            <v>Other Assets</v>
          </cell>
          <cell r="D18">
            <v>47</v>
          </cell>
          <cell r="F18">
            <v>514</v>
          </cell>
          <cell r="H18">
            <v>550</v>
          </cell>
          <cell r="J18">
            <v>803</v>
          </cell>
          <cell r="L18">
            <v>173</v>
          </cell>
          <cell r="N18">
            <v>173</v>
          </cell>
          <cell r="P18">
            <v>173</v>
          </cell>
          <cell r="R18">
            <v>173</v>
          </cell>
          <cell r="T18">
            <v>173</v>
          </cell>
          <cell r="V18">
            <v>173</v>
          </cell>
          <cell r="X18">
            <v>173</v>
          </cell>
          <cell r="Z18">
            <v>173</v>
          </cell>
          <cell r="AB18">
            <v>173</v>
          </cell>
          <cell r="AF18" t="str">
            <v>mstag:otherAssetsOperatingNonCurrent</v>
          </cell>
          <cell r="AG18">
            <v>3</v>
          </cell>
          <cell r="AH18" t="str">
            <v>ISO4217:USD</v>
          </cell>
          <cell r="AI18" t="b">
            <v>0</v>
          </cell>
          <cell r="AJ18" t="b">
            <v>0</v>
          </cell>
        </row>
        <row r="19">
          <cell r="B19" t="str">
            <v>Investment in Regulus JV</v>
          </cell>
          <cell r="L19">
            <v>9129</v>
          </cell>
          <cell r="N19">
            <v>9129</v>
          </cell>
          <cell r="P19">
            <v>9129</v>
          </cell>
          <cell r="R19">
            <v>9129</v>
          </cell>
          <cell r="T19">
            <v>9129</v>
          </cell>
          <cell r="V19">
            <v>9129</v>
          </cell>
          <cell r="X19">
            <v>9129</v>
          </cell>
          <cell r="Z19">
            <v>9129</v>
          </cell>
          <cell r="AB19">
            <v>9129</v>
          </cell>
          <cell r="AF19" t="str">
            <v>mstag:investmentsInJointVentures</v>
          </cell>
          <cell r="AG19">
            <v>3</v>
          </cell>
          <cell r="AH19" t="str">
            <v>ISO4217:USD</v>
          </cell>
          <cell r="AI19" t="b">
            <v>0</v>
          </cell>
          <cell r="AJ19" t="b">
            <v>0</v>
          </cell>
        </row>
        <row r="20">
          <cell r="B20" t="str">
            <v>Total assets</v>
          </cell>
          <cell r="D20">
            <v>35183</v>
          </cell>
          <cell r="F20">
            <v>66107</v>
          </cell>
          <cell r="H20">
            <v>98348</v>
          </cell>
          <cell r="J20">
            <v>240006</v>
          </cell>
          <cell r="L20">
            <v>493791</v>
          </cell>
          <cell r="N20">
            <v>472322.77834942372</v>
          </cell>
          <cell r="P20">
            <v>426988.66204508475</v>
          </cell>
          <cell r="R20">
            <v>359028.31832492567</v>
          </cell>
          <cell r="T20">
            <v>270622.4790725339</v>
          </cell>
          <cell r="V20">
            <v>230067.25995005082</v>
          </cell>
          <cell r="X20">
            <v>249227.05070576671</v>
          </cell>
          <cell r="Z20">
            <v>318894.96554372925</v>
          </cell>
          <cell r="AB20">
            <v>413270.0970721888</v>
          </cell>
        </row>
        <row r="22">
          <cell r="B22" t="str">
            <v>Accounts Payable</v>
          </cell>
          <cell r="D22">
            <v>1510</v>
          </cell>
          <cell r="F22">
            <v>910</v>
          </cell>
          <cell r="H22">
            <v>1975</v>
          </cell>
          <cell r="J22">
            <v>4085</v>
          </cell>
          <cell r="L22">
            <v>3826</v>
          </cell>
          <cell r="N22">
            <v>3325</v>
          </cell>
          <cell r="P22">
            <v>3939.454545454546</v>
          </cell>
          <cell r="R22">
            <v>4502.5074404761908</v>
          </cell>
          <cell r="T22">
            <v>5010</v>
          </cell>
          <cell r="V22">
            <v>6058.1982404371593</v>
          </cell>
          <cell r="X22">
            <v>6985.1782951070336</v>
          </cell>
          <cell r="Z22">
            <v>7683.4352374999989</v>
          </cell>
          <cell r="AB22">
            <v>8186.4847475616834</v>
          </cell>
          <cell r="AF22" t="str">
            <v>mstag:tradeAndOtherPayables</v>
          </cell>
          <cell r="AG22">
            <v>3</v>
          </cell>
          <cell r="AH22" t="str">
            <v>ISO4217:USD</v>
          </cell>
          <cell r="AI22" t="b">
            <v>0</v>
          </cell>
          <cell r="AJ22" t="b">
            <v>0</v>
          </cell>
        </row>
        <row r="23">
          <cell r="B23" t="str">
            <v>Accrued Liabilities</v>
          </cell>
          <cell r="D23">
            <v>1443</v>
          </cell>
          <cell r="F23">
            <v>3875</v>
          </cell>
          <cell r="H23">
            <v>3899</v>
          </cell>
          <cell r="J23">
            <v>4479</v>
          </cell>
          <cell r="L23">
            <v>11724</v>
          </cell>
          <cell r="N23">
            <v>10640</v>
          </cell>
          <cell r="P23">
            <v>11030.472727272729</v>
          </cell>
          <cell r="R23">
            <v>12607.020833333336</v>
          </cell>
          <cell r="T23">
            <v>16032</v>
          </cell>
          <cell r="V23">
            <v>19386.23436939891</v>
          </cell>
          <cell r="X23">
            <v>22352.570544342507</v>
          </cell>
          <cell r="Z23">
            <v>24586.992759999997</v>
          </cell>
          <cell r="AB23">
            <v>26196.751192197386</v>
          </cell>
          <cell r="AF23" t="str">
            <v>mstag:otherLiabilitiesOperatingCurrent</v>
          </cell>
          <cell r="AG23">
            <v>3</v>
          </cell>
          <cell r="AH23" t="str">
            <v>ISO4217:USD</v>
          </cell>
          <cell r="AI23" t="b">
            <v>0</v>
          </cell>
          <cell r="AJ23" t="b">
            <v>0</v>
          </cell>
        </row>
        <row r="24">
          <cell r="B24" t="str">
            <v>Deferred Revenue (ST)</v>
          </cell>
          <cell r="D24">
            <v>333</v>
          </cell>
          <cell r="F24">
            <v>1000</v>
          </cell>
          <cell r="H24">
            <v>10734</v>
          </cell>
          <cell r="J24">
            <v>11144</v>
          </cell>
          <cell r="L24">
            <v>59249</v>
          </cell>
          <cell r="N24">
            <v>58700</v>
          </cell>
          <cell r="P24">
            <v>57200</v>
          </cell>
          <cell r="R24">
            <v>54800</v>
          </cell>
          <cell r="T24">
            <v>31966.666666666668</v>
          </cell>
          <cell r="V24">
            <v>0</v>
          </cell>
          <cell r="X24">
            <v>0</v>
          </cell>
          <cell r="Z24">
            <v>0</v>
          </cell>
          <cell r="AB24">
            <v>0</v>
          </cell>
          <cell r="AF24" t="str">
            <v>mstag:deferredRevenueCurrent</v>
          </cell>
          <cell r="AG24">
            <v>3</v>
          </cell>
          <cell r="AH24" t="str">
            <v>ISO4217:USD</v>
          </cell>
          <cell r="AI24" t="b">
            <v>0</v>
          </cell>
          <cell r="AJ24" t="b">
            <v>0</v>
          </cell>
        </row>
        <row r="25">
          <cell r="B25" t="str">
            <v>Current portion of Notes Payable</v>
          </cell>
          <cell r="D25">
            <v>558</v>
          </cell>
          <cell r="F25">
            <v>790</v>
          </cell>
          <cell r="H25">
            <v>1876</v>
          </cell>
          <cell r="J25">
            <v>3217</v>
          </cell>
          <cell r="L25">
            <v>3795</v>
          </cell>
          <cell r="N25">
            <v>3795</v>
          </cell>
          <cell r="P25">
            <v>3795</v>
          </cell>
          <cell r="R25">
            <v>3795</v>
          </cell>
          <cell r="T25">
            <v>3795</v>
          </cell>
          <cell r="V25">
            <v>3795</v>
          </cell>
          <cell r="X25">
            <v>3795</v>
          </cell>
          <cell r="Z25">
            <v>3795</v>
          </cell>
          <cell r="AB25">
            <v>3795</v>
          </cell>
          <cell r="AF25" t="str">
            <v>mstag:shortTermBorrowings</v>
          </cell>
          <cell r="AG25">
            <v>3</v>
          </cell>
          <cell r="AH25" t="str">
            <v>ISO4217:USD</v>
          </cell>
          <cell r="AI25" t="b">
            <v>0</v>
          </cell>
          <cell r="AJ25" t="b">
            <v>0</v>
          </cell>
        </row>
        <row r="26">
          <cell r="B26" t="str">
            <v>Other Current Liabilities</v>
          </cell>
          <cell r="D26">
            <v>0</v>
          </cell>
          <cell r="F26">
            <v>0</v>
          </cell>
          <cell r="H26">
            <v>0</v>
          </cell>
          <cell r="J26">
            <v>0</v>
          </cell>
          <cell r="L26">
            <v>3497</v>
          </cell>
          <cell r="N26">
            <v>3497</v>
          </cell>
          <cell r="P26">
            <v>3497</v>
          </cell>
          <cell r="R26">
            <v>3497</v>
          </cell>
          <cell r="T26">
            <v>3497</v>
          </cell>
          <cell r="V26">
            <v>3497</v>
          </cell>
          <cell r="X26">
            <v>3497</v>
          </cell>
          <cell r="Z26">
            <v>3497</v>
          </cell>
          <cell r="AB26">
            <v>3497</v>
          </cell>
          <cell r="AF26" t="str">
            <v>mstag:otherLiabilitiesOperatingCurrent</v>
          </cell>
          <cell r="AG26">
            <v>3</v>
          </cell>
          <cell r="AH26" t="str">
            <v>ISO4217:USD</v>
          </cell>
          <cell r="AI26" t="b">
            <v>0</v>
          </cell>
          <cell r="AJ26" t="b">
            <v>0</v>
          </cell>
        </row>
        <row r="27">
          <cell r="B27" t="str">
            <v>Total current liabilities</v>
          </cell>
          <cell r="D27">
            <v>3844</v>
          </cell>
          <cell r="F27">
            <v>6575</v>
          </cell>
          <cell r="H27">
            <v>18484</v>
          </cell>
          <cell r="J27">
            <v>22925</v>
          </cell>
          <cell r="L27">
            <v>82091</v>
          </cell>
          <cell r="N27">
            <v>79957</v>
          </cell>
          <cell r="P27">
            <v>79461.927272727276</v>
          </cell>
          <cell r="R27">
            <v>79201.528273809527</v>
          </cell>
          <cell r="T27">
            <v>60300.666666666672</v>
          </cell>
          <cell r="V27">
            <v>32736.432609836069</v>
          </cell>
          <cell r="X27">
            <v>36629.748839449545</v>
          </cell>
          <cell r="Z27">
            <v>39562.427997499995</v>
          </cell>
          <cell r="AB27">
            <v>41675.23593975907</v>
          </cell>
        </row>
        <row r="28">
          <cell r="B28" t="str">
            <v>Deferred Revenue (LT)</v>
          </cell>
          <cell r="D28">
            <v>1556</v>
          </cell>
          <cell r="F28">
            <v>4083</v>
          </cell>
          <cell r="H28">
            <v>10099</v>
          </cell>
          <cell r="J28">
            <v>6786</v>
          </cell>
          <cell r="L28">
            <v>204067</v>
          </cell>
          <cell r="N28">
            <v>143966.66666666666</v>
          </cell>
          <cell r="P28">
            <v>86766.666666666657</v>
          </cell>
          <cell r="R28">
            <v>31966.666666666657</v>
          </cell>
          <cell r="T28">
            <v>0</v>
          </cell>
          <cell r="V28">
            <v>-1.0913936421275139E-11</v>
          </cell>
          <cell r="X28">
            <v>0</v>
          </cell>
          <cell r="Z28">
            <v>0</v>
          </cell>
          <cell r="AB28">
            <v>0</v>
          </cell>
          <cell r="AF28" t="str">
            <v>mstag:deferredRevenueNonCurrent</v>
          </cell>
          <cell r="AG28">
            <v>3</v>
          </cell>
          <cell r="AH28" t="str">
            <v>ISO4217:USD</v>
          </cell>
          <cell r="AI28" t="b">
            <v>0</v>
          </cell>
          <cell r="AJ28" t="b">
            <v>0</v>
          </cell>
        </row>
        <row r="29">
          <cell r="B29" t="str">
            <v xml:space="preserve">    Long-term debt</v>
          </cell>
          <cell r="D29">
            <v>0</v>
          </cell>
          <cell r="F29">
            <v>0</v>
          </cell>
          <cell r="H29">
            <v>0</v>
          </cell>
          <cell r="J29">
            <v>0</v>
          </cell>
          <cell r="L29">
            <v>0</v>
          </cell>
          <cell r="N29">
            <v>0</v>
          </cell>
          <cell r="P29">
            <v>0</v>
          </cell>
          <cell r="R29">
            <v>0</v>
          </cell>
          <cell r="T29">
            <v>0</v>
          </cell>
          <cell r="V29">
            <v>0</v>
          </cell>
          <cell r="X29">
            <v>0</v>
          </cell>
          <cell r="Z29">
            <v>0</v>
          </cell>
          <cell r="AB29">
            <v>0</v>
          </cell>
          <cell r="AF29" t="str">
            <v>mstag:longTermDebt</v>
          </cell>
          <cell r="AG29">
            <v>3</v>
          </cell>
          <cell r="AH29" t="str">
            <v>ISO4217:USD</v>
          </cell>
          <cell r="AI29" t="b">
            <v>0</v>
          </cell>
          <cell r="AJ29" t="b">
            <v>0</v>
          </cell>
        </row>
        <row r="30">
          <cell r="B30" t="str">
            <v xml:space="preserve">    Deferred Rent</v>
          </cell>
          <cell r="D30">
            <v>0</v>
          </cell>
          <cell r="F30">
            <v>2896</v>
          </cell>
          <cell r="H30">
            <v>2467</v>
          </cell>
          <cell r="J30">
            <v>3202</v>
          </cell>
          <cell r="L30">
            <v>5200</v>
          </cell>
          <cell r="N30">
            <v>5200</v>
          </cell>
          <cell r="P30">
            <v>5200</v>
          </cell>
          <cell r="R30">
            <v>5200</v>
          </cell>
          <cell r="T30">
            <v>5200</v>
          </cell>
          <cell r="V30">
            <v>5200</v>
          </cell>
          <cell r="X30">
            <v>5200</v>
          </cell>
          <cell r="Z30">
            <v>5200</v>
          </cell>
          <cell r="AB30">
            <v>5200</v>
          </cell>
          <cell r="AF30" t="str">
            <v>mstag:otherLiabilitiesOperatingNonCurrent</v>
          </cell>
          <cell r="AG30">
            <v>3</v>
          </cell>
          <cell r="AH30" t="str">
            <v>ISO4217:USD</v>
          </cell>
          <cell r="AI30" t="b">
            <v>0</v>
          </cell>
          <cell r="AJ30" t="b">
            <v>0</v>
          </cell>
        </row>
        <row r="31">
          <cell r="B31" t="str">
            <v xml:space="preserve">    Notes Payable</v>
          </cell>
          <cell r="D31">
            <v>1301</v>
          </cell>
          <cell r="F31">
            <v>6411</v>
          </cell>
          <cell r="H31">
            <v>5519</v>
          </cell>
          <cell r="J31">
            <v>5919</v>
          </cell>
          <cell r="L31">
            <v>2963</v>
          </cell>
          <cell r="N31">
            <v>2963</v>
          </cell>
          <cell r="P31">
            <v>2963</v>
          </cell>
          <cell r="R31">
            <v>2963</v>
          </cell>
          <cell r="T31">
            <v>2963</v>
          </cell>
          <cell r="V31">
            <v>2963</v>
          </cell>
          <cell r="X31">
            <v>2963</v>
          </cell>
          <cell r="Z31">
            <v>2963</v>
          </cell>
          <cell r="AB31">
            <v>2963</v>
          </cell>
          <cell r="AF31" t="str">
            <v>mstag:otherInterestBearingLiabilities</v>
          </cell>
          <cell r="AG31">
            <v>3</v>
          </cell>
          <cell r="AH31" t="str">
            <v>ISO4217:USD</v>
          </cell>
          <cell r="AI31" t="b">
            <v>0</v>
          </cell>
          <cell r="AJ31" t="b">
            <v>0</v>
          </cell>
        </row>
        <row r="32">
          <cell r="B32" t="str">
            <v xml:space="preserve">    Convertible Preferred Stock</v>
          </cell>
          <cell r="D32">
            <v>0</v>
          </cell>
          <cell r="F32">
            <v>0</v>
          </cell>
          <cell r="H32">
            <v>0</v>
          </cell>
          <cell r="J32">
            <v>0</v>
          </cell>
          <cell r="L32">
            <v>0</v>
          </cell>
          <cell r="N32">
            <v>0</v>
          </cell>
          <cell r="P32">
            <v>0</v>
          </cell>
          <cell r="R32">
            <v>0</v>
          </cell>
          <cell r="T32">
            <v>0</v>
          </cell>
          <cell r="V32">
            <v>0</v>
          </cell>
          <cell r="X32">
            <v>0</v>
          </cell>
          <cell r="Z32">
            <v>0</v>
          </cell>
          <cell r="AB32">
            <v>0</v>
          </cell>
          <cell r="AF32" t="str">
            <v>mstag:otherLongTermDebtCi</v>
          </cell>
          <cell r="AG32">
            <v>3</v>
          </cell>
          <cell r="AH32" t="str">
            <v>ISO4217:USD</v>
          </cell>
          <cell r="AI32" t="b">
            <v>0</v>
          </cell>
          <cell r="AJ32" t="b">
            <v>0</v>
          </cell>
        </row>
        <row r="33">
          <cell r="B33" t="str">
            <v xml:space="preserve">    Other Liabilities</v>
          </cell>
          <cell r="D33">
            <v>0</v>
          </cell>
          <cell r="F33">
            <v>0</v>
          </cell>
          <cell r="H33">
            <v>0</v>
          </cell>
          <cell r="J33">
            <v>0</v>
          </cell>
          <cell r="L33">
            <v>302</v>
          </cell>
          <cell r="N33">
            <v>10640</v>
          </cell>
          <cell r="P33">
            <v>11030.472727272729</v>
          </cell>
          <cell r="R33">
            <v>12607.020833333336</v>
          </cell>
          <cell r="T33">
            <v>16032</v>
          </cell>
          <cell r="V33">
            <v>19386.23436939891</v>
          </cell>
          <cell r="X33">
            <v>22352.570544342507</v>
          </cell>
          <cell r="Z33">
            <v>24586.992759999997</v>
          </cell>
          <cell r="AB33">
            <v>26196.751192197386</v>
          </cell>
          <cell r="AF33" t="str">
            <v>mstag:otherLiabilitiesOperatingNonCurrent</v>
          </cell>
          <cell r="AG33">
            <v>3</v>
          </cell>
          <cell r="AH33" t="str">
            <v>ISO4217:USD</v>
          </cell>
          <cell r="AI33" t="b">
            <v>0</v>
          </cell>
          <cell r="AJ33" t="b">
            <v>0</v>
          </cell>
        </row>
        <row r="34">
          <cell r="B34" t="str">
            <v>Total liabilities</v>
          </cell>
          <cell r="D34">
            <v>6701</v>
          </cell>
          <cell r="F34">
            <v>19965</v>
          </cell>
          <cell r="H34">
            <v>36569</v>
          </cell>
          <cell r="J34">
            <v>38832</v>
          </cell>
          <cell r="L34">
            <v>294623</v>
          </cell>
          <cell r="N34">
            <v>242726.66666666666</v>
          </cell>
          <cell r="P34">
            <v>185422.06666666665</v>
          </cell>
          <cell r="R34">
            <v>131938.21577380953</v>
          </cell>
          <cell r="T34">
            <v>84495.666666666672</v>
          </cell>
          <cell r="V34">
            <v>60285.666979234971</v>
          </cell>
          <cell r="X34">
            <v>67145.319383792055</v>
          </cell>
          <cell r="Z34">
            <v>72312.420757499989</v>
          </cell>
          <cell r="AB34">
            <v>76034.987131956455</v>
          </cell>
        </row>
        <row r="36">
          <cell r="B36" t="str">
            <v>Stockholders' equity:</v>
          </cell>
        </row>
        <row r="37">
          <cell r="B37" t="str">
            <v>Preferred stock</v>
          </cell>
          <cell r="D37">
            <v>55189</v>
          </cell>
          <cell r="F37">
            <v>0</v>
          </cell>
          <cell r="H37">
            <v>0</v>
          </cell>
          <cell r="J37">
            <v>0</v>
          </cell>
          <cell r="L37">
            <v>0</v>
          </cell>
          <cell r="N37">
            <v>0</v>
          </cell>
          <cell r="P37">
            <v>0</v>
          </cell>
          <cell r="R37">
            <v>0</v>
          </cell>
          <cell r="T37">
            <v>0</v>
          </cell>
          <cell r="V37">
            <v>0</v>
          </cell>
          <cell r="X37">
            <v>0</v>
          </cell>
          <cell r="Z37">
            <v>0</v>
          </cell>
          <cell r="AB37">
            <v>0</v>
          </cell>
          <cell r="AF37" t="str">
            <v>mstag:preferredEquity</v>
          </cell>
          <cell r="AG37">
            <v>3</v>
          </cell>
          <cell r="AH37" t="str">
            <v>ISO4217:USD</v>
          </cell>
          <cell r="AI37" t="b">
            <v>0</v>
          </cell>
          <cell r="AJ37" t="b">
            <v>0</v>
          </cell>
        </row>
        <row r="38">
          <cell r="B38" t="str">
            <v>Common stock (includes APIC)</v>
          </cell>
          <cell r="D38">
            <v>7416</v>
          </cell>
          <cell r="F38">
            <v>112424</v>
          </cell>
          <cell r="H38">
            <v>170300</v>
          </cell>
          <cell r="J38">
            <v>341150</v>
          </cell>
          <cell r="L38">
            <v>424861</v>
          </cell>
          <cell r="N38">
            <v>457964.25939999998</v>
          </cell>
          <cell r="P38">
            <v>498960.75674191816</v>
          </cell>
          <cell r="R38">
            <v>544896.64288180647</v>
          </cell>
          <cell r="T38">
            <v>595699.17835502746</v>
          </cell>
          <cell r="V38">
            <v>646822.55004718225</v>
          </cell>
          <cell r="X38">
            <v>697317.09584688814</v>
          </cell>
          <cell r="Z38">
            <v>745882.23796376004</v>
          </cell>
          <cell r="AB38">
            <v>792581.60530547309</v>
          </cell>
          <cell r="AF38" t="str">
            <v>mstag:totalShareCapital</v>
          </cell>
          <cell r="AG38">
            <v>3</v>
          </cell>
          <cell r="AH38" t="str">
            <v>ISO4217:USD</v>
          </cell>
          <cell r="AI38" t="b">
            <v>0</v>
          </cell>
          <cell r="AJ38" t="b">
            <v>0</v>
          </cell>
        </row>
        <row r="39">
          <cell r="B39" t="str">
            <v>Deferred Stock Compensation</v>
          </cell>
          <cell r="D39">
            <v>-4681</v>
          </cell>
          <cell r="F39">
            <v>-3697</v>
          </cell>
          <cell r="H39">
            <v>-2460</v>
          </cell>
          <cell r="J39">
            <v>-89</v>
          </cell>
          <cell r="L39">
            <v>0</v>
          </cell>
          <cell r="N39">
            <v>0</v>
          </cell>
          <cell r="P39">
            <v>0</v>
          </cell>
          <cell r="R39">
            <v>0</v>
          </cell>
          <cell r="T39">
            <v>0</v>
          </cell>
          <cell r="V39">
            <v>0</v>
          </cell>
          <cell r="X39">
            <v>0</v>
          </cell>
          <cell r="Z39">
            <v>0</v>
          </cell>
          <cell r="AB39">
            <v>0</v>
          </cell>
          <cell r="AF39" t="str">
            <v>mstag:otherEquityItems</v>
          </cell>
          <cell r="AG39">
            <v>3</v>
          </cell>
          <cell r="AH39" t="str">
            <v>ISO4217:USD</v>
          </cell>
          <cell r="AI39" t="b">
            <v>0</v>
          </cell>
          <cell r="AJ39" t="b">
            <v>0</v>
          </cell>
        </row>
        <row r="40">
          <cell r="B40" t="str">
            <v>Retained Earnings (Accum. deficit)</v>
          </cell>
          <cell r="D40">
            <v>-29518</v>
          </cell>
          <cell r="F40">
            <v>-63005</v>
          </cell>
          <cell r="H40">
            <v>-105919</v>
          </cell>
          <cell r="J40">
            <v>-140527</v>
          </cell>
          <cell r="L40">
            <v>-225993</v>
          </cell>
          <cell r="N40">
            <v>-229642.14771724289</v>
          </cell>
          <cell r="P40">
            <v>-258668.16136350005</v>
          </cell>
          <cell r="R40">
            <v>-319080.54033069033</v>
          </cell>
          <cell r="T40">
            <v>-410846.36594916024</v>
          </cell>
          <cell r="V40">
            <v>-478314.95707636641</v>
          </cell>
          <cell r="X40">
            <v>-516509.36452491349</v>
          </cell>
          <cell r="Z40">
            <v>-500573.69317753077</v>
          </cell>
          <cell r="AB40">
            <v>-456620.49536524084</v>
          </cell>
          <cell r="AF40" t="str">
            <v>mstag:retainedEarnings</v>
          </cell>
          <cell r="AG40">
            <v>3</v>
          </cell>
          <cell r="AH40" t="str">
            <v>ISO4217:USD</v>
          </cell>
          <cell r="AI40" t="b">
            <v>0</v>
          </cell>
          <cell r="AJ40" t="b">
            <v>0</v>
          </cell>
        </row>
        <row r="41">
          <cell r="B41" t="str">
            <v>Other</v>
          </cell>
          <cell r="D41">
            <v>76</v>
          </cell>
          <cell r="F41">
            <v>420</v>
          </cell>
          <cell r="H41">
            <v>-142</v>
          </cell>
          <cell r="J41">
            <v>640</v>
          </cell>
          <cell r="L41">
            <v>300</v>
          </cell>
          <cell r="N41">
            <v>300</v>
          </cell>
          <cell r="P41">
            <v>300</v>
          </cell>
          <cell r="R41">
            <v>300</v>
          </cell>
          <cell r="T41">
            <v>300</v>
          </cell>
          <cell r="V41">
            <v>300</v>
          </cell>
          <cell r="X41">
            <v>300</v>
          </cell>
          <cell r="Z41">
            <v>300</v>
          </cell>
          <cell r="AB41">
            <v>300</v>
          </cell>
          <cell r="AF41" t="str">
            <v>mstag:accumulatedOtherComprehensiveIncomeLossAndReserves</v>
          </cell>
          <cell r="AG41">
            <v>3</v>
          </cell>
          <cell r="AH41" t="str">
            <v>ISO4217:USD</v>
          </cell>
          <cell r="AI41" t="b">
            <v>0</v>
          </cell>
          <cell r="AJ41" t="b">
            <v>0</v>
          </cell>
        </row>
        <row r="42">
          <cell r="B42" t="str">
            <v>Total stockholders' equity</v>
          </cell>
          <cell r="D42">
            <v>28482</v>
          </cell>
          <cell r="F42">
            <v>46142</v>
          </cell>
          <cell r="H42">
            <v>61779</v>
          </cell>
          <cell r="J42">
            <v>201174</v>
          </cell>
          <cell r="L42">
            <v>199168</v>
          </cell>
          <cell r="N42">
            <v>228622.11168275709</v>
          </cell>
          <cell r="P42">
            <v>240592.5953784181</v>
          </cell>
          <cell r="R42">
            <v>226116.10255111614</v>
          </cell>
          <cell r="T42">
            <v>185152.81240586721</v>
          </cell>
          <cell r="V42">
            <v>168807.59297081584</v>
          </cell>
          <cell r="X42">
            <v>181107.73132197466</v>
          </cell>
          <cell r="Z42">
            <v>245608.54478622926</v>
          </cell>
          <cell r="AB42">
            <v>336261.10994023224</v>
          </cell>
        </row>
        <row r="43">
          <cell r="R43">
            <v>-14476.492827301961</v>
          </cell>
          <cell r="T43">
            <v>-40963.290145248931</v>
          </cell>
          <cell r="V43">
            <v>-16345.219435051375</v>
          </cell>
          <cell r="X43">
            <v>12300.138351158821</v>
          </cell>
        </row>
        <row r="44">
          <cell r="B44" t="str">
            <v>Liabilities and Shareholder Equity</v>
          </cell>
          <cell r="D44">
            <v>35183</v>
          </cell>
          <cell r="F44">
            <v>66107</v>
          </cell>
          <cell r="H44">
            <v>98348</v>
          </cell>
          <cell r="J44">
            <v>240006</v>
          </cell>
          <cell r="L44">
            <v>493791</v>
          </cell>
          <cell r="N44">
            <v>471348.77834942378</v>
          </cell>
          <cell r="P44">
            <v>426014.66204508475</v>
          </cell>
          <cell r="R44">
            <v>358054.31832492567</v>
          </cell>
          <cell r="T44">
            <v>269648.4790725339</v>
          </cell>
          <cell r="V44">
            <v>229093.25995005079</v>
          </cell>
          <cell r="X44">
            <v>248253.05070576671</v>
          </cell>
          <cell r="Z44">
            <v>317920.96554372925</v>
          </cell>
          <cell r="AB44">
            <v>412296.09707218868</v>
          </cell>
        </row>
        <row r="46">
          <cell r="B46" t="str">
            <v>Source: Company data and Morgan Stanley Research</v>
          </cell>
          <cell r="D46">
            <v>0</v>
          </cell>
          <cell r="F46">
            <v>0</v>
          </cell>
          <cell r="H46">
            <v>0</v>
          </cell>
          <cell r="J46">
            <v>0</v>
          </cell>
          <cell r="L46">
            <v>0</v>
          </cell>
          <cell r="N46">
            <v>973.99999999994179</v>
          </cell>
          <cell r="P46">
            <v>974</v>
          </cell>
          <cell r="R46">
            <v>974</v>
          </cell>
          <cell r="T46">
            <v>974</v>
          </cell>
          <cell r="V46">
            <v>974.0000000000291</v>
          </cell>
          <cell r="X46">
            <v>974</v>
          </cell>
          <cell r="Z46">
            <v>974</v>
          </cell>
          <cell r="AB46">
            <v>974.00000000011642</v>
          </cell>
        </row>
        <row r="47">
          <cell r="D47">
            <v>0</v>
          </cell>
          <cell r="F47">
            <v>0</v>
          </cell>
          <cell r="H47">
            <v>0</v>
          </cell>
          <cell r="J47">
            <v>0</v>
          </cell>
        </row>
        <row r="49">
          <cell r="B49" t="str">
            <v>Depreciation on PP&amp;E</v>
          </cell>
        </row>
        <row r="50">
          <cell r="B50" t="str">
            <v xml:space="preserve">Existing PP&amp;E </v>
          </cell>
          <cell r="D50">
            <v>838</v>
          </cell>
          <cell r="F50">
            <v>2444</v>
          </cell>
          <cell r="H50">
            <v>3119</v>
          </cell>
          <cell r="J50">
            <v>2807.1</v>
          </cell>
          <cell r="L50">
            <v>2526.39</v>
          </cell>
          <cell r="N50">
            <v>2273.7509999999997</v>
          </cell>
          <cell r="P50">
            <v>2046.3758999999998</v>
          </cell>
          <cell r="R50">
            <v>1841.7383099999997</v>
          </cell>
          <cell r="T50">
            <v>1657.5644789999997</v>
          </cell>
          <cell r="V50">
            <v>1491.8080310999997</v>
          </cell>
          <cell r="X50">
            <v>1342.6272279899997</v>
          </cell>
          <cell r="Z50">
            <v>1208.3645051909998</v>
          </cell>
          <cell r="AB50">
            <v>1087.5280546718998</v>
          </cell>
          <cell r="AD50">
            <v>10</v>
          </cell>
        </row>
        <row r="51">
          <cell r="B51" t="str">
            <v>2004 capital expenditures</v>
          </cell>
          <cell r="F51">
            <v>900.6</v>
          </cell>
          <cell r="H51">
            <v>900.6</v>
          </cell>
          <cell r="J51">
            <v>900.6</v>
          </cell>
          <cell r="L51">
            <v>900.6</v>
          </cell>
          <cell r="N51">
            <v>900.6</v>
          </cell>
          <cell r="P51">
            <v>900.6</v>
          </cell>
          <cell r="R51">
            <v>900.6</v>
          </cell>
          <cell r="T51">
            <v>900.6</v>
          </cell>
          <cell r="V51">
            <v>900.6</v>
          </cell>
          <cell r="X51">
            <v>900.6</v>
          </cell>
          <cell r="Z51">
            <v>900.6</v>
          </cell>
          <cell r="AB51">
            <v>900.6</v>
          </cell>
        </row>
        <row r="52">
          <cell r="B52" t="str">
            <v>2005 capital expenditures</v>
          </cell>
          <cell r="H52">
            <v>194.7</v>
          </cell>
          <cell r="J52">
            <v>194.7</v>
          </cell>
          <cell r="L52">
            <v>194.7</v>
          </cell>
          <cell r="N52">
            <v>194.7</v>
          </cell>
          <cell r="P52">
            <v>194.7</v>
          </cell>
          <cell r="R52">
            <v>194.7</v>
          </cell>
          <cell r="T52">
            <v>194.7</v>
          </cell>
          <cell r="V52">
            <v>194.7</v>
          </cell>
          <cell r="X52">
            <v>194.7</v>
          </cell>
          <cell r="Z52">
            <v>194.7</v>
          </cell>
          <cell r="AB52">
            <v>194.7</v>
          </cell>
        </row>
        <row r="53">
          <cell r="B53" t="str">
            <v>2006 capital expenditures</v>
          </cell>
          <cell r="J53">
            <v>498.6</v>
          </cell>
          <cell r="L53">
            <v>498.6</v>
          </cell>
          <cell r="N53">
            <v>498.6</v>
          </cell>
          <cell r="P53">
            <v>498.6</v>
          </cell>
          <cell r="R53">
            <v>498.6</v>
          </cell>
          <cell r="T53">
            <v>498.6</v>
          </cell>
          <cell r="V53">
            <v>498.6</v>
          </cell>
          <cell r="X53">
            <v>498.6</v>
          </cell>
          <cell r="Z53">
            <v>498.6</v>
          </cell>
          <cell r="AB53">
            <v>498.6</v>
          </cell>
        </row>
        <row r="54">
          <cell r="B54" t="str">
            <v>2007 capital expenditures</v>
          </cell>
          <cell r="L54">
            <v>778.8</v>
          </cell>
          <cell r="N54">
            <v>778.8</v>
          </cell>
          <cell r="P54">
            <v>778.8</v>
          </cell>
          <cell r="R54">
            <v>778.8</v>
          </cell>
          <cell r="T54">
            <v>778.8</v>
          </cell>
          <cell r="V54">
            <v>778.8</v>
          </cell>
          <cell r="X54">
            <v>778.8</v>
          </cell>
          <cell r="Z54">
            <v>778.8</v>
          </cell>
          <cell r="AB54">
            <v>778.8</v>
          </cell>
        </row>
        <row r="55">
          <cell r="B55" t="str">
            <v>2008 capital expenditures</v>
          </cell>
          <cell r="N55">
            <v>1294.8600000000001</v>
          </cell>
          <cell r="P55">
            <v>1294.8600000000001</v>
          </cell>
          <cell r="R55">
            <v>1294.8600000000001</v>
          </cell>
          <cell r="T55">
            <v>1294.8600000000001</v>
          </cell>
          <cell r="V55">
            <v>1294.8600000000001</v>
          </cell>
          <cell r="X55">
            <v>1294.8600000000001</v>
          </cell>
          <cell r="Z55">
            <v>1294.8600000000001</v>
          </cell>
          <cell r="AB55">
            <v>1294.8600000000001</v>
          </cell>
        </row>
        <row r="56">
          <cell r="B56" t="str">
            <v>2009 capital expenditures</v>
          </cell>
          <cell r="P56">
            <v>1313.1515151515152</v>
          </cell>
          <cell r="R56">
            <v>1313.1515151515152</v>
          </cell>
          <cell r="T56">
            <v>1313.1515151515152</v>
          </cell>
          <cell r="V56">
            <v>1313.1515151515152</v>
          </cell>
          <cell r="X56">
            <v>1313.1515151515152</v>
          </cell>
          <cell r="Z56">
            <v>1313.1515151515152</v>
          </cell>
          <cell r="AB56">
            <v>1313.1515151515152</v>
          </cell>
        </row>
        <row r="57">
          <cell r="B57" t="str">
            <v>2010 capital expenditures</v>
          </cell>
          <cell r="R57">
            <v>1259.4426406926409</v>
          </cell>
          <cell r="T57">
            <v>1259.4426406926409</v>
          </cell>
          <cell r="V57">
            <v>1259.4426406926409</v>
          </cell>
          <cell r="X57">
            <v>1259.4426406926409</v>
          </cell>
          <cell r="Z57">
            <v>1259.4426406926409</v>
          </cell>
          <cell r="AB57">
            <v>1259.4426406926409</v>
          </cell>
        </row>
        <row r="58">
          <cell r="B58" t="str">
            <v>2011 capital expenditures</v>
          </cell>
          <cell r="T58">
            <v>1200</v>
          </cell>
          <cell r="V58">
            <v>1200</v>
          </cell>
          <cell r="X58">
            <v>1200</v>
          </cell>
          <cell r="Z58">
            <v>1200</v>
          </cell>
          <cell r="AB58">
            <v>1200</v>
          </cell>
        </row>
        <row r="59">
          <cell r="B59" t="str">
            <v>2012 capital expenditures</v>
          </cell>
          <cell r="V59">
            <v>1910.2369398907108</v>
          </cell>
          <cell r="X59">
            <v>1910.2369398907108</v>
          </cell>
          <cell r="Z59">
            <v>1910.2369398907108</v>
          </cell>
          <cell r="AB59">
            <v>1910.2369398907108</v>
          </cell>
        </row>
        <row r="60">
          <cell r="B60" t="str">
            <v>2013 capital expenditures</v>
          </cell>
          <cell r="X60">
            <v>2602.3428134556571</v>
          </cell>
          <cell r="Z60">
            <v>2602.3428134556571</v>
          </cell>
          <cell r="AB60">
            <v>2602.3428134556571</v>
          </cell>
        </row>
        <row r="61">
          <cell r="B61" t="str">
            <v>2014 capital expenditures</v>
          </cell>
          <cell r="Z61">
            <v>4115.405099999999</v>
          </cell>
          <cell r="AB61">
            <v>4115.405099999999</v>
          </cell>
        </row>
        <row r="62">
          <cell r="B62" t="str">
            <v>2015 capital expenditures</v>
          </cell>
          <cell r="AB62">
            <v>4685.4099827883001</v>
          </cell>
        </row>
        <row r="63">
          <cell r="B63" t="str">
            <v>Total depreciation</v>
          </cell>
          <cell r="D63">
            <v>838</v>
          </cell>
          <cell r="F63">
            <v>2444</v>
          </cell>
          <cell r="H63">
            <v>3119</v>
          </cell>
          <cell r="J63">
            <v>3815</v>
          </cell>
          <cell r="L63">
            <v>3800</v>
          </cell>
          <cell r="N63">
            <v>5941.3109999999997</v>
          </cell>
          <cell r="P63">
            <v>7027.0874151515154</v>
          </cell>
          <cell r="R63">
            <v>8081.8924658441556</v>
          </cell>
          <cell r="T63">
            <v>9097.7186348441555</v>
          </cell>
          <cell r="V63">
            <v>10842.199126834865</v>
          </cell>
          <cell r="X63">
            <v>13295.361137180524</v>
          </cell>
          <cell r="Z63">
            <v>17276.503514381522</v>
          </cell>
          <cell r="AB63">
            <v>21841.077046650724</v>
          </cell>
        </row>
        <row r="64">
          <cell r="B64" t="str">
            <v xml:space="preserve">     Depreciation as % operating expenses</v>
          </cell>
          <cell r="H64">
            <v>6.4728344332378701E-2</v>
          </cell>
          <cell r="J64">
            <v>6.5632150291602867E-2</v>
          </cell>
          <cell r="L64">
            <v>2.9320535176926281E-2</v>
          </cell>
          <cell r="N64">
            <v>4.4671511278195485E-2</v>
          </cell>
          <cell r="P64">
            <v>4.4594291760895986E-2</v>
          </cell>
          <cell r="R64">
            <v>4.4874398169730753E-2</v>
          </cell>
          <cell r="T64">
            <v>4.5397797579062656E-2</v>
          </cell>
          <cell r="V64">
            <v>4.4741846901218657E-2</v>
          </cell>
          <cell r="X64">
            <v>4.7584186743284844E-2</v>
          </cell>
          <cell r="Z64">
            <v>5.6213474117870199E-2</v>
          </cell>
          <cell r="AB64">
            <v>6.6698582236887502E-2</v>
          </cell>
        </row>
        <row r="65">
          <cell r="J65">
            <v>20</v>
          </cell>
          <cell r="L65">
            <v>20</v>
          </cell>
          <cell r="N65">
            <v>10</v>
          </cell>
          <cell r="P65">
            <v>15</v>
          </cell>
        </row>
        <row r="66">
          <cell r="B66" t="str">
            <v>Property and Equipment, Net</v>
          </cell>
        </row>
        <row r="67">
          <cell r="B67" t="str">
            <v>Beginning balance</v>
          </cell>
          <cell r="D67">
            <v>2475</v>
          </cell>
          <cell r="F67">
            <v>4756</v>
          </cell>
          <cell r="H67">
            <v>11694</v>
          </cell>
          <cell r="J67">
            <v>10580</v>
          </cell>
          <cell r="L67">
            <v>12173</v>
          </cell>
          <cell r="N67">
            <v>13819</v>
          </cell>
          <cell r="P67">
            <v>20826.288999999997</v>
          </cell>
          <cell r="R67">
            <v>26930.716736363633</v>
          </cell>
          <cell r="T67">
            <v>31443.250677445889</v>
          </cell>
          <cell r="V67">
            <v>34345.532042601735</v>
          </cell>
          <cell r="X67">
            <v>42605.702314673981</v>
          </cell>
          <cell r="Z67">
            <v>55333.769312050026</v>
          </cell>
          <cell r="AB67">
            <v>79211.316797668507</v>
          </cell>
        </row>
        <row r="68">
          <cell r="B68" t="str">
            <v>Capital expenditures</v>
          </cell>
          <cell r="D68">
            <v>3119</v>
          </cell>
          <cell r="F68">
            <v>9006</v>
          </cell>
          <cell r="H68">
            <v>1947</v>
          </cell>
          <cell r="J68">
            <v>4986</v>
          </cell>
          <cell r="L68">
            <v>7788</v>
          </cell>
          <cell r="N68">
            <v>12948.6</v>
          </cell>
          <cell r="P68">
            <v>13131.515151515152</v>
          </cell>
          <cell r="R68">
            <v>12594.426406926408</v>
          </cell>
          <cell r="T68">
            <v>12000</v>
          </cell>
          <cell r="V68">
            <v>19102.369398907107</v>
          </cell>
          <cell r="X68">
            <v>26023.428134556572</v>
          </cell>
          <cell r="Z68">
            <v>41154.050999999992</v>
          </cell>
          <cell r="AB68">
            <v>46854.099827883001</v>
          </cell>
        </row>
        <row r="69">
          <cell r="B69" t="str">
            <v>% revenue</v>
          </cell>
          <cell r="D69">
            <v>17.72159090909091</v>
          </cell>
          <cell r="F69">
            <v>2.1051893408134643</v>
          </cell>
          <cell r="H69">
            <v>0.34062281315605319</v>
          </cell>
          <cell r="J69">
            <v>0.2</v>
          </cell>
          <cell r="L69">
            <v>0.15</v>
          </cell>
          <cell r="N69">
            <v>0.1</v>
          </cell>
          <cell r="P69">
            <v>0.1</v>
          </cell>
          <cell r="R69">
            <v>0.1</v>
          </cell>
          <cell r="T69">
            <v>0.1</v>
          </cell>
          <cell r="V69">
            <v>0.1</v>
          </cell>
          <cell r="X69">
            <v>0.1</v>
          </cell>
          <cell r="Z69">
            <v>0.12</v>
          </cell>
          <cell r="AB69">
            <v>0.12</v>
          </cell>
        </row>
        <row r="70">
          <cell r="B70" t="str">
            <v>Depreciation</v>
          </cell>
          <cell r="D70">
            <v>-838</v>
          </cell>
          <cell r="F70">
            <v>-2444</v>
          </cell>
          <cell r="H70">
            <v>-3119</v>
          </cell>
          <cell r="J70">
            <v>-3815</v>
          </cell>
          <cell r="L70">
            <v>-3800</v>
          </cell>
          <cell r="N70">
            <v>-5941.3109999999997</v>
          </cell>
          <cell r="P70">
            <v>-7027.0874151515154</v>
          </cell>
          <cell r="R70">
            <v>-8081.8924658441556</v>
          </cell>
          <cell r="T70">
            <v>-9097.7186348441555</v>
          </cell>
          <cell r="V70">
            <v>-10842.199126834865</v>
          </cell>
          <cell r="X70">
            <v>-13295.361137180524</v>
          </cell>
          <cell r="Z70">
            <v>-17276.503514381522</v>
          </cell>
          <cell r="AB70">
            <v>-21841.077046650724</v>
          </cell>
        </row>
        <row r="71">
          <cell r="B71" t="str">
            <v>Less: Disposals/Retirements</v>
          </cell>
          <cell r="L71">
            <v>-2342</v>
          </cell>
        </row>
        <row r="72">
          <cell r="B72" t="str">
            <v>Ending balance</v>
          </cell>
          <cell r="D72">
            <v>4756</v>
          </cell>
          <cell r="F72">
            <v>11694</v>
          </cell>
          <cell r="H72">
            <v>10580</v>
          </cell>
          <cell r="J72">
            <v>12173</v>
          </cell>
          <cell r="L72">
            <v>13819</v>
          </cell>
          <cell r="N72">
            <v>20826.288999999997</v>
          </cell>
          <cell r="P72">
            <v>26930.716736363633</v>
          </cell>
          <cell r="R72">
            <v>31443.250677445889</v>
          </cell>
          <cell r="T72">
            <v>34345.532042601735</v>
          </cell>
          <cell r="V72">
            <v>42605.702314673981</v>
          </cell>
          <cell r="X72">
            <v>55333.769312050026</v>
          </cell>
          <cell r="Z72">
            <v>79211.316797668507</v>
          </cell>
          <cell r="AB72">
            <v>104224.33957890078</v>
          </cell>
        </row>
        <row r="74">
          <cell r="B74" t="str">
            <v>Intangible Assets</v>
          </cell>
        </row>
        <row r="75">
          <cell r="B75" t="str">
            <v>Beginning balance</v>
          </cell>
          <cell r="H75">
            <v>3405</v>
          </cell>
          <cell r="J75">
            <v>2491</v>
          </cell>
          <cell r="L75">
            <v>1933</v>
          </cell>
          <cell r="N75">
            <v>1933</v>
          </cell>
          <cell r="P75">
            <v>1933</v>
          </cell>
          <cell r="R75">
            <v>1933</v>
          </cell>
          <cell r="T75">
            <v>1933</v>
          </cell>
          <cell r="V75">
            <v>1933</v>
          </cell>
          <cell r="X75">
            <v>1933</v>
          </cell>
          <cell r="Z75">
            <v>1933</v>
          </cell>
          <cell r="AB75">
            <v>1933</v>
          </cell>
          <cell r="AG75">
            <v>1933</v>
          </cell>
          <cell r="AI75">
            <v>1933</v>
          </cell>
        </row>
        <row r="76">
          <cell r="B76" t="str">
            <v>Expenditures on Intangible Assets</v>
          </cell>
          <cell r="H76">
            <v>0</v>
          </cell>
          <cell r="J76">
            <v>0</v>
          </cell>
          <cell r="L76">
            <v>0</v>
          </cell>
          <cell r="N76">
            <v>0</v>
          </cell>
          <cell r="P76">
            <v>0</v>
          </cell>
          <cell r="R76">
            <v>0</v>
          </cell>
          <cell r="T76">
            <v>0</v>
          </cell>
          <cell r="V76">
            <v>0</v>
          </cell>
          <cell r="X76">
            <v>0</v>
          </cell>
          <cell r="Z76">
            <v>0</v>
          </cell>
          <cell r="AB76">
            <v>0</v>
          </cell>
          <cell r="AG76">
            <v>0</v>
          </cell>
          <cell r="AI76">
            <v>0</v>
          </cell>
        </row>
        <row r="77">
          <cell r="B77" t="str">
            <v>% revenue</v>
          </cell>
          <cell r="H77">
            <v>0</v>
          </cell>
          <cell r="J77">
            <v>0</v>
          </cell>
          <cell r="L77">
            <v>0</v>
          </cell>
          <cell r="N77">
            <v>0</v>
          </cell>
          <cell r="P77">
            <v>0</v>
          </cell>
          <cell r="R77">
            <v>0</v>
          </cell>
          <cell r="T77">
            <v>0</v>
          </cell>
          <cell r="V77">
            <v>0</v>
          </cell>
          <cell r="X77">
            <v>0</v>
          </cell>
          <cell r="Z77">
            <v>0</v>
          </cell>
          <cell r="AB77">
            <v>0</v>
          </cell>
          <cell r="AG77">
            <v>0.01</v>
          </cell>
          <cell r="AI77">
            <v>0.01</v>
          </cell>
        </row>
        <row r="78">
          <cell r="B78" t="str">
            <v>Amortization</v>
          </cell>
          <cell r="H78">
            <v>-914</v>
          </cell>
          <cell r="J78">
            <v>-558</v>
          </cell>
          <cell r="L78">
            <v>0</v>
          </cell>
          <cell r="N78">
            <v>0</v>
          </cell>
          <cell r="P78">
            <v>0</v>
          </cell>
          <cell r="R78">
            <v>0</v>
          </cell>
          <cell r="T78">
            <v>0</v>
          </cell>
          <cell r="V78">
            <v>0</v>
          </cell>
          <cell r="X78">
            <v>0</v>
          </cell>
          <cell r="Z78">
            <v>0</v>
          </cell>
          <cell r="AB78">
            <v>0</v>
          </cell>
          <cell r="AG78">
            <v>0</v>
          </cell>
          <cell r="AI78">
            <v>0</v>
          </cell>
        </row>
        <row r="79">
          <cell r="B79" t="str">
            <v xml:space="preserve">Ending balance </v>
          </cell>
          <cell r="F79">
            <v>3405</v>
          </cell>
          <cell r="H79">
            <v>2491</v>
          </cell>
          <cell r="J79">
            <v>1933</v>
          </cell>
          <cell r="L79">
            <v>1933</v>
          </cell>
          <cell r="N79">
            <v>1933</v>
          </cell>
          <cell r="P79">
            <v>1933</v>
          </cell>
          <cell r="Q79">
            <v>0</v>
          </cell>
          <cell r="R79">
            <v>1933</v>
          </cell>
          <cell r="T79">
            <v>1933</v>
          </cell>
          <cell r="V79">
            <v>1933</v>
          </cell>
          <cell r="X79">
            <v>1933</v>
          </cell>
          <cell r="Z79">
            <v>1933</v>
          </cell>
          <cell r="AB79">
            <v>1933</v>
          </cell>
          <cell r="AG79">
            <v>1933</v>
          </cell>
          <cell r="AI79">
            <v>1933</v>
          </cell>
        </row>
        <row r="81">
          <cell r="B81" t="str">
            <v>WORKING CAPITAL</v>
          </cell>
        </row>
        <row r="82">
          <cell r="D82" t="str">
            <v>2003A</v>
          </cell>
          <cell r="F82" t="str">
            <v>2004E</v>
          </cell>
          <cell r="H82" t="str">
            <v>2005E</v>
          </cell>
          <cell r="J82" t="str">
            <v>2006E</v>
          </cell>
          <cell r="L82" t="str">
            <v>2007E</v>
          </cell>
          <cell r="N82" t="str">
            <v>2008E</v>
          </cell>
          <cell r="P82" t="str">
            <v>2009E</v>
          </cell>
          <cell r="R82" t="str">
            <v>2010E</v>
          </cell>
          <cell r="T82" t="str">
            <v>2011E</v>
          </cell>
          <cell r="V82" t="str">
            <v>2012E</v>
          </cell>
          <cell r="X82" t="str">
            <v>2013E</v>
          </cell>
          <cell r="Z82" t="str">
            <v>2014E</v>
          </cell>
          <cell r="AB82" t="str">
            <v>2015E</v>
          </cell>
        </row>
        <row r="83">
          <cell r="B83" t="str">
            <v>Revenue</v>
          </cell>
          <cell r="D83">
            <v>176</v>
          </cell>
          <cell r="F83">
            <v>4278</v>
          </cell>
          <cell r="H83">
            <v>5716</v>
          </cell>
          <cell r="J83">
            <v>26930</v>
          </cell>
          <cell r="L83">
            <v>50897</v>
          </cell>
          <cell r="N83">
            <v>129486</v>
          </cell>
          <cell r="P83">
            <v>131315.15151515152</v>
          </cell>
          <cell r="R83">
            <v>125944.26406926407</v>
          </cell>
          <cell r="T83">
            <v>120000</v>
          </cell>
          <cell r="V83">
            <v>191023.69398907106</v>
          </cell>
          <cell r="X83">
            <v>260234.28134556572</v>
          </cell>
          <cell r="Z83">
            <v>342950.42499999993</v>
          </cell>
          <cell r="AB83">
            <v>390450.83189902501</v>
          </cell>
        </row>
        <row r="84">
          <cell r="B84" t="str">
            <v>Operating Expenses</v>
          </cell>
          <cell r="D84">
            <v>20624</v>
          </cell>
          <cell r="F84">
            <v>36542</v>
          </cell>
          <cell r="H84">
            <v>48186</v>
          </cell>
          <cell r="J84">
            <v>58127</v>
          </cell>
          <cell r="L84">
            <v>129602</v>
          </cell>
          <cell r="N84">
            <v>133000</v>
          </cell>
          <cell r="P84">
            <v>157578.18181818182</v>
          </cell>
          <cell r="R84">
            <v>180100.29761904763</v>
          </cell>
          <cell r="T84">
            <v>200400</v>
          </cell>
          <cell r="V84">
            <v>242327.92961748637</v>
          </cell>
          <cell r="X84">
            <v>279407.13180428132</v>
          </cell>
          <cell r="Z84">
            <v>307337.40949999995</v>
          </cell>
          <cell r="AB84">
            <v>327459.38990246732</v>
          </cell>
        </row>
        <row r="85">
          <cell r="B85" t="str">
            <v>COGS</v>
          </cell>
          <cell r="D85">
            <v>0</v>
          </cell>
          <cell r="F85">
            <v>0</v>
          </cell>
          <cell r="H85">
            <v>0</v>
          </cell>
          <cell r="J85">
            <v>0</v>
          </cell>
          <cell r="L85">
            <v>0</v>
          </cell>
          <cell r="N85">
            <v>0</v>
          </cell>
          <cell r="P85">
            <v>0</v>
          </cell>
          <cell r="R85">
            <v>0</v>
          </cell>
          <cell r="T85">
            <v>0</v>
          </cell>
          <cell r="V85">
            <v>23605.800000000003</v>
          </cell>
          <cell r="X85">
            <v>46497.44999999999</v>
          </cell>
          <cell r="Z85">
            <v>64324.349999999977</v>
          </cell>
          <cell r="AB85">
            <v>74056.80000000009</v>
          </cell>
        </row>
        <row r="86">
          <cell r="B86" t="str">
            <v>Working Capital</v>
          </cell>
        </row>
        <row r="87">
          <cell r="B87" t="str">
            <v>Accounts receivables</v>
          </cell>
          <cell r="D87">
            <v>0</v>
          </cell>
          <cell r="F87">
            <v>1169</v>
          </cell>
          <cell r="H87">
            <v>755</v>
          </cell>
          <cell r="J87">
            <v>3829</v>
          </cell>
          <cell r="L87">
            <v>9254</v>
          </cell>
          <cell r="N87">
            <v>18498</v>
          </cell>
          <cell r="P87">
            <v>18759.30735930736</v>
          </cell>
          <cell r="R87">
            <v>17992.03772418058</v>
          </cell>
          <cell r="T87">
            <v>17142.857142857141</v>
          </cell>
          <cell r="V87">
            <v>27289.099141295865</v>
          </cell>
          <cell r="X87">
            <v>37176.325906509388</v>
          </cell>
          <cell r="Z87">
            <v>48992.917857142849</v>
          </cell>
          <cell r="AB87">
            <v>55778.690271289284</v>
          </cell>
        </row>
        <row r="88">
          <cell r="B88" t="str">
            <v>Recievables Turnover</v>
          </cell>
          <cell r="D88" t="e">
            <v>#DIV/0!</v>
          </cell>
          <cell r="F88">
            <v>3.6595380667236954</v>
          </cell>
          <cell r="H88">
            <v>7.5708609271523182</v>
          </cell>
          <cell r="J88">
            <v>7.0331679289631754</v>
          </cell>
          <cell r="L88">
            <v>5.5</v>
          </cell>
          <cell r="N88">
            <v>7</v>
          </cell>
          <cell r="P88">
            <v>7</v>
          </cell>
          <cell r="R88">
            <v>7</v>
          </cell>
          <cell r="T88">
            <v>7</v>
          </cell>
          <cell r="V88">
            <v>7</v>
          </cell>
          <cell r="X88">
            <v>7</v>
          </cell>
          <cell r="Z88">
            <v>7</v>
          </cell>
          <cell r="AB88">
            <v>7</v>
          </cell>
        </row>
        <row r="89">
          <cell r="B89" t="str">
            <v>Inventories</v>
          </cell>
          <cell r="D89">
            <v>0</v>
          </cell>
          <cell r="F89">
            <v>0</v>
          </cell>
          <cell r="H89">
            <v>0</v>
          </cell>
          <cell r="J89">
            <v>0</v>
          </cell>
          <cell r="L89">
            <v>0</v>
          </cell>
          <cell r="N89">
            <v>0</v>
          </cell>
          <cell r="P89">
            <v>0</v>
          </cell>
          <cell r="R89">
            <v>0</v>
          </cell>
          <cell r="T89">
            <v>0</v>
          </cell>
          <cell r="V89">
            <v>5901.4500000000007</v>
          </cell>
          <cell r="X89">
            <v>11624.362499999997</v>
          </cell>
          <cell r="Z89">
            <v>16081.087499999994</v>
          </cell>
          <cell r="AB89">
            <v>18514.200000000023</v>
          </cell>
        </row>
        <row r="90">
          <cell r="B90" t="str">
            <v>Inventory Turnover</v>
          </cell>
          <cell r="D90" t="e">
            <v>#DIV/0!</v>
          </cell>
          <cell r="F90" t="e">
            <v>#DIV/0!</v>
          </cell>
          <cell r="H90" t="e">
            <v>#DIV/0!</v>
          </cell>
          <cell r="J90" t="e">
            <v>#DIV/0!</v>
          </cell>
          <cell r="L90">
            <v>4</v>
          </cell>
          <cell r="N90">
            <v>4</v>
          </cell>
          <cell r="P90">
            <v>4</v>
          </cell>
          <cell r="R90">
            <v>4</v>
          </cell>
          <cell r="T90">
            <v>4</v>
          </cell>
          <cell r="V90">
            <v>4</v>
          </cell>
          <cell r="X90">
            <v>4</v>
          </cell>
          <cell r="Z90">
            <v>4</v>
          </cell>
          <cell r="AB90">
            <v>4</v>
          </cell>
        </row>
        <row r="91">
          <cell r="B91" t="str">
            <v>Other current assets (includes Prepaid)</v>
          </cell>
          <cell r="D91">
            <v>623</v>
          </cell>
          <cell r="F91">
            <v>966</v>
          </cell>
          <cell r="H91">
            <v>1657</v>
          </cell>
          <cell r="J91">
            <v>1695</v>
          </cell>
          <cell r="L91">
            <v>16224.565000000002</v>
          </cell>
          <cell r="N91">
            <v>21705.474467471187</v>
          </cell>
          <cell r="P91">
            <v>19133.547265436056</v>
          </cell>
          <cell r="R91">
            <v>15509.903382373988</v>
          </cell>
          <cell r="T91">
            <v>10944.497351496608</v>
          </cell>
          <cell r="V91">
            <v>8503.7278817688421</v>
          </cell>
          <cell r="X91">
            <v>8825.3140696858354</v>
          </cell>
          <cell r="Z91">
            <v>11114.832437303039</v>
          </cell>
          <cell r="AB91">
            <v>14582.937874664402</v>
          </cell>
        </row>
        <row r="92">
          <cell r="B92" t="str">
            <v>% revenue</v>
          </cell>
          <cell r="D92">
            <v>3.5397727272727271</v>
          </cell>
          <cell r="F92">
            <v>0.22580645161290322</v>
          </cell>
          <cell r="H92">
            <v>0.28988803358992304</v>
          </cell>
          <cell r="J92">
            <v>6.2940958039361311E-2</v>
          </cell>
          <cell r="L92">
            <v>0</v>
          </cell>
          <cell r="M92">
            <v>0</v>
          </cell>
          <cell r="N92">
            <v>0</v>
          </cell>
          <cell r="O92">
            <v>0</v>
          </cell>
          <cell r="P92">
            <v>0</v>
          </cell>
          <cell r="R92">
            <v>0</v>
          </cell>
          <cell r="T92">
            <v>0</v>
          </cell>
          <cell r="V92">
            <v>0</v>
          </cell>
          <cell r="X92">
            <v>0</v>
          </cell>
          <cell r="Z92">
            <v>0</v>
          </cell>
          <cell r="AB92">
            <v>0</v>
          </cell>
        </row>
        <row r="93">
          <cell r="B93" t="str">
            <v>% total current assets</v>
          </cell>
          <cell r="D93">
            <v>2.5755508702302699E-2</v>
          </cell>
          <cell r="F93">
            <v>2.0049397065233183E-2</v>
          </cell>
          <cell r="H93">
            <v>2.0105807265755817E-2</v>
          </cell>
          <cell r="J93">
            <v>7.6082663027865552E-3</v>
          </cell>
          <cell r="L93">
            <v>3.5000000000000003E-2</v>
          </cell>
          <cell r="N93">
            <v>0.05</v>
          </cell>
          <cell r="P93">
            <v>0.05</v>
          </cell>
          <cell r="R93">
            <v>0.05</v>
          </cell>
          <cell r="T93">
            <v>0.05</v>
          </cell>
          <cell r="V93">
            <v>0.05</v>
          </cell>
          <cell r="X93">
            <v>0.05</v>
          </cell>
          <cell r="Z93">
            <v>0.05</v>
          </cell>
          <cell r="AB93">
            <v>0.05</v>
          </cell>
        </row>
        <row r="94">
          <cell r="B94" t="str">
            <v xml:space="preserve">Accounts payable </v>
          </cell>
          <cell r="D94">
            <v>1510</v>
          </cell>
          <cell r="F94">
            <v>910</v>
          </cell>
          <cell r="H94">
            <v>1975</v>
          </cell>
          <cell r="J94">
            <v>4085</v>
          </cell>
          <cell r="L94">
            <v>3240.05</v>
          </cell>
          <cell r="N94">
            <v>3325</v>
          </cell>
          <cell r="P94">
            <v>3939.454545454546</v>
          </cell>
          <cell r="R94">
            <v>4502.5074404761908</v>
          </cell>
          <cell r="T94">
            <v>5010</v>
          </cell>
          <cell r="V94">
            <v>6058.1982404371593</v>
          </cell>
          <cell r="X94">
            <v>6985.1782951070336</v>
          </cell>
          <cell r="Z94">
            <v>7683.4352374999989</v>
          </cell>
          <cell r="AB94">
            <v>8186.4847475616834</v>
          </cell>
        </row>
        <row r="95">
          <cell r="B95" t="str">
            <v>% operating expenses</v>
          </cell>
          <cell r="D95">
            <v>7.321567106283941E-2</v>
          </cell>
          <cell r="F95">
            <v>2.4902851513327131E-2</v>
          </cell>
          <cell r="H95">
            <v>4.09870086747188E-2</v>
          </cell>
          <cell r="J95">
            <v>7.0277151753918146E-2</v>
          </cell>
          <cell r="L95">
            <v>2.5000000000000001E-2</v>
          </cell>
          <cell r="N95">
            <v>2.5000000000000001E-2</v>
          </cell>
          <cell r="P95">
            <v>2.5000000000000001E-2</v>
          </cell>
          <cell r="R95">
            <v>2.5000000000000001E-2</v>
          </cell>
          <cell r="T95">
            <v>2.5000000000000001E-2</v>
          </cell>
          <cell r="V95">
            <v>2.5000000000000001E-2</v>
          </cell>
          <cell r="X95">
            <v>2.5000000000000001E-2</v>
          </cell>
          <cell r="Z95">
            <v>2.5000000000000001E-2</v>
          </cell>
          <cell r="AB95">
            <v>2.5000000000000001E-2</v>
          </cell>
        </row>
        <row r="96">
          <cell r="B96" t="str">
            <v>Accounts payable turnover</v>
          </cell>
          <cell r="D96">
            <v>0</v>
          </cell>
          <cell r="F96">
            <v>0</v>
          </cell>
          <cell r="H96">
            <v>0</v>
          </cell>
          <cell r="J96">
            <v>0</v>
          </cell>
          <cell r="L96">
            <v>4</v>
          </cell>
          <cell r="N96">
            <v>4</v>
          </cell>
          <cell r="P96">
            <v>4</v>
          </cell>
          <cell r="Q96">
            <v>0</v>
          </cell>
          <cell r="R96">
            <v>4</v>
          </cell>
          <cell r="T96">
            <v>4</v>
          </cell>
          <cell r="V96">
            <v>4</v>
          </cell>
          <cell r="X96">
            <v>4</v>
          </cell>
          <cell r="Z96">
            <v>4</v>
          </cell>
          <cell r="AB96">
            <v>4</v>
          </cell>
        </row>
        <row r="97">
          <cell r="B97" t="str">
            <v>Marketable Securities</v>
          </cell>
          <cell r="D97">
            <v>0</v>
          </cell>
          <cell r="F97">
            <v>25774</v>
          </cell>
          <cell r="H97">
            <v>64245</v>
          </cell>
          <cell r="J97">
            <v>89305</v>
          </cell>
          <cell r="L97">
            <v>54315</v>
          </cell>
          <cell r="N97">
            <v>113900.5</v>
          </cell>
          <cell r="P97">
            <v>98476.503720488137</v>
          </cell>
          <cell r="R97">
            <v>86194.522670994425</v>
          </cell>
          <cell r="T97">
            <v>69174.031635231309</v>
          </cell>
          <cell r="V97">
            <v>38160.518507115681</v>
          </cell>
          <cell r="X97">
            <v>44933.098214309248</v>
          </cell>
          <cell r="Z97">
            <v>35664.083675256443</v>
          </cell>
          <cell r="AB97">
            <v>43832.343285484465</v>
          </cell>
        </row>
        <row r="98">
          <cell r="B98" t="str">
            <v>% of prior year's cash/securities</v>
          </cell>
          <cell r="F98">
            <v>1.1112835769413185</v>
          </cell>
          <cell r="H98">
            <v>1.3952351995830257</v>
          </cell>
          <cell r="J98">
            <v>1.1162845928851779</v>
          </cell>
          <cell r="L98">
            <v>0.25</v>
          </cell>
          <cell r="N98">
            <v>0.25</v>
          </cell>
          <cell r="P98">
            <v>0.25</v>
          </cell>
          <cell r="R98">
            <v>0.25</v>
          </cell>
          <cell r="T98">
            <v>0.25</v>
          </cell>
          <cell r="V98">
            <v>0.2</v>
          </cell>
          <cell r="X98">
            <v>0.35</v>
          </cell>
          <cell r="Z98">
            <v>0.3</v>
          </cell>
          <cell r="AB98">
            <v>0.3</v>
          </cell>
        </row>
        <row r="99">
          <cell r="B99" t="str">
            <v>Other liabilities</v>
          </cell>
          <cell r="D99">
            <v>0</v>
          </cell>
          <cell r="F99">
            <v>3875</v>
          </cell>
          <cell r="H99">
            <v>3899</v>
          </cell>
          <cell r="J99">
            <v>4479</v>
          </cell>
          <cell r="L99">
            <v>10368.16</v>
          </cell>
          <cell r="N99">
            <v>10640</v>
          </cell>
          <cell r="P99">
            <v>11030.472727272729</v>
          </cell>
          <cell r="R99">
            <v>12607.020833333336</v>
          </cell>
          <cell r="T99">
            <v>16032</v>
          </cell>
          <cell r="V99">
            <v>19386.23436939891</v>
          </cell>
          <cell r="X99">
            <v>22352.570544342507</v>
          </cell>
          <cell r="Z99">
            <v>24586.992759999997</v>
          </cell>
          <cell r="AB99">
            <v>26196.751192197386</v>
          </cell>
        </row>
        <row r="100">
          <cell r="B100" t="str">
            <v>% operating expenses</v>
          </cell>
          <cell r="D100">
            <v>0</v>
          </cell>
          <cell r="F100">
            <v>0.10604236221334355</v>
          </cell>
          <cell r="H100">
            <v>8.091561864441954E-2</v>
          </cell>
          <cell r="J100">
            <v>7.7055413147074509E-2</v>
          </cell>
          <cell r="L100">
            <v>0.08</v>
          </cell>
          <cell r="N100">
            <v>0.08</v>
          </cell>
          <cell r="P100">
            <v>7.0000000000000007E-2</v>
          </cell>
          <cell r="R100">
            <v>7.0000000000000007E-2</v>
          </cell>
          <cell r="T100">
            <v>0.08</v>
          </cell>
          <cell r="V100">
            <v>0.08</v>
          </cell>
          <cell r="X100">
            <v>0.08</v>
          </cell>
          <cell r="Z100">
            <v>0.08</v>
          </cell>
          <cell r="AB100">
            <v>0.08</v>
          </cell>
        </row>
        <row r="101">
          <cell r="B101" t="str">
            <v>% total liabilities</v>
          </cell>
          <cell r="D101">
            <v>0</v>
          </cell>
          <cell r="F101">
            <v>0.19408965689957425</v>
          </cell>
          <cell r="H101">
            <v>0.10662036150838142</v>
          </cell>
          <cell r="J101">
            <v>0.11534301606922126</v>
          </cell>
          <cell r="L101">
            <v>3.5191278345546681E-2</v>
          </cell>
          <cell r="N101">
            <v>4.3835315443983634E-2</v>
          </cell>
          <cell r="P101">
            <v>5.948845747201284E-2</v>
          </cell>
          <cell r="R101">
            <v>9.5552458091038545E-2</v>
          </cell>
          <cell r="T101">
            <v>0.18973754078118404</v>
          </cell>
          <cell r="V101">
            <v>0.3215728603629181</v>
          </cell>
          <cell r="X101">
            <v>0.33289841718644214</v>
          </cell>
          <cell r="Z101">
            <v>0.34001064412506093</v>
          </cell>
          <cell r="AB101">
            <v>0.34453548531196176</v>
          </cell>
        </row>
        <row r="102">
          <cell r="B102" t="str">
            <v>Other Assets</v>
          </cell>
          <cell r="D102">
            <v>47</v>
          </cell>
          <cell r="F102">
            <v>514</v>
          </cell>
          <cell r="H102">
            <v>550</v>
          </cell>
          <cell r="J102">
            <v>803</v>
          </cell>
          <cell r="L102">
            <v>7406.8649999999998</v>
          </cell>
          <cell r="N102">
            <v>8501.810010289626</v>
          </cell>
          <cell r="P102">
            <v>8539.7732409016953</v>
          </cell>
          <cell r="R102">
            <v>7180.5663664985132</v>
          </cell>
          <cell r="T102">
            <v>5412.4495814506781</v>
          </cell>
          <cell r="V102">
            <v>4601.3451990010162</v>
          </cell>
          <cell r="X102">
            <v>4984.5410141153343</v>
          </cell>
          <cell r="Z102">
            <v>6377.8993108745854</v>
          </cell>
          <cell r="AB102">
            <v>8265.4019414437753</v>
          </cell>
        </row>
        <row r="103">
          <cell r="B103" t="str">
            <v>% operating expenses</v>
          </cell>
          <cell r="D103">
            <v>2.2788983708301007E-3</v>
          </cell>
          <cell r="F103">
            <v>1.4066006239395764E-2</v>
          </cell>
          <cell r="H103">
            <v>1.1414103681567261E-2</v>
          </cell>
          <cell r="J103">
            <v>1.3814578423108022E-2</v>
          </cell>
          <cell r="L103">
            <v>5.7150854153485281E-2</v>
          </cell>
          <cell r="N103">
            <v>6.3923383536012221E-2</v>
          </cell>
          <cell r="P103">
            <v>5.4193881046013893E-2</v>
          </cell>
          <cell r="R103">
            <v>3.9869819547366965E-2</v>
          </cell>
          <cell r="T103">
            <v>2.700823144436466E-2</v>
          </cell>
          <cell r="V103">
            <v>1.8988092731466077E-2</v>
          </cell>
          <cell r="X103">
            <v>1.7839705743827962E-2</v>
          </cell>
          <cell r="Z103">
            <v>2.0752108639331086E-2</v>
          </cell>
          <cell r="AB103">
            <v>2.5240998414812896E-2</v>
          </cell>
        </row>
        <row r="104">
          <cell r="B104" t="str">
            <v>% total Assets</v>
          </cell>
          <cell r="D104">
            <v>1.3358724383935423E-3</v>
          </cell>
          <cell r="F104">
            <v>7.7752734203639555E-3</v>
          </cell>
          <cell r="H104">
            <v>5.5923862203603528E-3</v>
          </cell>
          <cell r="J104">
            <v>3.3457496895910937E-3</v>
          </cell>
          <cell r="L104">
            <v>1.4999999999999999E-2</v>
          </cell>
          <cell r="N104">
            <v>1.7999999999999999E-2</v>
          </cell>
          <cell r="P104">
            <v>0.02</v>
          </cell>
          <cell r="R104">
            <v>0.02</v>
          </cell>
          <cell r="T104">
            <v>0.02</v>
          </cell>
          <cell r="V104">
            <v>0.02</v>
          </cell>
          <cell r="X104">
            <v>0.02</v>
          </cell>
          <cell r="Z104">
            <v>0.02</v>
          </cell>
          <cell r="AB104">
            <v>0.02</v>
          </cell>
        </row>
        <row r="105">
          <cell r="B105" t="str">
            <v>Deferred Revenue (Current)</v>
          </cell>
          <cell r="D105">
            <v>333</v>
          </cell>
          <cell r="F105">
            <v>1000</v>
          </cell>
          <cell r="H105">
            <v>0</v>
          </cell>
          <cell r="J105">
            <v>0</v>
          </cell>
          <cell r="L105">
            <v>0</v>
          </cell>
          <cell r="N105">
            <v>0</v>
          </cell>
          <cell r="P105">
            <v>0</v>
          </cell>
          <cell r="R105">
            <v>0</v>
          </cell>
          <cell r="T105">
            <v>0</v>
          </cell>
          <cell r="V105">
            <v>0</v>
          </cell>
          <cell r="X105">
            <v>0</v>
          </cell>
          <cell r="Z105">
            <v>0</v>
          </cell>
          <cell r="AB105">
            <v>0</v>
          </cell>
        </row>
        <row r="106">
          <cell r="B106" t="str">
            <v>% revenues</v>
          </cell>
          <cell r="D106">
            <v>1.8920454545454546</v>
          </cell>
          <cell r="F106">
            <v>0.2337540906965872</v>
          </cell>
          <cell r="H106">
            <v>0</v>
          </cell>
          <cell r="J106">
            <v>0</v>
          </cell>
          <cell r="L106">
            <v>0</v>
          </cell>
          <cell r="N106">
            <v>0</v>
          </cell>
          <cell r="P106">
            <v>0</v>
          </cell>
          <cell r="R106">
            <v>0</v>
          </cell>
          <cell r="T106">
            <v>0</v>
          </cell>
          <cell r="V106">
            <v>0</v>
          </cell>
          <cell r="X106">
            <v>0</v>
          </cell>
          <cell r="Z106">
            <v>0</v>
          </cell>
          <cell r="AB106">
            <v>0</v>
          </cell>
        </row>
        <row r="107">
          <cell r="B107" t="str">
            <v>Deferred Revenu (LT)</v>
          </cell>
          <cell r="D107">
            <v>1556</v>
          </cell>
          <cell r="F107">
            <v>4083</v>
          </cell>
          <cell r="H107">
            <v>0</v>
          </cell>
          <cell r="J107">
            <v>0</v>
          </cell>
          <cell r="L107">
            <v>0</v>
          </cell>
          <cell r="N107">
            <v>0</v>
          </cell>
          <cell r="P107">
            <v>0</v>
          </cell>
          <cell r="R107">
            <v>0</v>
          </cell>
          <cell r="T107">
            <v>0</v>
          </cell>
          <cell r="V107">
            <v>0</v>
          </cell>
          <cell r="X107">
            <v>0</v>
          </cell>
          <cell r="Z107">
            <v>0</v>
          </cell>
          <cell r="AB107">
            <v>0</v>
          </cell>
        </row>
        <row r="108">
          <cell r="B108" t="str">
            <v>% revenues</v>
          </cell>
          <cell r="D108">
            <v>8.8409090909090917</v>
          </cell>
          <cell r="F108">
            <v>0.95441795231416549</v>
          </cell>
          <cell r="H108">
            <v>0</v>
          </cell>
          <cell r="J108">
            <v>0</v>
          </cell>
          <cell r="L108">
            <v>0</v>
          </cell>
          <cell r="N108">
            <v>0</v>
          </cell>
          <cell r="P108">
            <v>0</v>
          </cell>
          <cell r="R108">
            <v>0</v>
          </cell>
          <cell r="T108">
            <v>0</v>
          </cell>
          <cell r="V108">
            <v>0</v>
          </cell>
          <cell r="X108">
            <v>0</v>
          </cell>
          <cell r="Z108">
            <v>0</v>
          </cell>
          <cell r="AB108">
            <v>0</v>
          </cell>
        </row>
        <row r="111">
          <cell r="B111" t="str">
            <v xml:space="preserve"> Stock and Options Count</v>
          </cell>
        </row>
        <row r="112">
          <cell r="D112" t="str">
            <v>2003A</v>
          </cell>
          <cell r="F112" t="str">
            <v>2004A</v>
          </cell>
          <cell r="H112" t="str">
            <v>2005E</v>
          </cell>
          <cell r="J112" t="str">
            <v>2006E</v>
          </cell>
          <cell r="L112" t="str">
            <v>2007E</v>
          </cell>
          <cell r="N112" t="str">
            <v>2008E</v>
          </cell>
          <cell r="P112" t="str">
            <v>2009E</v>
          </cell>
          <cell r="R112" t="str">
            <v>2010E</v>
          </cell>
          <cell r="T112" t="str">
            <v>2011E</v>
          </cell>
          <cell r="V112" t="str">
            <v>2012E</v>
          </cell>
          <cell r="X112" t="str">
            <v>2013E</v>
          </cell>
          <cell r="Z112" t="str">
            <v>2014E</v>
          </cell>
          <cell r="AB112" t="str">
            <v>2015E</v>
          </cell>
        </row>
        <row r="113">
          <cell r="B113" t="str">
            <v xml:space="preserve">Stock Price (average) </v>
          </cell>
          <cell r="F113">
            <v>7.5</v>
          </cell>
          <cell r="H113">
            <v>11</v>
          </cell>
          <cell r="J113">
            <v>15.65</v>
          </cell>
          <cell r="L113">
            <v>23.72</v>
          </cell>
          <cell r="N113">
            <v>35</v>
          </cell>
          <cell r="P113">
            <v>38.5</v>
          </cell>
          <cell r="R113">
            <v>42.35</v>
          </cell>
          <cell r="T113">
            <v>46.585000000000008</v>
          </cell>
          <cell r="V113">
            <v>51.243500000000012</v>
          </cell>
          <cell r="X113">
            <v>56.367850000000018</v>
          </cell>
          <cell r="Z113">
            <v>62.004635000000029</v>
          </cell>
          <cell r="AB113">
            <v>68.205098500000034</v>
          </cell>
          <cell r="AD113">
            <v>0.1</v>
          </cell>
        </row>
        <row r="114">
          <cell r="B114" t="str">
            <v>Option Balance (Beginning Year)</v>
          </cell>
          <cell r="D114">
            <v>81.894000000000005</v>
          </cell>
          <cell r="F114">
            <v>1693.5549999999998</v>
          </cell>
          <cell r="H114">
            <v>2851.9639999999995</v>
          </cell>
          <cell r="J114">
            <v>3907.1239999999998</v>
          </cell>
          <cell r="L114">
            <v>4649.9559999999992</v>
          </cell>
          <cell r="N114">
            <v>5304.0179999999991</v>
          </cell>
          <cell r="P114">
            <v>6436.1685032993855</v>
          </cell>
          <cell r="R114">
            <v>5879.1276585228707</v>
          </cell>
          <cell r="T114">
            <v>5350.0061692558129</v>
          </cell>
          <cell r="V114">
            <v>4333.5049970972086</v>
          </cell>
          <cell r="X114">
            <v>3510.1390476487391</v>
          </cell>
          <cell r="Z114">
            <v>2773.0098476425037</v>
          </cell>
          <cell r="AB114">
            <v>2190.6777796375777</v>
          </cell>
          <cell r="AD114">
            <v>3510.1390476487391</v>
          </cell>
        </row>
        <row r="115">
          <cell r="B115" t="str">
            <v xml:space="preserve"> Average Options In-the money</v>
          </cell>
          <cell r="F115">
            <v>887.72449999999992</v>
          </cell>
          <cell r="H115">
            <v>1550.51</v>
          </cell>
          <cell r="J115">
            <v>1953.502</v>
          </cell>
          <cell r="L115">
            <v>1913.4680000000001</v>
          </cell>
          <cell r="N115">
            <v>2048.0420375840117</v>
          </cell>
          <cell r="P115">
            <v>2415.5573932414923</v>
          </cell>
          <cell r="R115">
            <v>2533.8868922813158</v>
          </cell>
          <cell r="T115">
            <v>2310.4076949515252</v>
          </cell>
          <cell r="V115">
            <v>1992.3939865731193</v>
          </cell>
          <cell r="X115">
            <v>1613.8391291242265</v>
          </cell>
          <cell r="Z115">
            <v>1292.7653885730474</v>
          </cell>
          <cell r="AB115">
            <v>1021.2846569727075</v>
          </cell>
        </row>
        <row r="116">
          <cell r="B116" t="str">
            <v xml:space="preserve">   % in the money</v>
          </cell>
          <cell r="F116">
            <v>1</v>
          </cell>
          <cell r="H116">
            <v>0.54366394526719142</v>
          </cell>
          <cell r="J116">
            <v>0.49998464343593907</v>
          </cell>
          <cell r="L116">
            <v>0.41150238840969688</v>
          </cell>
          <cell r="N116">
            <v>0.41150238840969688</v>
          </cell>
          <cell r="P116">
            <v>0.41150238840969688</v>
          </cell>
          <cell r="R116">
            <v>0.41150238840969688</v>
          </cell>
          <cell r="T116">
            <v>0.41150238840969688</v>
          </cell>
          <cell r="V116">
            <v>0.41150238840969688</v>
          </cell>
          <cell r="X116">
            <v>0.41150238840969688</v>
          </cell>
          <cell r="Z116">
            <v>0.41150238840969688</v>
          </cell>
          <cell r="AB116">
            <v>0.41150238840969688</v>
          </cell>
        </row>
        <row r="117">
          <cell r="B117" t="str">
            <v>Options Cancelled</v>
          </cell>
          <cell r="F117">
            <v>182.33799999999999</v>
          </cell>
          <cell r="H117">
            <v>20.553000000000001</v>
          </cell>
          <cell r="J117">
            <v>34.889000000000003</v>
          </cell>
          <cell r="L117">
            <v>169.94900000000001</v>
          </cell>
          <cell r="N117">
            <v>193.85399670061398</v>
          </cell>
          <cell r="P117">
            <v>235.23241961154636</v>
          </cell>
          <cell r="R117">
            <v>235.16510634091483</v>
          </cell>
          <cell r="T117">
            <v>214.00024677023251</v>
          </cell>
          <cell r="V117">
            <v>173.34019988388835</v>
          </cell>
          <cell r="X117">
            <v>140.40556190594955</v>
          </cell>
          <cell r="Z117">
            <v>110.92039390570015</v>
          </cell>
          <cell r="AB117">
            <v>87.627111185503111</v>
          </cell>
        </row>
        <row r="118">
          <cell r="B118" t="str">
            <v xml:space="preserve">   % Cancelled </v>
          </cell>
          <cell r="D118">
            <v>0</v>
          </cell>
          <cell r="F118">
            <v>0.1076658272096271</v>
          </cell>
          <cell r="H118">
            <v>7.2066127061912438E-3</v>
          </cell>
          <cell r="J118">
            <v>8.9295860586968839E-3</v>
          </cell>
          <cell r="L118">
            <v>3.6548517878448754E-2</v>
          </cell>
          <cell r="N118">
            <v>3.6548517878448754E-2</v>
          </cell>
          <cell r="P118">
            <v>3.6548517878448754E-2</v>
          </cell>
          <cell r="R118">
            <v>0.04</v>
          </cell>
          <cell r="T118">
            <v>0.04</v>
          </cell>
          <cell r="V118">
            <v>0.04</v>
          </cell>
          <cell r="X118">
            <v>0.04</v>
          </cell>
          <cell r="Z118">
            <v>0.04</v>
          </cell>
          <cell r="AB118">
            <v>0.04</v>
          </cell>
        </row>
        <row r="119">
          <cell r="B119" t="str">
            <v>Options Exercised</v>
          </cell>
          <cell r="D119">
            <v>44.526000000000003</v>
          </cell>
          <cell r="F119">
            <v>249.72399999999999</v>
          </cell>
          <cell r="H119">
            <v>189.75</v>
          </cell>
          <cell r="J119">
            <v>521.35299999999995</v>
          </cell>
          <cell r="L119">
            <v>1247.808</v>
          </cell>
          <cell r="N119">
            <v>1591.2053999999996</v>
          </cell>
          <cell r="P119">
            <v>1609.0421258248464</v>
          </cell>
          <cell r="R119">
            <v>1469.7819146307177</v>
          </cell>
          <cell r="T119">
            <v>1337.5015423139532</v>
          </cell>
          <cell r="V119">
            <v>1083.3762492743022</v>
          </cell>
          <cell r="X119">
            <v>877.53476191218476</v>
          </cell>
          <cell r="Z119">
            <v>693.25246191062593</v>
          </cell>
          <cell r="AB119">
            <v>547.66944490939443</v>
          </cell>
        </row>
        <row r="120">
          <cell r="B120" t="str">
            <v xml:space="preserve">     % of Outstanding Options</v>
          </cell>
          <cell r="D120">
            <v>0.54370283537255482</v>
          </cell>
          <cell r="F120">
            <v>0.14745550041185554</v>
          </cell>
          <cell r="G120" t="e">
            <v>#DIV/0!</v>
          </cell>
          <cell r="H120">
            <v>6.65330978932413E-2</v>
          </cell>
          <cell r="J120">
            <v>0.13343651238097382</v>
          </cell>
          <cell r="L120">
            <v>0.26834834566176546</v>
          </cell>
          <cell r="N120">
            <v>0.3</v>
          </cell>
          <cell r="P120">
            <v>0.25</v>
          </cell>
          <cell r="R120">
            <v>0.25</v>
          </cell>
          <cell r="T120">
            <v>0.25</v>
          </cell>
          <cell r="V120">
            <v>0.25</v>
          </cell>
          <cell r="X120">
            <v>0.25</v>
          </cell>
          <cell r="Z120">
            <v>0.25</v>
          </cell>
          <cell r="AB120">
            <v>0.25</v>
          </cell>
        </row>
        <row r="121">
          <cell r="B121" t="str">
            <v>Weighted Average Exercise Price</v>
          </cell>
          <cell r="D121">
            <v>0.48</v>
          </cell>
          <cell r="F121">
            <v>0.74</v>
          </cell>
          <cell r="H121">
            <v>1.58</v>
          </cell>
          <cell r="J121">
            <v>1.92</v>
          </cell>
          <cell r="L121">
            <v>7.39</v>
          </cell>
          <cell r="N121">
            <v>11</v>
          </cell>
          <cell r="P121">
            <v>15</v>
          </cell>
          <cell r="R121">
            <v>19</v>
          </cell>
          <cell r="T121">
            <v>23</v>
          </cell>
          <cell r="V121">
            <v>27</v>
          </cell>
          <cell r="X121">
            <v>31</v>
          </cell>
          <cell r="Z121">
            <v>35</v>
          </cell>
          <cell r="AB121">
            <v>39</v>
          </cell>
        </row>
        <row r="122">
          <cell r="B122" t="str">
            <v xml:space="preserve">     Tax rate</v>
          </cell>
          <cell r="D122">
            <v>0</v>
          </cell>
          <cell r="F122">
            <v>0</v>
          </cell>
          <cell r="H122">
            <v>0</v>
          </cell>
          <cell r="J122">
            <v>0</v>
          </cell>
          <cell r="L122">
            <v>7.9773076396599182E-2</v>
          </cell>
          <cell r="N122">
            <v>0</v>
          </cell>
          <cell r="P122">
            <v>0</v>
          </cell>
          <cell r="R122">
            <v>0</v>
          </cell>
          <cell r="T122">
            <v>0</v>
          </cell>
          <cell r="V122">
            <v>0</v>
          </cell>
          <cell r="X122">
            <v>0</v>
          </cell>
          <cell r="Z122">
            <v>0</v>
          </cell>
          <cell r="AB122">
            <v>0</v>
          </cell>
        </row>
        <row r="123">
          <cell r="B123" t="str">
            <v>Proceeds from option</v>
          </cell>
          <cell r="D123">
            <v>21.372479999999999</v>
          </cell>
          <cell r="F123">
            <v>184.79576</v>
          </cell>
          <cell r="H123">
            <v>3544</v>
          </cell>
          <cell r="J123">
            <v>1000.9977599999999</v>
          </cell>
          <cell r="L123">
            <v>9244</v>
          </cell>
          <cell r="N123">
            <v>17503.259399999995</v>
          </cell>
          <cell r="P123">
            <v>24135.631887372696</v>
          </cell>
          <cell r="R123">
            <v>27925.856377983637</v>
          </cell>
          <cell r="T123">
            <v>30762.535473220923</v>
          </cell>
          <cell r="V123">
            <v>29251.158730406158</v>
          </cell>
          <cell r="X123">
            <v>27203.577619277727</v>
          </cell>
          <cell r="Z123">
            <v>24263.836166871908</v>
          </cell>
          <cell r="AB123">
            <v>21359.108351466384</v>
          </cell>
        </row>
        <row r="124">
          <cell r="B124" t="str">
            <v>Tax Benefit from Options</v>
          </cell>
          <cell r="D124">
            <v>0</v>
          </cell>
          <cell r="F124">
            <v>0</v>
          </cell>
          <cell r="H124">
            <v>0</v>
          </cell>
          <cell r="J124">
            <v>0</v>
          </cell>
          <cell r="L124">
            <v>0</v>
          </cell>
          <cell r="N124">
            <v>0</v>
          </cell>
          <cell r="P124">
            <v>0</v>
          </cell>
          <cell r="R124">
            <v>0</v>
          </cell>
          <cell r="T124">
            <v>0</v>
          </cell>
          <cell r="V124">
            <v>0</v>
          </cell>
          <cell r="X124">
            <v>0</v>
          </cell>
          <cell r="Z124">
            <v>0</v>
          </cell>
          <cell r="AB124">
            <v>0</v>
          </cell>
        </row>
        <row r="125">
          <cell r="B125" t="str">
            <v>Options Granted</v>
          </cell>
          <cell r="D125">
            <v>1656.1869999999999</v>
          </cell>
          <cell r="F125">
            <v>1590.471</v>
          </cell>
          <cell r="H125">
            <v>1265.463</v>
          </cell>
          <cell r="J125">
            <v>1299.0740000000001</v>
          </cell>
          <cell r="L125">
            <v>2071.819</v>
          </cell>
          <cell r="N125">
            <v>2917.2098999999998</v>
          </cell>
          <cell r="P125">
            <v>1287.2337006598773</v>
          </cell>
          <cell r="R125">
            <v>1175.8255317045741</v>
          </cell>
          <cell r="T125">
            <v>535.00061692558131</v>
          </cell>
          <cell r="V125">
            <v>433.35049970972091</v>
          </cell>
          <cell r="X125">
            <v>280.81112381189911</v>
          </cell>
          <cell r="Z125">
            <v>221.8407878114003</v>
          </cell>
          <cell r="AB125">
            <v>175.25422237100622</v>
          </cell>
        </row>
        <row r="126">
          <cell r="B126" t="str">
            <v xml:space="preserve">     % of Outstanding Options</v>
          </cell>
          <cell r="D126">
            <v>20.223545070456929</v>
          </cell>
          <cell r="F126">
            <v>0.93913159005760083</v>
          </cell>
          <cell r="H126">
            <v>0.44371633022015711</v>
          </cell>
          <cell r="J126">
            <v>0.33248855168149261</v>
          </cell>
          <cell r="L126">
            <v>0.44555668913856394</v>
          </cell>
          <cell r="N126">
            <v>0.55000000000000004</v>
          </cell>
          <cell r="P126">
            <v>0.2</v>
          </cell>
          <cell r="R126">
            <v>0.2</v>
          </cell>
          <cell r="T126">
            <v>0.1</v>
          </cell>
          <cell r="V126">
            <v>0.1</v>
          </cell>
          <cell r="X126">
            <v>0.08</v>
          </cell>
          <cell r="Z126">
            <v>0.08</v>
          </cell>
          <cell r="AB126">
            <v>0.08</v>
          </cell>
        </row>
        <row r="128">
          <cell r="B128" t="str">
            <v>Shares Issued</v>
          </cell>
          <cell r="D128">
            <v>0</v>
          </cell>
          <cell r="F128">
            <v>0</v>
          </cell>
          <cell r="H128">
            <v>4885.0585058505849</v>
          </cell>
          <cell r="J128">
            <v>9800</v>
          </cell>
          <cell r="L128">
            <v>1975</v>
          </cell>
          <cell r="N128">
            <v>0</v>
          </cell>
          <cell r="P128">
            <v>0</v>
          </cell>
          <cell r="R128">
            <v>0</v>
          </cell>
          <cell r="T128">
            <v>0</v>
          </cell>
          <cell r="V128">
            <v>0</v>
          </cell>
          <cell r="X128">
            <v>0</v>
          </cell>
          <cell r="Z128">
            <v>0</v>
          </cell>
          <cell r="AB128">
            <v>0</v>
          </cell>
        </row>
        <row r="129">
          <cell r="B129" t="str">
            <v>Price per share</v>
          </cell>
          <cell r="D129">
            <v>0</v>
          </cell>
          <cell r="F129">
            <v>0</v>
          </cell>
          <cell r="H129">
            <v>11.11</v>
          </cell>
          <cell r="J129">
            <v>15.65</v>
          </cell>
          <cell r="L129">
            <v>0</v>
          </cell>
          <cell r="N129">
            <v>0</v>
          </cell>
          <cell r="P129">
            <v>0</v>
          </cell>
          <cell r="R129">
            <v>0</v>
          </cell>
          <cell r="T129">
            <v>0</v>
          </cell>
          <cell r="V129">
            <v>0</v>
          </cell>
          <cell r="X129">
            <v>56.367850000000018</v>
          </cell>
          <cell r="Z129">
            <v>0</v>
          </cell>
          <cell r="AB129">
            <v>0</v>
          </cell>
        </row>
        <row r="130">
          <cell r="B130" t="str">
            <v>Proceeds from share issuance</v>
          </cell>
          <cell r="D130">
            <v>0</v>
          </cell>
          <cell r="F130">
            <v>0</v>
          </cell>
          <cell r="H130">
            <v>54273</v>
          </cell>
          <cell r="J130">
            <v>163225</v>
          </cell>
          <cell r="L130">
            <v>59899</v>
          </cell>
          <cell r="N130">
            <v>0</v>
          </cell>
          <cell r="P130">
            <v>0</v>
          </cell>
          <cell r="R130">
            <v>0</v>
          </cell>
          <cell r="T130">
            <v>0</v>
          </cell>
          <cell r="V130">
            <v>0</v>
          </cell>
          <cell r="X130">
            <v>0</v>
          </cell>
          <cell r="Z130">
            <v>0</v>
          </cell>
          <cell r="AB130">
            <v>0</v>
          </cell>
        </row>
        <row r="131">
          <cell r="B131" t="str">
            <v>Shares Repurchased (mm)</v>
          </cell>
          <cell r="D131">
            <v>0</v>
          </cell>
          <cell r="F131">
            <v>0</v>
          </cell>
          <cell r="H131">
            <v>0</v>
          </cell>
          <cell r="J131">
            <v>0</v>
          </cell>
          <cell r="L131">
            <v>0</v>
          </cell>
          <cell r="N131">
            <v>0</v>
          </cell>
          <cell r="P131">
            <v>0</v>
          </cell>
          <cell r="R131">
            <v>0</v>
          </cell>
          <cell r="T131">
            <v>0</v>
          </cell>
          <cell r="V131">
            <v>0</v>
          </cell>
          <cell r="X131">
            <v>0</v>
          </cell>
          <cell r="Z131">
            <v>0</v>
          </cell>
          <cell r="AB131">
            <v>0</v>
          </cell>
        </row>
        <row r="132">
          <cell r="B132" t="str">
            <v>Share Repurchase Cost</v>
          </cell>
          <cell r="D132">
            <v>0</v>
          </cell>
          <cell r="F132">
            <v>0</v>
          </cell>
          <cell r="H132">
            <v>0</v>
          </cell>
          <cell r="J132">
            <v>0</v>
          </cell>
          <cell r="L132">
            <v>0</v>
          </cell>
          <cell r="N132">
            <v>0</v>
          </cell>
          <cell r="P132">
            <v>0</v>
          </cell>
          <cell r="R132">
            <v>0</v>
          </cell>
          <cell r="T132">
            <v>0</v>
          </cell>
          <cell r="V132">
            <v>0</v>
          </cell>
          <cell r="X132">
            <v>0</v>
          </cell>
          <cell r="Z132">
            <v>0</v>
          </cell>
          <cell r="AB132">
            <v>0</v>
          </cell>
        </row>
        <row r="133">
          <cell r="B133" t="str">
            <v>Stock Compensation Expense</v>
          </cell>
          <cell r="H133">
            <v>1002</v>
          </cell>
          <cell r="J133">
            <v>8304</v>
          </cell>
          <cell r="L133">
            <v>14453</v>
          </cell>
          <cell r="N133">
            <v>15600</v>
          </cell>
          <cell r="P133">
            <v>16860.865454545456</v>
          </cell>
          <cell r="R133">
            <v>18010.029761904763</v>
          </cell>
          <cell r="T133">
            <v>20040</v>
          </cell>
          <cell r="V133">
            <v>21872.212961748635</v>
          </cell>
          <cell r="X133">
            <v>23290.968180428132</v>
          </cell>
          <cell r="Z133">
            <v>24301.305950000002</v>
          </cell>
          <cell r="AB133">
            <v>25340.258990246723</v>
          </cell>
        </row>
        <row r="134">
          <cell r="B134" t="str">
            <v>Net stock issuances / repurchases (APIC)</v>
          </cell>
          <cell r="D134">
            <v>21.372479999999999</v>
          </cell>
          <cell r="F134">
            <v>105008</v>
          </cell>
          <cell r="H134">
            <v>58819</v>
          </cell>
          <cell r="J134">
            <v>172529.99776</v>
          </cell>
          <cell r="L134">
            <v>83596</v>
          </cell>
          <cell r="N134">
            <v>33103.259399999995</v>
          </cell>
          <cell r="P134">
            <v>40996.497341918148</v>
          </cell>
          <cell r="R134">
            <v>45935.886139888404</v>
          </cell>
          <cell r="T134">
            <v>50802.535473220923</v>
          </cell>
          <cell r="V134">
            <v>51123.371692154789</v>
          </cell>
          <cell r="X134">
            <v>50494.545799705855</v>
          </cell>
          <cell r="Z134">
            <v>48565.14211687191</v>
          </cell>
          <cell r="AB134">
            <v>46699.367341713107</v>
          </cell>
          <cell r="AF134" t="str">
            <v>mstag:netIssuanceRepurchaseOfCommonStock</v>
          </cell>
          <cell r="AG134">
            <v>3</v>
          </cell>
          <cell r="AH134" t="str">
            <v>ISO4217:USD</v>
          </cell>
          <cell r="AI134" t="b">
            <v>0</v>
          </cell>
          <cell r="AJ134" t="b">
            <v>0</v>
          </cell>
        </row>
        <row r="135">
          <cell r="B135" t="str">
            <v>Beginning Period Shares</v>
          </cell>
          <cell r="F135">
            <v>2251.482</v>
          </cell>
          <cell r="H135">
            <v>20848.848000000002</v>
          </cell>
          <cell r="J135">
            <v>25923.656505850588</v>
          </cell>
          <cell r="L135">
            <v>36245.009505850583</v>
          </cell>
          <cell r="N135">
            <v>40710</v>
          </cell>
          <cell r="P135">
            <v>42301.205399999999</v>
          </cell>
          <cell r="R135">
            <v>43910.247525824845</v>
          </cell>
          <cell r="T135">
            <v>45380.029440455561</v>
          </cell>
          <cell r="V135">
            <v>46717.530982769516</v>
          </cell>
          <cell r="X135">
            <v>47800.907232043821</v>
          </cell>
          <cell r="Z135">
            <v>48678.441993956003</v>
          </cell>
          <cell r="AB135">
            <v>49371.694455866629</v>
          </cell>
        </row>
        <row r="136">
          <cell r="B136" t="str">
            <v>End of Period Shares</v>
          </cell>
          <cell r="D136">
            <v>2251.482</v>
          </cell>
          <cell r="F136">
            <v>20848.848000000002</v>
          </cell>
          <cell r="H136">
            <v>25923.656505850588</v>
          </cell>
          <cell r="J136">
            <v>36245.009505850583</v>
          </cell>
          <cell r="L136">
            <v>40710</v>
          </cell>
          <cell r="N136">
            <v>42301.205399999999</v>
          </cell>
          <cell r="P136">
            <v>43910.247525824845</v>
          </cell>
          <cell r="R136">
            <v>45380.029440455561</v>
          </cell>
          <cell r="T136">
            <v>46717.530982769516</v>
          </cell>
          <cell r="V136">
            <v>47800.907232043821</v>
          </cell>
          <cell r="X136">
            <v>48678.441993956003</v>
          </cell>
          <cell r="Z136">
            <v>49371.694455866629</v>
          </cell>
          <cell r="AB136">
            <v>49919.363900776021</v>
          </cell>
          <cell r="AF136" t="str">
            <v>mstag:periodEndBasicSharesOutstanding</v>
          </cell>
          <cell r="AG136">
            <v>3</v>
          </cell>
          <cell r="AH136" t="str">
            <v>ms_eqr_gcim_Decimal:ms_eqr_gcim_decimal</v>
          </cell>
          <cell r="AI136" t="b">
            <v>0</v>
          </cell>
          <cell r="AJ136" t="b">
            <v>0</v>
          </cell>
        </row>
        <row r="137">
          <cell r="B137" t="str">
            <v xml:space="preserve">Average Shares Outstanding-basic </v>
          </cell>
          <cell r="D137">
            <v>2251.482</v>
          </cell>
          <cell r="F137">
            <v>11886.126</v>
          </cell>
          <cell r="H137">
            <v>21949</v>
          </cell>
          <cell r="J137">
            <v>31084.333005850585</v>
          </cell>
          <cell r="L137">
            <v>38657</v>
          </cell>
          <cell r="N137">
            <v>41925.854823467169</v>
          </cell>
          <cell r="P137">
            <v>43105.726462912426</v>
          </cell>
          <cell r="R137">
            <v>44645.138483140203</v>
          </cell>
          <cell r="T137">
            <v>46048.780211612539</v>
          </cell>
          <cell r="V137">
            <v>47259.219107406665</v>
          </cell>
          <cell r="X137">
            <v>48239.674612999908</v>
          </cell>
          <cell r="Z137">
            <v>49025.068224911316</v>
          </cell>
          <cell r="AB137">
            <v>49645.529178321325</v>
          </cell>
        </row>
        <row r="138">
          <cell r="B138" t="str">
            <v>Average Shares Outstanding-diluted</v>
          </cell>
          <cell r="D138" t="e">
            <v>#DIV/0!</v>
          </cell>
          <cell r="F138">
            <v>11886.126</v>
          </cell>
          <cell r="H138">
            <v>21949</v>
          </cell>
          <cell r="J138">
            <v>32798.172140674862</v>
          </cell>
          <cell r="L138">
            <v>38657</v>
          </cell>
          <cell r="N138">
            <v>42675.854823467169</v>
          </cell>
          <cell r="P138">
            <v>44580.157599046841</v>
          </cell>
          <cell r="R138">
            <v>46042.216616192592</v>
          </cell>
          <cell r="T138">
            <v>47218.490751173158</v>
          </cell>
          <cell r="V138">
            <v>48201.828484468839</v>
          </cell>
          <cell r="X138">
            <v>48965.968572264886</v>
          </cell>
          <cell r="Z138">
            <v>49588.101253959037</v>
          </cell>
          <cell r="AB138">
            <v>50082.838406801166</v>
          </cell>
        </row>
        <row r="139">
          <cell r="B139" t="str">
            <v>Cash cost of options</v>
          </cell>
          <cell r="H139">
            <v>-1456.75</v>
          </cell>
          <cell r="J139">
            <v>7158.1766899999993</v>
          </cell>
          <cell r="L139">
            <v>20354.00576</v>
          </cell>
          <cell r="N139">
            <v>38188.929599999989</v>
          </cell>
          <cell r="P139">
            <v>37812.489956883888</v>
          </cell>
          <cell r="R139">
            <v>34319.407706627258</v>
          </cell>
          <cell r="T139">
            <v>31544.973875474599</v>
          </cell>
          <cell r="V139">
            <v>26264.832099281561</v>
          </cell>
          <cell r="X139">
            <v>22261.170209974036</v>
          </cell>
          <cell r="Z139">
            <v>18721.029696747872</v>
          </cell>
          <cell r="AB139">
            <v>15994.740084019206</v>
          </cell>
        </row>
        <row r="140">
          <cell r="B140" t="str">
            <v>Options/shares outstanding</v>
          </cell>
          <cell r="H140">
            <v>0.15071654722466407</v>
          </cell>
          <cell r="J140">
            <v>0.12829231012477496</v>
          </cell>
          <cell r="L140">
            <v>0.13028784082535003</v>
          </cell>
          <cell r="N140">
            <v>0.15215094800346721</v>
          </cell>
          <cell r="P140">
            <v>0.13388964967836248</v>
          </cell>
          <cell r="R140">
            <v>0.11789340454870594</v>
          </cell>
          <cell r="T140">
            <v>9.2759717946042639E-2</v>
          </cell>
          <cell r="V140">
            <v>7.3432477559666101E-2</v>
          </cell>
          <cell r="X140">
            <v>5.6965871010966319E-2</v>
          </cell>
          <cell r="Z140">
            <v>4.437112810855267E-2</v>
          </cell>
          <cell r="AB140">
            <v>7.0316181404590616E-2</v>
          </cell>
        </row>
        <row r="141">
          <cell r="B141" t="str">
            <v>Option Exercise Pricing</v>
          </cell>
        </row>
        <row r="142">
          <cell r="B142" t="str">
            <v>End of Period Basic Shares per Quarterly Income Statement</v>
          </cell>
          <cell r="L142">
            <v>40710</v>
          </cell>
          <cell r="N142">
            <v>42741.603603968688</v>
          </cell>
        </row>
        <row r="148">
          <cell r="F148">
            <v>0</v>
          </cell>
        </row>
        <row r="149">
          <cell r="F149">
            <v>0</v>
          </cell>
        </row>
        <row r="150">
          <cell r="B150" t="str">
            <v>Average Exercise Price</v>
          </cell>
          <cell r="F150" t="e">
            <v>#DIV/0!</v>
          </cell>
        </row>
        <row r="153">
          <cell r="B153" t="str">
            <v>2004 10K Options Table</v>
          </cell>
        </row>
        <row r="154">
          <cell r="B154" t="str">
            <v>Shares</v>
          </cell>
          <cell r="C154" t="str">
            <v>Avg Price</v>
          </cell>
        </row>
        <row r="155">
          <cell r="B155">
            <v>1165.6369999999999</v>
          </cell>
          <cell r="C155">
            <v>0.48</v>
          </cell>
          <cell r="F155">
            <v>1165.6369999999999</v>
          </cell>
        </row>
        <row r="156">
          <cell r="B156">
            <v>640.84500000000003</v>
          </cell>
          <cell r="C156">
            <v>0.95</v>
          </cell>
        </row>
        <row r="157">
          <cell r="B157">
            <v>127.408</v>
          </cell>
          <cell r="C157">
            <v>5.69</v>
          </cell>
        </row>
        <row r="158">
          <cell r="B158">
            <v>649.827</v>
          </cell>
          <cell r="C158">
            <v>6.78</v>
          </cell>
        </row>
        <row r="159">
          <cell r="B159">
            <v>268.25</v>
          </cell>
          <cell r="C159">
            <v>7.43</v>
          </cell>
        </row>
      </sheetData>
      <sheetData sheetId="4"/>
      <sheetData sheetId="5">
        <row r="2">
          <cell r="B2" t="str">
            <v>Earnings Snapshot</v>
          </cell>
        </row>
      </sheetData>
      <sheetData sheetId="6">
        <row r="2">
          <cell r="B2" t="str">
            <v>Changes To Model</v>
          </cell>
        </row>
        <row r="3">
          <cell r="C3">
            <v>2004</v>
          </cell>
          <cell r="E3">
            <v>2005</v>
          </cell>
          <cell r="G3">
            <v>2006</v>
          </cell>
          <cell r="I3">
            <v>2007</v>
          </cell>
          <cell r="K3">
            <v>2008</v>
          </cell>
          <cell r="M3">
            <v>2009</v>
          </cell>
          <cell r="O3">
            <v>2010</v>
          </cell>
          <cell r="Q3">
            <v>2011</v>
          </cell>
          <cell r="S3">
            <v>2012</v>
          </cell>
          <cell r="U3">
            <v>2013</v>
          </cell>
          <cell r="W3">
            <v>2014</v>
          </cell>
          <cell r="Y3">
            <v>2015</v>
          </cell>
          <cell r="Z3" t="str">
            <v>Comments</v>
          </cell>
        </row>
        <row r="4">
          <cell r="B4" t="str">
            <v>Pandemic Flu (Total Sales)</v>
          </cell>
        </row>
        <row r="5">
          <cell r="B5" t="str">
            <v xml:space="preserve">   Current</v>
          </cell>
          <cell r="C5">
            <v>0</v>
          </cell>
          <cell r="E5">
            <v>0</v>
          </cell>
          <cell r="G5">
            <v>0</v>
          </cell>
          <cell r="I5">
            <v>0</v>
          </cell>
          <cell r="K5">
            <v>0</v>
          </cell>
          <cell r="M5">
            <v>0</v>
          </cell>
          <cell r="O5">
            <v>0</v>
          </cell>
          <cell r="Q5">
            <v>0</v>
          </cell>
          <cell r="S5">
            <v>0</v>
          </cell>
          <cell r="U5">
            <v>9000</v>
          </cell>
          <cell r="W5">
            <v>28000</v>
          </cell>
          <cell r="Y5">
            <v>37000</v>
          </cell>
        </row>
        <row r="6">
          <cell r="B6" t="str">
            <v xml:space="preserve">   Prior</v>
          </cell>
          <cell r="C6">
            <v>0</v>
          </cell>
          <cell r="E6">
            <v>0</v>
          </cell>
          <cell r="G6">
            <v>0</v>
          </cell>
          <cell r="I6">
            <v>0</v>
          </cell>
          <cell r="K6">
            <v>0</v>
          </cell>
          <cell r="M6">
            <v>0</v>
          </cell>
          <cell r="O6">
            <v>0</v>
          </cell>
          <cell r="Q6">
            <v>0</v>
          </cell>
          <cell r="S6">
            <v>0</v>
          </cell>
          <cell r="U6">
            <v>9000</v>
          </cell>
          <cell r="W6">
            <v>28000</v>
          </cell>
          <cell r="Y6">
            <v>37000</v>
          </cell>
        </row>
        <row r="7">
          <cell r="B7" t="str">
            <v>US Profit Share (RSV)</v>
          </cell>
        </row>
        <row r="8">
          <cell r="B8" t="str">
            <v xml:space="preserve">   Current</v>
          </cell>
          <cell r="C8">
            <v>0</v>
          </cell>
          <cell r="E8">
            <v>0</v>
          </cell>
          <cell r="G8">
            <v>0</v>
          </cell>
          <cell r="I8">
            <v>0</v>
          </cell>
          <cell r="K8">
            <v>0</v>
          </cell>
          <cell r="M8">
            <v>0</v>
          </cell>
          <cell r="O8">
            <v>0</v>
          </cell>
          <cell r="Q8">
            <v>0</v>
          </cell>
          <cell r="S8">
            <v>90488.900000000009</v>
          </cell>
          <cell r="U8">
            <v>173065.22499999998</v>
          </cell>
          <cell r="W8">
            <v>230476.67499999993</v>
          </cell>
          <cell r="Y8">
            <v>262609.40000000031</v>
          </cell>
        </row>
        <row r="9">
          <cell r="B9" t="str">
            <v xml:space="preserve">   Prior</v>
          </cell>
          <cell r="C9">
            <v>0</v>
          </cell>
          <cell r="E9">
            <v>0</v>
          </cell>
          <cell r="G9">
            <v>0</v>
          </cell>
          <cell r="I9">
            <v>0</v>
          </cell>
          <cell r="K9">
            <v>0</v>
          </cell>
          <cell r="M9">
            <v>0</v>
          </cell>
          <cell r="O9">
            <v>0</v>
          </cell>
          <cell r="Q9">
            <v>0</v>
          </cell>
          <cell r="S9">
            <v>90488.9</v>
          </cell>
          <cell r="U9">
            <v>173065.22499999998</v>
          </cell>
          <cell r="W9">
            <v>230476.67499999993</v>
          </cell>
          <cell r="Y9">
            <v>262609.40000000002</v>
          </cell>
        </row>
        <row r="10">
          <cell r="B10" t="str">
            <v>ex-US Royalties (RSV)</v>
          </cell>
        </row>
        <row r="11">
          <cell r="B11" t="str">
            <v xml:space="preserve">   Current</v>
          </cell>
          <cell r="C11">
            <v>0</v>
          </cell>
          <cell r="E11">
            <v>0</v>
          </cell>
          <cell r="G11">
            <v>0</v>
          </cell>
          <cell r="I11">
            <v>0</v>
          </cell>
          <cell r="K11">
            <v>0</v>
          </cell>
          <cell r="M11">
            <v>0</v>
          </cell>
          <cell r="O11">
            <v>0</v>
          </cell>
          <cell r="Q11">
            <v>0</v>
          </cell>
          <cell r="S11">
            <v>0</v>
          </cell>
          <cell r="U11">
            <v>7476.2999999999993</v>
          </cell>
          <cell r="W11">
            <v>15723.750000000002</v>
          </cell>
          <cell r="Y11">
            <v>20668.500000000022</v>
          </cell>
        </row>
        <row r="12">
          <cell r="B12" t="str">
            <v xml:space="preserve">   Prior</v>
          </cell>
          <cell r="C12">
            <v>0</v>
          </cell>
          <cell r="E12">
            <v>0</v>
          </cell>
          <cell r="G12">
            <v>0</v>
          </cell>
          <cell r="I12">
            <v>0</v>
          </cell>
          <cell r="K12">
            <v>0</v>
          </cell>
          <cell r="M12">
            <v>0</v>
          </cell>
          <cell r="O12">
            <v>0</v>
          </cell>
          <cell r="Q12">
            <v>0</v>
          </cell>
          <cell r="S12">
            <v>0</v>
          </cell>
          <cell r="U12">
            <v>7476.3</v>
          </cell>
          <cell r="W12">
            <v>15723.75</v>
          </cell>
          <cell r="Y12">
            <v>20668.5</v>
          </cell>
        </row>
        <row r="13">
          <cell r="B13" t="str">
            <v>Collaborative Research (Total Milestones)</v>
          </cell>
        </row>
        <row r="14">
          <cell r="B14" t="str">
            <v xml:space="preserve">   Current</v>
          </cell>
          <cell r="C14">
            <v>4278</v>
          </cell>
          <cell r="E14">
            <v>5716</v>
          </cell>
          <cell r="G14">
            <v>26930</v>
          </cell>
          <cell r="I14">
            <v>50897</v>
          </cell>
          <cell r="K14">
            <v>129486</v>
          </cell>
          <cell r="M14">
            <v>131315.15151515152</v>
          </cell>
          <cell r="O14">
            <v>125944.26406926407</v>
          </cell>
          <cell r="Q14">
            <v>120000</v>
          </cell>
          <cell r="S14">
            <v>100534.79398907104</v>
          </cell>
          <cell r="U14">
            <v>70692.756345565751</v>
          </cell>
          <cell r="W14">
            <v>68750</v>
          </cell>
          <cell r="Y14">
            <v>70172.931899024712</v>
          </cell>
        </row>
        <row r="15">
          <cell r="B15" t="str">
            <v xml:space="preserve">   Prior</v>
          </cell>
          <cell r="C15">
            <v>4278</v>
          </cell>
          <cell r="E15">
            <v>5716</v>
          </cell>
          <cell r="G15">
            <v>26930</v>
          </cell>
          <cell r="I15">
            <v>45665</v>
          </cell>
          <cell r="K15">
            <v>129486.36363636363</v>
          </cell>
          <cell r="M15">
            <v>135986.36363636365</v>
          </cell>
          <cell r="O15">
            <v>128160.98484848485</v>
          </cell>
          <cell r="Q15">
            <v>123750</v>
          </cell>
          <cell r="S15">
            <v>102666.66666666667</v>
          </cell>
          <cell r="U15">
            <v>71950</v>
          </cell>
          <cell r="W15">
            <v>68750</v>
          </cell>
          <cell r="Y15">
            <v>70000</v>
          </cell>
        </row>
        <row r="16">
          <cell r="B16" t="str">
            <v>Total Revenues</v>
          </cell>
        </row>
        <row r="17">
          <cell r="B17" t="str">
            <v xml:space="preserve">   Current</v>
          </cell>
          <cell r="C17">
            <v>4278</v>
          </cell>
          <cell r="E17">
            <v>5716</v>
          </cell>
          <cell r="G17">
            <v>26930</v>
          </cell>
          <cell r="I17">
            <v>50897</v>
          </cell>
          <cell r="K17">
            <v>129486</v>
          </cell>
          <cell r="M17">
            <v>131315.15151515152</v>
          </cell>
          <cell r="O17">
            <v>125944.26406926407</v>
          </cell>
          <cell r="Q17">
            <v>120000</v>
          </cell>
          <cell r="S17">
            <v>191023.69398907106</v>
          </cell>
          <cell r="U17">
            <v>260234.28134556572</v>
          </cell>
          <cell r="W17">
            <v>342950.42499999993</v>
          </cell>
          <cell r="Y17">
            <v>390450.83189902501</v>
          </cell>
        </row>
        <row r="18">
          <cell r="B18" t="str">
            <v xml:space="preserve">   Prior</v>
          </cell>
          <cell r="C18">
            <v>4278</v>
          </cell>
          <cell r="E18">
            <v>5716</v>
          </cell>
          <cell r="G18">
            <v>26930</v>
          </cell>
          <cell r="I18">
            <v>45665</v>
          </cell>
          <cell r="K18">
            <v>129486.36363636363</v>
          </cell>
          <cell r="M18">
            <v>135986.36363636365</v>
          </cell>
          <cell r="O18">
            <v>128160.98484848485</v>
          </cell>
          <cell r="Q18">
            <v>123750</v>
          </cell>
          <cell r="S18">
            <v>193155.56666666668</v>
          </cell>
          <cell r="U18">
            <v>261491.52499999997</v>
          </cell>
          <cell r="W18">
            <v>342950.42499999993</v>
          </cell>
          <cell r="Y18">
            <v>390277.9</v>
          </cell>
        </row>
        <row r="19">
          <cell r="B19" t="str">
            <v>COGS</v>
          </cell>
        </row>
        <row r="20">
          <cell r="B20" t="str">
            <v xml:space="preserve">   Current</v>
          </cell>
          <cell r="C20">
            <v>0</v>
          </cell>
          <cell r="E20">
            <v>0</v>
          </cell>
          <cell r="G20">
            <v>0</v>
          </cell>
          <cell r="I20">
            <v>0</v>
          </cell>
          <cell r="K20">
            <v>0</v>
          </cell>
          <cell r="M20">
            <v>0</v>
          </cell>
          <cell r="O20">
            <v>0</v>
          </cell>
          <cell r="Q20">
            <v>0</v>
          </cell>
          <cell r="S20">
            <v>23605.800000000003</v>
          </cell>
          <cell r="U20">
            <v>46497.44999999999</v>
          </cell>
          <cell r="W20">
            <v>64324.349999999977</v>
          </cell>
          <cell r="Y20">
            <v>74056.80000000009</v>
          </cell>
        </row>
        <row r="21">
          <cell r="B21" t="str">
            <v xml:space="preserve">   Prior</v>
          </cell>
          <cell r="C21">
            <v>0</v>
          </cell>
          <cell r="E21">
            <v>0</v>
          </cell>
          <cell r="G21">
            <v>0</v>
          </cell>
          <cell r="I21">
            <v>0</v>
          </cell>
          <cell r="K21">
            <v>0</v>
          </cell>
          <cell r="M21">
            <v>0</v>
          </cell>
          <cell r="O21">
            <v>0</v>
          </cell>
          <cell r="Q21">
            <v>0</v>
          </cell>
          <cell r="S21">
            <v>23605.8</v>
          </cell>
          <cell r="U21">
            <v>46497.45</v>
          </cell>
          <cell r="W21">
            <v>64324.35</v>
          </cell>
          <cell r="Y21">
            <v>74056.80000000009</v>
          </cell>
        </row>
        <row r="22">
          <cell r="B22" t="str">
            <v>R&amp;D</v>
          </cell>
        </row>
        <row r="23">
          <cell r="B23" t="str">
            <v xml:space="preserve">   Current</v>
          </cell>
          <cell r="C23">
            <v>24603</v>
          </cell>
          <cell r="E23">
            <v>34703</v>
          </cell>
          <cell r="G23">
            <v>44792</v>
          </cell>
          <cell r="I23">
            <v>111366</v>
          </cell>
          <cell r="K23">
            <v>110000</v>
          </cell>
          <cell r="M23">
            <v>131315.15151515152</v>
          </cell>
          <cell r="O23">
            <v>151133.11688311689</v>
          </cell>
          <cell r="Q23">
            <v>168000</v>
          </cell>
          <cell r="S23">
            <v>181472.5092896175</v>
          </cell>
          <cell r="U23">
            <v>189971.02538226297</v>
          </cell>
          <cell r="W23">
            <v>195000</v>
          </cell>
          <cell r="Y23">
            <v>200691.72759609885</v>
          </cell>
        </row>
        <row r="24">
          <cell r="B24" t="str">
            <v xml:space="preserve">   Prior</v>
          </cell>
          <cell r="C24">
            <v>24603</v>
          </cell>
          <cell r="E24">
            <v>34703</v>
          </cell>
          <cell r="G24">
            <v>44792</v>
          </cell>
          <cell r="I24">
            <v>123415</v>
          </cell>
          <cell r="K24">
            <v>132000</v>
          </cell>
          <cell r="M24">
            <v>150000</v>
          </cell>
          <cell r="O24">
            <v>160000</v>
          </cell>
          <cell r="Q24">
            <v>183000</v>
          </cell>
          <cell r="S24">
            <v>190000</v>
          </cell>
          <cell r="U24">
            <v>195000</v>
          </cell>
          <cell r="W24">
            <v>195000</v>
          </cell>
          <cell r="Y24">
            <v>200000</v>
          </cell>
        </row>
        <row r="25">
          <cell r="B25" t="str">
            <v>SG&amp;A</v>
          </cell>
        </row>
        <row r="26">
          <cell r="B26" t="str">
            <v xml:space="preserve">   Current</v>
          </cell>
          <cell r="C26">
            <v>11939</v>
          </cell>
          <cell r="E26">
            <v>13483</v>
          </cell>
          <cell r="G26">
            <v>13335</v>
          </cell>
          <cell r="I26">
            <v>18236</v>
          </cell>
          <cell r="K26">
            <v>23000</v>
          </cell>
          <cell r="M26">
            <v>26263.030303030304</v>
          </cell>
          <cell r="O26">
            <v>28967.180735930739</v>
          </cell>
          <cell r="Q26">
            <v>32400.000000000004</v>
          </cell>
          <cell r="S26">
            <v>37249.620327868855</v>
          </cell>
          <cell r="U26">
            <v>42938.656422018343</v>
          </cell>
          <cell r="W26">
            <v>48013.059499999996</v>
          </cell>
          <cell r="Y26">
            <v>52710.862306368377</v>
          </cell>
        </row>
        <row r="27">
          <cell r="B27" t="str">
            <v xml:space="preserve">   Prior</v>
          </cell>
          <cell r="C27">
            <v>11939</v>
          </cell>
          <cell r="E27">
            <v>13483</v>
          </cell>
          <cell r="G27">
            <v>13335</v>
          </cell>
          <cell r="I27">
            <v>19467</v>
          </cell>
          <cell r="K27">
            <v>24000</v>
          </cell>
          <cell r="M27">
            <v>26000</v>
          </cell>
          <cell r="O27">
            <v>38000</v>
          </cell>
          <cell r="Q27">
            <v>60000</v>
          </cell>
          <cell r="S27">
            <v>63737.2</v>
          </cell>
          <cell r="U27">
            <v>75293.724999999991</v>
          </cell>
          <cell r="W27">
            <v>82849.740000000005</v>
          </cell>
          <cell r="Y27">
            <v>86819.16</v>
          </cell>
        </row>
        <row r="28">
          <cell r="B28" t="str">
            <v>Total Operating Expenses</v>
          </cell>
        </row>
        <row r="29">
          <cell r="B29" t="str">
            <v xml:space="preserve">   Current</v>
          </cell>
          <cell r="C29">
            <v>36542</v>
          </cell>
          <cell r="E29">
            <v>48186</v>
          </cell>
          <cell r="G29">
            <v>58127</v>
          </cell>
          <cell r="I29">
            <v>129602</v>
          </cell>
          <cell r="K29">
            <v>133000</v>
          </cell>
          <cell r="M29">
            <v>157578.18181818182</v>
          </cell>
          <cell r="O29">
            <v>180100.29761904763</v>
          </cell>
          <cell r="Q29">
            <v>200400</v>
          </cell>
          <cell r="S29">
            <v>242327.92961748637</v>
          </cell>
          <cell r="U29">
            <v>279407.13180428132</v>
          </cell>
          <cell r="W29">
            <v>307337.40949999995</v>
          </cell>
          <cell r="Y29">
            <v>327459.38990246732</v>
          </cell>
        </row>
        <row r="30">
          <cell r="B30" t="str">
            <v xml:space="preserve">   Prior</v>
          </cell>
          <cell r="C30">
            <v>36542</v>
          </cell>
          <cell r="E30">
            <v>48186</v>
          </cell>
          <cell r="G30">
            <v>58127</v>
          </cell>
          <cell r="I30">
            <v>142882</v>
          </cell>
          <cell r="K30">
            <v>156000</v>
          </cell>
          <cell r="M30">
            <v>176000</v>
          </cell>
          <cell r="O30">
            <v>198000</v>
          </cell>
          <cell r="Q30">
            <v>243000</v>
          </cell>
          <cell r="S30">
            <v>277343</v>
          </cell>
          <cell r="U30">
            <v>316791.17499999999</v>
          </cell>
          <cell r="W30">
            <v>342174.09</v>
          </cell>
          <cell r="Y30">
            <v>360875.96</v>
          </cell>
        </row>
        <row r="31">
          <cell r="B31" t="str">
            <v>Pretax Income</v>
          </cell>
        </row>
        <row r="32">
          <cell r="B32" t="str">
            <v xml:space="preserve">   Current</v>
          </cell>
          <cell r="C32">
            <v>-32654</v>
          </cell>
          <cell r="E32">
            <v>-41912</v>
          </cell>
          <cell r="G32">
            <v>-26304</v>
          </cell>
          <cell r="I32">
            <v>-65749</v>
          </cell>
          <cell r="K32">
            <v>11950.8522827571</v>
          </cell>
          <cell r="M32">
            <v>-12165.148191711698</v>
          </cell>
          <cell r="N32">
            <v>0</v>
          </cell>
          <cell r="O32">
            <v>-42402.349205285507</v>
          </cell>
          <cell r="P32">
            <v>0</v>
          </cell>
          <cell r="Q32">
            <v>-71725.825618469928</v>
          </cell>
          <cell r="S32">
            <v>-45596.3781654575</v>
          </cell>
          <cell r="U32">
            <v>-14903.439268118933</v>
          </cell>
          <cell r="W32">
            <v>40236.977297382706</v>
          </cell>
          <cell r="Y32">
            <v>69293.456802536675</v>
          </cell>
        </row>
        <row r="33">
          <cell r="B33" t="str">
            <v xml:space="preserve">   Prior</v>
          </cell>
          <cell r="C33">
            <v>-32654</v>
          </cell>
          <cell r="E33">
            <v>-41912</v>
          </cell>
          <cell r="G33">
            <v>-26304</v>
          </cell>
          <cell r="I33">
            <v>-82905.261456518419</v>
          </cell>
          <cell r="K33">
            <v>-8490.7933784148754</v>
          </cell>
          <cell r="M33">
            <v>-21591.087523122322</v>
          </cell>
          <cell r="N33">
            <v>0</v>
          </cell>
          <cell r="O33">
            <v>-50311.301745265468</v>
          </cell>
          <cell r="P33">
            <v>0</v>
          </cell>
          <cell r="Q33">
            <v>-99470.221128899342</v>
          </cell>
          <cell r="S33">
            <v>-68305.870159014943</v>
          </cell>
          <cell r="U33">
            <v>-41869.767843074849</v>
          </cell>
          <cell r="W33">
            <v>13333.108725655209</v>
          </cell>
          <cell r="Y33">
            <v>42380.890547919305</v>
          </cell>
        </row>
        <row r="34">
          <cell r="B34" t="str">
            <v>Net Income (Non-GAAP)</v>
          </cell>
        </row>
        <row r="35">
          <cell r="B35" t="str">
            <v xml:space="preserve">   Current</v>
          </cell>
          <cell r="C35">
            <v>-32654</v>
          </cell>
          <cell r="E35">
            <v>-41912</v>
          </cell>
          <cell r="G35">
            <v>-26304</v>
          </cell>
          <cell r="I35">
            <v>-70994</v>
          </cell>
          <cell r="K35">
            <v>11950.8522827571</v>
          </cell>
          <cell r="M35">
            <v>-12165.148191711698</v>
          </cell>
          <cell r="O35">
            <v>-42402.349205285507</v>
          </cell>
          <cell r="Q35">
            <v>-71725.825618469928</v>
          </cell>
          <cell r="S35">
            <v>-45596.3781654575</v>
          </cell>
          <cell r="U35">
            <v>-14903.439268118933</v>
          </cell>
          <cell r="W35">
            <v>40236.977297382706</v>
          </cell>
          <cell r="Y35">
            <v>69293.456802536675</v>
          </cell>
        </row>
        <row r="36">
          <cell r="B36" t="str">
            <v xml:space="preserve">   Prior</v>
          </cell>
          <cell r="C36">
            <v>-32654</v>
          </cell>
          <cell r="E36">
            <v>-41912</v>
          </cell>
          <cell r="G36">
            <v>-26304</v>
          </cell>
          <cell r="I36">
            <v>-82905.261456518419</v>
          </cell>
          <cell r="K36">
            <v>-8490.7933784148754</v>
          </cell>
          <cell r="M36">
            <v>-21591.087523122322</v>
          </cell>
          <cell r="O36">
            <v>-50311.301745265468</v>
          </cell>
          <cell r="Q36">
            <v>-99470.221128899342</v>
          </cell>
          <cell r="S36">
            <v>-68305.870159014943</v>
          </cell>
          <cell r="U36">
            <v>-41869.767843074849</v>
          </cell>
          <cell r="W36">
            <v>13169.778143765932</v>
          </cell>
          <cell r="Y36">
            <v>41861.724638707296</v>
          </cell>
        </row>
        <row r="37">
          <cell r="B37" t="str">
            <v>GAAP Net Income (Loss)</v>
          </cell>
        </row>
        <row r="38">
          <cell r="B38" t="str">
            <v xml:space="preserve">   Current</v>
          </cell>
          <cell r="C38">
            <v>-35367</v>
          </cell>
          <cell r="E38">
            <v>-42914</v>
          </cell>
          <cell r="G38">
            <v>-34608</v>
          </cell>
          <cell r="I38">
            <v>-85466</v>
          </cell>
          <cell r="K38">
            <v>-3649.1477172429004</v>
          </cell>
          <cell r="M38">
            <v>-29026.013646257154</v>
          </cell>
          <cell r="O38">
            <v>-60412.37896719027</v>
          </cell>
          <cell r="Q38">
            <v>-91765.825618469928</v>
          </cell>
          <cell r="S38">
            <v>-67468.591127206135</v>
          </cell>
          <cell r="U38">
            <v>-38194.407448547063</v>
          </cell>
          <cell r="W38">
            <v>15935.671347382704</v>
          </cell>
          <cell r="Y38">
            <v>43953.197812289953</v>
          </cell>
        </row>
        <row r="39">
          <cell r="B39" t="str">
            <v xml:space="preserve"> Prior</v>
          </cell>
          <cell r="C39">
            <v>-35367</v>
          </cell>
          <cell r="E39">
            <v>-42914</v>
          </cell>
          <cell r="G39">
            <v>-34608</v>
          </cell>
          <cell r="I39">
            <v>-96113.985364247288</v>
          </cell>
          <cell r="K39">
            <v>-24090.793378414877</v>
          </cell>
          <cell r="M39">
            <v>-39191.087523122318</v>
          </cell>
          <cell r="O39">
            <v>-70111.30174526546</v>
          </cell>
          <cell r="Q39">
            <v>-123770.22112889934</v>
          </cell>
          <cell r="S39">
            <v>-93679.590159014944</v>
          </cell>
          <cell r="U39">
            <v>-68899.140343074847</v>
          </cell>
          <cell r="W39">
            <v>-14274.829924734069</v>
          </cell>
          <cell r="Y39">
            <v>13531.162109707289</v>
          </cell>
        </row>
        <row r="40">
          <cell r="B40" t="str">
            <v>EPS, Non-GAAP (w/Options Expense)</v>
          </cell>
          <cell r="Z40" t="str">
            <v>Non-GAAP EPS estimates (includes stock compensation expense)</v>
          </cell>
        </row>
        <row r="41">
          <cell r="B41" t="str">
            <v xml:space="preserve">   Current</v>
          </cell>
          <cell r="C41">
            <v>-2.7472365680794568</v>
          </cell>
          <cell r="E41">
            <v>-1.9551688004009293</v>
          </cell>
          <cell r="G41">
            <v>-1.0852304797742238</v>
          </cell>
          <cell r="I41">
            <v>-2.2108803062834674</v>
          </cell>
          <cell r="K41">
            <v>-8.5508485590691866E-2</v>
          </cell>
          <cell r="M41">
            <v>-0.67336792644547439</v>
          </cell>
          <cell r="O41">
            <v>-1.3531681392365802</v>
          </cell>
          <cell r="Q41">
            <v>-1.9927960132009861</v>
          </cell>
          <cell r="S41">
            <v>-1.4276281411647822</v>
          </cell>
          <cell r="U41">
            <v>-0.79176337226483307</v>
          </cell>
          <cell r="W41">
            <v>0.32136078906853538</v>
          </cell>
          <cell r="X41">
            <v>0</v>
          </cell>
          <cell r="Y41">
            <v>0.87760996002816771</v>
          </cell>
        </row>
        <row r="42">
          <cell r="B42" t="str">
            <v xml:space="preserve">   Prior</v>
          </cell>
          <cell r="C42">
            <v>-2.7472365680794568</v>
          </cell>
          <cell r="E42">
            <v>-1.9551688004009293</v>
          </cell>
          <cell r="G42">
            <v>-1.0852304797742238</v>
          </cell>
          <cell r="I42">
            <v>-2.5109786523217892</v>
          </cell>
          <cell r="K42">
            <v>-0.59379724722554361</v>
          </cell>
          <cell r="M42">
            <v>-0.88219613306266798</v>
          </cell>
          <cell r="O42">
            <v>-1.4565623997825348</v>
          </cell>
          <cell r="Q42">
            <v>-2.3961565399718188</v>
          </cell>
          <cell r="S42">
            <v>-1.7815952532283286</v>
          </cell>
          <cell r="U42">
            <v>-1.2907265401591212</v>
          </cell>
          <cell r="W42">
            <v>-0.2589831682141826</v>
          </cell>
          <cell r="X42">
            <v>0</v>
          </cell>
          <cell r="Y42">
            <v>0.2434820411800348</v>
          </cell>
        </row>
        <row r="43">
          <cell r="B43" t="str">
            <v>EPS, Diluted GAAP Basis (w/ Options Expense)</v>
          </cell>
          <cell r="Z43" t="str">
            <v>Modelware GAAP EPS estimates (includes stock compensation expense)</v>
          </cell>
        </row>
        <row r="44">
          <cell r="B44" t="str">
            <v xml:space="preserve">   Current</v>
          </cell>
          <cell r="C44">
            <v>-2.9754858731936711</v>
          </cell>
          <cell r="E44">
            <v>-1.9551688004009293</v>
          </cell>
          <cell r="G44">
            <v>-1.0852304797742238</v>
          </cell>
          <cell r="I44">
            <v>-2.2108803062834674</v>
          </cell>
          <cell r="K44">
            <v>-8.5508485590691866E-2</v>
          </cell>
          <cell r="M44">
            <v>-0.67336792644547439</v>
          </cell>
          <cell r="O44">
            <v>-1.3531681392365802</v>
          </cell>
          <cell r="Q44">
            <v>-1.9927960132009861</v>
          </cell>
          <cell r="S44">
            <v>-1.4276281411647822</v>
          </cell>
          <cell r="U44">
            <v>-0.79176337226483307</v>
          </cell>
          <cell r="W44">
            <v>0.32136078906853538</v>
          </cell>
          <cell r="Y44">
            <v>0.87760996002816771</v>
          </cell>
        </row>
        <row r="45">
          <cell r="B45" t="str">
            <v xml:space="preserve">   Prior</v>
          </cell>
          <cell r="C45">
            <v>-2.9754858731936711</v>
          </cell>
          <cell r="E45">
            <v>-1.9551688004009293</v>
          </cell>
          <cell r="G45">
            <v>-1.0852304797742238</v>
          </cell>
          <cell r="I45">
            <v>-2.5109786523217892</v>
          </cell>
          <cell r="K45">
            <v>-0.59379724722554361</v>
          </cell>
          <cell r="M45">
            <v>-0.88219613306266798</v>
          </cell>
          <cell r="O45">
            <v>-1.4565623997825348</v>
          </cell>
          <cell r="Q45">
            <v>-2.3961565399718188</v>
          </cell>
          <cell r="S45">
            <v>-1.7815952532283286</v>
          </cell>
          <cell r="U45">
            <v>-1.2907265401591212</v>
          </cell>
          <cell r="W45">
            <v>-0.2589831682141826</v>
          </cell>
          <cell r="Y45">
            <v>0.2434820411800348</v>
          </cell>
        </row>
        <row r="46">
          <cell r="B46" t="str">
            <v>Shares Outstanding, Diluted</v>
          </cell>
        </row>
        <row r="47">
          <cell r="B47" t="str">
            <v xml:space="preserve">   Current</v>
          </cell>
          <cell r="C47">
            <v>11886.126</v>
          </cell>
          <cell r="E47">
            <v>21949</v>
          </cell>
          <cell r="G47">
            <v>31890</v>
          </cell>
          <cell r="I47">
            <v>38657</v>
          </cell>
          <cell r="K47">
            <v>42675.854823467169</v>
          </cell>
          <cell r="M47">
            <v>43105.726462912426</v>
          </cell>
          <cell r="O47">
            <v>44645.138483140203</v>
          </cell>
          <cell r="Q47">
            <v>46048.780211612539</v>
          </cell>
          <cell r="S47">
            <v>47259.219107406665</v>
          </cell>
          <cell r="U47">
            <v>48239.674612999908</v>
          </cell>
          <cell r="W47">
            <v>49588.101253959037</v>
          </cell>
          <cell r="Y47">
            <v>50082.838406801166</v>
          </cell>
        </row>
        <row r="48">
          <cell r="B48" t="str">
            <v xml:space="preserve">   Prior</v>
          </cell>
          <cell r="C48">
            <v>11886.126</v>
          </cell>
          <cell r="E48">
            <v>21949</v>
          </cell>
          <cell r="G48">
            <v>31890</v>
          </cell>
          <cell r="I48">
            <v>38277.5</v>
          </cell>
          <cell r="K48">
            <v>40570.739408066685</v>
          </cell>
          <cell r="M48">
            <v>44424.460790895719</v>
          </cell>
          <cell r="O48">
            <v>48134.773872875681</v>
          </cell>
          <cell r="Q48">
            <v>51653.645771555064</v>
          </cell>
          <cell r="S48">
            <v>52581.858864556038</v>
          </cell>
          <cell r="U48">
            <v>53380.12212453688</v>
          </cell>
          <cell r="W48">
            <v>55118.755489656338</v>
          </cell>
          <cell r="Y48">
            <v>55573.552957452477</v>
          </cell>
        </row>
      </sheetData>
      <sheetData sheetId="7">
        <row r="2">
          <cell r="A2" t="str">
            <v>RSV Market Model</v>
          </cell>
        </row>
        <row r="4">
          <cell r="B4" t="str">
            <v>2005E</v>
          </cell>
          <cell r="D4" t="str">
            <v>2006E</v>
          </cell>
          <cell r="F4" t="str">
            <v>2007E</v>
          </cell>
          <cell r="H4" t="str">
            <v>2008E</v>
          </cell>
          <cell r="J4" t="str">
            <v>2009E</v>
          </cell>
          <cell r="L4" t="str">
            <v>2010E</v>
          </cell>
          <cell r="N4" t="str">
            <v>2011E</v>
          </cell>
          <cell r="P4" t="str">
            <v>2012E</v>
          </cell>
          <cell r="R4" t="str">
            <v>2013E</v>
          </cell>
          <cell r="T4" t="str">
            <v>2014E</v>
          </cell>
          <cell r="V4" t="str">
            <v>2015E</v>
          </cell>
        </row>
        <row r="5">
          <cell r="A5" t="str">
            <v>US Sales</v>
          </cell>
        </row>
        <row r="6">
          <cell r="A6" t="str">
            <v>Total Infants Hospitalized</v>
          </cell>
          <cell r="B6">
            <v>100000</v>
          </cell>
          <cell r="D6">
            <v>100920.00000000001</v>
          </cell>
          <cell r="F6">
            <v>101848.46400000002</v>
          </cell>
          <cell r="H6">
            <v>102785.46986880004</v>
          </cell>
          <cell r="J6">
            <v>103731.09619159301</v>
          </cell>
          <cell r="L6">
            <v>104685.42227655568</v>
          </cell>
          <cell r="N6">
            <v>105648.5281615</v>
          </cell>
          <cell r="P6">
            <v>106620.49462058581</v>
          </cell>
          <cell r="R6">
            <v>107601.40317109521</v>
          </cell>
          <cell r="T6">
            <v>108591.33608026929</v>
          </cell>
          <cell r="V6">
            <v>109590.37637220779</v>
          </cell>
        </row>
        <row r="7">
          <cell r="A7" t="str">
            <v>YoY Growth</v>
          </cell>
          <cell r="D7">
            <v>9.1999999999999998E-3</v>
          </cell>
          <cell r="F7">
            <v>9.1999999999999998E-3</v>
          </cell>
          <cell r="H7">
            <v>9.1999999999999998E-3</v>
          </cell>
          <cell r="J7">
            <v>9.1999999999999998E-3</v>
          </cell>
          <cell r="L7">
            <v>9.1999999999999998E-3</v>
          </cell>
          <cell r="N7">
            <v>9.1999999999999998E-3</v>
          </cell>
          <cell r="P7">
            <v>9.1999999999999998E-3</v>
          </cell>
          <cell r="R7">
            <v>9.1999999999999998E-3</v>
          </cell>
          <cell r="T7">
            <v>9.1999999999999998E-3</v>
          </cell>
          <cell r="V7">
            <v>9.1999999999999998E-3</v>
          </cell>
        </row>
        <row r="8">
          <cell r="A8" t="str">
            <v>% Patients Treated with ALN-RSV01</v>
          </cell>
          <cell r="B8">
            <v>0</v>
          </cell>
          <cell r="D8">
            <v>0</v>
          </cell>
          <cell r="F8">
            <v>0</v>
          </cell>
          <cell r="H8">
            <v>0</v>
          </cell>
          <cell r="J8">
            <v>0</v>
          </cell>
          <cell r="L8">
            <v>0</v>
          </cell>
          <cell r="N8">
            <v>0</v>
          </cell>
          <cell r="P8">
            <v>0.20695144500856327</v>
          </cell>
          <cell r="R8">
            <v>0.38263250267941418</v>
          </cell>
          <cell r="T8">
            <v>0.49260398374416764</v>
          </cell>
          <cell r="V8">
            <v>0.54260038800791588</v>
          </cell>
        </row>
        <row r="9">
          <cell r="A9" t="str">
            <v>Patients Treated with ALN-RSV01</v>
          </cell>
          <cell r="B9">
            <v>0</v>
          </cell>
          <cell r="D9">
            <v>0</v>
          </cell>
          <cell r="F9">
            <v>0</v>
          </cell>
          <cell r="H9">
            <v>0</v>
          </cell>
          <cell r="J9">
            <v>0</v>
          </cell>
          <cell r="L9">
            <v>0</v>
          </cell>
          <cell r="N9">
            <v>0</v>
          </cell>
          <cell r="P9">
            <v>22065.265429257983</v>
          </cell>
          <cell r="R9">
            <v>41171.794187172811</v>
          </cell>
          <cell r="T9">
            <v>53492.524753242418</v>
          </cell>
          <cell r="V9">
            <v>59463.78074149348</v>
          </cell>
        </row>
        <row r="10">
          <cell r="A10" t="str">
            <v>Cost per Course of Therapy</v>
          </cell>
          <cell r="B10">
            <v>0</v>
          </cell>
          <cell r="D10">
            <v>0</v>
          </cell>
          <cell r="F10">
            <v>0</v>
          </cell>
          <cell r="H10">
            <v>0</v>
          </cell>
          <cell r="J10">
            <v>0</v>
          </cell>
          <cell r="L10">
            <v>0</v>
          </cell>
          <cell r="N10">
            <v>0</v>
          </cell>
          <cell r="P10">
            <v>7132.1145220092722</v>
          </cell>
          <cell r="R10">
            <v>7310.4173850595034</v>
          </cell>
          <cell r="T10">
            <v>7493.1778196859905</v>
          </cell>
          <cell r="V10">
            <v>7680.5072651781393</v>
          </cell>
        </row>
        <row r="11">
          <cell r="A11" t="str">
            <v>YoY Growth</v>
          </cell>
          <cell r="B11">
            <v>0</v>
          </cell>
          <cell r="D11">
            <v>0</v>
          </cell>
          <cell r="F11">
            <v>0</v>
          </cell>
          <cell r="H11">
            <v>0</v>
          </cell>
          <cell r="J11">
            <v>0</v>
          </cell>
          <cell r="L11">
            <v>0</v>
          </cell>
          <cell r="N11">
            <v>0</v>
          </cell>
          <cell r="P11">
            <v>0</v>
          </cell>
          <cell r="R11">
            <v>2.5000000000000001E-2</v>
          </cell>
          <cell r="T11">
            <v>2.5000000000000001E-2</v>
          </cell>
          <cell r="V11">
            <v>2.5000000000000001E-2</v>
          </cell>
        </row>
        <row r="12">
          <cell r="A12" t="str">
            <v>US Product Sales ($000s)</v>
          </cell>
          <cell r="B12">
            <v>0</v>
          </cell>
          <cell r="D12">
            <v>0</v>
          </cell>
          <cell r="F12">
            <v>0</v>
          </cell>
          <cell r="H12">
            <v>0</v>
          </cell>
          <cell r="J12">
            <v>0</v>
          </cell>
          <cell r="L12">
            <v>0</v>
          </cell>
          <cell r="N12">
            <v>0</v>
          </cell>
          <cell r="P12">
            <v>157372.00000000003</v>
          </cell>
          <cell r="R12">
            <v>300982.99999999994</v>
          </cell>
          <cell r="T12">
            <v>400828.99999999988</v>
          </cell>
          <cell r="V12">
            <v>456712.00000000058</v>
          </cell>
        </row>
        <row r="14">
          <cell r="A14" t="str">
            <v>EU Sales</v>
          </cell>
        </row>
        <row r="15">
          <cell r="A15" t="str">
            <v>Total Infants Hospitalized</v>
          </cell>
          <cell r="B15">
            <v>114000</v>
          </cell>
          <cell r="D15">
            <v>114171</v>
          </cell>
          <cell r="F15">
            <v>114342.2565</v>
          </cell>
          <cell r="H15">
            <v>114513.76988475001</v>
          </cell>
          <cell r="J15">
            <v>114685.54053957715</v>
          </cell>
          <cell r="L15">
            <v>114857.56885038652</v>
          </cell>
          <cell r="N15">
            <v>115029.85520366211</v>
          </cell>
          <cell r="P15">
            <v>115202.39998646762</v>
          </cell>
          <cell r="R15">
            <v>115375.20358644733</v>
          </cell>
          <cell r="T15">
            <v>115548.26639182701</v>
          </cell>
          <cell r="V15">
            <v>115721.58879141476</v>
          </cell>
        </row>
        <row r="16">
          <cell r="A16" t="str">
            <v>YoY Growth</v>
          </cell>
          <cell r="D16">
            <v>1.5E-3</v>
          </cell>
          <cell r="F16">
            <v>1.5E-3</v>
          </cell>
          <cell r="H16">
            <v>1.5E-3</v>
          </cell>
          <cell r="J16">
            <v>1.5E-3</v>
          </cell>
          <cell r="L16">
            <v>1.5E-3</v>
          </cell>
          <cell r="N16">
            <v>1.5E-3</v>
          </cell>
          <cell r="P16">
            <v>1.5E-3</v>
          </cell>
          <cell r="R16">
            <v>1.5E-3</v>
          </cell>
          <cell r="T16">
            <v>1.5E-3</v>
          </cell>
          <cell r="V16">
            <v>1.5E-3</v>
          </cell>
        </row>
        <row r="17">
          <cell r="A17" t="str">
            <v>% Patients Treated with ALN-RSV01</v>
          </cell>
          <cell r="B17">
            <v>0</v>
          </cell>
          <cell r="D17">
            <v>0</v>
          </cell>
          <cell r="F17">
            <v>0</v>
          </cell>
          <cell r="H17">
            <v>0</v>
          </cell>
          <cell r="J17">
            <v>0</v>
          </cell>
          <cell r="L17">
            <v>0</v>
          </cell>
          <cell r="N17">
            <v>0</v>
          </cell>
          <cell r="P17">
            <v>0</v>
          </cell>
          <cell r="R17">
            <v>5.9093648824080892E-2</v>
          </cell>
          <cell r="T17">
            <v>0.12106968101363463</v>
          </cell>
          <cell r="V17">
            <v>0.15502916511082598</v>
          </cell>
        </row>
        <row r="18">
          <cell r="A18" t="str">
            <v>Patients Treated with ALN-RSV01</v>
          </cell>
          <cell r="B18">
            <v>0</v>
          </cell>
          <cell r="D18">
            <v>0</v>
          </cell>
          <cell r="F18">
            <v>0</v>
          </cell>
          <cell r="H18">
            <v>0</v>
          </cell>
          <cell r="J18">
            <v>0</v>
          </cell>
          <cell r="L18">
            <v>0</v>
          </cell>
          <cell r="N18">
            <v>0</v>
          </cell>
          <cell r="P18">
            <v>0</v>
          </cell>
          <cell r="R18">
            <v>6817.9417637443566</v>
          </cell>
          <cell r="T18">
            <v>13989.391753736976</v>
          </cell>
          <cell r="V18">
            <v>17940.221295631349</v>
          </cell>
        </row>
        <row r="19">
          <cell r="A19" t="str">
            <v>Cost per Course of Therapy</v>
          </cell>
          <cell r="B19">
            <v>0</v>
          </cell>
          <cell r="D19">
            <v>0</v>
          </cell>
          <cell r="F19">
            <v>0</v>
          </cell>
          <cell r="H19">
            <v>0</v>
          </cell>
          <cell r="J19">
            <v>0</v>
          </cell>
          <cell r="L19">
            <v>0</v>
          </cell>
          <cell r="N19">
            <v>0</v>
          </cell>
          <cell r="P19">
            <v>0</v>
          </cell>
          <cell r="R19">
            <v>7310.4173850595034</v>
          </cell>
          <cell r="T19">
            <v>7493.1778196859905</v>
          </cell>
          <cell r="V19">
            <v>7680.5072651781393</v>
          </cell>
        </row>
        <row r="20">
          <cell r="A20" t="str">
            <v>YoY Growth</v>
          </cell>
          <cell r="B20">
            <v>0</v>
          </cell>
          <cell r="D20">
            <v>0</v>
          </cell>
          <cell r="F20">
            <v>0</v>
          </cell>
          <cell r="H20">
            <v>0</v>
          </cell>
          <cell r="J20">
            <v>0</v>
          </cell>
          <cell r="L20">
            <v>0</v>
          </cell>
          <cell r="N20">
            <v>0</v>
          </cell>
          <cell r="P20">
            <v>0</v>
          </cell>
          <cell r="R20">
            <v>0</v>
          </cell>
          <cell r="T20">
            <v>2.5000000000000001E-2</v>
          </cell>
          <cell r="V20">
            <v>2.5000000000000001E-2</v>
          </cell>
        </row>
        <row r="21">
          <cell r="A21" t="str">
            <v>EU Product Sales ($000s)</v>
          </cell>
          <cell r="B21">
            <v>0</v>
          </cell>
          <cell r="D21">
            <v>0</v>
          </cell>
          <cell r="F21">
            <v>0</v>
          </cell>
          <cell r="H21">
            <v>0</v>
          </cell>
          <cell r="J21">
            <v>0</v>
          </cell>
          <cell r="L21">
            <v>0</v>
          </cell>
          <cell r="N21">
            <v>0</v>
          </cell>
          <cell r="P21">
            <v>0</v>
          </cell>
          <cell r="R21">
            <v>49842</v>
          </cell>
          <cell r="T21">
            <v>104825.00000000001</v>
          </cell>
          <cell r="V21">
            <v>137790.00000000015</v>
          </cell>
        </row>
        <row r="23">
          <cell r="A23" t="str">
            <v>Worldwide Product Sales ($000s)</v>
          </cell>
          <cell r="B23">
            <v>0</v>
          </cell>
          <cell r="D23">
            <v>0</v>
          </cell>
          <cell r="F23">
            <v>0</v>
          </cell>
          <cell r="H23">
            <v>0</v>
          </cell>
          <cell r="J23">
            <v>0</v>
          </cell>
          <cell r="L23">
            <v>0</v>
          </cell>
          <cell r="N23">
            <v>0</v>
          </cell>
          <cell r="P23">
            <v>157372.00000000003</v>
          </cell>
          <cell r="R23">
            <v>350824.99999999994</v>
          </cell>
          <cell r="T23">
            <v>505653.99999999988</v>
          </cell>
          <cell r="V23">
            <v>594502.0000000007</v>
          </cell>
        </row>
        <row r="27">
          <cell r="A27" t="str">
            <v>US Profit Share Calculations</v>
          </cell>
        </row>
        <row r="28">
          <cell r="A28" t="str">
            <v>COGS (15%)</v>
          </cell>
          <cell r="B28">
            <v>0</v>
          </cell>
          <cell r="D28">
            <v>0</v>
          </cell>
          <cell r="F28">
            <v>0</v>
          </cell>
          <cell r="H28">
            <v>0</v>
          </cell>
          <cell r="J28">
            <v>0</v>
          </cell>
          <cell r="L28">
            <v>0</v>
          </cell>
          <cell r="N28">
            <v>0</v>
          </cell>
          <cell r="P28">
            <v>23605.800000000003</v>
          </cell>
          <cell r="R28">
            <v>45147.44999999999</v>
          </cell>
          <cell r="T28">
            <v>60124.349999999977</v>
          </cell>
          <cell r="V28">
            <v>68506.80000000009</v>
          </cell>
        </row>
        <row r="29">
          <cell r="A29" t="str">
            <v>% of Sales</v>
          </cell>
          <cell r="B29">
            <v>0</v>
          </cell>
          <cell r="D29">
            <v>0</v>
          </cell>
          <cell r="F29">
            <v>0</v>
          </cell>
          <cell r="H29">
            <v>0</v>
          </cell>
          <cell r="J29">
            <v>0</v>
          </cell>
          <cell r="L29">
            <v>0</v>
          </cell>
          <cell r="N29">
            <v>0</v>
          </cell>
          <cell r="P29">
            <v>0.15</v>
          </cell>
          <cell r="R29">
            <v>0.15</v>
          </cell>
          <cell r="T29">
            <v>0.15</v>
          </cell>
          <cell r="V29">
            <v>0.15</v>
          </cell>
        </row>
        <row r="30">
          <cell r="A30" t="str">
            <v>R&amp;D</v>
          </cell>
          <cell r="B30">
            <v>0</v>
          </cell>
          <cell r="D30">
            <v>0</v>
          </cell>
          <cell r="F30">
            <v>0</v>
          </cell>
          <cell r="H30">
            <v>0</v>
          </cell>
          <cell r="J30">
            <v>0</v>
          </cell>
          <cell r="L30">
            <v>0</v>
          </cell>
          <cell r="N30">
            <v>6000</v>
          </cell>
          <cell r="P30">
            <v>40000</v>
          </cell>
          <cell r="R30">
            <v>40000</v>
          </cell>
          <cell r="T30">
            <v>30000</v>
          </cell>
          <cell r="V30">
            <v>20000</v>
          </cell>
        </row>
        <row r="31">
          <cell r="A31" t="str">
            <v>SG&amp;A</v>
          </cell>
          <cell r="B31">
            <v>0</v>
          </cell>
          <cell r="D31">
            <v>0</v>
          </cell>
          <cell r="F31">
            <v>0</v>
          </cell>
          <cell r="H31">
            <v>0</v>
          </cell>
          <cell r="J31">
            <v>0</v>
          </cell>
          <cell r="L31">
            <v>0</v>
          </cell>
          <cell r="N31">
            <v>20000</v>
          </cell>
          <cell r="P31">
            <v>51474.400000000009</v>
          </cell>
          <cell r="R31">
            <v>65147.44999999999</v>
          </cell>
          <cell r="T31">
            <v>68099.479999999981</v>
          </cell>
          <cell r="V31">
            <v>70238.320000000065</v>
          </cell>
        </row>
        <row r="32">
          <cell r="A32" t="str">
            <v>% of Sales</v>
          </cell>
          <cell r="B32">
            <v>0</v>
          </cell>
          <cell r="D32">
            <v>0</v>
          </cell>
          <cell r="F32">
            <v>0</v>
          </cell>
          <cell r="H32">
            <v>0</v>
          </cell>
          <cell r="J32">
            <v>0</v>
          </cell>
          <cell r="L32">
            <v>0</v>
          </cell>
          <cell r="N32">
            <v>0</v>
          </cell>
          <cell r="P32">
            <v>0.2</v>
          </cell>
          <cell r="R32">
            <v>0.15</v>
          </cell>
          <cell r="T32">
            <v>0.12</v>
          </cell>
          <cell r="V32">
            <v>0.11</v>
          </cell>
        </row>
        <row r="33">
          <cell r="A33" t="str">
            <v>Operating Expenses</v>
          </cell>
          <cell r="B33">
            <v>0</v>
          </cell>
          <cell r="D33">
            <v>0</v>
          </cell>
          <cell r="F33">
            <v>0</v>
          </cell>
          <cell r="H33">
            <v>0</v>
          </cell>
          <cell r="J33">
            <v>0</v>
          </cell>
          <cell r="L33">
            <v>0</v>
          </cell>
          <cell r="N33">
            <v>26000</v>
          </cell>
          <cell r="P33">
            <v>115080.20000000001</v>
          </cell>
          <cell r="R33">
            <v>150294.89999999997</v>
          </cell>
          <cell r="T33">
            <v>158223.82999999996</v>
          </cell>
          <cell r="V33">
            <v>158745.12000000017</v>
          </cell>
        </row>
        <row r="34">
          <cell r="A34" t="str">
            <v>Operating Profits</v>
          </cell>
          <cell r="B34">
            <v>0</v>
          </cell>
          <cell r="D34">
            <v>0</v>
          </cell>
          <cell r="F34">
            <v>0</v>
          </cell>
          <cell r="H34">
            <v>0</v>
          </cell>
          <cell r="J34">
            <v>0</v>
          </cell>
          <cell r="L34">
            <v>0</v>
          </cell>
          <cell r="N34">
            <v>-26000</v>
          </cell>
          <cell r="P34">
            <v>42291.800000000017</v>
          </cell>
          <cell r="R34">
            <v>150688.09999999998</v>
          </cell>
          <cell r="T34">
            <v>242605.16999999993</v>
          </cell>
          <cell r="V34">
            <v>297966.88000000041</v>
          </cell>
        </row>
        <row r="35">
          <cell r="A35" t="str">
            <v>Operating Margin</v>
          </cell>
          <cell r="B35" t="str">
            <v>NM</v>
          </cell>
          <cell r="D35" t="str">
            <v>NM</v>
          </cell>
          <cell r="F35" t="str">
            <v>NM</v>
          </cell>
          <cell r="H35" t="str">
            <v>NM</v>
          </cell>
          <cell r="J35" t="str">
            <v>NM</v>
          </cell>
          <cell r="L35" t="str">
            <v>NM</v>
          </cell>
          <cell r="N35" t="str">
            <v>NM</v>
          </cell>
          <cell r="P35">
            <v>0.26873776783671816</v>
          </cell>
          <cell r="R35">
            <v>0.50065319303748057</v>
          </cell>
          <cell r="T35">
            <v>0.60525852670340718</v>
          </cell>
          <cell r="V35">
            <v>0.65241745344987656</v>
          </cell>
        </row>
        <row r="36">
          <cell r="A36" t="str">
            <v>ALNY Share</v>
          </cell>
          <cell r="B36">
            <v>0</v>
          </cell>
          <cell r="D36">
            <v>0</v>
          </cell>
          <cell r="F36">
            <v>0</v>
          </cell>
          <cell r="H36">
            <v>0</v>
          </cell>
          <cell r="J36">
            <v>0</v>
          </cell>
          <cell r="L36">
            <v>0</v>
          </cell>
          <cell r="N36">
            <v>0.5</v>
          </cell>
          <cell r="P36">
            <v>0.5</v>
          </cell>
          <cell r="R36">
            <v>0.5</v>
          </cell>
          <cell r="T36">
            <v>0.5</v>
          </cell>
          <cell r="V36">
            <v>0.5</v>
          </cell>
        </row>
        <row r="38">
          <cell r="A38" t="str">
            <v>Alnylam Books (US Profit Share)</v>
          </cell>
        </row>
        <row r="39">
          <cell r="A39" t="str">
            <v>R&amp;D</v>
          </cell>
          <cell r="B39">
            <v>0</v>
          </cell>
          <cell r="D39">
            <v>0</v>
          </cell>
          <cell r="F39">
            <v>0</v>
          </cell>
          <cell r="H39">
            <v>0</v>
          </cell>
          <cell r="J39">
            <v>0</v>
          </cell>
          <cell r="L39">
            <v>0</v>
          </cell>
          <cell r="N39">
            <v>3000</v>
          </cell>
          <cell r="P39">
            <v>20000</v>
          </cell>
          <cell r="R39">
            <v>20000</v>
          </cell>
          <cell r="T39">
            <v>15000</v>
          </cell>
          <cell r="V39">
            <v>10000</v>
          </cell>
        </row>
        <row r="40">
          <cell r="A40" t="str">
            <v>SG&amp;A</v>
          </cell>
          <cell r="B40">
            <v>0</v>
          </cell>
          <cell r="D40">
            <v>0</v>
          </cell>
          <cell r="F40">
            <v>0</v>
          </cell>
          <cell r="H40">
            <v>0</v>
          </cell>
          <cell r="J40">
            <v>0</v>
          </cell>
          <cell r="L40">
            <v>0</v>
          </cell>
          <cell r="N40">
            <v>10000</v>
          </cell>
          <cell r="P40">
            <v>25737.200000000004</v>
          </cell>
          <cell r="R40">
            <v>32573.724999999995</v>
          </cell>
          <cell r="T40">
            <v>34049.739999999991</v>
          </cell>
          <cell r="V40">
            <v>35119.160000000033</v>
          </cell>
        </row>
        <row r="41">
          <cell r="A41" t="str">
            <v>COGS</v>
          </cell>
          <cell r="B41">
            <v>0</v>
          </cell>
          <cell r="D41">
            <v>0</v>
          </cell>
          <cell r="F41">
            <v>0</v>
          </cell>
          <cell r="H41">
            <v>0</v>
          </cell>
          <cell r="J41">
            <v>0</v>
          </cell>
          <cell r="L41">
            <v>0</v>
          </cell>
          <cell r="N41">
            <v>0</v>
          </cell>
          <cell r="P41">
            <v>23605.800000000003</v>
          </cell>
          <cell r="R41">
            <v>45147.44999999999</v>
          </cell>
          <cell r="T41">
            <v>60124.349999999977</v>
          </cell>
          <cell r="V41">
            <v>68506.80000000009</v>
          </cell>
        </row>
        <row r="42">
          <cell r="A42" t="str">
            <v>Payment from Profit Share</v>
          </cell>
          <cell r="B42">
            <v>0</v>
          </cell>
          <cell r="D42">
            <v>0</v>
          </cell>
          <cell r="F42">
            <v>0</v>
          </cell>
          <cell r="H42">
            <v>0</v>
          </cell>
          <cell r="J42">
            <v>0</v>
          </cell>
          <cell r="L42">
            <v>0</v>
          </cell>
          <cell r="N42">
            <v>0</v>
          </cell>
          <cell r="P42">
            <v>90488.900000000009</v>
          </cell>
          <cell r="R42">
            <v>173065.22499999998</v>
          </cell>
          <cell r="T42">
            <v>230476.67499999993</v>
          </cell>
          <cell r="V42">
            <v>262609.40000000031</v>
          </cell>
        </row>
        <row r="44">
          <cell r="A44" t="str">
            <v>EU Royalty Calculation</v>
          </cell>
        </row>
        <row r="45">
          <cell r="A45" t="str">
            <v>EU Sales</v>
          </cell>
          <cell r="B45">
            <v>0</v>
          </cell>
          <cell r="D45">
            <v>0</v>
          </cell>
          <cell r="F45">
            <v>0</v>
          </cell>
          <cell r="H45">
            <v>0</v>
          </cell>
          <cell r="J45">
            <v>0</v>
          </cell>
          <cell r="L45">
            <v>0</v>
          </cell>
          <cell r="N45">
            <v>0</v>
          </cell>
          <cell r="P45">
            <v>0</v>
          </cell>
          <cell r="R45">
            <v>49842</v>
          </cell>
          <cell r="T45">
            <v>104825.00000000001</v>
          </cell>
          <cell r="V45">
            <v>137790.00000000015</v>
          </cell>
        </row>
        <row r="46">
          <cell r="A46" t="str">
            <v>Royalty Rate</v>
          </cell>
          <cell r="B46">
            <v>0</v>
          </cell>
          <cell r="D46">
            <v>0</v>
          </cell>
          <cell r="F46">
            <v>0</v>
          </cell>
          <cell r="H46">
            <v>0</v>
          </cell>
          <cell r="J46">
            <v>0</v>
          </cell>
          <cell r="L46">
            <v>0</v>
          </cell>
          <cell r="N46">
            <v>0</v>
          </cell>
          <cell r="P46">
            <v>0</v>
          </cell>
          <cell r="R46">
            <v>0.15</v>
          </cell>
          <cell r="T46">
            <v>0.15</v>
          </cell>
          <cell r="V46">
            <v>0.15</v>
          </cell>
        </row>
        <row r="47">
          <cell r="A47" t="str">
            <v>EU Royalty Payment</v>
          </cell>
          <cell r="B47">
            <v>0</v>
          </cell>
          <cell r="D47">
            <v>0</v>
          </cell>
          <cell r="F47">
            <v>0</v>
          </cell>
          <cell r="H47">
            <v>0</v>
          </cell>
          <cell r="J47">
            <v>0</v>
          </cell>
          <cell r="L47">
            <v>0</v>
          </cell>
          <cell r="N47">
            <v>0</v>
          </cell>
          <cell r="P47">
            <v>0</v>
          </cell>
          <cell r="R47">
            <v>7476.2999999999993</v>
          </cell>
          <cell r="T47">
            <v>15723.750000000002</v>
          </cell>
          <cell r="V47">
            <v>20668.500000000022</v>
          </cell>
        </row>
        <row r="49">
          <cell r="A49" t="str">
            <v>Check</v>
          </cell>
        </row>
        <row r="50">
          <cell r="A50" t="str">
            <v>Alnylam Share</v>
          </cell>
          <cell r="B50">
            <v>0</v>
          </cell>
          <cell r="D50">
            <v>0</v>
          </cell>
          <cell r="F50">
            <v>0</v>
          </cell>
          <cell r="H50">
            <v>0</v>
          </cell>
          <cell r="J50">
            <v>0</v>
          </cell>
          <cell r="L50">
            <v>0</v>
          </cell>
          <cell r="N50">
            <v>-13000</v>
          </cell>
          <cell r="P50">
            <v>21145.9</v>
          </cell>
          <cell r="R50">
            <v>75344.049999999988</v>
          </cell>
          <cell r="T50">
            <v>121302.58499999996</v>
          </cell>
          <cell r="V50">
            <v>148983.44000000018</v>
          </cell>
        </row>
        <row r="51">
          <cell r="A51" t="str">
            <v>Partner Share</v>
          </cell>
          <cell r="B51">
            <v>0</v>
          </cell>
          <cell r="D51">
            <v>0</v>
          </cell>
          <cell r="F51">
            <v>0</v>
          </cell>
          <cell r="H51">
            <v>0</v>
          </cell>
          <cell r="J51">
            <v>0</v>
          </cell>
          <cell r="L51">
            <v>0</v>
          </cell>
          <cell r="N51">
            <v>-13000</v>
          </cell>
          <cell r="P51">
            <v>21145.900000000009</v>
          </cell>
          <cell r="R51">
            <v>75344.049999999988</v>
          </cell>
          <cell r="T51">
            <v>121302.58499999996</v>
          </cell>
          <cell r="V51">
            <v>148983.44000000021</v>
          </cell>
        </row>
      </sheetData>
      <sheetData sheetId="8"/>
      <sheetData sheetId="9"/>
      <sheetData sheetId="10"/>
      <sheetData sheetId="11"/>
      <sheetData sheetId="12"/>
      <sheetData sheetId="13"/>
      <sheetData sheetId="14">
        <row r="2">
          <cell r="B2" t="str">
            <v>($ thousands)</v>
          </cell>
          <cell r="L2" t="str">
            <v>PAH</v>
          </cell>
        </row>
        <row r="3">
          <cell r="C3">
            <v>2009</v>
          </cell>
          <cell r="E3">
            <v>2010</v>
          </cell>
          <cell r="G3">
            <v>2011</v>
          </cell>
          <cell r="I3">
            <v>2012</v>
          </cell>
          <cell r="M3">
            <v>2009</v>
          </cell>
          <cell r="O3">
            <v>2010</v>
          </cell>
          <cell r="Q3">
            <v>2011</v>
          </cell>
          <cell r="S3">
            <v>2012</v>
          </cell>
        </row>
        <row r="4">
          <cell r="B4" t="str">
            <v>Sales</v>
          </cell>
        </row>
        <row r="5">
          <cell r="B5" t="str">
            <v>US</v>
          </cell>
          <cell r="C5">
            <v>0</v>
          </cell>
          <cell r="E5">
            <v>0</v>
          </cell>
          <cell r="G5">
            <v>0</v>
          </cell>
          <cell r="I5">
            <v>157372.00000000003</v>
          </cell>
        </row>
        <row r="6">
          <cell r="B6" t="str">
            <v>EU</v>
          </cell>
          <cell r="C6">
            <v>0</v>
          </cell>
          <cell r="E6">
            <v>0</v>
          </cell>
          <cell r="G6">
            <v>0</v>
          </cell>
          <cell r="I6">
            <v>0</v>
          </cell>
        </row>
        <row r="7">
          <cell r="B7" t="str">
            <v>RoW</v>
          </cell>
          <cell r="C7">
            <v>78486.363636363632</v>
          </cell>
          <cell r="E7">
            <v>68160.984848484848</v>
          </cell>
          <cell r="G7">
            <v>58000</v>
          </cell>
          <cell r="I7">
            <v>35166.666666666672</v>
          </cell>
        </row>
        <row r="8">
          <cell r="B8" t="str">
            <v>Total</v>
          </cell>
          <cell r="C8">
            <v>78486.363636363632</v>
          </cell>
          <cell r="E8">
            <v>68160.984848484848</v>
          </cell>
          <cell r="G8">
            <v>58000</v>
          </cell>
          <cell r="I8">
            <v>192538.66666666669</v>
          </cell>
        </row>
        <row r="9">
          <cell r="L9" t="str">
            <v>PHN Market</v>
          </cell>
        </row>
        <row r="10">
          <cell r="B10" t="str">
            <v>Total</v>
          </cell>
          <cell r="C10" t="e">
            <v>#REF!</v>
          </cell>
          <cell r="E10" t="e">
            <v>#REF!</v>
          </cell>
          <cell r="G10" t="e">
            <v>#REF!</v>
          </cell>
          <cell r="I10" t="e">
            <v>#REF!</v>
          </cell>
          <cell r="M10">
            <v>2009</v>
          </cell>
          <cell r="O10">
            <v>2010</v>
          </cell>
          <cell r="Q10">
            <v>2011</v>
          </cell>
          <cell r="S10">
            <v>2012</v>
          </cell>
        </row>
        <row r="12">
          <cell r="B12" t="str">
            <v>Operating Expenses</v>
          </cell>
        </row>
        <row r="13">
          <cell r="C13">
            <v>2009</v>
          </cell>
          <cell r="E13">
            <v>2010</v>
          </cell>
          <cell r="G13">
            <v>2011</v>
          </cell>
          <cell r="I13">
            <v>2012</v>
          </cell>
        </row>
        <row r="14">
          <cell r="B14" t="str">
            <v>R&amp;D</v>
          </cell>
          <cell r="C14">
            <v>131315.15151515152</v>
          </cell>
          <cell r="E14">
            <v>151133.11688311689</v>
          </cell>
          <cell r="G14">
            <v>168000</v>
          </cell>
          <cell r="I14">
            <v>181472.5092896175</v>
          </cell>
        </row>
        <row r="15">
          <cell r="B15" t="str">
            <v>SG&amp;A</v>
          </cell>
          <cell r="C15">
            <v>26263.030303030304</v>
          </cell>
          <cell r="E15">
            <v>28967.180735930739</v>
          </cell>
          <cell r="G15">
            <v>32400.000000000004</v>
          </cell>
          <cell r="I15">
            <v>37249.620327868855</v>
          </cell>
        </row>
        <row r="16">
          <cell r="B16" t="str">
            <v>Total</v>
          </cell>
          <cell r="C16">
            <v>157578.18181818182</v>
          </cell>
          <cell r="E16">
            <v>180100.29761904763</v>
          </cell>
          <cell r="G16">
            <v>200400</v>
          </cell>
          <cell r="I16">
            <v>242327.92961748637</v>
          </cell>
        </row>
        <row r="18">
          <cell r="B18" t="str">
            <v>Diluted Earnings</v>
          </cell>
        </row>
        <row r="19">
          <cell r="C19">
            <v>2009</v>
          </cell>
          <cell r="E19">
            <v>2010</v>
          </cell>
          <cell r="G19">
            <v>2011</v>
          </cell>
          <cell r="I19">
            <v>2012</v>
          </cell>
        </row>
        <row r="20">
          <cell r="B20" t="str">
            <v>EPS</v>
          </cell>
          <cell r="C20" t="e">
            <v>#REF!</v>
          </cell>
          <cell r="E20" t="e">
            <v>#REF!</v>
          </cell>
          <cell r="G20" t="e">
            <v>#REF!</v>
          </cell>
          <cell r="I20" t="e">
            <v>#REF!</v>
          </cell>
        </row>
        <row r="25">
          <cell r="G25" t="str">
            <v>2006A</v>
          </cell>
          <cell r="I25" t="str">
            <v>2007E</v>
          </cell>
          <cell r="J25" t="str">
            <v>2008E</v>
          </cell>
          <cell r="L25" t="str">
            <v>2009E</v>
          </cell>
        </row>
        <row r="26">
          <cell r="B26" t="str">
            <v>Collaborative Revenues</v>
          </cell>
          <cell r="G26">
            <v>26930</v>
          </cell>
          <cell r="I26">
            <v>50897</v>
          </cell>
          <cell r="J26">
            <v>129486</v>
          </cell>
          <cell r="L26">
            <v>131315.15151515152</v>
          </cell>
        </row>
        <row r="27">
          <cell r="B27" t="str">
            <v>Pandemic Flu</v>
          </cell>
          <cell r="G27">
            <v>0</v>
          </cell>
          <cell r="I27">
            <v>0</v>
          </cell>
          <cell r="J27">
            <v>0</v>
          </cell>
          <cell r="L27">
            <v>0</v>
          </cell>
        </row>
        <row r="28">
          <cell r="B28" t="str">
            <v>Total RSV Sales</v>
          </cell>
          <cell r="G28">
            <v>0</v>
          </cell>
          <cell r="I28">
            <v>0</v>
          </cell>
          <cell r="J28">
            <v>0</v>
          </cell>
          <cell r="L28">
            <v>0</v>
          </cell>
        </row>
        <row r="29">
          <cell r="B29" t="str">
            <v>Total Revenues</v>
          </cell>
          <cell r="G29">
            <v>26930</v>
          </cell>
          <cell r="I29">
            <v>50897</v>
          </cell>
          <cell r="J29">
            <v>129486</v>
          </cell>
          <cell r="L29">
            <v>131315.15151515152</v>
          </cell>
        </row>
        <row r="30">
          <cell r="B30" t="str">
            <v>EPS</v>
          </cell>
          <cell r="G30">
            <v>-1.0852304797742238</v>
          </cell>
          <cell r="I30">
            <v>-2.2108803062834674</v>
          </cell>
          <cell r="J30">
            <v>-8.5508485590691866E-2</v>
          </cell>
          <cell r="L30">
            <v>-0.67336792644547439</v>
          </cell>
        </row>
        <row r="31">
          <cell r="B31" t="str">
            <v>Consensus</v>
          </cell>
          <cell r="G31">
            <v>-1.0900000000000001</v>
          </cell>
          <cell r="I31">
            <v>-1.23</v>
          </cell>
          <cell r="J31">
            <v>-1.17</v>
          </cell>
          <cell r="L31">
            <v>-1.1200000000000001</v>
          </cell>
        </row>
      </sheetData>
      <sheetData sheetId="15"/>
      <sheetData sheetId="16"/>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ImportantDisclosures"/>
      <sheetName val="IndexInformation"/>
      <sheetName val="Income"/>
      <sheetName val="Scenario"/>
      <sheetName val="Sheet1"/>
      <sheetName val="GWP"/>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SSB Nielsen Sales"/>
      <sheetName val="Comps"/>
      <sheetName val="Switches"/>
      <sheetName val="rev change analysis"/>
      <sheetName val="summary"/>
      <sheetName val="EBITDA"/>
      <sheetName val="GWP-WLine"/>
      <sheetName val="TS_Stnd_Dev_Band"/>
      <sheetName val="Print "/>
      <sheetName val="Lookup"/>
      <sheetName val="Input"/>
      <sheetName val="99 cons YTD"/>
      <sheetName val="KPN"/>
      <sheetName val="Realizations vs Average"/>
      <sheetName val="B"/>
      <sheetName val="Ratios"/>
      <sheetName val="C"/>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
      <sheetName val="BS"/>
      <sheetName val="CF"/>
      <sheetName val="Exhibit pipe1"/>
      <sheetName val="Exhibit pipe2"/>
      <sheetName val="Exhibit pipe3"/>
      <sheetName val="DCF"/>
      <sheetName val="ESO"/>
      <sheetName val="old pipe, dont use"/>
      <sheetName val="__FDSCACHE__"/>
      <sheetName val="valuation"/>
      <sheetName val="OLD dont use"/>
      <sheetName val="EQRP"/>
      <sheetName val="Valuation Model"/>
      <sheetName val="pipeline_simulation"/>
      <sheetName val="Val_drug"/>
      <sheetName val="Val_royalty"/>
    </sheetNames>
    <sheetDataSet>
      <sheetData sheetId="0" refreshError="1">
        <row r="8">
          <cell r="AE8">
            <v>0</v>
          </cell>
          <cell r="AF8">
            <v>0</v>
          </cell>
          <cell r="AG8">
            <v>0</v>
          </cell>
          <cell r="AH8">
            <v>0</v>
          </cell>
        </row>
        <row r="9">
          <cell r="U9">
            <v>29.562000000000001</v>
          </cell>
          <cell r="AB9">
            <v>24.523999999999997</v>
          </cell>
          <cell r="AI9">
            <v>22.1</v>
          </cell>
          <cell r="AP9">
            <v>12.818</v>
          </cell>
          <cell r="AQ9">
            <v>-0.42000000000000004</v>
          </cell>
          <cell r="AW9">
            <v>3.56</v>
          </cell>
          <cell r="AX9">
            <v>-0.72226556405055398</v>
          </cell>
        </row>
        <row r="10">
          <cell r="Q10">
            <v>0</v>
          </cell>
          <cell r="R10">
            <v>0</v>
          </cell>
          <cell r="T10">
            <v>0</v>
          </cell>
          <cell r="AB10">
            <v>0</v>
          </cell>
          <cell r="AE10">
            <v>0</v>
          </cell>
          <cell r="AF10">
            <v>0</v>
          </cell>
          <cell r="AG10">
            <v>0</v>
          </cell>
          <cell r="AH10">
            <v>0</v>
          </cell>
          <cell r="AI10">
            <v>0</v>
          </cell>
          <cell r="AP10">
            <v>2.5680000000000001</v>
          </cell>
          <cell r="AW10">
            <v>2.56</v>
          </cell>
        </row>
        <row r="11">
          <cell r="Q11">
            <v>0</v>
          </cell>
          <cell r="R11">
            <v>0</v>
          </cell>
          <cell r="AB11">
            <v>0</v>
          </cell>
          <cell r="AE11">
            <v>0</v>
          </cell>
          <cell r="AF11">
            <v>0</v>
          </cell>
          <cell r="AG11">
            <v>0</v>
          </cell>
          <cell r="AH11">
            <v>0</v>
          </cell>
          <cell r="AI11">
            <v>0</v>
          </cell>
          <cell r="AP11">
            <v>0</v>
          </cell>
          <cell r="AW11">
            <v>1</v>
          </cell>
        </row>
        <row r="12">
          <cell r="AB12">
            <v>0</v>
          </cell>
          <cell r="AE12">
            <v>4.6580000000000004</v>
          </cell>
          <cell r="AF12">
            <v>-7.4</v>
          </cell>
          <cell r="AG12">
            <v>-1.9</v>
          </cell>
          <cell r="AH12">
            <v>4.6580000000000004</v>
          </cell>
          <cell r="AI12">
            <v>1.6000000000000902E-2</v>
          </cell>
          <cell r="AP12">
            <v>8.25</v>
          </cell>
          <cell r="AW12">
            <v>0</v>
          </cell>
        </row>
        <row r="13">
          <cell r="I13">
            <v>36.46</v>
          </cell>
          <cell r="J13">
            <v>6.2919999999999998</v>
          </cell>
          <cell r="K13">
            <v>1.272</v>
          </cell>
          <cell r="L13">
            <v>14.827999999999999</v>
          </cell>
          <cell r="M13">
            <v>6.5389999999999997</v>
          </cell>
          <cell r="N13">
            <v>2.9660000000000002</v>
          </cell>
          <cell r="O13">
            <v>25.604999999999997</v>
          </cell>
          <cell r="P13">
            <v>-0.29772353263850804</v>
          </cell>
          <cell r="Q13">
            <v>1.9910000000000001</v>
          </cell>
          <cell r="R13">
            <v>13.9</v>
          </cell>
          <cell r="S13">
            <v>11.279</v>
          </cell>
          <cell r="T13">
            <v>2.3919999999999999</v>
          </cell>
          <cell r="U13">
            <v>29.562000000000001</v>
          </cell>
          <cell r="V13">
            <v>0.15454012888107815</v>
          </cell>
          <cell r="X13">
            <v>1.4219999999999999</v>
          </cell>
          <cell r="Y13">
            <v>14.798</v>
          </cell>
          <cell r="Z13">
            <v>7.4420000000000002</v>
          </cell>
          <cell r="AA13">
            <v>0.86199999999999999</v>
          </cell>
          <cell r="AB13">
            <v>24.523999999999997</v>
          </cell>
          <cell r="AE13">
            <v>0.64200000000000002</v>
          </cell>
          <cell r="AF13">
            <v>12.7</v>
          </cell>
          <cell r="AG13">
            <v>8.1</v>
          </cell>
          <cell r="AH13">
            <v>0.64200000000000002</v>
          </cell>
          <cell r="AI13">
            <v>22.084</v>
          </cell>
          <cell r="AP13">
            <v>2</v>
          </cell>
        </row>
        <row r="14">
          <cell r="I14">
            <v>36.46</v>
          </cell>
          <cell r="J14" t="e">
            <v>#REF!</v>
          </cell>
          <cell r="K14" t="e">
            <v>#REF!</v>
          </cell>
          <cell r="L14" t="e">
            <v>#REF!</v>
          </cell>
          <cell r="M14" t="e">
            <v>#REF!</v>
          </cell>
          <cell r="N14" t="e">
            <v>#REF!</v>
          </cell>
          <cell r="O14">
            <v>25.604999999999997</v>
          </cell>
          <cell r="P14">
            <v>-0.29772353263850804</v>
          </cell>
          <cell r="Q14">
            <v>1.9910000000000001</v>
          </cell>
          <cell r="R14" t="e">
            <v>#REF!</v>
          </cell>
          <cell r="S14">
            <v>11.279</v>
          </cell>
          <cell r="T14">
            <v>2.3919999999999999</v>
          </cell>
          <cell r="U14">
            <v>29.562000000000001</v>
          </cell>
          <cell r="V14">
            <v>0.15454012888107815</v>
          </cell>
          <cell r="X14">
            <v>1.4219999999999999</v>
          </cell>
          <cell r="Y14">
            <v>14.798</v>
          </cell>
          <cell r="Z14">
            <v>7.4420000000000002</v>
          </cell>
          <cell r="AA14">
            <v>0.86199999999999999</v>
          </cell>
          <cell r="AB14">
            <v>24.523999999999997</v>
          </cell>
          <cell r="AE14">
            <v>5.3000000000000007</v>
          </cell>
          <cell r="AF14">
            <v>5.2999999999999989</v>
          </cell>
          <cell r="AG14">
            <v>6.1999999999999993</v>
          </cell>
          <cell r="AH14">
            <v>5.3000000000000007</v>
          </cell>
          <cell r="AI14">
            <v>22.1</v>
          </cell>
          <cell r="AP14">
            <v>12.818</v>
          </cell>
          <cell r="AQ14">
            <v>-0.42000000000000004</v>
          </cell>
          <cell r="AW14">
            <v>3.56</v>
          </cell>
          <cell r="AX14">
            <v>-0.72226556405055398</v>
          </cell>
        </row>
        <row r="18">
          <cell r="AI18">
            <v>80.355000000000004</v>
          </cell>
          <cell r="AP18">
            <v>118.47600000000001</v>
          </cell>
          <cell r="AQ18">
            <v>0.47440731752846754</v>
          </cell>
          <cell r="AW18">
            <v>164.42409647979142</v>
          </cell>
          <cell r="AX18">
            <v>0.3878261966963048</v>
          </cell>
        </row>
        <row r="19">
          <cell r="AI19">
            <v>11.1</v>
          </cell>
          <cell r="AP19">
            <v>27.8</v>
          </cell>
          <cell r="AQ19">
            <v>1.5045045045045047</v>
          </cell>
          <cell r="AW19">
            <v>31.971903520208599</v>
          </cell>
          <cell r="AX19">
            <v>0.15006847194994966</v>
          </cell>
        </row>
        <row r="20">
          <cell r="I20">
            <v>40.472000000000001</v>
          </cell>
          <cell r="J20">
            <v>0.22720519118226767</v>
          </cell>
          <cell r="K20">
            <v>12.372</v>
          </cell>
          <cell r="L20">
            <v>11.697999999999999</v>
          </cell>
          <cell r="M20">
            <v>10.654</v>
          </cell>
          <cell r="N20">
            <v>11.416</v>
          </cell>
          <cell r="O20">
            <v>46.14</v>
          </cell>
          <cell r="P20">
            <v>0.14004744020557425</v>
          </cell>
          <cell r="Q20">
            <v>10.855</v>
          </cell>
          <cell r="R20">
            <v>11.5</v>
          </cell>
          <cell r="S20">
            <v>12.332000000000001</v>
          </cell>
          <cell r="T20">
            <v>12.317</v>
          </cell>
          <cell r="U20">
            <v>47.003999999999998</v>
          </cell>
          <cell r="V20">
            <v>1.8725617685305451E-2</v>
          </cell>
          <cell r="X20">
            <v>13.374000000000001</v>
          </cell>
          <cell r="Y20">
            <v>14.896000000000001</v>
          </cell>
          <cell r="Z20">
            <v>15.308</v>
          </cell>
          <cell r="AA20">
            <v>17</v>
          </cell>
          <cell r="AB20">
            <v>60.578000000000003</v>
          </cell>
          <cell r="AE20">
            <v>19.513999999999999</v>
          </cell>
          <cell r="AF20">
            <v>21.722999999999999</v>
          </cell>
          <cell r="AG20">
            <v>23.471</v>
          </cell>
          <cell r="AH20">
            <v>26.747</v>
          </cell>
          <cell r="AI20">
            <v>91.454999999999998</v>
          </cell>
          <cell r="AP20">
            <v>146.27600000000001</v>
          </cell>
          <cell r="AQ20">
            <v>0.5994314143567876</v>
          </cell>
          <cell r="AW20">
            <v>196.39600000000002</v>
          </cell>
          <cell r="AX20">
            <v>0.34263994093357764</v>
          </cell>
        </row>
        <row r="21">
          <cell r="AG21">
            <v>134.05000000000001</v>
          </cell>
          <cell r="AI21">
            <v>134.05000000000001</v>
          </cell>
        </row>
        <row r="22">
          <cell r="I22">
            <v>9.6389999999999993</v>
          </cell>
          <cell r="J22">
            <v>0.10222984562607196</v>
          </cell>
          <cell r="K22">
            <v>2.3889999999999998</v>
          </cell>
          <cell r="L22">
            <v>2.8980000000000001</v>
          </cell>
          <cell r="M22">
            <v>2.6309999999999998</v>
          </cell>
          <cell r="N22">
            <v>3.1949999999999998</v>
          </cell>
          <cell r="O22">
            <v>11.113</v>
          </cell>
          <cell r="P22">
            <v>0.15292042743023138</v>
          </cell>
          <cell r="Q22">
            <v>3.6850000000000001</v>
          </cell>
          <cell r="R22">
            <v>3.4</v>
          </cell>
          <cell r="S22">
            <v>3.4809999999999999</v>
          </cell>
          <cell r="T22">
            <v>3.8340000000000001</v>
          </cell>
          <cell r="U22">
            <v>14.399999999999999</v>
          </cell>
          <cell r="V22">
            <v>0.29577971744803366</v>
          </cell>
          <cell r="X22">
            <v>2.786</v>
          </cell>
          <cell r="Y22">
            <v>4.181</v>
          </cell>
          <cell r="Z22">
            <v>3.8690000000000002</v>
          </cell>
          <cell r="AA22">
            <v>4</v>
          </cell>
          <cell r="AB22">
            <v>14.836</v>
          </cell>
          <cell r="AE22">
            <v>6.016</v>
          </cell>
          <cell r="AF22">
            <v>6.5039999999999996</v>
          </cell>
          <cell r="AG22">
            <v>6.274</v>
          </cell>
          <cell r="AH22">
            <v>8.2889999999999997</v>
          </cell>
          <cell r="AI22">
            <v>27.082999999999998</v>
          </cell>
          <cell r="AP22">
            <v>38.713999999999999</v>
          </cell>
          <cell r="AQ22">
            <v>0.42945759332422551</v>
          </cell>
          <cell r="AW22">
            <v>51.202999999999996</v>
          </cell>
          <cell r="AX22">
            <v>0.3225964767267655</v>
          </cell>
        </row>
        <row r="23">
          <cell r="I23">
            <v>50.111000000000004</v>
          </cell>
          <cell r="J23">
            <v>0.20101140830217634</v>
          </cell>
          <cell r="K23">
            <v>14.760999999999999</v>
          </cell>
          <cell r="L23">
            <v>14.595999999999998</v>
          </cell>
          <cell r="M23">
            <v>13.285</v>
          </cell>
          <cell r="N23">
            <v>14.611000000000001</v>
          </cell>
          <cell r="O23">
            <v>57.253</v>
          </cell>
          <cell r="P23">
            <v>0.14252359761329836</v>
          </cell>
          <cell r="Q23">
            <v>14.540000000000001</v>
          </cell>
          <cell r="R23">
            <v>14.9</v>
          </cell>
          <cell r="S23">
            <v>15.813000000000001</v>
          </cell>
          <cell r="T23">
            <v>16.151</v>
          </cell>
          <cell r="U23">
            <v>61.403999999999996</v>
          </cell>
          <cell r="V23">
            <v>7.2502750947548433E-2</v>
          </cell>
          <cell r="X23">
            <v>16.16</v>
          </cell>
          <cell r="Y23">
            <v>19.077000000000002</v>
          </cell>
          <cell r="Z23">
            <v>19.177</v>
          </cell>
          <cell r="AA23">
            <v>21</v>
          </cell>
          <cell r="AB23">
            <v>75.414000000000001</v>
          </cell>
          <cell r="AE23">
            <v>25.53</v>
          </cell>
          <cell r="AF23">
            <v>28.226999999999997</v>
          </cell>
          <cell r="AG23">
            <v>163.79500000000002</v>
          </cell>
          <cell r="AH23">
            <v>35.036000000000001</v>
          </cell>
          <cell r="AI23">
            <v>252.58800000000002</v>
          </cell>
          <cell r="AP23">
            <v>184.99</v>
          </cell>
          <cell r="AQ23">
            <v>-0.26762158138945635</v>
          </cell>
          <cell r="AW23">
            <v>247.59900000000002</v>
          </cell>
          <cell r="AX23">
            <v>0.33844532136872263</v>
          </cell>
        </row>
        <row r="24">
          <cell r="I24">
            <v>-13.651000000000003</v>
          </cell>
          <cell r="J24" t="e">
            <v>#REF!</v>
          </cell>
          <cell r="K24" t="e">
            <v>#REF!</v>
          </cell>
          <cell r="L24" t="e">
            <v>#REF!</v>
          </cell>
          <cell r="M24" t="e">
            <v>#REF!</v>
          </cell>
          <cell r="N24" t="e">
            <v>#REF!</v>
          </cell>
          <cell r="O24" t="e">
            <v>#REF!</v>
          </cell>
          <cell r="P24" t="e">
            <v>#REF!</v>
          </cell>
          <cell r="Q24">
            <v>-12.549000000000001</v>
          </cell>
          <cell r="R24" t="e">
            <v>#REF!</v>
          </cell>
          <cell r="S24">
            <v>-4.5340000000000007</v>
          </cell>
          <cell r="T24">
            <v>-13.759</v>
          </cell>
          <cell r="U24">
            <v>-31.841999999999995</v>
          </cell>
          <cell r="X24">
            <v>-14.738</v>
          </cell>
          <cell r="Y24">
            <v>-4.2790000000000017</v>
          </cell>
          <cell r="Z24">
            <v>-11.734999999999999</v>
          </cell>
          <cell r="AA24">
            <v>-20.138000000000002</v>
          </cell>
          <cell r="AB24">
            <v>-50.89</v>
          </cell>
          <cell r="AE24">
            <v>-20.23</v>
          </cell>
          <cell r="AF24">
            <v>-22.927</v>
          </cell>
          <cell r="AG24">
            <v>-157.59500000000003</v>
          </cell>
          <cell r="AH24">
            <v>-29.736000000000001</v>
          </cell>
          <cell r="AI24">
            <v>-230.48800000000003</v>
          </cell>
          <cell r="AP24">
            <v>-172.172</v>
          </cell>
          <cell r="AQ24">
            <v>-0.25301100274200838</v>
          </cell>
          <cell r="AW24">
            <v>-244.03900000000002</v>
          </cell>
          <cell r="AX24">
            <v>0.41741398136746977</v>
          </cell>
        </row>
        <row r="25">
          <cell r="I25">
            <v>6.0919999999999996</v>
          </cell>
          <cell r="J25">
            <v>0.52109862671660423</v>
          </cell>
          <cell r="K25">
            <v>1.448</v>
          </cell>
          <cell r="L25">
            <v>2.8860000000000001</v>
          </cell>
          <cell r="M25">
            <v>3.0070000000000001</v>
          </cell>
          <cell r="N25">
            <v>3.1579999999999999</v>
          </cell>
          <cell r="O25">
            <v>10.499999999999998</v>
          </cell>
          <cell r="P25">
            <v>0.72357189757058427</v>
          </cell>
          <cell r="Q25">
            <v>2.8159999999999998</v>
          </cell>
          <cell r="R25">
            <v>2.8</v>
          </cell>
          <cell r="S25">
            <v>2.609</v>
          </cell>
          <cell r="T25">
            <v>2.8380000000000001</v>
          </cell>
          <cell r="U25">
            <v>11.062999999999999</v>
          </cell>
          <cell r="V25">
            <v>5.3619047619047677E-2</v>
          </cell>
          <cell r="X25">
            <v>2.4849999999999999</v>
          </cell>
          <cell r="Y25">
            <v>2.2559999999999998</v>
          </cell>
          <cell r="Z25">
            <v>2.0219999999999998</v>
          </cell>
          <cell r="AA25">
            <v>2.2000000000000002</v>
          </cell>
          <cell r="AB25">
            <v>8.963000000000001</v>
          </cell>
          <cell r="AE25">
            <v>6.8079999999999998</v>
          </cell>
          <cell r="AF25">
            <v>6.8170000000000002</v>
          </cell>
          <cell r="AG25">
            <v>8.6189999999999998</v>
          </cell>
          <cell r="AH25">
            <v>17.899999999999999</v>
          </cell>
          <cell r="AI25">
            <v>40.143999999999998</v>
          </cell>
          <cell r="AP25">
            <v>105.828</v>
          </cell>
          <cell r="AQ25">
            <v>1.636209645277003</v>
          </cell>
          <cell r="AW25">
            <v>82.072508223111043</v>
          </cell>
          <cell r="AX25">
            <v>-0.22447265163178898</v>
          </cell>
        </row>
        <row r="26">
          <cell r="AP26">
            <v>-24.6</v>
          </cell>
          <cell r="AW26">
            <v>-23.763500000000001</v>
          </cell>
        </row>
        <row r="27">
          <cell r="U27">
            <v>-2.226</v>
          </cell>
          <cell r="AB27">
            <v>0</v>
          </cell>
          <cell r="AI27">
            <v>-44.957000000000001</v>
          </cell>
          <cell r="AP27">
            <v>-26.207999999999998</v>
          </cell>
        </row>
        <row r="28">
          <cell r="R28">
            <v>-0.4</v>
          </cell>
          <cell r="S28">
            <v>-0.20200000000000001</v>
          </cell>
          <cell r="T28">
            <v>-1.6240000000000001</v>
          </cell>
          <cell r="U28">
            <v>-2.226</v>
          </cell>
        </row>
        <row r="29">
          <cell r="AP29">
            <v>-22.314</v>
          </cell>
        </row>
        <row r="30">
          <cell r="AH30">
            <v>5.8609999999999998</v>
          </cell>
          <cell r="AI30">
            <v>5.8609999999999998</v>
          </cell>
        </row>
        <row r="31">
          <cell r="AE31">
            <v>-50.817999999999998</v>
          </cell>
          <cell r="AI31">
            <v>-50.817999999999998</v>
          </cell>
          <cell r="AP31">
            <v>-3.8940000000000001</v>
          </cell>
        </row>
        <row r="32">
          <cell r="I32">
            <v>-7.5590000000000037</v>
          </cell>
          <cell r="J32" t="e">
            <v>#REF!</v>
          </cell>
          <cell r="K32" t="e">
            <v>#REF!</v>
          </cell>
          <cell r="L32" t="e">
            <v>#REF!</v>
          </cell>
          <cell r="M32" t="e">
            <v>#REF!</v>
          </cell>
          <cell r="N32" t="e">
            <v>#REF!</v>
          </cell>
          <cell r="O32" t="e">
            <v>#REF!</v>
          </cell>
          <cell r="P32" t="e">
            <v>#REF!</v>
          </cell>
          <cell r="Q32">
            <v>-9.7330000000000005</v>
          </cell>
          <cell r="R32" t="e">
            <v>#REF!</v>
          </cell>
          <cell r="S32">
            <v>-2.1270000000000007</v>
          </cell>
          <cell r="T32">
            <v>-12.545</v>
          </cell>
          <cell r="U32">
            <v>-23.004999999999995</v>
          </cell>
          <cell r="X32">
            <v>-12.253</v>
          </cell>
          <cell r="Y32">
            <v>-2.0230000000000019</v>
          </cell>
          <cell r="Z32">
            <v>-9.7129999999999992</v>
          </cell>
          <cell r="AA32">
            <v>-17.938000000000002</v>
          </cell>
          <cell r="AB32">
            <v>-41.927</v>
          </cell>
          <cell r="AE32">
            <v>-64.239999999999995</v>
          </cell>
          <cell r="AF32">
            <v>-16.11</v>
          </cell>
          <cell r="AG32">
            <v>-148.97600000000003</v>
          </cell>
          <cell r="AH32">
            <v>-5.9750000000000023</v>
          </cell>
          <cell r="AI32">
            <v>-235.30100000000002</v>
          </cell>
          <cell r="AP32">
            <v>-117.15199999999999</v>
          </cell>
          <cell r="AQ32">
            <v>-0.5021185630320314</v>
          </cell>
          <cell r="AW32">
            <v>-185.72999177688897</v>
          </cell>
          <cell r="AX32">
            <v>0.58537619312422318</v>
          </cell>
        </row>
        <row r="33">
          <cell r="AI33">
            <v>-8.3000000000000007</v>
          </cell>
        </row>
        <row r="34">
          <cell r="I34">
            <v>0.2</v>
          </cell>
          <cell r="J34">
            <v>-1.1211387038158691</v>
          </cell>
          <cell r="K34">
            <v>0</v>
          </cell>
          <cell r="L34">
            <v>0.245</v>
          </cell>
          <cell r="M34">
            <v>0</v>
          </cell>
          <cell r="N34">
            <v>0</v>
          </cell>
          <cell r="O34">
            <v>0.245</v>
          </cell>
          <cell r="P34">
            <v>0.22499999999999987</v>
          </cell>
          <cell r="Q34">
            <v>0</v>
          </cell>
          <cell r="R34">
            <v>0.2</v>
          </cell>
          <cell r="S34">
            <v>0</v>
          </cell>
          <cell r="T34">
            <v>0</v>
          </cell>
          <cell r="U34">
            <v>-0.2</v>
          </cell>
          <cell r="X34">
            <v>0</v>
          </cell>
          <cell r="Y34">
            <v>0.22500000000000001</v>
          </cell>
          <cell r="AB34">
            <v>-0.22500000000000001</v>
          </cell>
          <cell r="AF34">
            <v>0.22500000000000001</v>
          </cell>
          <cell r="AI34">
            <v>-0.22500000000000001</v>
          </cell>
        </row>
        <row r="35">
          <cell r="I35">
            <v>-7.7590000000000039</v>
          </cell>
          <cell r="J35" t="e">
            <v>#REF!</v>
          </cell>
          <cell r="K35" t="e">
            <v>#REF!</v>
          </cell>
          <cell r="L35" t="e">
            <v>#REF!</v>
          </cell>
          <cell r="M35" t="e">
            <v>#REF!</v>
          </cell>
          <cell r="N35" t="e">
            <v>#REF!</v>
          </cell>
          <cell r="O35" t="e">
            <v>#REF!</v>
          </cell>
          <cell r="P35" t="e">
            <v>#REF!</v>
          </cell>
          <cell r="Q35">
            <v>-9.7330000000000005</v>
          </cell>
          <cell r="R35" t="e">
            <v>#REF!</v>
          </cell>
          <cell r="S35">
            <v>-2.1270000000000007</v>
          </cell>
          <cell r="T35">
            <v>-12.545</v>
          </cell>
          <cell r="U35">
            <v>-23.204999999999995</v>
          </cell>
          <cell r="X35">
            <v>-12.253</v>
          </cell>
          <cell r="Y35">
            <v>-2.248000000000002</v>
          </cell>
          <cell r="Z35">
            <v>-9.7129999999999992</v>
          </cell>
          <cell r="AA35">
            <v>-17.938000000000002</v>
          </cell>
          <cell r="AB35">
            <v>-42.152000000000001</v>
          </cell>
          <cell r="AE35">
            <v>-64.239999999999995</v>
          </cell>
          <cell r="AF35">
            <v>-16.335000000000001</v>
          </cell>
          <cell r="AG35">
            <v>-148.97600000000003</v>
          </cell>
          <cell r="AH35">
            <v>-5.9750000000000023</v>
          </cell>
          <cell r="AI35">
            <v>-243.82600000000002</v>
          </cell>
          <cell r="AP35">
            <v>-117.15199999999999</v>
          </cell>
          <cell r="AQ35">
            <v>-0.5195262195171968</v>
          </cell>
          <cell r="AW35">
            <v>-185.72999177688897</v>
          </cell>
          <cell r="AX35">
            <v>0.58537619312422318</v>
          </cell>
        </row>
        <row r="36">
          <cell r="I36">
            <v>-0.41647879763821816</v>
          </cell>
          <cell r="K36" t="e">
            <v>#REF!</v>
          </cell>
          <cell r="L36" t="e">
            <v>#REF!</v>
          </cell>
          <cell r="M36" t="e">
            <v>#REF!</v>
          </cell>
          <cell r="N36" t="e">
            <v>#REF!</v>
          </cell>
          <cell r="O36" t="e">
            <v>#REF!</v>
          </cell>
          <cell r="P36" t="e">
            <v>#REF!</v>
          </cell>
          <cell r="Q36">
            <v>-0.10889460729469681</v>
          </cell>
          <cell r="R36" t="e">
            <v>#REF!</v>
          </cell>
          <cell r="S36">
            <v>-2.3738839285714294E-2</v>
          </cell>
          <cell r="T36">
            <v>-0.1387721238938053</v>
          </cell>
          <cell r="U36">
            <v>-0.25856593682099271</v>
          </cell>
          <cell r="X36">
            <v>-0.13420003504775257</v>
          </cell>
          <cell r="Y36">
            <v>-2.450937636284346E-2</v>
          </cell>
          <cell r="Z36">
            <v>-0.10534250140991713</v>
          </cell>
          <cell r="AA36">
            <v>-0.19288172043010754</v>
          </cell>
          <cell r="AB36">
            <v>-0.45789022018966508</v>
          </cell>
          <cell r="AE36">
            <v>-0.62354682480425005</v>
          </cell>
          <cell r="AF36">
            <v>-0.14950428278745614</v>
          </cell>
          <cell r="AG36">
            <v>-2.5870749542961615</v>
          </cell>
          <cell r="AH36">
            <v>-4.9502899751449891E-2</v>
          </cell>
          <cell r="AI36">
            <v>-2.2046516797774225</v>
          </cell>
          <cell r="AP36">
            <v>-0.92278720695335659</v>
          </cell>
          <cell r="AQ36">
            <v>-0.58143628065249775</v>
          </cell>
          <cell r="AW36">
            <v>-1.4406334584730145</v>
          </cell>
          <cell r="AX36">
            <v>0.56117623610037004</v>
          </cell>
        </row>
        <row r="38">
          <cell r="I38">
            <v>18.63</v>
          </cell>
          <cell r="J38">
            <v>0.18545385129330905</v>
          </cell>
          <cell r="K38">
            <v>19.466999999999999</v>
          </cell>
          <cell r="L38">
            <v>22.722999999999999</v>
          </cell>
          <cell r="M38">
            <v>22.228000000000002</v>
          </cell>
          <cell r="N38">
            <v>22.308</v>
          </cell>
          <cell r="O38">
            <v>21.525283000000002</v>
          </cell>
          <cell r="P38">
            <v>0.15540971551261418</v>
          </cell>
          <cell r="Q38">
            <v>89.38</v>
          </cell>
          <cell r="R38">
            <v>89.6</v>
          </cell>
          <cell r="S38">
            <v>89.6</v>
          </cell>
          <cell r="T38">
            <v>90.4</v>
          </cell>
          <cell r="U38">
            <v>89.745000000000005</v>
          </cell>
          <cell r="V38">
            <v>3.1692831634315795</v>
          </cell>
          <cell r="X38">
            <v>91.304000000000002</v>
          </cell>
          <cell r="Y38">
            <v>91.72</v>
          </cell>
          <cell r="Z38">
            <v>92.203999999999994</v>
          </cell>
          <cell r="AA38">
            <v>93</v>
          </cell>
          <cell r="AB38">
            <v>92.057000000000002</v>
          </cell>
          <cell r="AE38">
            <v>103.023538</v>
          </cell>
          <cell r="AF38">
            <v>109.261084</v>
          </cell>
          <cell r="AG38">
            <v>109.4</v>
          </cell>
          <cell r="AH38">
            <v>120.7</v>
          </cell>
          <cell r="AI38">
            <v>110.59615549999999</v>
          </cell>
          <cell r="AP38">
            <v>126.95451249999999</v>
          </cell>
          <cell r="AQ38">
            <v>0.14791072009731843</v>
          </cell>
          <cell r="AW38">
            <v>128.92244774999998</v>
          </cell>
          <cell r="AX38">
            <v>1.5501105169459573E-2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Quarterly - 2003"/>
      <sheetName val="Quarterly - 2004"/>
      <sheetName val="MS Est vs Rpt"/>
      <sheetName val="Annual"/>
      <sheetName val="Balance Sheet "/>
      <sheetName val="Cashflow"/>
      <sheetName val="Tarceva-US"/>
      <sheetName val="Tarceva-Europe"/>
      <sheetName val="Tarceva-Japan"/>
      <sheetName val="Changes to Model"/>
      <sheetName val="Pipeline Chart"/>
      <sheetName val="Tarceva Trials"/>
      <sheetName val="Milestones"/>
      <sheetName val="Snap"/>
      <sheetName val="NY UPLOAD shadow"/>
      <sheetName val="mStartup"/>
      <sheetName val="MainCode"/>
      <sheetName val="mwareTaxoPres"/>
      <sheetName val="LOG"/>
      <sheetName val="MS Est. Vs Actual"/>
      <sheetName val="Quarterly"/>
      <sheetName val="mwareValPrintout"/>
      <sheetName val="Model_Template"/>
      <sheetName val="DCF Valuation"/>
      <sheetName val="Int'l Epo Model"/>
      <sheetName val="US Epo Model"/>
      <sheetName val="CSFs"/>
      <sheetName val="US RA Model"/>
      <sheetName val="Figures"/>
      <sheetName val="Marketing"/>
      <sheetName val="mwareDates"/>
      <sheetName val="mwareSettings"/>
    </sheetNames>
    <sheetDataSet>
      <sheetData sheetId="0"/>
      <sheetData sheetId="1"/>
      <sheetData sheetId="2"/>
      <sheetData sheetId="3"/>
      <sheetData sheetId="4"/>
      <sheetData sheetId="5" refreshError="1">
        <row r="21">
          <cell r="E21">
            <v>56038</v>
          </cell>
          <cell r="F21">
            <v>102202</v>
          </cell>
          <cell r="G21">
            <v>102642</v>
          </cell>
          <cell r="I21">
            <v>100105</v>
          </cell>
          <cell r="K21">
            <v>112750</v>
          </cell>
          <cell r="M21">
            <v>112750</v>
          </cell>
        </row>
      </sheetData>
      <sheetData sheetId="6"/>
      <sheetData sheetId="7"/>
      <sheetData sheetId="8"/>
      <sheetData sheetId="9" refreshError="1"/>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3"/>
      <sheetName val="2004"/>
      <sheetName val="Annual"/>
      <sheetName val="Angiomax-US"/>
      <sheetName val="Balance Sheet"/>
      <sheetName val="Cash Flow"/>
      <sheetName val="Changes to Model"/>
      <sheetName val="MS Est vs Rpt"/>
      <sheetName val="Milestones"/>
      <sheetName val="Snap"/>
      <sheetName val="NY UPLOAD shadow"/>
    </sheetNames>
    <sheetDataSet>
      <sheetData sheetId="0"/>
      <sheetData sheetId="1"/>
      <sheetData sheetId="2"/>
      <sheetData sheetId="3"/>
      <sheetData sheetId="4" refreshError="1">
        <row r="16">
          <cell r="O16">
            <v>57000</v>
          </cell>
        </row>
      </sheetData>
      <sheetData sheetId="5"/>
      <sheetData sheetId="6"/>
      <sheetData sheetId="7"/>
      <sheetData sheetId="8"/>
      <sheetData sheetId="9"/>
      <sheetData sheetId="10"/>
      <sheetData sheetId="11"/>
      <sheetData sheetId="12"/>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naGel JV"/>
      <sheetName val="Sheet1"/>
    </sheetNames>
    <sheetDataSet>
      <sheetData sheetId="0"/>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row r="1">
          <cell r="A1" t="str">
            <v>Table 3</v>
          </cell>
          <cell r="C1" t="e">
            <v>#REF!</v>
          </cell>
          <cell r="D1">
            <v>36698.77703784722</v>
          </cell>
        </row>
        <row r="2">
          <cell r="A2" t="str">
            <v>Warner Lambert</v>
          </cell>
        </row>
        <row r="3">
          <cell r="A3" t="str">
            <v>Quarterly Income Statement Comparisons 1998 - 2005E</v>
          </cell>
        </row>
        <row r="4">
          <cell r="A4" t="str">
            <v>($ Millions Except Per Share Data)</v>
          </cell>
        </row>
        <row r="5">
          <cell r="H5" t="str">
            <v>Non-Operating Items</v>
          </cell>
          <cell r="Q5" t="str">
            <v>Tax</v>
          </cell>
          <cell r="T5" t="str">
            <v xml:space="preserve">  Shares</v>
          </cell>
        </row>
        <row r="6">
          <cell r="C6" t="str">
            <v>Cost of</v>
          </cell>
          <cell r="D6" t="str">
            <v xml:space="preserve">  Gross</v>
          </cell>
          <cell r="G6" t="str">
            <v xml:space="preserve">  Oper.</v>
          </cell>
          <cell r="H6" t="str">
            <v>Interest</v>
          </cell>
          <cell r="I6" t="str">
            <v>Interest</v>
          </cell>
          <cell r="J6" t="str">
            <v>Intang.</v>
          </cell>
          <cell r="K6" t="str">
            <v>Celexa</v>
          </cell>
          <cell r="L6" t="str">
            <v>Other</v>
          </cell>
          <cell r="N6" t="str">
            <v>Min.</v>
          </cell>
          <cell r="O6" t="str">
            <v xml:space="preserve">  Pretax </v>
          </cell>
          <cell r="Q6" t="str">
            <v>Rate</v>
          </cell>
          <cell r="R6" t="str">
            <v>Agouron</v>
          </cell>
          <cell r="S6" t="str">
            <v xml:space="preserve">  Net </v>
          </cell>
          <cell r="T6" t="str">
            <v xml:space="preserve">  Out.</v>
          </cell>
          <cell r="U6" t="str">
            <v>WLA</v>
          </cell>
          <cell r="W6" t="str">
            <v>(a)</v>
          </cell>
        </row>
        <row r="7">
          <cell r="B7" t="str">
            <v>Sales</v>
          </cell>
          <cell r="C7" t="str">
            <v xml:space="preserve"> Goods</v>
          </cell>
          <cell r="D7" t="str">
            <v xml:space="preserve">  Profit</v>
          </cell>
          <cell r="E7" t="str">
            <v>SG&amp;A</v>
          </cell>
          <cell r="F7" t="str">
            <v>R&amp;D</v>
          </cell>
          <cell r="G7" t="str">
            <v>Income</v>
          </cell>
          <cell r="H7" t="str">
            <v>Income</v>
          </cell>
          <cell r="I7" t="str">
            <v>Expense</v>
          </cell>
          <cell r="J7" t="str">
            <v>Amort.</v>
          </cell>
          <cell r="K7" t="str">
            <v>Inc.</v>
          </cell>
          <cell r="L7" t="str">
            <v>Inc</v>
          </cell>
          <cell r="M7" t="str">
            <v>Total</v>
          </cell>
          <cell r="N7" t="str">
            <v xml:space="preserve">Int. </v>
          </cell>
          <cell r="O7" t="str">
            <v xml:space="preserve">  Income</v>
          </cell>
          <cell r="P7" t="str">
            <v>Taxes</v>
          </cell>
          <cell r="Q7" t="str">
            <v xml:space="preserve">  (%)</v>
          </cell>
          <cell r="R7" t="str">
            <v>Net</v>
          </cell>
          <cell r="S7" t="str">
            <v>Inc.</v>
          </cell>
          <cell r="T7" t="str">
            <v>(MM)</v>
          </cell>
          <cell r="U7" t="str">
            <v xml:space="preserve">  EPS</v>
          </cell>
          <cell r="V7" t="str">
            <v>DPS</v>
          </cell>
          <cell r="W7" t="str">
            <v>EPS</v>
          </cell>
        </row>
        <row r="9">
          <cell r="A9" t="str">
            <v>1989</v>
          </cell>
          <cell r="B9">
            <v>4195.8999999999996</v>
          </cell>
          <cell r="C9">
            <v>1383.4</v>
          </cell>
          <cell r="D9">
            <v>2812.4999999999995</v>
          </cell>
          <cell r="E9">
            <v>1932.6</v>
          </cell>
          <cell r="F9">
            <v>308.8</v>
          </cell>
          <cell r="G9">
            <v>571.09999999999968</v>
          </cell>
          <cell r="H9">
            <v>0</v>
          </cell>
          <cell r="I9">
            <v>-55.6</v>
          </cell>
          <cell r="J9">
            <v>0</v>
          </cell>
          <cell r="L9">
            <v>76.2</v>
          </cell>
          <cell r="M9">
            <v>20.6</v>
          </cell>
          <cell r="N9">
            <v>0</v>
          </cell>
          <cell r="O9">
            <v>591.6999999999997</v>
          </cell>
          <cell r="P9">
            <v>179</v>
          </cell>
          <cell r="Q9">
            <v>0.30251816799053588</v>
          </cell>
          <cell r="S9">
            <v>412.6999999999997</v>
          </cell>
          <cell r="T9">
            <v>812.40000000000009</v>
          </cell>
          <cell r="U9">
            <v>0.50800098473658251</v>
          </cell>
          <cell r="W9">
            <v>0.32666666666666666</v>
          </cell>
        </row>
        <row r="11">
          <cell r="A11" t="str">
            <v>1990</v>
          </cell>
          <cell r="B11">
            <v>1100</v>
          </cell>
          <cell r="C11">
            <v>356.4</v>
          </cell>
          <cell r="D11">
            <v>743.6</v>
          </cell>
          <cell r="E11">
            <v>487.7</v>
          </cell>
          <cell r="F11">
            <v>81.3</v>
          </cell>
          <cell r="G11">
            <v>174.60000000000002</v>
          </cell>
          <cell r="H11">
            <v>0</v>
          </cell>
          <cell r="I11">
            <v>-20.7</v>
          </cell>
          <cell r="J11">
            <v>0</v>
          </cell>
          <cell r="L11">
            <v>17.899999999999999</v>
          </cell>
          <cell r="M11">
            <v>-2.8000000000000007</v>
          </cell>
          <cell r="N11">
            <v>0</v>
          </cell>
          <cell r="O11">
            <v>171.8</v>
          </cell>
          <cell r="P11">
            <v>51.5</v>
          </cell>
          <cell r="Q11">
            <v>0.29976717112922002</v>
          </cell>
          <cell r="S11">
            <v>120.30000000000001</v>
          </cell>
          <cell r="T11">
            <v>403.5</v>
          </cell>
          <cell r="U11">
            <v>0.29814126394052048</v>
          </cell>
          <cell r="W11">
            <v>0.29666666666666669</v>
          </cell>
        </row>
        <row r="12">
          <cell r="B12">
            <v>1154.8</v>
          </cell>
          <cell r="C12">
            <v>363.6</v>
          </cell>
          <cell r="D12">
            <v>791.19999999999993</v>
          </cell>
          <cell r="E12">
            <v>519.1</v>
          </cell>
          <cell r="F12">
            <v>85.9</v>
          </cell>
          <cell r="G12">
            <v>186.1999999999999</v>
          </cell>
          <cell r="H12">
            <v>0</v>
          </cell>
          <cell r="I12">
            <v>-16.7</v>
          </cell>
          <cell r="J12">
            <v>0</v>
          </cell>
          <cell r="L12">
            <v>19.600000000000001</v>
          </cell>
          <cell r="M12">
            <v>2.9000000000000021</v>
          </cell>
          <cell r="N12">
            <v>0</v>
          </cell>
          <cell r="O12">
            <v>189.09999999999991</v>
          </cell>
          <cell r="P12">
            <v>54.6</v>
          </cell>
          <cell r="Q12">
            <v>0.28873611845584363</v>
          </cell>
          <cell r="S12">
            <v>134.49999999999991</v>
          </cell>
          <cell r="T12">
            <v>402.59999999999997</v>
          </cell>
          <cell r="U12">
            <v>0.33407848981619453</v>
          </cell>
          <cell r="W12">
            <v>0.42796820665673002</v>
          </cell>
        </row>
        <row r="13">
          <cell r="B13">
            <v>1186.7</v>
          </cell>
          <cell r="C13">
            <v>389.7</v>
          </cell>
          <cell r="D13">
            <v>797</v>
          </cell>
          <cell r="E13">
            <v>519.1</v>
          </cell>
          <cell r="F13">
            <v>101.6</v>
          </cell>
          <cell r="G13">
            <v>176.29999999999998</v>
          </cell>
          <cell r="H13">
            <v>0</v>
          </cell>
          <cell r="I13">
            <v>-15.1</v>
          </cell>
          <cell r="J13">
            <v>0</v>
          </cell>
          <cell r="L13">
            <v>15.5</v>
          </cell>
          <cell r="M13">
            <v>0.40000000000000036</v>
          </cell>
          <cell r="N13">
            <v>0</v>
          </cell>
          <cell r="O13">
            <v>176.7</v>
          </cell>
          <cell r="P13">
            <v>52</v>
          </cell>
          <cell r="Q13">
            <v>0.29428409734012451</v>
          </cell>
          <cell r="S13">
            <v>124.69999999999999</v>
          </cell>
          <cell r="T13">
            <v>402.90000000000003</v>
          </cell>
          <cell r="U13">
            <v>0.30950608091337795</v>
          </cell>
          <cell r="W13">
            <v>0.29511044924298835</v>
          </cell>
        </row>
        <row r="14">
          <cell r="B14">
            <v>1245.5</v>
          </cell>
          <cell r="C14">
            <v>405.7</v>
          </cell>
          <cell r="D14">
            <v>839.8</v>
          </cell>
          <cell r="E14">
            <v>603.79999999999995</v>
          </cell>
          <cell r="F14">
            <v>110.5</v>
          </cell>
          <cell r="G14">
            <v>125.5</v>
          </cell>
          <cell r="H14">
            <v>0</v>
          </cell>
          <cell r="I14">
            <v>-16.2</v>
          </cell>
          <cell r="J14">
            <v>0</v>
          </cell>
          <cell r="L14">
            <v>33.9</v>
          </cell>
          <cell r="M14">
            <v>17.7</v>
          </cell>
          <cell r="N14">
            <v>0</v>
          </cell>
          <cell r="O14">
            <v>143.19999999999999</v>
          </cell>
          <cell r="P14">
            <v>37.700000000000003</v>
          </cell>
          <cell r="Q14">
            <v>0.26326815642458107</v>
          </cell>
          <cell r="S14">
            <v>105.49999999999999</v>
          </cell>
          <cell r="T14">
            <v>402.90000000000003</v>
          </cell>
          <cell r="U14">
            <v>0.26185157607346732</v>
          </cell>
          <cell r="W14">
            <v>0.27450980392156865</v>
          </cell>
        </row>
        <row r="16">
          <cell r="A16" t="str">
            <v>1990</v>
          </cell>
          <cell r="B16">
            <v>4687</v>
          </cell>
          <cell r="C16">
            <v>1515.4</v>
          </cell>
          <cell r="D16">
            <v>3171.6</v>
          </cell>
          <cell r="E16">
            <v>2129.6999999999998</v>
          </cell>
          <cell r="F16">
            <v>379.29999999999995</v>
          </cell>
          <cell r="G16">
            <v>662.59999999999991</v>
          </cell>
          <cell r="H16">
            <v>0</v>
          </cell>
          <cell r="I16">
            <v>-68.7</v>
          </cell>
          <cell r="J16">
            <v>0</v>
          </cell>
          <cell r="L16">
            <v>86.9</v>
          </cell>
          <cell r="M16">
            <v>18.200000000000003</v>
          </cell>
          <cell r="N16">
            <v>0</v>
          </cell>
          <cell r="O16">
            <v>680.8</v>
          </cell>
          <cell r="P16">
            <v>195.8</v>
          </cell>
          <cell r="Q16">
            <v>0.2876028202115159</v>
          </cell>
          <cell r="S16">
            <v>484.99999999999989</v>
          </cell>
          <cell r="T16">
            <v>402.90000000000003</v>
          </cell>
          <cell r="U16">
            <v>1.2037726482998259</v>
          </cell>
          <cell r="W16">
            <v>1.2966666666666666</v>
          </cell>
        </row>
        <row r="18">
          <cell r="A18" t="str">
            <v>1991</v>
          </cell>
          <cell r="B18">
            <v>1217.2</v>
          </cell>
          <cell r="C18">
            <v>379.7</v>
          </cell>
          <cell r="D18">
            <v>837.5</v>
          </cell>
          <cell r="E18">
            <v>555.79999999999995</v>
          </cell>
          <cell r="F18">
            <v>94.7</v>
          </cell>
          <cell r="G18">
            <v>187.00000000000006</v>
          </cell>
          <cell r="H18">
            <v>0</v>
          </cell>
          <cell r="I18">
            <v>-16.399999999999999</v>
          </cell>
          <cell r="J18">
            <v>0</v>
          </cell>
          <cell r="L18">
            <v>21.8</v>
          </cell>
          <cell r="M18">
            <v>5.4000000000000021</v>
          </cell>
          <cell r="N18">
            <v>0</v>
          </cell>
          <cell r="O18">
            <v>192.40000000000006</v>
          </cell>
          <cell r="P18">
            <v>52.9</v>
          </cell>
          <cell r="Q18">
            <v>0.27494802494802484</v>
          </cell>
          <cell r="S18">
            <v>139.50000000000006</v>
          </cell>
          <cell r="T18">
            <v>806.40000000000009</v>
          </cell>
          <cell r="U18">
            <v>0.17299107142857148</v>
          </cell>
          <cell r="W18">
            <v>0.17299107142857131</v>
          </cell>
        </row>
        <row r="19">
          <cell r="B19">
            <v>1238.2</v>
          </cell>
          <cell r="C19">
            <v>394.8</v>
          </cell>
          <cell r="D19">
            <v>843.40000000000009</v>
          </cell>
          <cell r="E19">
            <v>544.6</v>
          </cell>
          <cell r="F19">
            <v>101.4</v>
          </cell>
          <cell r="G19">
            <v>197.40000000000006</v>
          </cell>
          <cell r="H19">
            <v>0</v>
          </cell>
          <cell r="I19">
            <v>-14.4</v>
          </cell>
          <cell r="J19">
            <v>0</v>
          </cell>
          <cell r="L19">
            <v>27.5</v>
          </cell>
          <cell r="M19">
            <v>13.1</v>
          </cell>
          <cell r="N19">
            <v>0</v>
          </cell>
          <cell r="O19">
            <v>210.50000000000006</v>
          </cell>
          <cell r="P19">
            <v>55.9</v>
          </cell>
          <cell r="Q19">
            <v>0.26555819477434672</v>
          </cell>
          <cell r="S19">
            <v>154.60000000000005</v>
          </cell>
          <cell r="T19">
            <v>806.40000000000009</v>
          </cell>
          <cell r="U19">
            <v>0.19171626984126988</v>
          </cell>
          <cell r="W19">
            <v>0.19171626984126999</v>
          </cell>
        </row>
        <row r="20">
          <cell r="B20">
            <v>1266.5</v>
          </cell>
          <cell r="C20">
            <v>410.6</v>
          </cell>
          <cell r="D20">
            <v>855.9</v>
          </cell>
          <cell r="E20">
            <v>562.29999999999995</v>
          </cell>
          <cell r="F20">
            <v>106.1</v>
          </cell>
          <cell r="G20">
            <v>187.50000000000003</v>
          </cell>
          <cell r="H20">
            <v>0</v>
          </cell>
          <cell r="I20">
            <v>-12.9</v>
          </cell>
          <cell r="J20">
            <v>0</v>
          </cell>
          <cell r="L20">
            <v>22.4</v>
          </cell>
          <cell r="M20">
            <v>9.4999999999999982</v>
          </cell>
          <cell r="N20">
            <v>0</v>
          </cell>
          <cell r="O20">
            <v>197.00000000000003</v>
          </cell>
          <cell r="P20">
            <v>53.2</v>
          </cell>
          <cell r="Q20">
            <v>0.27005076142131978</v>
          </cell>
          <cell r="S20">
            <v>143.80000000000001</v>
          </cell>
          <cell r="T20">
            <v>806.40000000000009</v>
          </cell>
          <cell r="U20">
            <v>0.1783234126984127</v>
          </cell>
          <cell r="W20">
            <v>0.17212301587301601</v>
          </cell>
        </row>
        <row r="21">
          <cell r="B21">
            <v>1337.8</v>
          </cell>
          <cell r="C21">
            <v>441.3</v>
          </cell>
          <cell r="D21">
            <v>896.5</v>
          </cell>
          <cell r="E21">
            <v>630.6</v>
          </cell>
          <cell r="F21">
            <v>121</v>
          </cell>
          <cell r="G21">
            <v>144.89999999999998</v>
          </cell>
          <cell r="H21">
            <v>0</v>
          </cell>
          <cell r="I21">
            <v>-14.5</v>
          </cell>
          <cell r="J21">
            <v>0</v>
          </cell>
          <cell r="L21">
            <v>35.9</v>
          </cell>
          <cell r="M21">
            <v>21.4</v>
          </cell>
          <cell r="N21">
            <v>0</v>
          </cell>
          <cell r="O21">
            <v>166.29999999999998</v>
          </cell>
          <cell r="P21">
            <v>44.7</v>
          </cell>
          <cell r="Q21">
            <v>0.26879134095009022</v>
          </cell>
          <cell r="S21">
            <v>121.59999999999998</v>
          </cell>
          <cell r="T21">
            <v>807</v>
          </cell>
          <cell r="U21">
            <v>0.15068153655514246</v>
          </cell>
          <cell r="W21">
            <v>0.15068153655514266</v>
          </cell>
        </row>
        <row r="23">
          <cell r="A23" t="str">
            <v>1991</v>
          </cell>
          <cell r="B23">
            <v>5059.7</v>
          </cell>
          <cell r="C23">
            <v>1626.3999999999999</v>
          </cell>
          <cell r="D23">
            <v>3433.3</v>
          </cell>
          <cell r="E23">
            <v>2293.3000000000002</v>
          </cell>
          <cell r="F23">
            <v>423.20000000000005</v>
          </cell>
          <cell r="G23">
            <v>716.80000000000007</v>
          </cell>
          <cell r="H23">
            <v>0</v>
          </cell>
          <cell r="I23">
            <v>-58.199999999999996</v>
          </cell>
          <cell r="J23">
            <v>0</v>
          </cell>
          <cell r="L23">
            <v>107.6</v>
          </cell>
          <cell r="M23">
            <v>49.4</v>
          </cell>
          <cell r="N23">
            <v>0</v>
          </cell>
          <cell r="O23">
            <v>766.2</v>
          </cell>
          <cell r="P23">
            <v>206.7</v>
          </cell>
          <cell r="Q23">
            <v>0.26977290524667186</v>
          </cell>
          <cell r="S23">
            <v>559.50000000000011</v>
          </cell>
          <cell r="T23">
            <v>806.40000000000009</v>
          </cell>
          <cell r="U23">
            <v>0.69382440476190488</v>
          </cell>
          <cell r="W23">
            <v>0.68666666666666665</v>
          </cell>
        </row>
        <row r="24">
          <cell r="E24">
            <v>2292.4</v>
          </cell>
        </row>
        <row r="25">
          <cell r="A25" t="str">
            <v>1992</v>
          </cell>
          <cell r="B25">
            <v>1311.5</v>
          </cell>
          <cell r="C25">
            <v>400.9</v>
          </cell>
          <cell r="D25">
            <v>910.6</v>
          </cell>
          <cell r="E25">
            <v>586.9</v>
          </cell>
          <cell r="F25">
            <v>115.1</v>
          </cell>
          <cell r="G25">
            <v>208.60000000000005</v>
          </cell>
          <cell r="H25">
            <v>0</v>
          </cell>
          <cell r="I25">
            <v>-18.899999999999999</v>
          </cell>
          <cell r="J25">
            <v>0</v>
          </cell>
          <cell r="L25">
            <v>32.9</v>
          </cell>
          <cell r="M25">
            <v>14</v>
          </cell>
          <cell r="N25">
            <v>0</v>
          </cell>
          <cell r="O25">
            <v>222.60000000000005</v>
          </cell>
          <cell r="P25">
            <v>59</v>
          </cell>
          <cell r="Q25">
            <v>0.26504941599281218</v>
          </cell>
          <cell r="S25">
            <v>163.60000000000005</v>
          </cell>
          <cell r="T25">
            <v>807.59999999999991</v>
          </cell>
          <cell r="U25">
            <v>0.20257553244180296</v>
          </cell>
          <cell r="W25">
            <v>0.20333333333333334</v>
          </cell>
        </row>
        <row r="26">
          <cell r="B26">
            <v>1373.3</v>
          </cell>
          <cell r="C26">
            <v>434.2</v>
          </cell>
          <cell r="D26">
            <v>939.09999999999991</v>
          </cell>
          <cell r="E26">
            <v>596.70000000000005</v>
          </cell>
          <cell r="F26">
            <v>105.8</v>
          </cell>
          <cell r="G26">
            <v>236.59999999999985</v>
          </cell>
          <cell r="H26">
            <v>0</v>
          </cell>
          <cell r="I26">
            <v>-18</v>
          </cell>
          <cell r="J26">
            <v>0</v>
          </cell>
          <cell r="L26">
            <v>20</v>
          </cell>
          <cell r="M26">
            <v>2</v>
          </cell>
          <cell r="N26">
            <v>0</v>
          </cell>
          <cell r="O26">
            <v>238.59999999999985</v>
          </cell>
          <cell r="P26">
            <v>61</v>
          </cell>
          <cell r="Q26">
            <v>0.25565800502933794</v>
          </cell>
          <cell r="S26">
            <v>177.59999999999985</v>
          </cell>
          <cell r="T26">
            <v>807.59999999999991</v>
          </cell>
          <cell r="U26">
            <v>0.21991084695393742</v>
          </cell>
          <cell r="W26">
            <v>0.23333333333333331</v>
          </cell>
        </row>
        <row r="27">
          <cell r="B27">
            <v>1438.3</v>
          </cell>
          <cell r="C27">
            <v>481.2</v>
          </cell>
          <cell r="D27">
            <v>957.09999999999991</v>
          </cell>
          <cell r="E27">
            <v>619.6</v>
          </cell>
          <cell r="F27">
            <v>116.03</v>
          </cell>
          <cell r="G27">
            <v>221.46999999999989</v>
          </cell>
          <cell r="H27">
            <v>0</v>
          </cell>
          <cell r="I27">
            <v>-21</v>
          </cell>
          <cell r="J27">
            <v>0</v>
          </cell>
          <cell r="L27">
            <v>22.1</v>
          </cell>
          <cell r="M27">
            <v>1.1000000000000014</v>
          </cell>
          <cell r="N27">
            <v>0</v>
          </cell>
          <cell r="O27">
            <v>222.56999999999988</v>
          </cell>
          <cell r="P27">
            <v>57.85</v>
          </cell>
          <cell r="Q27">
            <v>0.25991822797322206</v>
          </cell>
          <cell r="S27">
            <v>164.71999999999989</v>
          </cell>
          <cell r="T27">
            <v>807.93600000000004</v>
          </cell>
          <cell r="U27">
            <v>0.20387753485424573</v>
          </cell>
          <cell r="W27">
            <v>0.20333333333333334</v>
          </cell>
        </row>
        <row r="28">
          <cell r="B28">
            <v>1474.412</v>
          </cell>
          <cell r="C28">
            <v>498</v>
          </cell>
          <cell r="D28">
            <v>976.41200000000003</v>
          </cell>
          <cell r="E28">
            <v>677.6</v>
          </cell>
          <cell r="F28">
            <v>136.5</v>
          </cell>
          <cell r="G28">
            <v>162.31200000000001</v>
          </cell>
          <cell r="H28">
            <v>0</v>
          </cell>
          <cell r="I28">
            <v>-18</v>
          </cell>
          <cell r="J28">
            <v>0</v>
          </cell>
          <cell r="L28">
            <v>30.5</v>
          </cell>
          <cell r="M28">
            <v>12.5</v>
          </cell>
          <cell r="N28">
            <v>0</v>
          </cell>
          <cell r="O28">
            <v>174.81200000000001</v>
          </cell>
          <cell r="P28">
            <v>36.765000000000001</v>
          </cell>
          <cell r="Q28">
            <v>0.2103116490858751</v>
          </cell>
          <cell r="S28">
            <v>138.04700000000003</v>
          </cell>
          <cell r="T28">
            <v>808.30200000000013</v>
          </cell>
          <cell r="U28">
            <v>0.1707864139888309</v>
          </cell>
          <cell r="W28">
            <v>0.17</v>
          </cell>
        </row>
        <row r="30">
          <cell r="A30" t="str">
            <v>1992</v>
          </cell>
          <cell r="B30">
            <v>5597.5120000000006</v>
          </cell>
          <cell r="C30">
            <v>1814.3</v>
          </cell>
          <cell r="D30">
            <v>3783.2120000000004</v>
          </cell>
          <cell r="E30">
            <v>2480.7999999999997</v>
          </cell>
          <cell r="F30">
            <v>473.42999999999995</v>
          </cell>
          <cell r="G30">
            <v>828.98199999999986</v>
          </cell>
          <cell r="H30">
            <v>0</v>
          </cell>
          <cell r="I30">
            <v>-75.900000000000006</v>
          </cell>
          <cell r="J30">
            <v>0</v>
          </cell>
          <cell r="L30">
            <v>105.5</v>
          </cell>
          <cell r="M30">
            <v>29.6</v>
          </cell>
          <cell r="N30">
            <v>0</v>
          </cell>
          <cell r="O30">
            <v>858.58199999999977</v>
          </cell>
          <cell r="P30">
            <v>214.61500000000001</v>
          </cell>
          <cell r="Q30">
            <v>0.24996447631094068</v>
          </cell>
          <cell r="S30">
            <v>643.96699999999987</v>
          </cell>
          <cell r="T30">
            <v>808.19999999999993</v>
          </cell>
          <cell r="U30">
            <v>0.79679163573372913</v>
          </cell>
          <cell r="W30">
            <v>0.81</v>
          </cell>
        </row>
        <row r="32">
          <cell r="A32" t="str">
            <v>1993</v>
          </cell>
          <cell r="B32">
            <v>1331.7</v>
          </cell>
          <cell r="C32">
            <v>410.9</v>
          </cell>
          <cell r="D32">
            <v>920.80000000000007</v>
          </cell>
          <cell r="E32">
            <v>588</v>
          </cell>
          <cell r="F32">
            <v>110.7</v>
          </cell>
          <cell r="G32">
            <v>222.10000000000008</v>
          </cell>
          <cell r="H32">
            <v>9.5</v>
          </cell>
          <cell r="I32">
            <v>-14</v>
          </cell>
          <cell r="J32">
            <v>-2.8</v>
          </cell>
          <cell r="L32">
            <v>30.099999999999998</v>
          </cell>
          <cell r="M32">
            <v>22.799999999999997</v>
          </cell>
          <cell r="N32">
            <v>0.1</v>
          </cell>
          <cell r="O32">
            <v>245.00000000000009</v>
          </cell>
          <cell r="P32">
            <v>63.7</v>
          </cell>
          <cell r="Q32">
            <v>0.2599999999999999</v>
          </cell>
          <cell r="S32">
            <v>181.30000000000007</v>
          </cell>
          <cell r="T32">
            <v>812.178</v>
          </cell>
          <cell r="U32">
            <v>0.2232269280871928</v>
          </cell>
          <cell r="W32">
            <v>0.22333333333333336</v>
          </cell>
        </row>
        <row r="33">
          <cell r="B33">
            <v>1449.7</v>
          </cell>
          <cell r="C33">
            <v>471.9</v>
          </cell>
          <cell r="D33">
            <v>977.80000000000007</v>
          </cell>
          <cell r="E33">
            <v>630</v>
          </cell>
          <cell r="F33">
            <v>107.7</v>
          </cell>
          <cell r="G33">
            <v>240.10000000000008</v>
          </cell>
          <cell r="H33">
            <v>9.5</v>
          </cell>
          <cell r="I33">
            <v>-16</v>
          </cell>
          <cell r="J33">
            <v>-2.8</v>
          </cell>
          <cell r="L33">
            <v>19.399999999999999</v>
          </cell>
          <cell r="M33">
            <v>10.099999999999998</v>
          </cell>
          <cell r="N33">
            <v>0.1</v>
          </cell>
          <cell r="O33">
            <v>250.30000000000007</v>
          </cell>
          <cell r="P33">
            <v>60.1</v>
          </cell>
          <cell r="Q33">
            <v>0.24011186576108665</v>
          </cell>
          <cell r="S33">
            <v>190.20000000000007</v>
          </cell>
          <cell r="T33">
            <v>811.19999999999993</v>
          </cell>
          <cell r="U33">
            <v>0.23446745562130189</v>
          </cell>
          <cell r="W33">
            <v>0.23333333333333331</v>
          </cell>
        </row>
        <row r="34">
          <cell r="B34">
            <v>1478.5</v>
          </cell>
          <cell r="C34">
            <v>498.3</v>
          </cell>
          <cell r="D34">
            <v>980.2</v>
          </cell>
          <cell r="E34">
            <v>665.3</v>
          </cell>
          <cell r="F34">
            <v>118.5</v>
          </cell>
          <cell r="G34">
            <v>196.40000000000009</v>
          </cell>
          <cell r="H34">
            <v>10.4</v>
          </cell>
          <cell r="I34">
            <v>-18</v>
          </cell>
          <cell r="J34">
            <v>-2.9</v>
          </cell>
          <cell r="L34">
            <v>8.0999999999999979</v>
          </cell>
          <cell r="M34">
            <v>-2.4000000000000021</v>
          </cell>
          <cell r="N34">
            <v>0.1</v>
          </cell>
          <cell r="O34">
            <v>194.10000000000008</v>
          </cell>
          <cell r="P34">
            <v>38.1</v>
          </cell>
          <cell r="Q34">
            <v>0.19629057187016993</v>
          </cell>
          <cell r="S34">
            <v>156.00000000000009</v>
          </cell>
          <cell r="T34">
            <v>809.40000000000009</v>
          </cell>
          <cell r="U34">
            <v>0.19273535952557458</v>
          </cell>
          <cell r="W34">
            <v>0.19333333333333333</v>
          </cell>
        </row>
        <row r="35">
          <cell r="B35">
            <v>1533.8</v>
          </cell>
          <cell r="C35">
            <v>537</v>
          </cell>
          <cell r="D35">
            <v>996.8</v>
          </cell>
          <cell r="E35">
            <v>712.8</v>
          </cell>
          <cell r="F35">
            <v>128</v>
          </cell>
          <cell r="G35">
            <v>156</v>
          </cell>
          <cell r="H35">
            <v>10.3</v>
          </cell>
          <cell r="I35">
            <v>-16.2</v>
          </cell>
          <cell r="J35">
            <v>-2.9</v>
          </cell>
          <cell r="L35">
            <v>6.9000000000000448</v>
          </cell>
          <cell r="M35">
            <v>-1.8999999999999542</v>
          </cell>
          <cell r="N35">
            <v>0.2</v>
          </cell>
          <cell r="O35">
            <v>154.30000000000004</v>
          </cell>
          <cell r="P35">
            <v>36.399999999999977</v>
          </cell>
          <cell r="Q35">
            <v>0.2359040829552817</v>
          </cell>
          <cell r="S35">
            <v>117.90000000000006</v>
          </cell>
          <cell r="T35">
            <v>806.40000000000009</v>
          </cell>
          <cell r="U35">
            <v>0.14620535714285721</v>
          </cell>
          <cell r="W35">
            <v>-0.24</v>
          </cell>
        </row>
        <row r="37">
          <cell r="A37" t="str">
            <v>1993</v>
          </cell>
          <cell r="B37">
            <v>5793.7</v>
          </cell>
          <cell r="C37">
            <v>1918.1</v>
          </cell>
          <cell r="D37">
            <v>3875.6</v>
          </cell>
          <cell r="E37">
            <v>2596.1</v>
          </cell>
          <cell r="F37">
            <v>464.9</v>
          </cell>
          <cell r="G37">
            <v>814.60000000000025</v>
          </cell>
          <cell r="H37">
            <v>39.700000000000003</v>
          </cell>
          <cell r="I37">
            <v>-64.2</v>
          </cell>
          <cell r="J37">
            <v>-11.4</v>
          </cell>
          <cell r="L37">
            <v>64.500000000000043</v>
          </cell>
          <cell r="M37">
            <v>28.600000000000037</v>
          </cell>
          <cell r="N37">
            <v>0.5</v>
          </cell>
          <cell r="O37">
            <v>843.70000000000039</v>
          </cell>
          <cell r="P37">
            <v>198.29999999999998</v>
          </cell>
          <cell r="Q37">
            <v>0.23503615029038746</v>
          </cell>
          <cell r="S37">
            <v>645.40000000000032</v>
          </cell>
          <cell r="T37">
            <v>810</v>
          </cell>
          <cell r="U37">
            <v>0.79679012345679057</v>
          </cell>
          <cell r="W37">
            <v>0.41</v>
          </cell>
        </row>
        <row r="39">
          <cell r="A39" t="str">
            <v>94/93</v>
          </cell>
          <cell r="B39">
            <v>0.10754750850061279</v>
          </cell>
          <cell r="C39">
            <v>0.12355977269172613</v>
          </cell>
          <cell r="D39">
            <v>9.9622768087522129E-2</v>
          </cell>
          <cell r="E39">
            <v>5.365740919070916E-2</v>
          </cell>
          <cell r="F39">
            <v>-1.9143901914390193E-2</v>
          </cell>
          <cell r="G39">
            <v>0.31389393567394963</v>
          </cell>
          <cell r="H39">
            <v>0.25188916876574297</v>
          </cell>
          <cell r="I39">
            <v>0.45950155763239864</v>
          </cell>
          <cell r="J39">
            <v>9.6491228070175294E-2</v>
          </cell>
          <cell r="L39">
            <v>-1.1317829457364341</v>
          </cell>
          <cell r="M39" t="str">
            <v xml:space="preserve">    NM</v>
          </cell>
          <cell r="N39" t="str">
            <v xml:space="preserve">    NM</v>
          </cell>
          <cell r="O39">
            <v>8.2235391726916518E-2</v>
          </cell>
          <cell r="P39">
            <v>0.10489157841654073</v>
          </cell>
          <cell r="Q39">
            <v>2.093462001226154E-2</v>
          </cell>
          <cell r="S39">
            <v>7.5274248528043985E-2</v>
          </cell>
          <cell r="T39">
            <v>-6.6666666666668206E-3</v>
          </cell>
          <cell r="U39">
            <v>8.3514099783079665E-2</v>
          </cell>
          <cell r="W39">
            <v>1.1056910569105689</v>
          </cell>
        </row>
        <row r="40">
          <cell r="A40" t="str">
            <v>1994</v>
          </cell>
        </row>
        <row r="41">
          <cell r="A41" t="str">
            <v xml:space="preserve"> 1Q</v>
          </cell>
          <cell r="B41">
            <v>1472.895</v>
          </cell>
          <cell r="C41">
            <v>479</v>
          </cell>
          <cell r="D41">
            <v>993.89499999999998</v>
          </cell>
          <cell r="E41">
            <v>612.40000000000009</v>
          </cell>
          <cell r="F41">
            <v>97.9</v>
          </cell>
          <cell r="G41">
            <v>283.59499999999991</v>
          </cell>
          <cell r="H41">
            <v>9.6</v>
          </cell>
          <cell r="I41">
            <v>-18.399999999999999</v>
          </cell>
          <cell r="J41">
            <v>-3.1</v>
          </cell>
          <cell r="L41">
            <v>1.8999999999999986</v>
          </cell>
          <cell r="M41">
            <v>-10</v>
          </cell>
          <cell r="N41">
            <v>-19.815999999999999</v>
          </cell>
          <cell r="O41">
            <v>253.77899999999991</v>
          </cell>
          <cell r="P41">
            <v>63.4</v>
          </cell>
          <cell r="Q41">
            <v>0.24982366547271453</v>
          </cell>
          <cell r="S41">
            <v>190.37899999999991</v>
          </cell>
          <cell r="T41">
            <v>803.09999999999991</v>
          </cell>
          <cell r="U41">
            <v>0.23666666666666666</v>
          </cell>
          <cell r="W41">
            <v>0.23666666666666666</v>
          </cell>
        </row>
        <row r="42">
          <cell r="A42" t="str">
            <v xml:space="preserve"> 2Q</v>
          </cell>
          <cell r="B42">
            <v>1552.203</v>
          </cell>
          <cell r="C42">
            <v>509.3</v>
          </cell>
          <cell r="D42">
            <v>1042.903</v>
          </cell>
          <cell r="E42">
            <v>657</v>
          </cell>
          <cell r="F42">
            <v>100.5</v>
          </cell>
          <cell r="G42">
            <v>285.40300000000002</v>
          </cell>
          <cell r="H42">
            <v>14.5</v>
          </cell>
          <cell r="I42">
            <v>-23.8</v>
          </cell>
          <cell r="J42">
            <v>-3.1</v>
          </cell>
          <cell r="L42">
            <v>1.0999999999999996</v>
          </cell>
          <cell r="M42">
            <v>-11.3</v>
          </cell>
          <cell r="N42">
            <v>-18.600000000000001</v>
          </cell>
          <cell r="O42">
            <v>255.50300000000001</v>
          </cell>
          <cell r="P42">
            <v>58.8</v>
          </cell>
          <cell r="Q42">
            <v>0.23013428413756393</v>
          </cell>
          <cell r="S42">
            <v>196.70300000000003</v>
          </cell>
          <cell r="T42">
            <v>802.7940000000001</v>
          </cell>
          <cell r="U42">
            <v>0.24666666666666667</v>
          </cell>
          <cell r="W42">
            <v>0.24666666666666667</v>
          </cell>
        </row>
        <row r="43">
          <cell r="A43" t="str">
            <v xml:space="preserve"> 3Q</v>
          </cell>
          <cell r="B43">
            <v>1671</v>
          </cell>
          <cell r="C43">
            <v>569.4</v>
          </cell>
          <cell r="D43">
            <v>1101.5999999999999</v>
          </cell>
          <cell r="E43">
            <v>701.1</v>
          </cell>
          <cell r="F43">
            <v>124.2</v>
          </cell>
          <cell r="G43">
            <v>276.2999999999999</v>
          </cell>
          <cell r="H43">
            <v>14.6</v>
          </cell>
          <cell r="I43">
            <v>-26</v>
          </cell>
          <cell r="J43">
            <v>-3.1</v>
          </cell>
          <cell r="L43">
            <v>-4.4000000000000004</v>
          </cell>
          <cell r="M43">
            <v>-18.899999999999999</v>
          </cell>
          <cell r="N43">
            <v>-34.700000000000003</v>
          </cell>
          <cell r="O43">
            <v>222.69999999999993</v>
          </cell>
          <cell r="P43">
            <v>53.5</v>
          </cell>
          <cell r="Q43">
            <v>0.24023349797934448</v>
          </cell>
          <cell r="S43">
            <v>169.19999999999993</v>
          </cell>
          <cell r="T43">
            <v>805.19999999999993</v>
          </cell>
          <cell r="U43">
            <v>0.21</v>
          </cell>
          <cell r="W43">
            <v>0.21</v>
          </cell>
        </row>
        <row r="44">
          <cell r="A44" t="str">
            <v xml:space="preserve"> 4Q</v>
          </cell>
          <cell r="B44">
            <v>1720.7</v>
          </cell>
          <cell r="C44">
            <v>597.4</v>
          </cell>
          <cell r="D44">
            <v>1123.3000000000002</v>
          </cell>
          <cell r="E44">
            <v>764.90000000000009</v>
          </cell>
          <cell r="F44">
            <v>133.4</v>
          </cell>
          <cell r="G44">
            <v>225.00000000000009</v>
          </cell>
          <cell r="H44">
            <v>11</v>
          </cell>
          <cell r="I44">
            <v>-25.5</v>
          </cell>
          <cell r="J44">
            <v>-3.2</v>
          </cell>
          <cell r="L44">
            <v>-7.1000000000000005</v>
          </cell>
          <cell r="M44">
            <v>-24.8</v>
          </cell>
          <cell r="N44">
            <v>-19.100000000000001</v>
          </cell>
          <cell r="O44">
            <v>181.10000000000008</v>
          </cell>
          <cell r="P44">
            <v>43.4</v>
          </cell>
          <cell r="Q44">
            <v>0.23964660408614014</v>
          </cell>
          <cell r="S44">
            <v>137.70000000000007</v>
          </cell>
          <cell r="T44">
            <v>807.24599999999998</v>
          </cell>
          <cell r="U44">
            <v>0.17</v>
          </cell>
          <cell r="W44">
            <v>0.17</v>
          </cell>
        </row>
        <row r="46">
          <cell r="A46" t="str">
            <v>1994</v>
          </cell>
          <cell r="B46">
            <v>6416.7979999999998</v>
          </cell>
          <cell r="C46">
            <v>2155.1</v>
          </cell>
          <cell r="D46">
            <v>4261.6980000000003</v>
          </cell>
          <cell r="E46">
            <v>2735.4</v>
          </cell>
          <cell r="F46">
            <v>456</v>
          </cell>
          <cell r="G46">
            <v>1070.2979999999998</v>
          </cell>
          <cell r="H46">
            <v>49.7</v>
          </cell>
          <cell r="I46">
            <v>-93.7</v>
          </cell>
          <cell r="J46">
            <v>-12.5</v>
          </cell>
          <cell r="L46">
            <v>-8.5000000000000036</v>
          </cell>
          <cell r="M46">
            <v>-65</v>
          </cell>
          <cell r="N46">
            <v>-92.216000000000008</v>
          </cell>
          <cell r="O46">
            <v>913.08199999999988</v>
          </cell>
          <cell r="P46">
            <v>219.1</v>
          </cell>
          <cell r="Q46">
            <v>0.23995654278586154</v>
          </cell>
          <cell r="S46">
            <v>693.98199999999997</v>
          </cell>
          <cell r="T46">
            <v>804.59999999999991</v>
          </cell>
          <cell r="U46">
            <v>0.86333333333333329</v>
          </cell>
          <cell r="W46">
            <v>0.86333333333333329</v>
          </cell>
        </row>
        <row r="48">
          <cell r="A48" t="str">
            <v>95/94</v>
          </cell>
        </row>
        <row r="49">
          <cell r="A49" t="str">
            <v xml:space="preserve"> 1Q</v>
          </cell>
          <cell r="B49">
            <v>8.9419137141479865E-2</v>
          </cell>
          <cell r="C49">
            <v>0.11127348643006263</v>
          </cell>
          <cell r="D49">
            <v>7.888660270954162E-2</v>
          </cell>
          <cell r="E49">
            <v>2.5310254735466886E-2</v>
          </cell>
          <cell r="F49">
            <v>0.16751787538304375</v>
          </cell>
          <cell r="G49">
            <v>0.16398385020892503</v>
          </cell>
          <cell r="H49">
            <v>0.30208333333333348</v>
          </cell>
          <cell r="I49">
            <v>0.5869565217391306</v>
          </cell>
          <cell r="J49">
            <v>0.12903225806451601</v>
          </cell>
          <cell r="L49" t="str">
            <v xml:space="preserve">    NM</v>
          </cell>
          <cell r="M49">
            <v>1.1200000000000001</v>
          </cell>
          <cell r="N49">
            <v>0.52906742026645137</v>
          </cell>
          <cell r="O49">
            <v>9.7805570988931612E-2</v>
          </cell>
          <cell r="P49">
            <v>0.21766561514195581</v>
          </cell>
          <cell r="Q49">
            <v>0.10918148652229132</v>
          </cell>
          <cell r="S49">
            <v>5.788978826446245E-2</v>
          </cell>
          <cell r="T49">
            <v>5.7900635039223047E-3</v>
          </cell>
          <cell r="U49">
            <v>5.6338028169014009E-2</v>
          </cell>
          <cell r="W49">
            <v>5.6338028169014009E-2</v>
          </cell>
        </row>
        <row r="50">
          <cell r="A50" t="str">
            <v xml:space="preserve"> 2Q</v>
          </cell>
          <cell r="B50">
            <v>0.15938443618521547</v>
          </cell>
          <cell r="C50">
            <v>0.20086393088552912</v>
          </cell>
          <cell r="D50">
            <v>0.13912799176912904</v>
          </cell>
          <cell r="E50">
            <v>0.1388127853881278</v>
          </cell>
          <cell r="F50">
            <v>0.18905472636815923</v>
          </cell>
          <cell r="G50">
            <v>0.12227271612421742</v>
          </cell>
          <cell r="H50">
            <v>-0.13103448275862073</v>
          </cell>
          <cell r="I50">
            <v>0.38655462184873945</v>
          </cell>
          <cell r="J50">
            <v>0.12903225806451601</v>
          </cell>
          <cell r="L50" t="str">
            <v xml:space="preserve">    NM</v>
          </cell>
          <cell r="M50">
            <v>0.21238938053097312</v>
          </cell>
          <cell r="N50">
            <v>0.5376344086021505</v>
          </cell>
          <cell r="O50">
            <v>8.804984677283656E-2</v>
          </cell>
          <cell r="P50">
            <v>0.30952380952380953</v>
          </cell>
          <cell r="Q50">
            <v>0.20355130181569003</v>
          </cell>
          <cell r="S50">
            <v>2.1845116749617643E-2</v>
          </cell>
          <cell r="T50">
            <v>8.2287610520257459E-3</v>
          </cell>
          <cell r="U50">
            <v>1.3513513513513598E-2</v>
          </cell>
          <cell r="W50">
            <v>1.3513513513513598E-2</v>
          </cell>
        </row>
        <row r="51">
          <cell r="A51" t="str">
            <v xml:space="preserve"> 3Q</v>
          </cell>
          <cell r="B51">
            <v>6.2657091561938882E-2</v>
          </cell>
          <cell r="C51">
            <v>9.2553565156304973E-2</v>
          </cell>
          <cell r="D51">
            <v>4.7204066811910028E-2</v>
          </cell>
          <cell r="E51">
            <v>0.12081015546997564</v>
          </cell>
          <cell r="F51">
            <v>4.8309178743961345E-2</v>
          </cell>
          <cell r="G51">
            <v>-0.1400651465798044</v>
          </cell>
          <cell r="H51">
            <v>-0.1095890410958904</v>
          </cell>
          <cell r="I51">
            <v>0.20384615384615379</v>
          </cell>
          <cell r="J51">
            <v>0.12903225806451601</v>
          </cell>
          <cell r="L51" t="str">
            <v xml:space="preserve">    NM</v>
          </cell>
          <cell r="M51">
            <v>0.23809523809523858</v>
          </cell>
          <cell r="N51">
            <v>1.4409221902017322E-2</v>
          </cell>
          <cell r="O51">
            <v>-0.19622810956443648</v>
          </cell>
          <cell r="P51">
            <v>-0.11401869158878508</v>
          </cell>
          <cell r="Q51">
            <v>0.10227953845350579</v>
          </cell>
          <cell r="S51">
            <v>-0.22222222222222232</v>
          </cell>
          <cell r="T51">
            <v>7.1572280178839875E-3</v>
          </cell>
          <cell r="U51">
            <v>-0.22222222222222221</v>
          </cell>
          <cell r="W51">
            <v>0.25396825396825418</v>
          </cell>
        </row>
        <row r="52">
          <cell r="A52" t="str">
            <v xml:space="preserve"> 4Q</v>
          </cell>
          <cell r="B52">
            <v>8.0897309234613912E-2</v>
          </cell>
          <cell r="C52">
            <v>0.10729829260127222</v>
          </cell>
          <cell r="D52">
            <v>6.6856583281402981E-2</v>
          </cell>
          <cell r="E52">
            <v>6.9290103281474558E-2</v>
          </cell>
          <cell r="F52">
            <v>2.8485757121439192E-2</v>
          </cell>
          <cell r="G52">
            <v>8.133333333333348E-2</v>
          </cell>
          <cell r="H52">
            <v>5.4545454545454453E-2</v>
          </cell>
          <cell r="I52">
            <v>0.1450980392156862</v>
          </cell>
          <cell r="J52">
            <v>0.40625</v>
          </cell>
          <cell r="L52" t="str">
            <v xml:space="preserve">    NM</v>
          </cell>
          <cell r="M52">
            <v>0.66935483870967727</v>
          </cell>
          <cell r="N52">
            <v>0.87958115183246055</v>
          </cell>
          <cell r="O52">
            <v>-8.3379348426283584E-2</v>
          </cell>
          <cell r="P52">
            <v>-1.1520737327188946E-2</v>
          </cell>
          <cell r="Q52">
            <v>7.8395147409915822E-2</v>
          </cell>
          <cell r="S52">
            <v>-0.1060275962236743</v>
          </cell>
          <cell r="T52">
            <v>4.8981351409607132E-3</v>
          </cell>
          <cell r="U52">
            <v>-0.11764705882352955</v>
          </cell>
          <cell r="W52">
            <v>-0.11764705882352955</v>
          </cell>
        </row>
        <row r="54">
          <cell r="A54" t="str">
            <v>95/94</v>
          </cell>
          <cell r="B54">
            <v>9.7089233602179803E-2</v>
          </cell>
          <cell r="C54">
            <v>0.1263978469676581</v>
          </cell>
          <cell r="D54">
            <v>8.2268147578734796E-2</v>
          </cell>
          <cell r="E54">
            <v>8.9347079037800592E-2</v>
          </cell>
          <cell r="F54">
            <v>9.9122807017543835E-2</v>
          </cell>
          <cell r="G54">
            <v>5.699534148433405E-2</v>
          </cell>
          <cell r="H54">
            <v>0</v>
          </cell>
          <cell r="I54">
            <v>0.30949839914621124</v>
          </cell>
          <cell r="J54">
            <v>0.19999999999999996</v>
          </cell>
          <cell r="L54">
            <v>0.37647058823529411</v>
          </cell>
          <cell r="M54" t="str">
            <v xml:space="preserve">    NM</v>
          </cell>
          <cell r="N54" t="str">
            <v xml:space="preserve">NM </v>
          </cell>
          <cell r="O54">
            <v>-1.2574993264569678E-2</v>
          </cell>
          <cell r="P54">
            <v>0.11592879963486991</v>
          </cell>
          <cell r="Q54">
            <v>0.13014030637556151</v>
          </cell>
          <cell r="S54">
            <v>-5.314547063180286E-2</v>
          </cell>
          <cell r="T54">
            <v>6.7114093959732557E-3</v>
          </cell>
          <cell r="U54">
            <v>-6.1776061776061653E-2</v>
          </cell>
          <cell r="W54">
            <v>5.7915057915058021E-2</v>
          </cell>
        </row>
        <row r="56">
          <cell r="A56" t="str">
            <v>1995</v>
          </cell>
        </row>
        <row r="57">
          <cell r="A57" t="str">
            <v xml:space="preserve"> 1Q</v>
          </cell>
          <cell r="B57">
            <v>1604.6</v>
          </cell>
          <cell r="C57">
            <v>532.29999999999995</v>
          </cell>
          <cell r="D57">
            <v>1072.3</v>
          </cell>
          <cell r="E57">
            <v>627.9</v>
          </cell>
          <cell r="F57">
            <v>114.3</v>
          </cell>
          <cell r="G57">
            <v>330.09999999999997</v>
          </cell>
          <cell r="H57">
            <v>12.5</v>
          </cell>
          <cell r="I57">
            <v>-29.2</v>
          </cell>
          <cell r="J57">
            <v>-3.5</v>
          </cell>
          <cell r="L57">
            <v>-0.99999999999999967</v>
          </cell>
          <cell r="M57">
            <v>-21.2</v>
          </cell>
          <cell r="N57">
            <v>-30.3</v>
          </cell>
          <cell r="O57">
            <v>278.59999999999997</v>
          </cell>
          <cell r="P57">
            <v>77.2</v>
          </cell>
          <cell r="Q57">
            <v>0.27709978463747315</v>
          </cell>
          <cell r="S57">
            <v>201.39999999999998</v>
          </cell>
          <cell r="T57">
            <v>807.75</v>
          </cell>
          <cell r="U57">
            <v>0.25</v>
          </cell>
          <cell r="W57">
            <v>0.25</v>
          </cell>
        </row>
        <row r="58">
          <cell r="A58" t="str">
            <v xml:space="preserve"> 2Q</v>
          </cell>
          <cell r="B58">
            <v>1799.6</v>
          </cell>
          <cell r="C58">
            <v>611.6</v>
          </cell>
          <cell r="D58">
            <v>1188</v>
          </cell>
          <cell r="E58">
            <v>748.19999999999993</v>
          </cell>
          <cell r="F58">
            <v>119.5</v>
          </cell>
          <cell r="G58">
            <v>320.30000000000007</v>
          </cell>
          <cell r="H58">
            <v>12.6</v>
          </cell>
          <cell r="I58">
            <v>-33</v>
          </cell>
          <cell r="J58">
            <v>-3.5</v>
          </cell>
          <cell r="L58">
            <v>10.200000000000001</v>
          </cell>
          <cell r="M58">
            <v>-13.699999999999998</v>
          </cell>
          <cell r="N58">
            <v>-28.6</v>
          </cell>
          <cell r="O58">
            <v>278.00000000000006</v>
          </cell>
          <cell r="P58">
            <v>77</v>
          </cell>
          <cell r="Q58">
            <v>0.27697841726618699</v>
          </cell>
          <cell r="S58">
            <v>201.00000000000006</v>
          </cell>
          <cell r="T58">
            <v>809.40000000000009</v>
          </cell>
          <cell r="U58">
            <v>0.25</v>
          </cell>
          <cell r="W58">
            <v>0.25</v>
          </cell>
        </row>
        <row r="59">
          <cell r="A59" t="str">
            <v xml:space="preserve"> 3Q</v>
          </cell>
          <cell r="B59">
            <v>1775.7</v>
          </cell>
          <cell r="C59">
            <v>622.1</v>
          </cell>
          <cell r="D59">
            <v>1153.5999999999999</v>
          </cell>
          <cell r="E59">
            <v>785.8</v>
          </cell>
          <cell r="F59">
            <v>130.19999999999999</v>
          </cell>
          <cell r="G59">
            <v>237.59999999999997</v>
          </cell>
          <cell r="H59">
            <v>13</v>
          </cell>
          <cell r="I59">
            <v>-31.3</v>
          </cell>
          <cell r="J59">
            <v>-3.5</v>
          </cell>
          <cell r="L59">
            <v>-1.6000000000000085</v>
          </cell>
          <cell r="M59">
            <v>-23.400000000000009</v>
          </cell>
          <cell r="N59">
            <v>-35.200000000000003</v>
          </cell>
          <cell r="O59">
            <v>178.99999999999994</v>
          </cell>
          <cell r="P59">
            <v>47.4</v>
          </cell>
          <cell r="Q59">
            <v>0.26480446927374307</v>
          </cell>
          <cell r="S59">
            <v>131.59999999999994</v>
          </cell>
          <cell r="T59">
            <v>810.96300000000008</v>
          </cell>
          <cell r="U59">
            <v>0.16333333333333333</v>
          </cell>
          <cell r="W59">
            <v>0.26333333333333336</v>
          </cell>
        </row>
        <row r="60">
          <cell r="A60" t="str">
            <v xml:space="preserve"> 4Q</v>
          </cell>
          <cell r="B60">
            <v>1859.9</v>
          </cell>
          <cell r="C60">
            <v>661.5</v>
          </cell>
          <cell r="D60">
            <v>1198.4000000000001</v>
          </cell>
          <cell r="E60">
            <v>817.9</v>
          </cell>
          <cell r="F60">
            <v>137.19999999999999</v>
          </cell>
          <cell r="G60">
            <v>243.30000000000013</v>
          </cell>
          <cell r="H60">
            <v>11.6</v>
          </cell>
          <cell r="I60">
            <v>-29.2</v>
          </cell>
          <cell r="J60">
            <v>-4.5</v>
          </cell>
          <cell r="L60">
            <v>-19.299999999999997</v>
          </cell>
          <cell r="M60">
            <v>-41.4</v>
          </cell>
          <cell r="N60">
            <v>-35.9</v>
          </cell>
          <cell r="O60">
            <v>166.00000000000011</v>
          </cell>
          <cell r="P60">
            <v>42.9</v>
          </cell>
          <cell r="Q60">
            <v>0.25843373493975885</v>
          </cell>
          <cell r="S60">
            <v>123.10000000000011</v>
          </cell>
          <cell r="T60">
            <v>811.19999999999993</v>
          </cell>
          <cell r="U60">
            <v>0.15</v>
          </cell>
          <cell r="W60">
            <v>0.15</v>
          </cell>
        </row>
        <row r="62">
          <cell r="A62" t="str">
            <v>1995</v>
          </cell>
          <cell r="B62">
            <v>7039.7999999999993</v>
          </cell>
          <cell r="C62">
            <v>2427.5</v>
          </cell>
          <cell r="D62">
            <v>4612.2999999999993</v>
          </cell>
          <cell r="E62">
            <v>2979.7999999999997</v>
          </cell>
          <cell r="F62">
            <v>501.2</v>
          </cell>
          <cell r="G62">
            <v>1131.2999999999995</v>
          </cell>
          <cell r="H62">
            <v>49.7</v>
          </cell>
          <cell r="I62">
            <v>-122.7</v>
          </cell>
          <cell r="J62">
            <v>-15</v>
          </cell>
          <cell r="L62">
            <v>-11.700000000000005</v>
          </cell>
          <cell r="M62">
            <v>-99.700000000000017</v>
          </cell>
          <cell r="N62">
            <v>-130</v>
          </cell>
          <cell r="O62">
            <v>901.6</v>
          </cell>
          <cell r="P62">
            <v>244.5</v>
          </cell>
          <cell r="Q62">
            <v>0.27118456078083408</v>
          </cell>
          <cell r="S62">
            <v>657.10000000000014</v>
          </cell>
          <cell r="T62">
            <v>810</v>
          </cell>
          <cell r="U62">
            <v>0.81</v>
          </cell>
          <cell r="W62">
            <v>0.91333333333333344</v>
          </cell>
        </row>
        <row r="64">
          <cell r="A64" t="str">
            <v>96/95</v>
          </cell>
        </row>
        <row r="65">
          <cell r="A65" t="str">
            <v xml:space="preserve"> 1Q</v>
          </cell>
          <cell r="B65">
            <v>0.13997257883584702</v>
          </cell>
          <cell r="C65">
            <v>0.10764606424948342</v>
          </cell>
          <cell r="D65">
            <v>0.15601977058658956</v>
          </cell>
          <cell r="E65">
            <v>0.20385411689759514</v>
          </cell>
          <cell r="F65">
            <v>0.13473315835520561</v>
          </cell>
          <cell r="G65">
            <v>7.2402302332626345E-2</v>
          </cell>
          <cell r="H65">
            <v>-3.2000000000000028E-2</v>
          </cell>
          <cell r="I65">
            <v>0</v>
          </cell>
          <cell r="J65" t="str">
            <v xml:space="preserve">NM </v>
          </cell>
          <cell r="L65" t="str">
            <v xml:space="preserve">NM </v>
          </cell>
          <cell r="M65" t="str">
            <v xml:space="preserve">NM </v>
          </cell>
          <cell r="N65">
            <v>7.2607260726072598E-2</v>
          </cell>
          <cell r="O65">
            <v>8.2555635319454534E-2</v>
          </cell>
          <cell r="P65">
            <v>5.569948186528495E-2</v>
          </cell>
          <cell r="Q65">
            <v>-2.4808104616484195E-2</v>
          </cell>
          <cell r="S65">
            <v>9.2850049652432931E-2</v>
          </cell>
          <cell r="T65">
            <v>2.3955431754874468E-2</v>
          </cell>
          <cell r="U65">
            <v>4.0000000000000036E-2</v>
          </cell>
          <cell r="W65">
            <v>0.21333333333333337</v>
          </cell>
        </row>
        <row r="66">
          <cell r="A66" t="str">
            <v xml:space="preserve"> 2Q</v>
          </cell>
          <cell r="B66">
            <v>-4.6677039342075677E-3</v>
          </cell>
          <cell r="C66">
            <v>-6.4748201438848962E-2</v>
          </cell>
          <cell r="D66">
            <v>2.626262626262621E-2</v>
          </cell>
          <cell r="E66">
            <v>2.0181769580326137E-2</v>
          </cell>
          <cell r="F66">
            <v>9.3723849372384871E-2</v>
          </cell>
          <cell r="G66">
            <v>1.5298157976896709E-2</v>
          </cell>
          <cell r="H66">
            <v>0.26984126984126977</v>
          </cell>
          <cell r="I66">
            <v>-4.8484848484848575E-2</v>
          </cell>
          <cell r="J66" t="str">
            <v xml:space="preserve">NM </v>
          </cell>
          <cell r="L66" t="str">
            <v xml:space="preserve">NM </v>
          </cell>
          <cell r="M66" t="str">
            <v xml:space="preserve">NM </v>
          </cell>
          <cell r="N66">
            <v>0.27622377622377625</v>
          </cell>
          <cell r="O66">
            <v>6.2589928057554145E-2</v>
          </cell>
          <cell r="P66">
            <v>6.7532467532467555E-2</v>
          </cell>
          <cell r="Q66">
            <v>4.6514081720578915E-3</v>
          </cell>
          <cell r="S66">
            <v>6.0696517412935469E-2</v>
          </cell>
          <cell r="T66">
            <v>2.1868050407709116E-2</v>
          </cell>
          <cell r="U66">
            <v>2.6666666666666616E-2</v>
          </cell>
          <cell r="W66">
            <v>2.6666666666666616E-2</v>
          </cell>
        </row>
        <row r="67">
          <cell r="A67" t="str">
            <v xml:space="preserve"> 3Q</v>
          </cell>
          <cell r="B67">
            <v>-4.3363180717463923E-3</v>
          </cell>
          <cell r="C67">
            <v>-6.735251567272138E-2</v>
          </cell>
          <cell r="D67">
            <v>2.9646324549237102E-2</v>
          </cell>
          <cell r="E67">
            <v>-9.1626368032577954E-3</v>
          </cell>
          <cell r="F67">
            <v>0.11367127496159757</v>
          </cell>
          <cell r="G67">
            <v>0.1119528619528618</v>
          </cell>
          <cell r="H67">
            <v>0.15384615384615374</v>
          </cell>
          <cell r="I67">
            <v>0.50479233226837072</v>
          </cell>
          <cell r="J67" t="str">
            <v xml:space="preserve">NM </v>
          </cell>
          <cell r="L67" t="str">
            <v xml:space="preserve">NM </v>
          </cell>
          <cell r="M67" t="str">
            <v xml:space="preserve">NM </v>
          </cell>
          <cell r="N67" t="str">
            <v xml:space="preserve">NM </v>
          </cell>
          <cell r="O67">
            <v>0.17318435754189943</v>
          </cell>
          <cell r="P67">
            <v>0.31434599156118148</v>
          </cell>
          <cell r="Q67">
            <v>0.12032348804500703</v>
          </cell>
          <cell r="S67">
            <v>0.12234042553191493</v>
          </cell>
          <cell r="T67">
            <v>1.9898565039341953E-2</v>
          </cell>
          <cell r="U67">
            <v>0.12244897959183687</v>
          </cell>
          <cell r="W67">
            <v>-0.30379746835443044</v>
          </cell>
        </row>
        <row r="68">
          <cell r="A68" t="str">
            <v xml:space="preserve"> 4Q</v>
          </cell>
          <cell r="B68">
            <v>-9.086510027420891E-3</v>
          </cell>
          <cell r="C68">
            <v>-8.5260770975056688E-2</v>
          </cell>
          <cell r="D68">
            <v>3.2960614152202972E-2</v>
          </cell>
          <cell r="E68">
            <v>1.2226433549344939E-4</v>
          </cell>
          <cell r="F68">
            <v>8.8921282798833934E-2</v>
          </cell>
          <cell r="G68">
            <v>0.11179613645704878</v>
          </cell>
          <cell r="H68">
            <v>8.6206896551723755E-3</v>
          </cell>
          <cell r="I68">
            <v>0.31506849315068486</v>
          </cell>
          <cell r="J68" t="str">
            <v xml:space="preserve">NM </v>
          </cell>
          <cell r="L68" t="str">
            <v xml:space="preserve">NM </v>
          </cell>
          <cell r="M68" t="str">
            <v xml:space="preserve">NM </v>
          </cell>
          <cell r="N68" t="str">
            <v xml:space="preserve">NM </v>
          </cell>
          <cell r="O68">
            <v>0.44879518072289115</v>
          </cell>
          <cell r="P68">
            <v>0.62703962703962701</v>
          </cell>
          <cell r="Q68">
            <v>0.12302943072173855</v>
          </cell>
          <cell r="S68">
            <v>0.38667749796913031</v>
          </cell>
          <cell r="T68">
            <v>1.9600591715976279E-2</v>
          </cell>
          <cell r="U68">
            <v>0.37777777777777777</v>
          </cell>
          <cell r="W68">
            <v>0.37777777777777777</v>
          </cell>
        </row>
        <row r="70">
          <cell r="A70" t="str">
            <v>96/95</v>
          </cell>
          <cell r="B70">
            <v>2.7216682292110717E-2</v>
          </cell>
          <cell r="C70">
            <v>-3.3202883625128687E-2</v>
          </cell>
          <cell r="D70">
            <v>5.9016109099581771E-2</v>
          </cell>
          <cell r="E70">
            <v>4.5640647023290182E-2</v>
          </cell>
          <cell r="F70">
            <v>0.10694333599361516</v>
          </cell>
          <cell r="G70">
            <v>7.3013347476355239E-2</v>
          </cell>
          <cell r="H70">
            <v>0.10261569416498983</v>
          </cell>
          <cell r="I70">
            <v>0.19070904645476761</v>
          </cell>
          <cell r="J70">
            <v>1.1000000000000001</v>
          </cell>
          <cell r="L70" t="str">
            <v xml:space="preserve">NM </v>
          </cell>
          <cell r="M70">
            <v>-2.3069207622868682E-2</v>
          </cell>
          <cell r="N70" t="str">
            <v xml:space="preserve">NM </v>
          </cell>
          <cell r="O70">
            <v>0.16182342502218283</v>
          </cell>
          <cell r="P70">
            <v>0.20981595092024552</v>
          </cell>
          <cell r="Q70">
            <v>4.1307934462714302E-2</v>
          </cell>
          <cell r="S70">
            <v>0.14396591082027066</v>
          </cell>
          <cell r="T70">
            <v>2.1111111111111081E-2</v>
          </cell>
          <cell r="U70">
            <v>0.11934156378600824</v>
          </cell>
          <cell r="W70">
            <v>4.014598540145986E-2</v>
          </cell>
        </row>
        <row r="72">
          <cell r="A72" t="str">
            <v>1996 (c)</v>
          </cell>
        </row>
        <row r="73">
          <cell r="A73" t="str">
            <v xml:space="preserve"> 1Q</v>
          </cell>
          <cell r="B73">
            <v>1829.2</v>
          </cell>
          <cell r="C73">
            <v>589.6</v>
          </cell>
          <cell r="D73">
            <v>1239.5999999999999</v>
          </cell>
          <cell r="E73">
            <v>755.9</v>
          </cell>
          <cell r="F73">
            <v>129.69999999999999</v>
          </cell>
          <cell r="G73">
            <v>353.99999999999994</v>
          </cell>
          <cell r="H73">
            <v>12.1</v>
          </cell>
          <cell r="I73">
            <v>-29.2</v>
          </cell>
          <cell r="J73">
            <v>-3.5</v>
          </cell>
          <cell r="L73">
            <v>0.69999999999999785</v>
          </cell>
          <cell r="M73">
            <v>-19.900000000000002</v>
          </cell>
          <cell r="N73">
            <v>-32.5</v>
          </cell>
          <cell r="O73">
            <v>301.59999999999997</v>
          </cell>
          <cell r="P73">
            <v>81.5</v>
          </cell>
          <cell r="Q73">
            <v>0.27022546419098148</v>
          </cell>
          <cell r="S73">
            <v>220.09999999999997</v>
          </cell>
          <cell r="T73">
            <v>827.09999999999991</v>
          </cell>
          <cell r="U73">
            <v>0.26</v>
          </cell>
          <cell r="W73">
            <v>0.30333333333333334</v>
          </cell>
        </row>
        <row r="74">
          <cell r="A74" t="str">
            <v xml:space="preserve"> 2Q</v>
          </cell>
          <cell r="B74">
            <v>1791.2</v>
          </cell>
          <cell r="C74">
            <v>572</v>
          </cell>
          <cell r="D74">
            <v>1219.2</v>
          </cell>
          <cell r="E74">
            <v>763.3</v>
          </cell>
          <cell r="F74">
            <v>130.69999999999999</v>
          </cell>
          <cell r="G74">
            <v>325.2000000000001</v>
          </cell>
          <cell r="H74">
            <v>16</v>
          </cell>
          <cell r="I74">
            <v>-31.4</v>
          </cell>
          <cell r="J74">
            <v>-4</v>
          </cell>
          <cell r="L74">
            <v>26.1</v>
          </cell>
          <cell r="M74">
            <v>6.7000000000000028</v>
          </cell>
          <cell r="N74">
            <v>-36.5</v>
          </cell>
          <cell r="O74">
            <v>295.40000000000009</v>
          </cell>
          <cell r="P74">
            <v>82.2</v>
          </cell>
          <cell r="Q74">
            <v>0.27826675693974262</v>
          </cell>
          <cell r="S74">
            <v>213.2000000000001</v>
          </cell>
          <cell r="T74">
            <v>827.09999999999991</v>
          </cell>
          <cell r="U74">
            <v>0.25666666666666665</v>
          </cell>
          <cell r="W74">
            <v>0.25666666666666665</v>
          </cell>
        </row>
        <row r="75">
          <cell r="A75" t="str">
            <v xml:space="preserve"> 3Q</v>
          </cell>
          <cell r="B75">
            <v>1768</v>
          </cell>
          <cell r="C75">
            <v>580.20000000000005</v>
          </cell>
          <cell r="D75">
            <v>1187.8</v>
          </cell>
          <cell r="E75">
            <v>778.6</v>
          </cell>
          <cell r="F75">
            <v>145</v>
          </cell>
          <cell r="G75">
            <v>264.19999999999993</v>
          </cell>
          <cell r="H75">
            <v>15</v>
          </cell>
          <cell r="I75">
            <v>-47.1</v>
          </cell>
          <cell r="J75">
            <v>-13</v>
          </cell>
          <cell r="L75">
            <v>-9.1</v>
          </cell>
          <cell r="M75">
            <v>-54.2</v>
          </cell>
          <cell r="N75">
            <v>0</v>
          </cell>
          <cell r="O75">
            <v>209.99999999999994</v>
          </cell>
          <cell r="P75">
            <v>62.3</v>
          </cell>
          <cell r="Q75">
            <v>0.29666666666666675</v>
          </cell>
          <cell r="S75">
            <v>147.69999999999993</v>
          </cell>
          <cell r="T75">
            <v>827.09999999999991</v>
          </cell>
          <cell r="U75">
            <v>0.18333333333333335</v>
          </cell>
          <cell r="W75">
            <v>0.18333333333333335</v>
          </cell>
        </row>
        <row r="76">
          <cell r="A76" t="str">
            <v xml:space="preserve"> 4Q</v>
          </cell>
          <cell r="B76">
            <v>1843</v>
          </cell>
          <cell r="C76">
            <v>605.1</v>
          </cell>
          <cell r="D76">
            <v>1237.9000000000001</v>
          </cell>
          <cell r="E76">
            <v>818</v>
          </cell>
          <cell r="F76">
            <v>149.4</v>
          </cell>
          <cell r="G76">
            <v>270.50000000000011</v>
          </cell>
          <cell r="H76">
            <v>11.7</v>
          </cell>
          <cell r="I76">
            <v>-38.4</v>
          </cell>
          <cell r="J76">
            <v>-11</v>
          </cell>
          <cell r="L76">
            <v>7.7</v>
          </cell>
          <cell r="M76">
            <v>-30.000000000000004</v>
          </cell>
          <cell r="N76">
            <v>0</v>
          </cell>
          <cell r="O76">
            <v>240.50000000000011</v>
          </cell>
          <cell r="P76">
            <v>69.8</v>
          </cell>
          <cell r="Q76">
            <v>0.29022869022869008</v>
          </cell>
          <cell r="S76">
            <v>170.7000000000001</v>
          </cell>
          <cell r="T76">
            <v>827.09999999999991</v>
          </cell>
          <cell r="U76">
            <v>0.20666666666666667</v>
          </cell>
          <cell r="W76">
            <v>0.20666666666666667</v>
          </cell>
        </row>
        <row r="78">
          <cell r="A78" t="str">
            <v>1996 (c)</v>
          </cell>
          <cell r="B78">
            <v>7231.4</v>
          </cell>
          <cell r="C78">
            <v>2346.9</v>
          </cell>
          <cell r="D78">
            <v>4884.5</v>
          </cell>
          <cell r="E78">
            <v>3115.7999999999997</v>
          </cell>
          <cell r="F78">
            <v>554.79999999999995</v>
          </cell>
          <cell r="G78">
            <v>1213.9000000000001</v>
          </cell>
          <cell r="H78">
            <v>54.8</v>
          </cell>
          <cell r="I78">
            <v>-146.1</v>
          </cell>
          <cell r="J78">
            <v>-31.5</v>
          </cell>
          <cell r="L78">
            <v>72</v>
          </cell>
          <cell r="M78">
            <v>-97.4</v>
          </cell>
          <cell r="N78">
            <v>-69</v>
          </cell>
          <cell r="O78">
            <v>1047.5</v>
          </cell>
          <cell r="P78">
            <v>295.8</v>
          </cell>
          <cell r="Q78">
            <v>0.28238663484486876</v>
          </cell>
          <cell r="S78">
            <v>751.7</v>
          </cell>
          <cell r="T78">
            <v>827.09999999999991</v>
          </cell>
          <cell r="U78">
            <v>0.90666666666666673</v>
          </cell>
          <cell r="W78">
            <v>0.95000000000000007</v>
          </cell>
        </row>
        <row r="80">
          <cell r="A80" t="str">
            <v>97/96</v>
          </cell>
        </row>
        <row r="81">
          <cell r="A81" t="str">
            <v xml:space="preserve"> 1Q</v>
          </cell>
          <cell r="B81">
            <v>-2.8318390553247252E-2</v>
          </cell>
          <cell r="C81">
            <v>-6.8521031207598337E-2</v>
          </cell>
          <cell r="D81">
            <v>-9.1965150048402E-3</v>
          </cell>
          <cell r="E81">
            <v>8.3344357719274953E-3</v>
          </cell>
          <cell r="F81">
            <v>3.2382420971472703E-2</v>
          </cell>
          <cell r="G81">
            <v>-6.1864406779660763E-2</v>
          </cell>
          <cell r="H81">
            <v>-0.3223140495867769</v>
          </cell>
          <cell r="I81">
            <v>0.34246575342465757</v>
          </cell>
          <cell r="J81" t="str">
            <v xml:space="preserve">NM </v>
          </cell>
          <cell r="L81" t="str">
            <v xml:space="preserve">NM </v>
          </cell>
          <cell r="M81" t="str">
            <v xml:space="preserve">NM </v>
          </cell>
          <cell r="N81" t="str">
            <v xml:space="preserve">NM </v>
          </cell>
          <cell r="O81">
            <v>-3.315649867373982E-2</v>
          </cell>
          <cell r="P81">
            <v>7.361963190184051E-2</v>
          </cell>
          <cell r="Q81">
            <v>0.11043786344854256</v>
          </cell>
          <cell r="S81">
            <v>-7.2694229895501783E-2</v>
          </cell>
          <cell r="T81">
            <v>7.5021158263812726E-3</v>
          </cell>
          <cell r="U81">
            <v>-5.7967970911010913E-2</v>
          </cell>
          <cell r="W81">
            <v>-0.19254397506658072</v>
          </cell>
        </row>
        <row r="82">
          <cell r="A82" t="str">
            <v xml:space="preserve"> 2Q</v>
          </cell>
          <cell r="B82">
            <v>9.7979008485931107E-2</v>
          </cell>
          <cell r="C82">
            <v>3.7762237762237749E-2</v>
          </cell>
          <cell r="D82">
            <v>0.12623031496062986</v>
          </cell>
          <cell r="E82">
            <v>0.12354251277348371</v>
          </cell>
          <cell r="F82">
            <v>0.21040550879877573</v>
          </cell>
          <cell r="G82">
            <v>9.8708487084870233E-2</v>
          </cell>
          <cell r="H82">
            <v>-0.4375</v>
          </cell>
          <cell r="I82">
            <v>0.52866242038216571</v>
          </cell>
          <cell r="J82" t="str">
            <v xml:space="preserve">NM </v>
          </cell>
          <cell r="L82" t="str">
            <v xml:space="preserve">NM </v>
          </cell>
          <cell r="M82" t="str">
            <v xml:space="preserve">NM </v>
          </cell>
          <cell r="N82" t="str">
            <v xml:space="preserve">NM </v>
          </cell>
          <cell r="O82">
            <v>0.11882193635748073</v>
          </cell>
          <cell r="P82">
            <v>0.20559610705596087</v>
          </cell>
          <cell r="Q82">
            <v>7.755851747150122E-2</v>
          </cell>
          <cell r="S82">
            <v>8.5365853658535551E-2</v>
          </cell>
          <cell r="T82">
            <v>1.2173860476363263E-2</v>
          </cell>
          <cell r="U82">
            <v>7.6913313271802064E-2</v>
          </cell>
          <cell r="W82">
            <v>7.6913313271802064E-2</v>
          </cell>
        </row>
        <row r="83">
          <cell r="A83" t="str">
            <v xml:space="preserve"> 3Q</v>
          </cell>
          <cell r="B83">
            <v>0.19247737556561106</v>
          </cell>
          <cell r="C83">
            <v>5.8255773871078942E-2</v>
          </cell>
          <cell r="D83">
            <v>0.25804007408654672</v>
          </cell>
          <cell r="E83">
            <v>0.24389930644746971</v>
          </cell>
          <cell r="F83">
            <v>0.25517241379310351</v>
          </cell>
          <cell r="G83">
            <v>0.30128690386071266</v>
          </cell>
          <cell r="H83">
            <v>-0.28666666666666674</v>
          </cell>
          <cell r="I83">
            <v>-8.7048832271762189E-2</v>
          </cell>
          <cell r="J83" t="str">
            <v xml:space="preserve">NM </v>
          </cell>
          <cell r="L83" t="str">
            <v xml:space="preserve">NM </v>
          </cell>
          <cell r="M83" t="str">
            <v xml:space="preserve">NM </v>
          </cell>
          <cell r="N83" t="str">
            <v xml:space="preserve">NM </v>
          </cell>
          <cell r="O83">
            <v>0.34904761904762038</v>
          </cell>
          <cell r="P83">
            <v>0.36436597110754421</v>
          </cell>
          <cell r="Q83">
            <v>1.1354937990059932E-2</v>
          </cell>
          <cell r="S83">
            <v>0.34258632362897945</v>
          </cell>
          <cell r="T83">
            <v>1.4508523757707614E-2</v>
          </cell>
          <cell r="U83">
            <v>0.30909090909090886</v>
          </cell>
          <cell r="W83">
            <v>0.30909090909090886</v>
          </cell>
        </row>
        <row r="84">
          <cell r="A84" t="str">
            <v xml:space="preserve"> 4Q</v>
          </cell>
          <cell r="B84">
            <v>0.26283233857840482</v>
          </cell>
          <cell r="C84">
            <v>7.5524706660056173E-2</v>
          </cell>
          <cell r="D84">
            <v>0.35439050004039108</v>
          </cell>
          <cell r="E84">
            <v>0.33007334963325174</v>
          </cell>
          <cell r="F84">
            <v>0.32597054886211496</v>
          </cell>
          <cell r="G84">
            <v>0.44362292051755992</v>
          </cell>
          <cell r="H84">
            <v>0.15384615384615397</v>
          </cell>
          <cell r="I84">
            <v>-4.1666666666666741E-2</v>
          </cell>
          <cell r="J84" t="str">
            <v xml:space="preserve">NM </v>
          </cell>
          <cell r="L84" t="str">
            <v xml:space="preserve">NM </v>
          </cell>
          <cell r="M84" t="str">
            <v xml:space="preserve">NM </v>
          </cell>
          <cell r="N84" t="str">
            <v xml:space="preserve">NM </v>
          </cell>
          <cell r="O84">
            <v>0.36382536382536368</v>
          </cell>
          <cell r="P84">
            <v>0.32234957020057298</v>
          </cell>
          <cell r="Q84">
            <v>-3.0411366971835663E-2</v>
          </cell>
          <cell r="S84">
            <v>0.3807850029291151</v>
          </cell>
          <cell r="T84">
            <v>1.4508523757707614E-2</v>
          </cell>
          <cell r="U84">
            <v>0.35483870967741948</v>
          </cell>
          <cell r="W84">
            <v>0.35483870967741948</v>
          </cell>
        </row>
        <row r="86">
          <cell r="A86" t="str">
            <v>Year</v>
          </cell>
          <cell r="B86">
            <v>0.13115026136017938</v>
          </cell>
          <cell r="C86">
            <v>2.5863905577570456E-2</v>
          </cell>
          <cell r="D86">
            <v>0.18173815129491255</v>
          </cell>
          <cell r="E86">
            <v>0.17988959496758472</v>
          </cell>
          <cell r="F86">
            <v>0.21160778658976231</v>
          </cell>
          <cell r="G86">
            <v>0.17283136996457715</v>
          </cell>
          <cell r="H86">
            <v>-0.24452554744525545</v>
          </cell>
          <cell r="I86">
            <v>0.14305270362765232</v>
          </cell>
          <cell r="J86">
            <v>0.79047619047619055</v>
          </cell>
          <cell r="L86" t="str">
            <v xml:space="preserve">NM </v>
          </cell>
          <cell r="M86">
            <v>0.9537987679671458</v>
          </cell>
          <cell r="N86" t="str">
            <v xml:space="preserve">NM </v>
          </cell>
          <cell r="O86">
            <v>0.17747016706443919</v>
          </cell>
          <cell r="P86">
            <v>0.23022312373225162</v>
          </cell>
          <cell r="Q86">
            <v>4.4801947551105448E-2</v>
          </cell>
          <cell r="S86">
            <v>0.15671145403751519</v>
          </cell>
          <cell r="T86">
            <v>1.2173255954539997E-2</v>
          </cell>
          <cell r="U86">
            <v>0.14853243893702173</v>
          </cell>
          <cell r="W86">
            <v>9.6143239967964478E-2</v>
          </cell>
        </row>
        <row r="88">
          <cell r="A88">
            <v>1997</v>
          </cell>
        </row>
        <row r="89">
          <cell r="A89" t="str">
            <v xml:space="preserve"> 1Q</v>
          </cell>
          <cell r="B89">
            <v>1777.4</v>
          </cell>
          <cell r="C89">
            <v>549.20000000000005</v>
          </cell>
          <cell r="D89">
            <v>1228.2</v>
          </cell>
          <cell r="E89">
            <v>762.2</v>
          </cell>
          <cell r="F89">
            <v>133.9</v>
          </cell>
          <cell r="G89">
            <v>332.1</v>
          </cell>
          <cell r="H89">
            <v>8.1999999999999993</v>
          </cell>
          <cell r="I89">
            <v>-39.200000000000003</v>
          </cell>
          <cell r="J89">
            <v>-12.4</v>
          </cell>
          <cell r="L89">
            <v>2.9</v>
          </cell>
          <cell r="M89">
            <v>-40.500000000000007</v>
          </cell>
          <cell r="N89">
            <v>0</v>
          </cell>
          <cell r="O89">
            <v>291.60000000000002</v>
          </cell>
          <cell r="P89">
            <v>87.5</v>
          </cell>
          <cell r="Q89">
            <v>0.30006858710562412</v>
          </cell>
          <cell r="S89">
            <v>204.10000000000002</v>
          </cell>
          <cell r="T89">
            <v>833.30499999999995</v>
          </cell>
          <cell r="U89">
            <v>0.24492832756313718</v>
          </cell>
          <cell r="V89">
            <v>0.13</v>
          </cell>
          <cell r="W89">
            <v>0.24492832756313718</v>
          </cell>
        </row>
        <row r="90">
          <cell r="A90" t="str">
            <v xml:space="preserve"> 2Q</v>
          </cell>
          <cell r="B90">
            <v>1966.7</v>
          </cell>
          <cell r="C90">
            <v>593.6</v>
          </cell>
          <cell r="D90">
            <v>1373.1</v>
          </cell>
          <cell r="E90">
            <v>857.6</v>
          </cell>
          <cell r="F90">
            <v>158.19999999999999</v>
          </cell>
          <cell r="G90">
            <v>357.2999999999999</v>
          </cell>
          <cell r="H90">
            <v>9</v>
          </cell>
          <cell r="I90">
            <v>-48</v>
          </cell>
          <cell r="J90">
            <v>-12.8</v>
          </cell>
          <cell r="L90">
            <v>25</v>
          </cell>
          <cell r="M90">
            <v>-26.799999999999997</v>
          </cell>
          <cell r="N90">
            <v>0</v>
          </cell>
          <cell r="O90">
            <v>330.49999999999989</v>
          </cell>
          <cell r="P90">
            <v>99.1</v>
          </cell>
          <cell r="Q90">
            <v>0.29984871406959163</v>
          </cell>
          <cell r="S90">
            <v>231.39999999999989</v>
          </cell>
          <cell r="T90">
            <v>837.16899999999998</v>
          </cell>
          <cell r="U90">
            <v>0.27640775040642918</v>
          </cell>
          <cell r="V90">
            <v>0.13</v>
          </cell>
          <cell r="W90">
            <v>0.27640775040642918</v>
          </cell>
        </row>
        <row r="91">
          <cell r="A91" t="str">
            <v xml:space="preserve"> 3Q</v>
          </cell>
          <cell r="B91">
            <v>2108.3000000000002</v>
          </cell>
          <cell r="C91">
            <v>614</v>
          </cell>
          <cell r="D91">
            <v>1494.3000000000002</v>
          </cell>
          <cell r="E91">
            <v>968.5</v>
          </cell>
          <cell r="F91">
            <v>182</v>
          </cell>
          <cell r="G91">
            <v>343.80000000000018</v>
          </cell>
          <cell r="H91">
            <v>10.7</v>
          </cell>
          <cell r="I91">
            <v>-43</v>
          </cell>
          <cell r="J91">
            <v>-13.2</v>
          </cell>
          <cell r="L91">
            <v>-15</v>
          </cell>
          <cell r="M91">
            <v>-60.5</v>
          </cell>
          <cell r="N91">
            <v>0</v>
          </cell>
          <cell r="O91">
            <v>283.30000000000018</v>
          </cell>
          <cell r="P91">
            <v>85</v>
          </cell>
          <cell r="Q91">
            <v>0.30003529827038455</v>
          </cell>
          <cell r="S91">
            <v>198.30000000000018</v>
          </cell>
          <cell r="T91">
            <v>839.09999999999991</v>
          </cell>
          <cell r="U91">
            <v>0.24</v>
          </cell>
          <cell r="V91">
            <v>0.13</v>
          </cell>
          <cell r="W91">
            <v>0.24</v>
          </cell>
        </row>
        <row r="92">
          <cell r="A92" t="str">
            <v xml:space="preserve"> 4Q</v>
          </cell>
          <cell r="B92">
            <v>2327.4</v>
          </cell>
          <cell r="C92">
            <v>650.79999999999995</v>
          </cell>
          <cell r="D92">
            <v>1676.6000000000001</v>
          </cell>
          <cell r="E92">
            <v>1088</v>
          </cell>
          <cell r="F92">
            <v>198.1</v>
          </cell>
          <cell r="G92">
            <v>390.50000000000011</v>
          </cell>
          <cell r="H92">
            <v>13.5</v>
          </cell>
          <cell r="I92">
            <v>-36.799999999999997</v>
          </cell>
          <cell r="J92">
            <v>-18</v>
          </cell>
          <cell r="L92">
            <v>-21.2</v>
          </cell>
          <cell r="M92">
            <v>-62.5</v>
          </cell>
          <cell r="N92">
            <v>0</v>
          </cell>
          <cell r="O92">
            <v>328.00000000000011</v>
          </cell>
          <cell r="P92">
            <v>92.3</v>
          </cell>
          <cell r="Q92">
            <v>0.28140243902439016</v>
          </cell>
          <cell r="S92">
            <v>235.7000000000001</v>
          </cell>
          <cell r="T92">
            <v>839.09999999999991</v>
          </cell>
          <cell r="U92">
            <v>0.28000000000000003</v>
          </cell>
          <cell r="V92">
            <v>0.13</v>
          </cell>
          <cell r="W92">
            <v>0.28000000000000003</v>
          </cell>
        </row>
        <row r="94">
          <cell r="A94" t="str">
            <v>Year</v>
          </cell>
          <cell r="B94">
            <v>8179.8000000000011</v>
          </cell>
          <cell r="C94">
            <v>2407.6000000000004</v>
          </cell>
          <cell r="D94">
            <v>5772.2000000000007</v>
          </cell>
          <cell r="E94">
            <v>3676.3</v>
          </cell>
          <cell r="F94">
            <v>672.2</v>
          </cell>
          <cell r="G94">
            <v>1423.7000000000003</v>
          </cell>
          <cell r="H94">
            <v>41.4</v>
          </cell>
          <cell r="I94">
            <v>-167</v>
          </cell>
          <cell r="J94">
            <v>-56.400000000000006</v>
          </cell>
          <cell r="L94">
            <v>-8.3000000000000007</v>
          </cell>
          <cell r="M94">
            <v>-190.3</v>
          </cell>
          <cell r="N94">
            <v>0</v>
          </cell>
          <cell r="O94">
            <v>1233.4000000000001</v>
          </cell>
          <cell r="P94">
            <v>363.90000000000003</v>
          </cell>
          <cell r="Q94">
            <v>0.2950381060483217</v>
          </cell>
          <cell r="S94">
            <v>869.50000000000023</v>
          </cell>
          <cell r="T94">
            <v>837.16849999999988</v>
          </cell>
          <cell r="U94">
            <v>1.0413360779695664</v>
          </cell>
          <cell r="V94">
            <v>0.52</v>
          </cell>
          <cell r="W94">
            <v>1.0413360779695664</v>
          </cell>
        </row>
        <row r="96">
          <cell r="A96" t="str">
            <v>1998/97</v>
          </cell>
        </row>
        <row r="97">
          <cell r="A97" t="str">
            <v xml:space="preserve"> 1Q</v>
          </cell>
          <cell r="B97">
            <v>0.31140992460897943</v>
          </cell>
          <cell r="C97">
            <v>0.19009468317552791</v>
          </cell>
          <cell r="D97">
            <v>0.36565705911089408</v>
          </cell>
          <cell r="E97">
            <v>0.3438729992128049</v>
          </cell>
          <cell r="F97">
            <v>0.55190440627333825</v>
          </cell>
          <cell r="G97">
            <v>0.34056007226738982</v>
          </cell>
          <cell r="H97">
            <v>0.79268292682926833</v>
          </cell>
          <cell r="I97">
            <v>-8.163265306122458E-2</v>
          </cell>
          <cell r="J97" t="str">
            <v xml:space="preserve">NM </v>
          </cell>
          <cell r="L97" t="str">
            <v xml:space="preserve">NM </v>
          </cell>
          <cell r="M97" t="str">
            <v xml:space="preserve">NM </v>
          </cell>
          <cell r="N97" t="str">
            <v xml:space="preserve">NM </v>
          </cell>
          <cell r="O97">
            <v>0.42661179698216811</v>
          </cell>
          <cell r="P97">
            <v>0.40685714285714281</v>
          </cell>
          <cell r="Q97">
            <v>-1.384725274725318E-2</v>
          </cell>
          <cell r="S97">
            <v>0.4350808427241557</v>
          </cell>
          <cell r="T97">
            <v>4.8798036733249006E-2</v>
          </cell>
          <cell r="U97">
            <v>0.34733292503674651</v>
          </cell>
          <cell r="V97">
            <v>0.23076923076923084</v>
          </cell>
          <cell r="W97">
            <v>0.36831000103135558</v>
          </cell>
        </row>
        <row r="98">
          <cell r="A98" t="str">
            <v xml:space="preserve"> 2Q</v>
          </cell>
          <cell r="B98">
            <v>0.36406162607413428</v>
          </cell>
          <cell r="C98">
            <v>0.19086927223719674</v>
          </cell>
          <cell r="D98">
            <v>0.43893379943194222</v>
          </cell>
          <cell r="E98">
            <v>0.38362873134328379</v>
          </cell>
          <cell r="F98">
            <v>0.64854614412136558</v>
          </cell>
          <cell r="G98">
            <v>0.47886929750909535</v>
          </cell>
          <cell r="H98">
            <v>0.57777777777777772</v>
          </cell>
          <cell r="I98">
            <v>-0.45000000000000007</v>
          </cell>
          <cell r="J98" t="str">
            <v xml:space="preserve">NM </v>
          </cell>
          <cell r="L98" t="str">
            <v xml:space="preserve">NM </v>
          </cell>
          <cell r="M98" t="str">
            <v xml:space="preserve">NM </v>
          </cell>
          <cell r="N98" t="str">
            <v xml:space="preserve">NM </v>
          </cell>
          <cell r="O98">
            <v>0.39546142208774526</v>
          </cell>
          <cell r="P98">
            <v>0.33299697275479323</v>
          </cell>
          <cell r="Q98">
            <v>-4.4762576982959046E-2</v>
          </cell>
          <cell r="S98">
            <v>0.42221261884183159</v>
          </cell>
          <cell r="T98">
            <v>4.961059117095834E-2</v>
          </cell>
          <cell r="U98">
            <v>0.44713742437338011</v>
          </cell>
          <cell r="V98">
            <v>0.23076923076923084</v>
          </cell>
          <cell r="W98">
            <v>0.35499072780429342</v>
          </cell>
        </row>
        <row r="99">
          <cell r="A99" t="str">
            <v xml:space="preserve"> 3Q</v>
          </cell>
          <cell r="B99">
            <v>0.27785419532324607</v>
          </cell>
          <cell r="C99">
            <v>0.1454397394136806</v>
          </cell>
          <cell r="D99">
            <v>0.33226259787191315</v>
          </cell>
          <cell r="E99">
            <v>0.25885389778007228</v>
          </cell>
          <cell r="F99">
            <v>0.41043956043956031</v>
          </cell>
          <cell r="G99">
            <v>0.49767306573589187</v>
          </cell>
          <cell r="H99">
            <v>0.14018691588785037</v>
          </cell>
          <cell r="I99">
            <v>-0.39534883720930236</v>
          </cell>
          <cell r="J99" t="str">
            <v xml:space="preserve">NM </v>
          </cell>
          <cell r="L99" t="str">
            <v xml:space="preserve">NM </v>
          </cell>
          <cell r="M99" t="str">
            <v xml:space="preserve">NM </v>
          </cell>
          <cell r="N99" t="str">
            <v xml:space="preserve">NM </v>
          </cell>
          <cell r="O99">
            <v>0.49805859512883721</v>
          </cell>
          <cell r="P99">
            <v>0.43529411764705883</v>
          </cell>
          <cell r="Q99">
            <v>-4.1897211287907243E-2</v>
          </cell>
          <cell r="S99">
            <v>0.52496217851739635</v>
          </cell>
          <cell r="T99">
            <v>4.9970574424979208E-2</v>
          </cell>
          <cell r="U99">
            <v>0.43014376137654531</v>
          </cell>
          <cell r="V99">
            <v>0.23076923076923084</v>
          </cell>
          <cell r="W99">
            <v>0.43014376137654531</v>
          </cell>
        </row>
        <row r="100">
          <cell r="A100" t="str">
            <v xml:space="preserve"> 4Q</v>
          </cell>
          <cell r="B100">
            <v>0.30450287874881843</v>
          </cell>
          <cell r="C100">
            <v>0.11017209588199139</v>
          </cell>
          <cell r="D100">
            <v>0.37993558391983751</v>
          </cell>
          <cell r="E100">
            <v>0.29034926470588251</v>
          </cell>
          <cell r="F100">
            <v>0.33064109035840494</v>
          </cell>
          <cell r="G100">
            <v>0.65454545454545343</v>
          </cell>
          <cell r="H100">
            <v>8.1481481481481488E-2</v>
          </cell>
          <cell r="I100">
            <v>-0.30163043478260865</v>
          </cell>
          <cell r="J100" t="str">
            <v xml:space="preserve">NM </v>
          </cell>
          <cell r="L100" t="str">
            <v xml:space="preserve">NM </v>
          </cell>
          <cell r="M100" t="str">
            <v xml:space="preserve">NM </v>
          </cell>
          <cell r="N100" t="str">
            <v xml:space="preserve">NM </v>
          </cell>
          <cell r="O100">
            <v>0.94695121951219385</v>
          </cell>
          <cell r="P100">
            <v>0.50920910075839676</v>
          </cell>
          <cell r="Q100">
            <v>-0.22483466168375443</v>
          </cell>
          <cell r="S100">
            <v>0.47942299533304977</v>
          </cell>
          <cell r="T100">
            <v>5.1514447622452719E-2</v>
          </cell>
          <cell r="U100">
            <v>0.41144822124236269</v>
          </cell>
          <cell r="V100">
            <v>0.23076923076923084</v>
          </cell>
          <cell r="W100">
            <v>0.41144822124236269</v>
          </cell>
        </row>
        <row r="102">
          <cell r="A102" t="str">
            <v>Year</v>
          </cell>
          <cell r="B102">
            <v>0.31345509670163074</v>
          </cell>
          <cell r="C102">
            <v>0.15729357036052494</v>
          </cell>
          <cell r="D102">
            <v>0.37859048543016516</v>
          </cell>
          <cell r="E102">
            <v>0.31490901177814634</v>
          </cell>
          <cell r="F102">
            <v>0.47113954180303463</v>
          </cell>
          <cell r="G102">
            <v>0.49933272459085409</v>
          </cell>
          <cell r="H102">
            <v>0.34541062801932365</v>
          </cell>
          <cell r="I102">
            <v>-0.3167664670658682</v>
          </cell>
          <cell r="J102">
            <v>6.0283687943262221E-2</v>
          </cell>
          <cell r="L102" t="str">
            <v xml:space="preserve">NM </v>
          </cell>
          <cell r="M102">
            <v>2.1544929059379658E-2</v>
          </cell>
          <cell r="N102" t="str">
            <v xml:space="preserve">NM </v>
          </cell>
          <cell r="O102">
            <v>0.57305010539970747</v>
          </cell>
          <cell r="P102">
            <v>0.41934597416872754</v>
          </cell>
          <cell r="Q102">
            <v>-9.7710893444124647E-2</v>
          </cell>
          <cell r="S102">
            <v>0.46417481311098285</v>
          </cell>
          <cell r="T102">
            <v>4.9975655737166447E-2</v>
          </cell>
          <cell r="U102">
            <v>0.41014993693625623</v>
          </cell>
          <cell r="V102">
            <v>0.23076923076923084</v>
          </cell>
          <cell r="W102">
            <v>0.39062484662615682</v>
          </cell>
        </row>
        <row r="104">
          <cell r="A104" t="str">
            <v>1998 (a)</v>
          </cell>
        </row>
        <row r="105">
          <cell r="A105" t="str">
            <v xml:space="preserve"> 1QR</v>
          </cell>
          <cell r="B105">
            <v>2330.9</v>
          </cell>
          <cell r="C105">
            <v>653.6</v>
          </cell>
          <cell r="D105">
            <v>1677.3000000000002</v>
          </cell>
          <cell r="E105">
            <v>1024.3</v>
          </cell>
          <cell r="F105">
            <v>207.8</v>
          </cell>
          <cell r="G105">
            <v>445.20000000000022</v>
          </cell>
          <cell r="H105">
            <v>14.7</v>
          </cell>
          <cell r="I105">
            <v>-36</v>
          </cell>
          <cell r="J105">
            <v>-14.8</v>
          </cell>
          <cell r="L105">
            <v>6.9</v>
          </cell>
          <cell r="M105">
            <v>-29.200000000000003</v>
          </cell>
          <cell r="N105">
            <v>0</v>
          </cell>
          <cell r="O105">
            <v>416.00000000000023</v>
          </cell>
          <cell r="P105">
            <v>123.1</v>
          </cell>
          <cell r="Q105">
            <v>0.29591346153846138</v>
          </cell>
          <cell r="S105">
            <v>292.9000000000002</v>
          </cell>
          <cell r="T105">
            <v>873.96864800000003</v>
          </cell>
          <cell r="U105">
            <v>0.33</v>
          </cell>
          <cell r="V105">
            <v>0.16</v>
          </cell>
          <cell r="W105">
            <v>0.33513788014052442</v>
          </cell>
        </row>
        <row r="106">
          <cell r="A106" t="str">
            <v xml:space="preserve"> 2QR</v>
          </cell>
          <cell r="B106">
            <v>2682.7</v>
          </cell>
          <cell r="C106">
            <v>706.9</v>
          </cell>
          <cell r="D106">
            <v>1975.7999999999997</v>
          </cell>
          <cell r="E106">
            <v>1186.6000000000001</v>
          </cell>
          <cell r="F106">
            <v>260.8</v>
          </cell>
          <cell r="G106">
            <v>528.39999999999964</v>
          </cell>
          <cell r="H106">
            <v>14.2</v>
          </cell>
          <cell r="I106">
            <v>-26.4</v>
          </cell>
          <cell r="J106">
            <v>-14.7</v>
          </cell>
          <cell r="L106">
            <v>-40.299999999999997</v>
          </cell>
          <cell r="M106">
            <v>-67.199999999999989</v>
          </cell>
          <cell r="N106">
            <v>0</v>
          </cell>
          <cell r="O106">
            <v>461.19999999999965</v>
          </cell>
          <cell r="P106">
            <v>132.1</v>
          </cell>
          <cell r="Q106">
            <v>0.28642671292281024</v>
          </cell>
          <cell r="S106">
            <v>329.09999999999968</v>
          </cell>
          <cell r="T106">
            <v>878.70144900000003</v>
          </cell>
          <cell r="U106">
            <v>0.4</v>
          </cell>
          <cell r="V106">
            <v>0.16</v>
          </cell>
          <cell r="W106">
            <v>0.37452993889395497</v>
          </cell>
        </row>
        <row r="107">
          <cell r="A107" t="str">
            <v xml:space="preserve"> 3QR</v>
          </cell>
          <cell r="B107">
            <v>2694.1</v>
          </cell>
          <cell r="C107">
            <v>703.3</v>
          </cell>
          <cell r="D107">
            <v>1990.8</v>
          </cell>
          <cell r="E107">
            <v>1219.2</v>
          </cell>
          <cell r="F107">
            <v>256.7</v>
          </cell>
          <cell r="G107">
            <v>514.89999999999986</v>
          </cell>
          <cell r="H107">
            <v>12.2</v>
          </cell>
          <cell r="I107">
            <v>-26</v>
          </cell>
          <cell r="J107">
            <v>-14.9</v>
          </cell>
          <cell r="L107">
            <v>-61.8</v>
          </cell>
          <cell r="M107">
            <v>-90.5</v>
          </cell>
          <cell r="N107">
            <v>0</v>
          </cell>
          <cell r="O107">
            <v>424.39999999999986</v>
          </cell>
          <cell r="P107">
            <v>122</v>
          </cell>
          <cell r="Q107">
            <v>0.28746465598491999</v>
          </cell>
          <cell r="S107">
            <v>302.39999999999998</v>
          </cell>
          <cell r="T107">
            <v>881.03030899999999</v>
          </cell>
          <cell r="U107">
            <v>0.34323450273037087</v>
          </cell>
          <cell r="V107">
            <v>0.16</v>
          </cell>
          <cell r="W107">
            <v>0.34323450273037087</v>
          </cell>
        </row>
        <row r="108">
          <cell r="A108" t="str">
            <v xml:space="preserve"> 4Q</v>
          </cell>
          <cell r="B108">
            <v>3036.1</v>
          </cell>
          <cell r="C108">
            <v>722.5</v>
          </cell>
          <cell r="D108">
            <v>2313.6</v>
          </cell>
          <cell r="E108">
            <v>1403.9</v>
          </cell>
          <cell r="F108">
            <v>263.60000000000002</v>
          </cell>
          <cell r="G108">
            <v>646.0999999999998</v>
          </cell>
          <cell r="H108">
            <v>14.6</v>
          </cell>
          <cell r="I108">
            <v>-25.7</v>
          </cell>
          <cell r="J108">
            <v>-15.4</v>
          </cell>
          <cell r="L108">
            <v>19</v>
          </cell>
          <cell r="M108">
            <v>-7.5</v>
          </cell>
          <cell r="N108">
            <v>0</v>
          </cell>
          <cell r="O108">
            <v>638.5999999999998</v>
          </cell>
          <cell r="P108">
            <v>139.30000000000001</v>
          </cell>
          <cell r="Q108">
            <v>0.21813341684935805</v>
          </cell>
          <cell r="S108">
            <v>348.7</v>
          </cell>
          <cell r="T108">
            <v>882.32577300000003</v>
          </cell>
          <cell r="U108">
            <v>0.39520550194786158</v>
          </cell>
          <cell r="V108">
            <v>0.16</v>
          </cell>
          <cell r="W108">
            <v>0.39520550194786158</v>
          </cell>
        </row>
        <row r="110">
          <cell r="A110" t="str">
            <v>Year</v>
          </cell>
          <cell r="B110">
            <v>10743.800000000001</v>
          </cell>
          <cell r="C110">
            <v>2786.3</v>
          </cell>
          <cell r="D110">
            <v>7957.5</v>
          </cell>
          <cell r="E110">
            <v>4834</v>
          </cell>
          <cell r="F110">
            <v>988.9</v>
          </cell>
          <cell r="G110">
            <v>2134.5999999999995</v>
          </cell>
          <cell r="H110">
            <v>55.699999999999996</v>
          </cell>
          <cell r="I110">
            <v>-114.10000000000001</v>
          </cell>
          <cell r="J110">
            <v>-59.8</v>
          </cell>
          <cell r="L110">
            <v>-76.199999999999989</v>
          </cell>
          <cell r="M110">
            <v>-194.39999999999998</v>
          </cell>
          <cell r="N110">
            <v>0</v>
          </cell>
          <cell r="O110">
            <v>1940.1999999999994</v>
          </cell>
          <cell r="P110">
            <v>516.5</v>
          </cell>
          <cell r="Q110">
            <v>0.2662096691062778</v>
          </cell>
          <cell r="S110">
            <v>1273.0999999999999</v>
          </cell>
          <cell r="T110">
            <v>879.00654474999999</v>
          </cell>
          <cell r="U110">
            <v>1.4684400046782324</v>
          </cell>
          <cell r="V110">
            <v>0.64</v>
          </cell>
          <cell r="W110">
            <v>1.4481078237127119</v>
          </cell>
        </row>
        <row r="112">
          <cell r="A112" t="str">
            <v>1999/98</v>
          </cell>
        </row>
        <row r="113">
          <cell r="A113" t="str">
            <v xml:space="preserve"> 1QA</v>
          </cell>
          <cell r="B113">
            <v>0.28963061478398888</v>
          </cell>
          <cell r="C113">
            <v>0.15116279069767424</v>
          </cell>
          <cell r="D113">
            <v>0.34358790913968851</v>
          </cell>
          <cell r="E113">
            <v>0.33115298252465108</v>
          </cell>
          <cell r="F113">
            <v>0.3185755534167467</v>
          </cell>
          <cell r="G113">
            <v>0.38387241689128393</v>
          </cell>
          <cell r="H113">
            <v>0.52380952380952372</v>
          </cell>
          <cell r="I113">
            <v>-9.722222222222221E-2</v>
          </cell>
          <cell r="J113" t="str">
            <v xml:space="preserve">NM </v>
          </cell>
          <cell r="L113" t="str">
            <v xml:space="preserve">NM </v>
          </cell>
          <cell r="M113" t="str">
            <v xml:space="preserve">NM </v>
          </cell>
          <cell r="N113" t="str">
            <v xml:space="preserve">NM </v>
          </cell>
          <cell r="O113">
            <v>0.29278846153846083</v>
          </cell>
          <cell r="P113">
            <v>0.26563769293257522</v>
          </cell>
          <cell r="Q113">
            <v>-3.6880584890332635E-2</v>
          </cell>
          <cell r="S113">
            <v>0.30419938545578584</v>
          </cell>
          <cell r="T113">
            <v>9.9226671572776315E-3</v>
          </cell>
          <cell r="U113">
            <v>0.31149140825272359</v>
          </cell>
          <cell r="V113">
            <v>0.25</v>
          </cell>
          <cell r="W113">
            <v>0.29138539797986329</v>
          </cell>
        </row>
        <row r="114">
          <cell r="A114" t="str">
            <v xml:space="preserve"> 2QA</v>
          </cell>
          <cell r="B114">
            <v>0.17445111268498148</v>
          </cell>
          <cell r="C114">
            <v>2.3058424105248276E-2</v>
          </cell>
          <cell r="D114">
            <v>0.22861625670614449</v>
          </cell>
          <cell r="E114">
            <v>0.22130456767234108</v>
          </cell>
          <cell r="F114">
            <v>8.0521472392637961E-2</v>
          </cell>
          <cell r="G114">
            <v>0.31813020439061401</v>
          </cell>
          <cell r="H114">
            <v>1.2605633802816905</v>
          </cell>
          <cell r="I114">
            <v>0.39393939393939381</v>
          </cell>
          <cell r="J114" t="str">
            <v xml:space="preserve">NM </v>
          </cell>
          <cell r="L114" t="str">
            <v xml:space="preserve">NM </v>
          </cell>
          <cell r="M114" t="str">
            <v xml:space="preserve">NM </v>
          </cell>
          <cell r="N114" t="str">
            <v xml:space="preserve">NM </v>
          </cell>
          <cell r="O114">
            <v>0.36513443191674</v>
          </cell>
          <cell r="P114">
            <v>0.38304314912944726</v>
          </cell>
          <cell r="Q114">
            <v>1.3118647361023861E-2</v>
          </cell>
          <cell r="S114">
            <v>0.35794591309632473</v>
          </cell>
          <cell r="T114">
            <v>4.1727221505925005E-3</v>
          </cell>
          <cell r="U114">
            <v>0.26619501962778513</v>
          </cell>
          <cell r="V114">
            <v>0.25</v>
          </cell>
          <cell r="W114">
            <v>0.35230312788030305</v>
          </cell>
        </row>
        <row r="115">
          <cell r="A115" t="str">
            <v xml:space="preserve"> 3QA</v>
          </cell>
          <cell r="B115">
            <v>0.20173712928250631</v>
          </cell>
          <cell r="C115">
            <v>9.0857386606000512E-2</v>
          </cell>
          <cell r="D115">
            <v>0.24090817761703875</v>
          </cell>
          <cell r="E115">
            <v>0.26667913385826791</v>
          </cell>
          <cell r="F115">
            <v>0.35021425788858607</v>
          </cell>
          <cell r="G115">
            <v>0.22450961351718912</v>
          </cell>
          <cell r="H115">
            <v>1.7049180327868854</v>
          </cell>
          <cell r="I115">
            <v>0.42692307692307696</v>
          </cell>
          <cell r="J115" t="str">
            <v xml:space="preserve">NM </v>
          </cell>
          <cell r="L115" t="str">
            <v xml:space="preserve">NM </v>
          </cell>
          <cell r="M115" t="str">
            <v xml:space="preserve">NM </v>
          </cell>
          <cell r="N115" t="str">
            <v xml:space="preserve">NM </v>
          </cell>
          <cell r="O115">
            <v>0.3840716305372307</v>
          </cell>
          <cell r="P115">
            <v>0.39672131147540979</v>
          </cell>
          <cell r="Q115">
            <v>9.1394698504652094E-3</v>
          </cell>
          <cell r="S115">
            <v>0.37896825396825595</v>
          </cell>
          <cell r="T115">
            <v>2.7707798188814081E-3</v>
          </cell>
          <cell r="U115">
            <v>0.37515799395084359</v>
          </cell>
          <cell r="V115">
            <v>0.25</v>
          </cell>
          <cell r="W115">
            <v>0.37515799395084359</v>
          </cell>
        </row>
        <row r="116">
          <cell r="A116" t="str">
            <v xml:space="preserve"> 4Q</v>
          </cell>
          <cell r="B116">
            <v>0.16422383979447308</v>
          </cell>
          <cell r="C116">
            <v>0.10602076124567472</v>
          </cell>
          <cell r="D116">
            <v>0.18239972337482713</v>
          </cell>
          <cell r="E116">
            <v>0.20097720635372873</v>
          </cell>
          <cell r="F116">
            <v>0.35280728376327763</v>
          </cell>
          <cell r="G116">
            <v>0.12443894134034994</v>
          </cell>
          <cell r="H116">
            <v>1.6712328767123288</v>
          </cell>
          <cell r="I116">
            <v>0.31906614785992216</v>
          </cell>
          <cell r="J116" t="str">
            <v xml:space="preserve">NM </v>
          </cell>
          <cell r="L116" t="str">
            <v xml:space="preserve">NM </v>
          </cell>
          <cell r="M116" t="str">
            <v xml:space="preserve">NM </v>
          </cell>
          <cell r="N116" t="str">
            <v xml:space="preserve">NM </v>
          </cell>
          <cell r="O116">
            <v>7.5007829627310008E-2</v>
          </cell>
          <cell r="P116">
            <v>0.42928930366116269</v>
          </cell>
          <cell r="Q116">
            <v>0.32956176157031081</v>
          </cell>
          <cell r="S116">
            <v>0.39776312016059623</v>
          </cell>
          <cell r="T116">
            <v>7.1588014237911057E-3</v>
          </cell>
          <cell r="U116">
            <v>0.38782793555953576</v>
          </cell>
          <cell r="V116">
            <v>0.25</v>
          </cell>
          <cell r="W116">
            <v>0.41060722050922016</v>
          </cell>
        </row>
        <row r="118">
          <cell r="A118" t="str">
            <v>Year</v>
          </cell>
          <cell r="B118">
            <v>0.20339172359872659</v>
          </cell>
          <cell r="C118">
            <v>9.173455837490585E-2</v>
          </cell>
          <cell r="D118">
            <v>0.24248821866163994</v>
          </cell>
          <cell r="E118">
            <v>0.23262308647083163</v>
          </cell>
          <cell r="F118">
            <v>0.27313176256446559</v>
          </cell>
          <cell r="G118">
            <v>0.25063243699053728</v>
          </cell>
          <cell r="H118">
            <v>1.2710951526032317</v>
          </cell>
          <cell r="I118">
            <v>0.22962313759859776</v>
          </cell>
          <cell r="J118">
            <v>1.5050167224080369E-2</v>
          </cell>
          <cell r="L118" t="str">
            <v xml:space="preserve">NM </v>
          </cell>
          <cell r="M118">
            <v>0.17438271604938294</v>
          </cell>
          <cell r="N118" t="str">
            <v xml:space="preserve">NM </v>
          </cell>
          <cell r="O118">
            <v>0.25827234305741742</v>
          </cell>
          <cell r="P118">
            <v>0.37076476282671833</v>
          </cell>
          <cell r="Q118">
            <v>8.9402282733132887E-2</v>
          </cell>
          <cell r="S118">
            <v>0.36147985232896129</v>
          </cell>
          <cell r="T118">
            <v>6.0000159060249469E-3</v>
          </cell>
          <cell r="U118">
            <v>0.3345789221558424</v>
          </cell>
          <cell r="V118">
            <v>0.25</v>
          </cell>
          <cell r="W118">
            <v>0.35953383111279114</v>
          </cell>
        </row>
        <row r="120">
          <cell r="A120" t="str">
            <v>1999 (a)</v>
          </cell>
        </row>
        <row r="121">
          <cell r="A121" t="str">
            <v xml:space="preserve"> 1QA R</v>
          </cell>
          <cell r="B121">
            <v>3006</v>
          </cell>
          <cell r="C121">
            <v>752.4</v>
          </cell>
          <cell r="D121">
            <v>2253.6</v>
          </cell>
          <cell r="E121">
            <v>1363.5</v>
          </cell>
          <cell r="F121">
            <v>274</v>
          </cell>
          <cell r="G121">
            <v>616.09999999999991</v>
          </cell>
          <cell r="H121">
            <v>22.4</v>
          </cell>
          <cell r="I121">
            <v>-32.5</v>
          </cell>
          <cell r="J121">
            <v>-15.7</v>
          </cell>
          <cell r="K121" t="str">
            <v xml:space="preserve"> </v>
          </cell>
          <cell r="L121">
            <v>-52.5</v>
          </cell>
          <cell r="M121">
            <v>-78.3</v>
          </cell>
          <cell r="N121">
            <v>0</v>
          </cell>
          <cell r="O121">
            <v>537.79999999999995</v>
          </cell>
          <cell r="P121">
            <v>155.80000000000001</v>
          </cell>
          <cell r="Q121">
            <v>0.28499999999999998</v>
          </cell>
          <cell r="S121">
            <v>381.99999999999994</v>
          </cell>
          <cell r="T121">
            <v>882.64074800000003</v>
          </cell>
          <cell r="U121">
            <v>0.43279216472339882</v>
          </cell>
          <cell r="V121">
            <v>0.2</v>
          </cell>
          <cell r="W121">
            <v>0.43279216472339882</v>
          </cell>
        </row>
        <row r="122">
          <cell r="A122" t="str">
            <v xml:space="preserve"> 2QA R</v>
          </cell>
          <cell r="B122">
            <v>3150.7</v>
          </cell>
          <cell r="C122">
            <v>723.2</v>
          </cell>
          <cell r="D122">
            <v>2427.5</v>
          </cell>
          <cell r="E122">
            <v>1449.2</v>
          </cell>
          <cell r="F122">
            <v>281.8</v>
          </cell>
          <cell r="G122">
            <v>696.5</v>
          </cell>
          <cell r="H122">
            <v>32.1</v>
          </cell>
          <cell r="I122">
            <v>-36.799999999999997</v>
          </cell>
          <cell r="J122">
            <v>-15.3</v>
          </cell>
          <cell r="K122" t="str">
            <v xml:space="preserve"> </v>
          </cell>
          <cell r="L122">
            <v>-46.9</v>
          </cell>
          <cell r="M122">
            <v>-66.899999999999991</v>
          </cell>
          <cell r="N122">
            <v>0</v>
          </cell>
          <cell r="O122">
            <v>629.6</v>
          </cell>
          <cell r="P122">
            <v>182.7</v>
          </cell>
          <cell r="Q122">
            <v>0.29018424396442183</v>
          </cell>
          <cell r="S122">
            <v>446.90000000000003</v>
          </cell>
          <cell r="T122">
            <v>882.36802599999999</v>
          </cell>
          <cell r="U122">
            <v>0.50647800785111408</v>
          </cell>
          <cell r="V122">
            <v>0.2</v>
          </cell>
          <cell r="W122">
            <v>0.50647800785111408</v>
          </cell>
        </row>
        <row r="123">
          <cell r="A123" t="str">
            <v xml:space="preserve"> 3QA</v>
          </cell>
          <cell r="B123">
            <v>3237.6000000000004</v>
          </cell>
          <cell r="C123">
            <v>767.2</v>
          </cell>
          <cell r="D123">
            <v>2470.4000000000005</v>
          </cell>
          <cell r="E123">
            <v>1493.3</v>
          </cell>
          <cell r="F123">
            <v>346.6</v>
          </cell>
          <cell r="G123">
            <v>630.50000000000057</v>
          </cell>
          <cell r="H123">
            <v>33</v>
          </cell>
          <cell r="I123">
            <v>-37.1</v>
          </cell>
          <cell r="J123">
            <v>-14.4</v>
          </cell>
          <cell r="L123">
            <v>-24.599999999999998</v>
          </cell>
          <cell r="M123">
            <v>-43.099999999999994</v>
          </cell>
          <cell r="N123">
            <v>0</v>
          </cell>
          <cell r="O123">
            <v>587.40000000000055</v>
          </cell>
          <cell r="P123">
            <v>170.4</v>
          </cell>
          <cell r="Q123">
            <v>0.2900919305413685</v>
          </cell>
          <cell r="S123">
            <v>417.00000000000057</v>
          </cell>
          <cell r="T123">
            <v>883.47145</v>
          </cell>
          <cell r="U123">
            <v>0.47200167022941214</v>
          </cell>
          <cell r="V123">
            <v>0.2</v>
          </cell>
          <cell r="W123">
            <v>0.47200167022941214</v>
          </cell>
        </row>
        <row r="124">
          <cell r="A124" t="str">
            <v xml:space="preserve"> 4Q</v>
          </cell>
          <cell r="B124">
            <v>3534.7</v>
          </cell>
          <cell r="C124">
            <v>799.1</v>
          </cell>
          <cell r="D124">
            <v>2735.6</v>
          </cell>
          <cell r="E124">
            <v>1652.5</v>
          </cell>
          <cell r="F124">
            <v>356.6</v>
          </cell>
          <cell r="G124">
            <v>726.49999999999989</v>
          </cell>
          <cell r="H124">
            <v>39</v>
          </cell>
          <cell r="I124">
            <v>-33.9</v>
          </cell>
          <cell r="J124">
            <v>-15.3</v>
          </cell>
          <cell r="L124">
            <v>-29.8</v>
          </cell>
          <cell r="M124">
            <v>-40</v>
          </cell>
          <cell r="N124">
            <v>0</v>
          </cell>
          <cell r="O124">
            <v>686.49999999999989</v>
          </cell>
          <cell r="P124">
            <v>199.1</v>
          </cell>
          <cell r="Q124">
            <v>0.29002184996358343</v>
          </cell>
          <cell r="S124">
            <v>487.39999999999986</v>
          </cell>
          <cell r="T124">
            <v>888.64216799999997</v>
          </cell>
          <cell r="U124">
            <v>0.5484772358900708</v>
          </cell>
          <cell r="V124">
            <v>0.2</v>
          </cell>
          <cell r="W124">
            <v>0.55747973463262424</v>
          </cell>
        </row>
        <row r="126">
          <cell r="A126" t="str">
            <v>Year</v>
          </cell>
          <cell r="B126">
            <v>12929</v>
          </cell>
          <cell r="C126">
            <v>3041.9</v>
          </cell>
          <cell r="D126">
            <v>9887.1</v>
          </cell>
          <cell r="E126">
            <v>5958.5</v>
          </cell>
          <cell r="F126">
            <v>1259</v>
          </cell>
          <cell r="G126">
            <v>2669.6000000000004</v>
          </cell>
          <cell r="H126">
            <v>126.5</v>
          </cell>
          <cell r="I126">
            <v>-140.30000000000001</v>
          </cell>
          <cell r="J126">
            <v>-60.7</v>
          </cell>
          <cell r="L126">
            <v>-153.80000000000001</v>
          </cell>
          <cell r="M126">
            <v>-228.3</v>
          </cell>
          <cell r="N126">
            <v>0</v>
          </cell>
          <cell r="O126">
            <v>2441.3000000000006</v>
          </cell>
          <cell r="P126">
            <v>708</v>
          </cell>
          <cell r="Q126">
            <v>0.290009421210011</v>
          </cell>
          <cell r="S126">
            <v>1733.3000000000004</v>
          </cell>
          <cell r="T126">
            <v>884.28059799999994</v>
          </cell>
          <cell r="U126">
            <v>1.9597490786939957</v>
          </cell>
          <cell r="V126">
            <v>0.8</v>
          </cell>
          <cell r="W126">
            <v>1.9687515774365494</v>
          </cell>
        </row>
        <row r="128">
          <cell r="A128" t="str">
            <v>2000E</v>
          </cell>
        </row>
        <row r="129">
          <cell r="A129" t="str">
            <v xml:space="preserve"> 1QA</v>
          </cell>
          <cell r="B129">
            <v>0.13339986693280115</v>
          </cell>
          <cell r="C129">
            <v>-2.6581605528963603E-4</v>
          </cell>
          <cell r="D129">
            <v>0.17802626908058228</v>
          </cell>
          <cell r="E129">
            <v>0.14712137880454712</v>
          </cell>
          <cell r="F129">
            <v>0.2729927007299271</v>
          </cell>
          <cell r="G129">
            <v>0.20418763187794253</v>
          </cell>
          <cell r="H129">
            <v>1.4553571428571428</v>
          </cell>
          <cell r="I129">
            <v>0.78153846153846152</v>
          </cell>
          <cell r="J129" t="str">
            <v xml:space="preserve">NM </v>
          </cell>
          <cell r="L129" t="str">
            <v xml:space="preserve">NM </v>
          </cell>
          <cell r="M129" t="str">
            <v xml:space="preserve">NM </v>
          </cell>
          <cell r="N129" t="str">
            <v xml:space="preserve">NM </v>
          </cell>
          <cell r="O129">
            <v>0.34101896615842375</v>
          </cell>
          <cell r="P129">
            <v>0.31926829268292711</v>
          </cell>
          <cell r="Q129">
            <v>0</v>
          </cell>
          <cell r="R129" t="e">
            <v>#DIV/0!</v>
          </cell>
          <cell r="S129">
            <v>0.34989005235602177</v>
          </cell>
          <cell r="T129">
            <v>1.468236315779059E-2</v>
          </cell>
          <cell r="U129">
            <v>0.33035726387815778</v>
          </cell>
          <cell r="V129">
            <v>0.25</v>
          </cell>
        </row>
        <row r="130">
          <cell r="A130" t="str">
            <v xml:space="preserve"> 2QE</v>
          </cell>
          <cell r="B130">
            <v>0.12531659631193093</v>
          </cell>
          <cell r="C130">
            <v>2.9538647676991214E-2</v>
          </cell>
          <cell r="D130">
            <v>0.15385073120494352</v>
          </cell>
          <cell r="E130">
            <v>0.13030442313000301</v>
          </cell>
          <cell r="F130">
            <v>0.22042900993612502</v>
          </cell>
          <cell r="G130">
            <v>0.17590608040200983</v>
          </cell>
          <cell r="H130">
            <v>0.55763239875389403</v>
          </cell>
          <cell r="I130">
            <v>0.63043478260869579</v>
          </cell>
          <cell r="J130" t="str">
            <v xml:space="preserve">NM </v>
          </cell>
          <cell r="L130" t="str">
            <v xml:space="preserve">NM </v>
          </cell>
          <cell r="M130" t="str">
            <v xml:space="preserve">NM </v>
          </cell>
          <cell r="N130" t="str">
            <v xml:space="preserve">NM </v>
          </cell>
          <cell r="O130">
            <v>0.25765340692503136</v>
          </cell>
          <cell r="P130">
            <v>0.23518498481116556</v>
          </cell>
          <cell r="Q130">
            <v>-1.7865353037766818E-2</v>
          </cell>
          <cell r="R130" t="e">
            <v>#DIV/0!</v>
          </cell>
          <cell r="S130">
            <v>0.26683886389572575</v>
          </cell>
          <cell r="T130">
            <v>1.4995980826712385E-2</v>
          </cell>
          <cell r="U130">
            <v>0.24812204957096262</v>
          </cell>
          <cell r="V130">
            <v>0.25</v>
          </cell>
        </row>
        <row r="131">
          <cell r="A131" t="str">
            <v xml:space="preserve"> 3QE</v>
          </cell>
          <cell r="B131">
            <v>0.14365826538176441</v>
          </cell>
          <cell r="C131">
            <v>4.2472533889468256E-2</v>
          </cell>
          <cell r="D131">
            <v>0.17508220207253888</v>
          </cell>
          <cell r="E131">
            <v>0.1505099524542961</v>
          </cell>
          <cell r="F131">
            <v>0.15375783035199087</v>
          </cell>
          <cell r="G131">
            <v>0.24500253132434491</v>
          </cell>
          <cell r="H131">
            <v>0.51515151515151514</v>
          </cell>
          <cell r="I131">
            <v>0.61725067385444743</v>
          </cell>
          <cell r="J131" t="str">
            <v xml:space="preserve">NM </v>
          </cell>
          <cell r="L131" t="str">
            <v xml:space="preserve">NM </v>
          </cell>
          <cell r="M131" t="str">
            <v xml:space="preserve">NM </v>
          </cell>
          <cell r="N131" t="str">
            <v xml:space="preserve">NM </v>
          </cell>
          <cell r="O131">
            <v>0.28783468845760884</v>
          </cell>
          <cell r="P131">
            <v>0.26522956197183101</v>
          </cell>
          <cell r="Q131">
            <v>-1.7552816901407753E-2</v>
          </cell>
          <cell r="R131" t="e">
            <v>#DIV/0!</v>
          </cell>
          <cell r="S131">
            <v>0.29707189122302013</v>
          </cell>
          <cell r="T131">
            <v>1.3728287427963837E-2</v>
          </cell>
          <cell r="U131">
            <v>0.27950645879080382</v>
          </cell>
          <cell r="V131">
            <v>0.25</v>
          </cell>
        </row>
        <row r="132">
          <cell r="A132" t="str">
            <v xml:space="preserve"> 4QE</v>
          </cell>
          <cell r="B132">
            <v>0.16783521158485137</v>
          </cell>
          <cell r="C132">
            <v>0.12203953001629131</v>
          </cell>
          <cell r="D132">
            <v>0.18121265314847035</v>
          </cell>
          <cell r="E132">
            <v>0.17349865947865983</v>
          </cell>
          <cell r="F132">
            <v>0.20599894449260914</v>
          </cell>
          <cell r="G132">
            <v>0.18659267110585831</v>
          </cell>
          <cell r="H132">
            <v>0.41025641025641035</v>
          </cell>
          <cell r="I132">
            <v>0.83185840707964598</v>
          </cell>
          <cell r="J132" t="str">
            <v xml:space="preserve">NM </v>
          </cell>
          <cell r="L132" t="str">
            <v xml:space="preserve">NM </v>
          </cell>
          <cell r="M132" t="str">
            <v xml:space="preserve">NM </v>
          </cell>
          <cell r="N132" t="str">
            <v xml:space="preserve">NM </v>
          </cell>
          <cell r="O132">
            <v>0.21742108602826815</v>
          </cell>
          <cell r="P132">
            <v>0.196340929352816</v>
          </cell>
          <cell r="Q132">
            <v>-1.7315419387242792E-2</v>
          </cell>
          <cell r="R132" t="e">
            <v>#DIV/0!</v>
          </cell>
          <cell r="S132">
            <v>0.22603220460455553</v>
          </cell>
          <cell r="T132">
            <v>7.8297342288624616E-3</v>
          </cell>
          <cell r="U132">
            <v>0.21650727594641772</v>
          </cell>
          <cell r="V132">
            <v>0.25</v>
          </cell>
        </row>
        <row r="134">
          <cell r="A134" t="str">
            <v>Year</v>
          </cell>
          <cell r="B134">
            <v>0.14341326648534114</v>
          </cell>
          <cell r="C134">
            <v>4.9728481026996008E-2</v>
          </cell>
          <cell r="D134">
            <v>0.17223665745799632</v>
          </cell>
          <cell r="E134">
            <v>0.14000000000000001</v>
          </cell>
          <cell r="F134">
            <v>0.2094269917442928</v>
          </cell>
          <cell r="G134">
            <v>0.20166026991249852</v>
          </cell>
          <cell r="H134">
            <v>0.66007905138339917</v>
          </cell>
          <cell r="I134" t="str">
            <v xml:space="preserve">NM </v>
          </cell>
          <cell r="J134" t="str">
            <v xml:space="preserve">NM </v>
          </cell>
          <cell r="L134" t="str">
            <v xml:space="preserve">NM </v>
          </cell>
          <cell r="M134" t="str">
            <v xml:space="preserve">NM </v>
          </cell>
          <cell r="N134" t="str">
            <v xml:space="preserve">NM </v>
          </cell>
          <cell r="O134">
            <v>0.2719666802762486</v>
          </cell>
          <cell r="P134">
            <v>0.24999561175020601</v>
          </cell>
          <cell r="Q134">
            <v>-1.7273305084745672E-2</v>
          </cell>
          <cell r="S134">
            <v>0.2809411893147522</v>
          </cell>
          <cell r="T134">
            <v>0</v>
          </cell>
          <cell r="U134">
            <v>0.2649937331431198</v>
          </cell>
          <cell r="V134">
            <v>0.25</v>
          </cell>
          <cell r="W134">
            <v>0.25920930375016038</v>
          </cell>
        </row>
        <row r="136">
          <cell r="A136" t="str">
            <v>2000E</v>
          </cell>
        </row>
        <row r="137">
          <cell r="A137" t="str">
            <v xml:space="preserve"> 1QA</v>
          </cell>
          <cell r="B137">
            <v>3407</v>
          </cell>
          <cell r="C137">
            <v>752.2</v>
          </cell>
          <cell r="D137">
            <v>2654.8</v>
          </cell>
          <cell r="E137">
            <v>1564.1</v>
          </cell>
          <cell r="F137">
            <v>348.8</v>
          </cell>
          <cell r="G137">
            <v>741.90000000000032</v>
          </cell>
          <cell r="H137">
            <v>55</v>
          </cell>
          <cell r="I137">
            <v>-57.9</v>
          </cell>
          <cell r="J137">
            <v>-14.9</v>
          </cell>
          <cell r="L137">
            <v>-2.9000000000000021</v>
          </cell>
          <cell r="M137">
            <v>-20.7</v>
          </cell>
          <cell r="N137">
            <v>0</v>
          </cell>
          <cell r="O137">
            <v>721.20000000000027</v>
          </cell>
          <cell r="P137">
            <v>205.54200000000006</v>
          </cell>
          <cell r="Q137">
            <v>0.28499999999999998</v>
          </cell>
          <cell r="S137">
            <v>515.65800000000024</v>
          </cell>
          <cell r="T137">
            <v>895.6</v>
          </cell>
          <cell r="U137">
            <v>0.57576820008932583</v>
          </cell>
          <cell r="V137">
            <v>0.25</v>
          </cell>
        </row>
        <row r="138">
          <cell r="A138" t="str">
            <v xml:space="preserve"> 2QE</v>
          </cell>
          <cell r="B138">
            <v>3545.5350000000003</v>
          </cell>
          <cell r="C138">
            <v>744.56235000000004</v>
          </cell>
          <cell r="D138">
            <v>2800.9726500000002</v>
          </cell>
          <cell r="E138">
            <v>1638.0371700000003</v>
          </cell>
          <cell r="F138">
            <v>343.91689500000007</v>
          </cell>
          <cell r="G138">
            <v>819.0185849999998</v>
          </cell>
          <cell r="H138">
            <v>50</v>
          </cell>
          <cell r="I138">
            <v>-60</v>
          </cell>
          <cell r="J138">
            <v>-14.2</v>
          </cell>
          <cell r="L138">
            <v>-3</v>
          </cell>
          <cell r="M138">
            <v>-27.2</v>
          </cell>
          <cell r="N138">
            <v>0</v>
          </cell>
          <cell r="O138">
            <v>791.81858499999976</v>
          </cell>
          <cell r="P138">
            <v>225.66829672499992</v>
          </cell>
          <cell r="Q138">
            <v>0.28499999999999998</v>
          </cell>
          <cell r="S138">
            <v>566.15028827499987</v>
          </cell>
          <cell r="T138">
            <v>895.6</v>
          </cell>
          <cell r="U138">
            <v>0.6321463692217506</v>
          </cell>
          <cell r="V138">
            <v>0.25</v>
          </cell>
        </row>
        <row r="139">
          <cell r="A139" t="str">
            <v xml:space="preserve"> 3QE</v>
          </cell>
          <cell r="B139">
            <v>3702.7080000000005</v>
          </cell>
          <cell r="C139">
            <v>799.78492800000015</v>
          </cell>
          <cell r="D139">
            <v>2902.9230720000005</v>
          </cell>
          <cell r="E139">
            <v>1718.0565120000003</v>
          </cell>
          <cell r="F139">
            <v>399.89246400000007</v>
          </cell>
          <cell r="G139">
            <v>784.97409600000015</v>
          </cell>
          <cell r="H139">
            <v>50</v>
          </cell>
          <cell r="I139">
            <v>-60</v>
          </cell>
          <cell r="J139">
            <v>-15.5</v>
          </cell>
          <cell r="L139">
            <v>-3</v>
          </cell>
          <cell r="M139">
            <v>-28.5</v>
          </cell>
          <cell r="N139">
            <v>0</v>
          </cell>
          <cell r="O139">
            <v>756.47409600000015</v>
          </cell>
          <cell r="P139">
            <v>215.59511736000002</v>
          </cell>
          <cell r="Q139">
            <v>0.28499999999999998</v>
          </cell>
          <cell r="S139">
            <v>540.87897864000013</v>
          </cell>
          <cell r="T139">
            <v>895.6</v>
          </cell>
          <cell r="U139">
            <v>0.60392918561857989</v>
          </cell>
          <cell r="V139">
            <v>0.25</v>
          </cell>
        </row>
        <row r="140">
          <cell r="A140" t="str">
            <v xml:space="preserve"> 4QE</v>
          </cell>
          <cell r="B140">
            <v>4127.9471223889741</v>
          </cell>
          <cell r="C140">
            <v>896.62178843601839</v>
          </cell>
          <cell r="D140">
            <v>3231.3253339529556</v>
          </cell>
          <cell r="E140">
            <v>1939.2065347884852</v>
          </cell>
          <cell r="F140">
            <v>430.05922360606445</v>
          </cell>
          <cell r="G140">
            <v>862.05957555840587</v>
          </cell>
          <cell r="H140">
            <v>55</v>
          </cell>
          <cell r="I140">
            <v>-62.099999999999994</v>
          </cell>
          <cell r="J140">
            <v>-16.100000000000005</v>
          </cell>
          <cell r="K140">
            <v>0</v>
          </cell>
          <cell r="L140">
            <v>-3.0999999999999979</v>
          </cell>
          <cell r="M140">
            <v>-26.299999999999997</v>
          </cell>
          <cell r="N140">
            <v>0</v>
          </cell>
          <cell r="O140">
            <v>835.75957555840591</v>
          </cell>
          <cell r="P140">
            <v>238.19147903414566</v>
          </cell>
          <cell r="Q140">
            <v>0.28499999999999998</v>
          </cell>
          <cell r="S140">
            <v>597.56809652426023</v>
          </cell>
          <cell r="T140">
            <v>895.6</v>
          </cell>
          <cell r="U140">
            <v>0.66722654815125082</v>
          </cell>
          <cell r="V140">
            <v>0.25</v>
          </cell>
        </row>
        <row r="142">
          <cell r="A142" t="str">
            <v>Year</v>
          </cell>
          <cell r="B142">
            <v>14783.190122388976</v>
          </cell>
          <cell r="C142">
            <v>3193.169066436019</v>
          </cell>
          <cell r="D142">
            <v>11590.021055952957</v>
          </cell>
          <cell r="E142">
            <v>6859.4002167884855</v>
          </cell>
          <cell r="F142">
            <v>1522.6685826060645</v>
          </cell>
          <cell r="G142">
            <v>3207.9522565584066</v>
          </cell>
          <cell r="H142">
            <v>210</v>
          </cell>
          <cell r="I142">
            <v>-240</v>
          </cell>
          <cell r="J142">
            <v>-60.7</v>
          </cell>
          <cell r="L142">
            <v>-12</v>
          </cell>
          <cell r="M142">
            <v>-102.7</v>
          </cell>
          <cell r="N142">
            <v>0</v>
          </cell>
          <cell r="O142">
            <v>3105.2522565584068</v>
          </cell>
          <cell r="P142">
            <v>884.99689311914585</v>
          </cell>
          <cell r="Q142">
            <v>0.28499999999999998</v>
          </cell>
          <cell r="S142">
            <v>2220.2553634392607</v>
          </cell>
          <cell r="T142">
            <v>895.6</v>
          </cell>
          <cell r="U142">
            <v>2.4790703030809071</v>
          </cell>
          <cell r="V142">
            <v>1</v>
          </cell>
          <cell r="W142">
            <v>2.4790703030809071</v>
          </cell>
        </row>
        <row r="145">
          <cell r="A145" t="str">
            <v>2001E/00E</v>
          </cell>
          <cell r="B145">
            <v>0.12828424913276026</v>
          </cell>
          <cell r="C145">
            <v>4.9931176276318601E-2</v>
          </cell>
          <cell r="D145">
            <v>0.14987132022586147</v>
          </cell>
          <cell r="E145">
            <v>0.10396777824627823</v>
          </cell>
          <cell r="F145">
            <v>8.8849071493168452E-2</v>
          </cell>
          <cell r="G145">
            <v>0.27698899348850703</v>
          </cell>
          <cell r="H145">
            <v>0.33333333333333326</v>
          </cell>
          <cell r="I145">
            <v>-2.083333333333337E-2</v>
          </cell>
          <cell r="J145" t="str">
            <v xml:space="preserve">NM </v>
          </cell>
          <cell r="L145">
            <v>-0.83333333333333337</v>
          </cell>
          <cell r="M145">
            <v>-0.82765335929892891</v>
          </cell>
          <cell r="N145" t="str">
            <v xml:space="preserve">NM </v>
          </cell>
          <cell r="O145">
            <v>0.31352282721865432</v>
          </cell>
          <cell r="P145">
            <v>0.31352282721865454</v>
          </cell>
          <cell r="Q145">
            <v>0</v>
          </cell>
          <cell r="S145">
            <v>0.31352282721865454</v>
          </cell>
          <cell r="T145">
            <v>0</v>
          </cell>
          <cell r="U145">
            <v>0.31352282721865476</v>
          </cell>
          <cell r="V145">
            <v>0.25</v>
          </cell>
          <cell r="W145">
            <v>0.31352282721865476</v>
          </cell>
        </row>
        <row r="146">
          <cell r="A146" t="str">
            <v>2002E/01E</v>
          </cell>
          <cell r="B146">
            <v>0.11639138913769598</v>
          </cell>
          <cell r="C146">
            <v>8.8620459059643775E-2</v>
          </cell>
          <cell r="D146">
            <v>0.1233775680434388</v>
          </cell>
          <cell r="E146">
            <v>0.10655534165630653</v>
          </cell>
          <cell r="F146">
            <v>8.9436265053888464E-2</v>
          </cell>
          <cell r="G146">
            <v>0.16821085915467382</v>
          </cell>
          <cell r="H146">
            <v>0.28571428571428581</v>
          </cell>
          <cell r="I146">
            <v>0</v>
          </cell>
          <cell r="J146" t="str">
            <v xml:space="preserve">NM </v>
          </cell>
          <cell r="L146">
            <v>-5</v>
          </cell>
          <cell r="M146">
            <v>-5.0847457627118633</v>
          </cell>
          <cell r="N146" t="str">
            <v xml:space="preserve">NM </v>
          </cell>
          <cell r="O146">
            <v>0.19100601523298333</v>
          </cell>
          <cell r="P146">
            <v>0.17011117286047495</v>
          </cell>
          <cell r="Q146">
            <v>-1.754385964912264E-2</v>
          </cell>
          <cell r="S146">
            <v>0.19933472862622081</v>
          </cell>
          <cell r="T146">
            <v>0</v>
          </cell>
          <cell r="U146">
            <v>0.19933472862622059</v>
          </cell>
          <cell r="V146">
            <v>0.25</v>
          </cell>
          <cell r="W146">
            <v>0.19933472862622059</v>
          </cell>
        </row>
        <row r="147">
          <cell r="A147" t="str">
            <v>2003E/02E</v>
          </cell>
          <cell r="B147">
            <v>4.1580886092527747E-2</v>
          </cell>
          <cell r="C147">
            <v>6.2837638869926327E-2</v>
          </cell>
          <cell r="D147">
            <v>3.6398891634356056E-2</v>
          </cell>
          <cell r="E147">
            <v>5.7783255431745006E-2</v>
          </cell>
          <cell r="F147">
            <v>2.010499153391887E-2</v>
          </cell>
          <cell r="G147">
            <v>5.105290859715339E-3</v>
          </cell>
          <cell r="H147">
            <v>0.33333333333333326</v>
          </cell>
          <cell r="I147">
            <v>0</v>
          </cell>
          <cell r="J147" t="str">
            <v xml:space="preserve">NM </v>
          </cell>
          <cell r="L147">
            <v>1.25</v>
          </cell>
          <cell r="M147">
            <v>1.7980636237897651</v>
          </cell>
          <cell r="N147" t="str">
            <v xml:space="preserve">NM </v>
          </cell>
          <cell r="O147">
            <v>3.1789849787038138E-2</v>
          </cell>
          <cell r="P147">
            <v>2.0734958539319726E-2</v>
          </cell>
          <cell r="Q147">
            <v>-1.0714285714285676E-2</v>
          </cell>
          <cell r="S147">
            <v>3.6088974161150755E-2</v>
          </cell>
          <cell r="T147">
            <v>0</v>
          </cell>
          <cell r="U147">
            <v>3.6088974161150755E-2</v>
          </cell>
          <cell r="V147">
            <v>0.25</v>
          </cell>
          <cell r="W147">
            <v>3.6088974161150755E-2</v>
          </cell>
        </row>
        <row r="148">
          <cell r="A148" t="str">
            <v>2004E/03E</v>
          </cell>
          <cell r="B148">
            <v>5.1808359840511242E-2</v>
          </cell>
          <cell r="C148">
            <v>5.9171018359394978E-2</v>
          </cell>
          <cell r="D148">
            <v>4.9967695210790364E-2</v>
          </cell>
          <cell r="E148">
            <v>5.5030529870657041E-2</v>
          </cell>
          <cell r="F148">
            <v>4.0736692894821624E-2</v>
          </cell>
          <cell r="G148">
            <v>4.4174266906185533E-2</v>
          </cell>
          <cell r="H148">
            <v>0.29166666666666674</v>
          </cell>
          <cell r="I148">
            <v>0</v>
          </cell>
          <cell r="J148" t="str">
            <v xml:space="preserve">NM </v>
          </cell>
          <cell r="L148">
            <v>0.55555555555555558</v>
          </cell>
          <cell r="M148">
            <v>0.74147305981216016</v>
          </cell>
          <cell r="N148" t="str">
            <v xml:space="preserve">NM </v>
          </cell>
          <cell r="O148">
            <v>7.2317570743227977E-2</v>
          </cell>
          <cell r="P148">
            <v>5.6832840479787761E-2</v>
          </cell>
          <cell r="Q148">
            <v>-1.4440433212996373E-2</v>
          </cell>
          <cell r="S148">
            <v>7.8250171411240244E-2</v>
          </cell>
          <cell r="T148">
            <v>0</v>
          </cell>
          <cell r="U148">
            <v>7.8250171411240244E-2</v>
          </cell>
          <cell r="V148">
            <v>0.25</v>
          </cell>
          <cell r="W148">
            <v>7.8250171411240244E-2</v>
          </cell>
        </row>
        <row r="149">
          <cell r="A149" t="str">
            <v>2005E/04E</v>
          </cell>
          <cell r="B149">
            <v>5.4959935589752984E-2</v>
          </cell>
          <cell r="C149">
            <v>4.7626549741561996E-2</v>
          </cell>
          <cell r="D149">
            <v>5.680935195567538E-2</v>
          </cell>
          <cell r="E149">
            <v>5.4039377181734238E-2</v>
          </cell>
          <cell r="F149">
            <v>2.7219026421072545E-2</v>
          </cell>
          <cell r="G149">
            <v>7.3264457709644626E-2</v>
          </cell>
          <cell r="H149">
            <v>0.2661290322580645</v>
          </cell>
          <cell r="I149">
            <v>0</v>
          </cell>
          <cell r="J149" t="str">
            <v xml:space="preserve">NM </v>
          </cell>
          <cell r="L149">
            <v>0.35714285714285721</v>
          </cell>
          <cell r="M149">
            <v>0.49673573658813486</v>
          </cell>
          <cell r="N149" t="str">
            <v xml:space="preserve">NM </v>
          </cell>
          <cell r="O149">
            <v>0.10102151773506796</v>
          </cell>
          <cell r="P149">
            <v>9.2955426030049138E-2</v>
          </cell>
          <cell r="Q149">
            <v>-7.3260073260073E-3</v>
          </cell>
          <cell r="S149">
            <v>0.10405046276322483</v>
          </cell>
          <cell r="T149">
            <v>0</v>
          </cell>
          <cell r="U149">
            <v>0.10405046276322505</v>
          </cell>
          <cell r="V149">
            <v>0.25</v>
          </cell>
          <cell r="W149">
            <v>0.10405046276322505</v>
          </cell>
        </row>
        <row r="152">
          <cell r="A152" t="str">
            <v>2001E</v>
          </cell>
          <cell r="B152">
            <v>16679.640567026483</v>
          </cell>
          <cell r="C152">
            <v>3352.6077539723233</v>
          </cell>
          <cell r="D152">
            <v>13327.03281305416</v>
          </cell>
          <cell r="E152">
            <v>7572.5568174300233</v>
          </cell>
          <cell r="F152">
            <v>1657.9562723624324</v>
          </cell>
          <cell r="G152">
            <v>4096.5197232617047</v>
          </cell>
          <cell r="H152">
            <v>280</v>
          </cell>
          <cell r="I152">
            <v>-235</v>
          </cell>
          <cell r="J152">
            <v>-60.7</v>
          </cell>
          <cell r="L152">
            <v>-2</v>
          </cell>
          <cell r="M152">
            <v>-17.700000000000003</v>
          </cell>
          <cell r="N152">
            <v>0</v>
          </cell>
          <cell r="O152">
            <v>4078.8197232617049</v>
          </cell>
          <cell r="P152">
            <v>1162.4636211295858</v>
          </cell>
          <cell r="Q152">
            <v>0.28499999999999998</v>
          </cell>
          <cell r="S152">
            <v>2916.3561021321193</v>
          </cell>
          <cell r="T152">
            <v>895.6</v>
          </cell>
          <cell r="U152">
            <v>3.2563154333766406</v>
          </cell>
          <cell r="V152">
            <v>1.25</v>
          </cell>
          <cell r="W152">
            <v>3.2563154333766406</v>
          </cell>
        </row>
        <row r="153">
          <cell r="A153" t="str">
            <v>2002E</v>
          </cell>
          <cell r="B153">
            <v>18621.007102940162</v>
          </cell>
          <cell r="C153">
            <v>3649.7173921762719</v>
          </cell>
          <cell r="D153">
            <v>14971.289710763891</v>
          </cell>
          <cell r="E153">
            <v>8379.4531963230729</v>
          </cell>
          <cell r="F153">
            <v>1806.2376889851957</v>
          </cell>
          <cell r="G153">
            <v>4785.5988254556223</v>
          </cell>
          <cell r="H153">
            <v>360</v>
          </cell>
          <cell r="I153">
            <v>-235</v>
          </cell>
          <cell r="J153">
            <v>-60.7</v>
          </cell>
          <cell r="L153">
            <v>8</v>
          </cell>
          <cell r="M153">
            <v>72.3</v>
          </cell>
          <cell r="N153">
            <v>0</v>
          </cell>
          <cell r="O153">
            <v>4857.8988254556225</v>
          </cell>
          <cell r="P153">
            <v>1360.2116711275744</v>
          </cell>
          <cell r="Q153">
            <v>0.28000000000000003</v>
          </cell>
          <cell r="S153">
            <v>3497.6871543280481</v>
          </cell>
          <cell r="T153">
            <v>895.6</v>
          </cell>
          <cell r="U153">
            <v>3.9054121866101474</v>
          </cell>
          <cell r="V153">
            <v>1.5625</v>
          </cell>
          <cell r="W153">
            <v>3.9054121866101474</v>
          </cell>
        </row>
        <row r="154">
          <cell r="A154" t="str">
            <v>2003E</v>
          </cell>
          <cell r="B154">
            <v>19395.285078215667</v>
          </cell>
          <cell r="C154">
            <v>3879.0570156431336</v>
          </cell>
          <cell r="D154">
            <v>15516.228062572534</v>
          </cell>
          <cell r="E154">
            <v>8863.6452807445603</v>
          </cell>
          <cell r="F154">
            <v>1842.5520824304883</v>
          </cell>
          <cell r="G154">
            <v>4810.0306993974855</v>
          </cell>
          <cell r="H154">
            <v>480</v>
          </cell>
          <cell r="I154">
            <v>-235</v>
          </cell>
          <cell r="J154">
            <v>-60.7</v>
          </cell>
          <cell r="L154">
            <v>18</v>
          </cell>
          <cell r="M154">
            <v>202.3</v>
          </cell>
          <cell r="N154">
            <v>0</v>
          </cell>
          <cell r="O154">
            <v>5012.3306993974857</v>
          </cell>
          <cell r="P154">
            <v>1388.4156037331036</v>
          </cell>
          <cell r="Q154">
            <v>0.27700000000000002</v>
          </cell>
          <cell r="S154">
            <v>3623.9150956643821</v>
          </cell>
          <cell r="T154">
            <v>895.6</v>
          </cell>
          <cell r="U154">
            <v>4.0463545061013644</v>
          </cell>
          <cell r="V154">
            <v>1.953125</v>
          </cell>
          <cell r="W154">
            <v>4.0463545061013644</v>
          </cell>
        </row>
        <row r="155">
          <cell r="A155" t="str">
            <v>2004E</v>
          </cell>
          <cell r="B155">
            <v>20400.122986757164</v>
          </cell>
          <cell r="C155">
            <v>4108.584769532893</v>
          </cell>
          <cell r="D155">
            <v>16291.538217224272</v>
          </cell>
          <cell r="E155">
            <v>9351.4163771294825</v>
          </cell>
          <cell r="F155">
            <v>1917.6115607551733</v>
          </cell>
          <cell r="G155">
            <v>5022.5102793396163</v>
          </cell>
          <cell r="H155">
            <v>620</v>
          </cell>
          <cell r="I155">
            <v>-235</v>
          </cell>
          <cell r="J155">
            <v>-60.7</v>
          </cell>
          <cell r="L155">
            <v>28</v>
          </cell>
          <cell r="M155">
            <v>352.3</v>
          </cell>
          <cell r="N155">
            <v>0</v>
          </cell>
          <cell r="O155">
            <v>5374.8102793396165</v>
          </cell>
          <cell r="P155">
            <v>1467.3232062597153</v>
          </cell>
          <cell r="Q155">
            <v>0.27300000000000002</v>
          </cell>
          <cell r="S155">
            <v>3907.4870730799012</v>
          </cell>
          <cell r="T155">
            <v>895.6</v>
          </cell>
          <cell r="U155">
            <v>4.3629824397944406</v>
          </cell>
          <cell r="V155">
            <v>2.44140625</v>
          </cell>
          <cell r="W155">
            <v>4.3629824397944406</v>
          </cell>
        </row>
        <row r="156">
          <cell r="A156" t="str">
            <v>2005E</v>
          </cell>
          <cell r="B156">
            <v>21521.312432132378</v>
          </cell>
          <cell r="C156">
            <v>4304.2624864264753</v>
          </cell>
          <cell r="D156">
            <v>17217.049945705901</v>
          </cell>
          <cell r="E156">
            <v>9856.7610939166298</v>
          </cell>
          <cell r="F156">
            <v>1969.8070804927227</v>
          </cell>
          <cell r="G156">
            <v>5390.4817712965487</v>
          </cell>
          <cell r="H156">
            <v>785</v>
          </cell>
          <cell r="I156">
            <v>-235</v>
          </cell>
          <cell r="J156">
            <v>-60.7</v>
          </cell>
          <cell r="L156">
            <v>38</v>
          </cell>
          <cell r="M156">
            <v>527.29999999999995</v>
          </cell>
          <cell r="N156">
            <v>0</v>
          </cell>
          <cell r="O156">
            <v>5917.7817712965489</v>
          </cell>
          <cell r="P156">
            <v>1603.7188600213649</v>
          </cell>
          <cell r="Q156">
            <v>0.27100000000000002</v>
          </cell>
          <cell r="S156">
            <v>4314.062911275184</v>
          </cell>
          <cell r="T156">
            <v>895.6</v>
          </cell>
          <cell r="U156">
            <v>4.8169527816828763</v>
          </cell>
          <cell r="V156">
            <v>3.0517578125</v>
          </cell>
          <cell r="W156">
            <v>4.8169527816828763</v>
          </cell>
        </row>
        <row r="158">
          <cell r="A158" t="str">
            <v xml:space="preserve">(a) First half 1998 and 1999 are fully restated for Agouron pooling-of-interest transaction; Costs are not restated for second half 1998. </v>
          </cell>
        </row>
        <row r="160">
          <cell r="A160" t="str">
            <v>E = Morgan Stanley Dean Witter Research Estimates             NM = Not Meaningful             A = Actual     R = Restated</v>
          </cell>
        </row>
      </sheetData>
      <sheetData sheetId="4" refreshError="1">
        <row r="1">
          <cell r="A1" t="str">
            <v>Table 4</v>
          </cell>
        </row>
        <row r="2">
          <cell r="A2" t="str">
            <v>Warner Lambert</v>
          </cell>
        </row>
        <row r="3">
          <cell r="A3" t="str">
            <v>Quarterly Margin Analysis 1998-2005E</v>
          </cell>
        </row>
        <row r="5">
          <cell r="H5" t="str">
            <v>Non-Operating Items</v>
          </cell>
        </row>
        <row r="6">
          <cell r="D6" t="str">
            <v>Gross</v>
          </cell>
          <cell r="E6" t="str">
            <v/>
          </cell>
          <cell r="F6" t="str">
            <v/>
          </cell>
          <cell r="G6" t="str">
            <v xml:space="preserve">  Oper.</v>
          </cell>
          <cell r="H6" t="str">
            <v>Interest</v>
          </cell>
          <cell r="I6" t="str">
            <v>Interest</v>
          </cell>
          <cell r="J6" t="str">
            <v>Intang.</v>
          </cell>
          <cell r="K6" t="str">
            <v>Other</v>
          </cell>
          <cell r="M6" t="str">
            <v xml:space="preserve">  Pretax</v>
          </cell>
          <cell r="N6" t="str">
            <v xml:space="preserve">Net  </v>
          </cell>
        </row>
        <row r="7">
          <cell r="B7" t="str">
            <v>Sales</v>
          </cell>
          <cell r="C7" t="str">
            <v xml:space="preserve"> COGS</v>
          </cell>
          <cell r="D7" t="str">
            <v>Profit</v>
          </cell>
          <cell r="E7" t="str">
            <v>SG&amp;A</v>
          </cell>
          <cell r="F7" t="str">
            <v>R&amp;D</v>
          </cell>
          <cell r="G7" t="str">
            <v>Income</v>
          </cell>
          <cell r="H7" t="str">
            <v>Income</v>
          </cell>
          <cell r="I7" t="str">
            <v>Expense</v>
          </cell>
          <cell r="J7" t="str">
            <v>Amort.</v>
          </cell>
          <cell r="K7" t="str">
            <v xml:space="preserve">Inc </v>
          </cell>
          <cell r="L7" t="str">
            <v>Total</v>
          </cell>
          <cell r="M7" t="str">
            <v>Income</v>
          </cell>
          <cell r="N7" t="str">
            <v>Income</v>
          </cell>
        </row>
        <row r="9">
          <cell r="A9">
            <v>1993</v>
          </cell>
          <cell r="B9">
            <v>1</v>
          </cell>
          <cell r="C9">
            <v>0.33106650327079412</v>
          </cell>
          <cell r="D9">
            <v>0.66893349672920588</v>
          </cell>
          <cell r="E9">
            <v>0.44809016690543174</v>
          </cell>
          <cell r="F9">
            <v>8.024233218841155E-2</v>
          </cell>
          <cell r="G9">
            <v>0.1406009976353626</v>
          </cell>
          <cell r="H9">
            <v>6.8522705697568057E-3</v>
          </cell>
          <cell r="I9">
            <v>-1.1081001777793122E-2</v>
          </cell>
          <cell r="J9">
            <v>-1.9676545212903673E-3</v>
          </cell>
          <cell r="K9">
            <v>1.1132782159932348E-2</v>
          </cell>
          <cell r="L9">
            <v>4.936396430605664E-3</v>
          </cell>
          <cell r="M9">
            <v>0.14562369470286698</v>
          </cell>
          <cell r="N9">
            <v>0.11139686210884242</v>
          </cell>
        </row>
        <row r="11">
          <cell r="A11">
            <v>1994</v>
          </cell>
        </row>
        <row r="12">
          <cell r="A12" t="str">
            <v xml:space="preserve"> 1Q</v>
          </cell>
          <cell r="B12">
            <v>1</v>
          </cell>
          <cell r="C12">
            <v>0.32520987578883764</v>
          </cell>
          <cell r="D12">
            <v>0.67479012421116236</v>
          </cell>
          <cell r="E12">
            <v>0.41577980779349522</v>
          </cell>
          <cell r="F12">
            <v>6.6467738705067239E-2</v>
          </cell>
          <cell r="G12">
            <v>0.19254257771259992</v>
          </cell>
          <cell r="H12">
            <v>6.5177762162272257E-3</v>
          </cell>
          <cell r="I12">
            <v>-1.2492404414435516E-2</v>
          </cell>
          <cell r="J12">
            <v>-2.104698569823375E-3</v>
          </cell>
          <cell r="K12">
            <v>1.2899765427949708E-3</v>
          </cell>
          <cell r="L12">
            <v>-6.7893502252366934E-3</v>
          </cell>
          <cell r="M12">
            <v>0.17229945108103423</v>
          </cell>
          <cell r="N12">
            <v>0.1292549706530336</v>
          </cell>
        </row>
        <row r="13">
          <cell r="A13" t="str">
            <v xml:space="preserve"> 2Q</v>
          </cell>
          <cell r="B13">
            <v>1</v>
          </cell>
          <cell r="C13">
            <v>0.32811429948273518</v>
          </cell>
          <cell r="D13">
            <v>0.67188570051726482</v>
          </cell>
          <cell r="E13">
            <v>0.42326937906961914</v>
          </cell>
          <cell r="F13">
            <v>6.4746685839416618E-2</v>
          </cell>
          <cell r="G13">
            <v>0.18386963560822905</v>
          </cell>
          <cell r="H13">
            <v>9.3415616385227971E-3</v>
          </cell>
          <cell r="I13">
            <v>-1.5333045999782245E-2</v>
          </cell>
          <cell r="J13">
            <v>-1.9971614537531495E-3</v>
          </cell>
          <cell r="K13">
            <v>7.0867019326724639E-4</v>
          </cell>
          <cell r="L13">
            <v>-7.2799756217453524E-3</v>
          </cell>
          <cell r="M13">
            <v>0.16460669126396485</v>
          </cell>
          <cell r="N13">
            <v>0.12672504820567931</v>
          </cell>
        </row>
        <row r="14">
          <cell r="A14" t="str">
            <v xml:space="preserve"> 3Q</v>
          </cell>
          <cell r="B14">
            <v>1</v>
          </cell>
          <cell r="C14">
            <v>0.34075403949730698</v>
          </cell>
          <cell r="D14">
            <v>0.65924596050269302</v>
          </cell>
          <cell r="E14">
            <v>0.41956912028725313</v>
          </cell>
          <cell r="F14">
            <v>7.4326750448833037E-2</v>
          </cell>
          <cell r="G14">
            <v>0.16535008976660687</v>
          </cell>
          <cell r="H14">
            <v>8.7372830640335131E-3</v>
          </cell>
          <cell r="I14">
            <v>-1.5559545182525433E-2</v>
          </cell>
          <cell r="J14">
            <v>-1.8551765409934172E-3</v>
          </cell>
          <cell r="K14">
            <v>-2.6331538001196889E-3</v>
          </cell>
          <cell r="L14">
            <v>-1.1310592459605025E-2</v>
          </cell>
          <cell r="M14">
            <v>0.13327348892878513</v>
          </cell>
          <cell r="N14">
            <v>0.10125673249551163</v>
          </cell>
        </row>
        <row r="15">
          <cell r="A15" t="str">
            <v xml:space="preserve"> 4Q</v>
          </cell>
          <cell r="B15">
            <v>1</v>
          </cell>
          <cell r="C15">
            <v>0.34718428546521762</v>
          </cell>
          <cell r="D15">
            <v>0.65281571453478238</v>
          </cell>
          <cell r="E15">
            <v>0.44452838960888014</v>
          </cell>
          <cell r="F15">
            <v>7.7526588016504916E-2</v>
          </cell>
          <cell r="G15">
            <v>0.13076073690939732</v>
          </cell>
          <cell r="H15">
            <v>6.3927471377927588E-3</v>
          </cell>
          <cell r="I15">
            <v>-1.4819550183065031E-2</v>
          </cell>
          <cell r="J15">
            <v>-1.8597082582669845E-3</v>
          </cell>
          <cell r="K15">
            <v>-4.1262276980298714E-3</v>
          </cell>
          <cell r="L15">
            <v>-1.4412739001569129E-2</v>
          </cell>
          <cell r="M15">
            <v>0.10524786424129719</v>
          </cell>
          <cell r="N15">
            <v>8.0025570988551217E-2</v>
          </cell>
        </row>
        <row r="17">
          <cell r="A17">
            <v>1994</v>
          </cell>
          <cell r="B17">
            <v>1</v>
          </cell>
          <cell r="C17">
            <v>0.33585286618029742</v>
          </cell>
          <cell r="D17">
            <v>0.66414713381970258</v>
          </cell>
          <cell r="E17">
            <v>0.42628737884533691</v>
          </cell>
          <cell r="F17">
            <v>7.1063480570839221E-2</v>
          </cell>
          <cell r="G17">
            <v>0.16679627440352646</v>
          </cell>
          <cell r="H17">
            <v>7.74529601835682E-3</v>
          </cell>
          <cell r="I17">
            <v>-1.4602298529578148E-2</v>
          </cell>
          <cell r="J17">
            <v>-1.9480120770515139E-3</v>
          </cell>
          <cell r="K17">
            <v>-1.3246482123950301E-3</v>
          </cell>
          <cell r="L17">
            <v>-1.0129662800667872E-2</v>
          </cell>
          <cell r="M17">
            <v>0.14229558106706802</v>
          </cell>
          <cell r="N17">
            <v>0.10815082538050909</v>
          </cell>
        </row>
        <row r="19">
          <cell r="A19" t="str">
            <v>1995</v>
          </cell>
        </row>
        <row r="20">
          <cell r="A20" t="str">
            <v xml:space="preserve"> 1Q </v>
          </cell>
          <cell r="B20">
            <v>1</v>
          </cell>
          <cell r="C20">
            <v>0.3317337654244048</v>
          </cell>
          <cell r="D20">
            <v>0.6682662345755952</v>
          </cell>
          <cell r="E20">
            <v>0.39131247662968965</v>
          </cell>
          <cell r="F20">
            <v>7.1232705970335292E-2</v>
          </cell>
          <cell r="G20">
            <v>0.20572105197557025</v>
          </cell>
          <cell r="H20">
            <v>7.7901034525738504E-3</v>
          </cell>
          <cell r="I20">
            <v>-1.8197681665212514E-2</v>
          </cell>
          <cell r="J20">
            <v>-2.1812289667206782E-3</v>
          </cell>
          <cell r="K20">
            <v>-6.2320827620590785E-4</v>
          </cell>
          <cell r="L20">
            <v>-1.3212015455565251E-2</v>
          </cell>
          <cell r="M20">
            <v>0.17362582575096597</v>
          </cell>
          <cell r="N20">
            <v>0.12551414682786988</v>
          </cell>
        </row>
        <row r="21">
          <cell r="A21" t="str">
            <v xml:space="preserve"> 2Q</v>
          </cell>
          <cell r="B21">
            <v>1</v>
          </cell>
          <cell r="C21">
            <v>0.33985330073349634</v>
          </cell>
          <cell r="D21">
            <v>0.66014669926650371</v>
          </cell>
          <cell r="E21">
            <v>0.41575905756834852</v>
          </cell>
          <cell r="F21">
            <v>6.6403645254501001E-2</v>
          </cell>
          <cell r="G21">
            <v>0.1779839964436542</v>
          </cell>
          <cell r="H21">
            <v>7.0015559013114027E-3</v>
          </cell>
          <cell r="I21">
            <v>-1.8337408312958436E-2</v>
          </cell>
          <cell r="J21">
            <v>-1.9448766392531674E-3</v>
          </cell>
          <cell r="K21">
            <v>5.6679262058235173E-3</v>
          </cell>
          <cell r="L21">
            <v>-7.6128028450766824E-3</v>
          </cell>
          <cell r="M21">
            <v>0.1544787730606802</v>
          </cell>
          <cell r="N21">
            <v>0.11169148699711051</v>
          </cell>
        </row>
        <row r="22">
          <cell r="A22" t="str">
            <v xml:space="preserve"> 3Q</v>
          </cell>
          <cell r="B22">
            <v>1</v>
          </cell>
          <cell r="C22">
            <v>0.35034071070563721</v>
          </cell>
          <cell r="D22">
            <v>0.64965928929436279</v>
          </cell>
          <cell r="E22">
            <v>0.44252970659458241</v>
          </cell>
          <cell r="F22">
            <v>7.3323196485892875E-2</v>
          </cell>
          <cell r="G22">
            <v>0.13380638621388752</v>
          </cell>
          <cell r="H22">
            <v>7.3210564847665709E-3</v>
          </cell>
          <cell r="I22">
            <v>-1.7626851382553359E-2</v>
          </cell>
          <cell r="J22">
            <v>-1.9710536689756153E-3</v>
          </cell>
          <cell r="K22">
            <v>-9.010531058174289E-4</v>
          </cell>
          <cell r="L22">
            <v>-1.3177901672579833E-2</v>
          </cell>
          <cell r="M22">
            <v>0.10080531621332429</v>
          </cell>
          <cell r="N22">
            <v>7.4111617953483103E-2</v>
          </cell>
        </row>
        <row r="23">
          <cell r="A23" t="str">
            <v xml:space="preserve"> 4Q</v>
          </cell>
          <cell r="B23">
            <v>1</v>
          </cell>
          <cell r="C23">
            <v>0.35566428302596914</v>
          </cell>
          <cell r="D23">
            <v>0.64433571697403091</v>
          </cell>
          <cell r="E23">
            <v>0.43975482552825418</v>
          </cell>
          <cell r="F23">
            <v>7.376740684983063E-2</v>
          </cell>
          <cell r="G23">
            <v>0.13081348459594611</v>
          </cell>
          <cell r="H23">
            <v>6.2368944566912193E-3</v>
          </cell>
          <cell r="I23">
            <v>-1.5699768804774448E-2</v>
          </cell>
          <cell r="J23">
            <v>-2.4194849185440077E-3</v>
          </cell>
          <cell r="K23">
            <v>-1.0376901983977631E-2</v>
          </cell>
          <cell r="L23">
            <v>-2.2259261250604869E-2</v>
          </cell>
          <cell r="M23">
            <v>8.9252110328512338E-2</v>
          </cell>
          <cell r="N23">
            <v>6.6186354105059464E-2</v>
          </cell>
        </row>
        <row r="25">
          <cell r="A25" t="str">
            <v>1995</v>
          </cell>
          <cell r="B25">
            <v>1</v>
          </cell>
          <cell r="C25">
            <v>0.34482513707775792</v>
          </cell>
          <cell r="D25">
            <v>0.65517486292224203</v>
          </cell>
          <cell r="E25">
            <v>0.42327907042813717</v>
          </cell>
          <cell r="F25">
            <v>7.1195204409216173E-2</v>
          </cell>
          <cell r="G25">
            <v>0.16070058808488868</v>
          </cell>
          <cell r="H25">
            <v>7.0598596551038392E-3</v>
          </cell>
          <cell r="I25">
            <v>-1.7429472428193985E-2</v>
          </cell>
          <cell r="J25">
            <v>-2.1307423506349613E-3</v>
          </cell>
          <cell r="K25">
            <v>-1.6619790334952706E-3</v>
          </cell>
          <cell r="L25">
            <v>-1.4162334157220379E-2</v>
          </cell>
          <cell r="M25">
            <v>0.12807182022216543</v>
          </cell>
          <cell r="N25">
            <v>9.334071990681557E-2</v>
          </cell>
        </row>
        <row r="27">
          <cell r="A27">
            <v>1996</v>
          </cell>
        </row>
        <row r="28">
          <cell r="A28" t="str">
            <v xml:space="preserve"> 1Q </v>
          </cell>
          <cell r="B28">
            <v>1</v>
          </cell>
          <cell r="C28">
            <v>0.32232670019680737</v>
          </cell>
          <cell r="D28">
            <v>0.67767329980319269</v>
          </cell>
          <cell r="E28">
            <v>0.41324076098841023</v>
          </cell>
          <cell r="F28">
            <v>7.0905313798381803E-2</v>
          </cell>
          <cell r="G28">
            <v>0.19352722501640066</v>
          </cell>
          <cell r="H28">
            <v>6.6149136234419413E-3</v>
          </cell>
          <cell r="I28">
            <v>-1.5963262628471461E-2</v>
          </cell>
          <cell r="J28">
            <v>-1.9134047671113055E-3</v>
          </cell>
          <cell r="K28">
            <v>3.8268095342225991E-4</v>
          </cell>
          <cell r="L28">
            <v>-1.0879072818718567E-2</v>
          </cell>
          <cell r="M28">
            <v>0.16488082221736275</v>
          </cell>
          <cell r="N28">
            <v>0.12032582549748522</v>
          </cell>
        </row>
        <row r="29">
          <cell r="A29" t="str">
            <v xml:space="preserve"> 2Q</v>
          </cell>
          <cell r="B29">
            <v>1</v>
          </cell>
          <cell r="C29">
            <v>0.31933899062081283</v>
          </cell>
          <cell r="D29">
            <v>0.68066100937918717</v>
          </cell>
          <cell r="E29">
            <v>0.42613890129522103</v>
          </cell>
          <cell r="F29">
            <v>7.2967842786958462E-2</v>
          </cell>
          <cell r="G29">
            <v>0.18155426529700769</v>
          </cell>
          <cell r="H29">
            <v>8.9325591782045549E-3</v>
          </cell>
          <cell r="I29">
            <v>-1.7530147387226438E-2</v>
          </cell>
          <cell r="J29">
            <v>-2.2331397945511387E-3</v>
          </cell>
          <cell r="K29">
            <v>1.4571237159446181E-2</v>
          </cell>
          <cell r="L29">
            <v>3.7405091558731594E-3</v>
          </cell>
          <cell r="M29">
            <v>0.16491737382760166</v>
          </cell>
          <cell r="N29">
            <v>0.11902635104957576</v>
          </cell>
        </row>
        <row r="30">
          <cell r="A30" t="str">
            <v xml:space="preserve"> 3Q</v>
          </cell>
          <cell r="B30">
            <v>1</v>
          </cell>
          <cell r="C30">
            <v>0.32816742081447964</v>
          </cell>
          <cell r="D30">
            <v>0.67183257918552042</v>
          </cell>
          <cell r="E30">
            <v>0.44038461538461537</v>
          </cell>
          <cell r="F30">
            <v>8.2013574660633484E-2</v>
          </cell>
          <cell r="G30">
            <v>0.14943438914027157</v>
          </cell>
          <cell r="H30">
            <v>8.4841628959276012E-3</v>
          </cell>
          <cell r="I30">
            <v>-2.6640271493212672E-2</v>
          </cell>
          <cell r="J30">
            <v>-7.3529411764705881E-3</v>
          </cell>
          <cell r="K30">
            <v>-5.1470588235294117E-3</v>
          </cell>
          <cell r="L30">
            <v>-3.065610859728507E-2</v>
          </cell>
          <cell r="M30">
            <v>0.11877828054298639</v>
          </cell>
          <cell r="N30">
            <v>8.3540723981900419E-2</v>
          </cell>
        </row>
        <row r="31">
          <cell r="A31" t="str">
            <v xml:space="preserve"> 4Q</v>
          </cell>
          <cell r="B31">
            <v>1</v>
          </cell>
          <cell r="C31">
            <v>0.32832338578404774</v>
          </cell>
          <cell r="D31">
            <v>0.67167661421595226</v>
          </cell>
          <cell r="E31">
            <v>0.44384156266956049</v>
          </cell>
          <cell r="F31">
            <v>8.1063483450895285E-2</v>
          </cell>
          <cell r="G31">
            <v>0.14677156809549649</v>
          </cell>
          <cell r="H31">
            <v>6.3483450895279432E-3</v>
          </cell>
          <cell r="I31">
            <v>-2.0835594139989148E-2</v>
          </cell>
          <cell r="J31">
            <v>-5.9685295713510578E-3</v>
          </cell>
          <cell r="K31">
            <v>4.1779706999457407E-3</v>
          </cell>
          <cell r="L31">
            <v>-1.6277807921866522E-2</v>
          </cell>
          <cell r="M31">
            <v>0.13049376017363001</v>
          </cell>
          <cell r="N31">
            <v>9.2620727075420572E-2</v>
          </cell>
        </row>
        <row r="33">
          <cell r="A33" t="str">
            <v>Year</v>
          </cell>
          <cell r="B33">
            <v>1</v>
          </cell>
          <cell r="C33">
            <v>0.32454296540089062</v>
          </cell>
          <cell r="D33">
            <v>0.67545703459910933</v>
          </cell>
          <cell r="E33">
            <v>0.43087092402577648</v>
          </cell>
          <cell r="F33">
            <v>7.6720966894377296E-2</v>
          </cell>
          <cell r="G33">
            <v>0.16786514367895569</v>
          </cell>
          <cell r="H33">
            <v>7.5780623392427467E-3</v>
          </cell>
          <cell r="I33">
            <v>-2.0203556711010318E-2</v>
          </cell>
          <cell r="J33">
            <v>-4.3560029869734772E-3</v>
          </cell>
          <cell r="K33">
            <v>9.9565782559393762E-3</v>
          </cell>
          <cell r="L33">
            <v>-1.3469037807340212E-2</v>
          </cell>
          <cell r="M33">
            <v>0.14485438504300691</v>
          </cell>
          <cell r="N33">
            <v>0.1039494427081893</v>
          </cell>
        </row>
        <row r="35">
          <cell r="A35">
            <v>1997</v>
          </cell>
        </row>
        <row r="36">
          <cell r="A36" t="str">
            <v xml:space="preserve"> 1Q </v>
          </cell>
          <cell r="B36">
            <v>1</v>
          </cell>
          <cell r="C36">
            <v>0.30899066051535951</v>
          </cell>
          <cell r="D36">
            <v>0.69100933948464049</v>
          </cell>
          <cell r="E36">
            <v>0.42882862608304267</v>
          </cell>
          <cell r="F36">
            <v>7.5334758636210197E-2</v>
          </cell>
          <cell r="G36">
            <v>0.18684595476538762</v>
          </cell>
          <cell r="H36">
            <v>4.613480364577472E-3</v>
          </cell>
          <cell r="I36">
            <v>-2.2054686620906944E-2</v>
          </cell>
          <cell r="J36">
            <v>-6.9764825025317879E-3</v>
          </cell>
          <cell r="K36">
            <v>1.6315967143017891E-3</v>
          </cell>
          <cell r="L36">
            <v>-2.2786092044559472E-2</v>
          </cell>
          <cell r="M36">
            <v>0.16405986272082818</v>
          </cell>
          <cell r="N36">
            <v>0.11483065151344661</v>
          </cell>
        </row>
        <row r="37">
          <cell r="A37" t="str">
            <v xml:space="preserve"> 2Q</v>
          </cell>
          <cell r="B37">
            <v>1</v>
          </cell>
          <cell r="C37">
            <v>0.30182539278995274</v>
          </cell>
          <cell r="D37">
            <v>0.6981746072100472</v>
          </cell>
          <cell r="E37">
            <v>0.43606040575583466</v>
          </cell>
          <cell r="F37">
            <v>8.0439314587888333E-2</v>
          </cell>
          <cell r="G37">
            <v>0.18167488686632421</v>
          </cell>
          <cell r="H37">
            <v>4.5761936238368842E-3</v>
          </cell>
          <cell r="I37">
            <v>-2.4406365993796714E-2</v>
          </cell>
          <cell r="J37">
            <v>-6.5083642650124573E-3</v>
          </cell>
          <cell r="K37">
            <v>1.2711648955102456E-2</v>
          </cell>
          <cell r="L37">
            <v>-1.3626887679869831E-2</v>
          </cell>
          <cell r="M37">
            <v>0.16804799918645441</v>
          </cell>
          <cell r="N37">
            <v>0.11765902272842828</v>
          </cell>
        </row>
        <row r="38">
          <cell r="A38" t="str">
            <v xml:space="preserve"> 3Q</v>
          </cell>
          <cell r="B38">
            <v>1</v>
          </cell>
          <cell r="C38">
            <v>0.29122990086799788</v>
          </cell>
          <cell r="D38">
            <v>0.70877009913200206</v>
          </cell>
          <cell r="E38">
            <v>0.45937485177631265</v>
          </cell>
          <cell r="F38">
            <v>8.632547550158895E-2</v>
          </cell>
          <cell r="G38">
            <v>0.16306977185410046</v>
          </cell>
          <cell r="H38">
            <v>5.0751790542142954E-3</v>
          </cell>
          <cell r="I38">
            <v>-2.0395579376749039E-2</v>
          </cell>
          <cell r="J38">
            <v>-6.2609685528624949E-3</v>
          </cell>
          <cell r="K38">
            <v>-7.1147369918891992E-3</v>
          </cell>
          <cell r="L38">
            <v>-2.8696105867286437E-2</v>
          </cell>
          <cell r="M38">
            <v>0.13437366598681411</v>
          </cell>
          <cell r="N38">
            <v>9.4056823032775294E-2</v>
          </cell>
        </row>
        <row r="39">
          <cell r="A39" t="str">
            <v xml:space="preserve"> 4Q</v>
          </cell>
          <cell r="B39">
            <v>1</v>
          </cell>
          <cell r="C39">
            <v>0.27962533298960213</v>
          </cell>
          <cell r="D39">
            <v>0.72037466701039787</v>
          </cell>
          <cell r="E39">
            <v>0.46747443499183639</v>
          </cell>
          <cell r="F39">
            <v>8.5116438944745201E-2</v>
          </cell>
          <cell r="G39">
            <v>0.1677837930738163</v>
          </cell>
          <cell r="H39">
            <v>5.8004640371229696E-3</v>
          </cell>
          <cell r="I39">
            <v>-1.5811635301194463E-2</v>
          </cell>
          <cell r="J39">
            <v>-7.7339520494972931E-3</v>
          </cell>
          <cell r="K39">
            <v>-9.1088768582968105E-3</v>
          </cell>
          <cell r="L39">
            <v>-2.6854000171865601E-2</v>
          </cell>
          <cell r="M39">
            <v>0.14092979290195071</v>
          </cell>
          <cell r="N39">
            <v>0.1012718054481396</v>
          </cell>
        </row>
        <row r="41">
          <cell r="A41" t="str">
            <v>Year</v>
          </cell>
          <cell r="B41">
            <v>1</v>
          </cell>
          <cell r="C41">
            <v>0.29433482481234263</v>
          </cell>
          <cell r="D41">
            <v>0.70566517518765737</v>
          </cell>
          <cell r="E41">
            <v>0.44943641653830163</v>
          </cell>
          <cell r="F41">
            <v>8.2178048363040657E-2</v>
          </cell>
          <cell r="G41">
            <v>0.17405071028631508</v>
          </cell>
          <cell r="H41">
            <v>5.0612484412821818E-3</v>
          </cell>
          <cell r="I41">
            <v>-2.0416147094060977E-2</v>
          </cell>
          <cell r="J41">
            <v>-6.895034108413408E-3</v>
          </cell>
          <cell r="K41">
            <v>-1.0146947358126116E-3</v>
          </cell>
          <cell r="L41">
            <v>-2.3264627497004815E-2</v>
          </cell>
          <cell r="M41">
            <v>0.15078608278931024</v>
          </cell>
          <cell r="N41">
            <v>0.10629844250470673</v>
          </cell>
        </row>
        <row r="43">
          <cell r="A43" t="str">
            <v>1998 (a)</v>
          </cell>
        </row>
        <row r="44">
          <cell r="A44" t="str">
            <v xml:space="preserve"> 1Q </v>
          </cell>
          <cell r="B44">
            <v>1</v>
          </cell>
          <cell r="C44">
            <v>0.28040670985456262</v>
          </cell>
          <cell r="D44">
            <v>0.71959329014543738</v>
          </cell>
          <cell r="E44">
            <v>0.43944399159123082</v>
          </cell>
          <cell r="F44">
            <v>8.9150113689990998E-2</v>
          </cell>
          <cell r="G44">
            <v>0.19099918486421558</v>
          </cell>
          <cell r="H44">
            <v>6.3065768587240974E-3</v>
          </cell>
          <cell r="I44">
            <v>-1.5444678021365137E-2</v>
          </cell>
          <cell r="J44">
            <v>-6.349478742116779E-3</v>
          </cell>
          <cell r="K44">
            <v>2.9602299540949849E-3</v>
          </cell>
          <cell r="L44">
            <v>-1.2527349950662835E-2</v>
          </cell>
          <cell r="M44">
            <v>0.17847183491355278</v>
          </cell>
          <cell r="N44">
            <v>0.12565961645716256</v>
          </cell>
        </row>
        <row r="45">
          <cell r="A45" t="str">
            <v xml:space="preserve"> 2Q</v>
          </cell>
          <cell r="B45">
            <v>1</v>
          </cell>
          <cell r="C45">
            <v>0.26350318708763559</v>
          </cell>
          <cell r="D45">
            <v>0.73649681291236435</v>
          </cell>
          <cell r="E45">
            <v>0.44231557758974177</v>
          </cell>
          <cell r="F45">
            <v>9.7215491855220493E-2</v>
          </cell>
          <cell r="G45">
            <v>0.19696574346740209</v>
          </cell>
          <cell r="H45">
            <v>5.2931747865955937E-3</v>
          </cell>
          <cell r="I45">
            <v>-9.8408319976143431E-3</v>
          </cell>
          <cell r="J45">
            <v>-5.4795541804898047E-3</v>
          </cell>
          <cell r="K45">
            <v>-1.5022179147873412E-2</v>
          </cell>
          <cell r="L45">
            <v>-2.5049390539381964E-2</v>
          </cell>
          <cell r="M45">
            <v>0.17191635292802016</v>
          </cell>
          <cell r="N45">
            <v>0.12267491706116961</v>
          </cell>
        </row>
        <row r="46">
          <cell r="A46" t="str">
            <v xml:space="preserve"> 3Q</v>
          </cell>
          <cell r="B46">
            <v>1</v>
          </cell>
          <cell r="C46">
            <v>0.26105192828773988</v>
          </cell>
          <cell r="D46">
            <v>0.73894807171226007</v>
          </cell>
          <cell r="E46">
            <v>0.45254444898110691</v>
          </cell>
          <cell r="F46">
            <v>9.5282283508407256E-2</v>
          </cell>
          <cell r="G46">
            <v>0.19112133922274591</v>
          </cell>
          <cell r="H46">
            <v>4.5284139415760361E-3</v>
          </cell>
          <cell r="I46">
            <v>-9.6507182361456525E-3</v>
          </cell>
          <cell r="J46">
            <v>-5.5306039122527007E-3</v>
          </cell>
          <cell r="K46">
            <v>-2.2939014884376972E-2</v>
          </cell>
          <cell r="L46">
            <v>-3.3591923091199287E-2</v>
          </cell>
          <cell r="M46">
            <v>0.15752941613154667</v>
          </cell>
          <cell r="N46">
            <v>0.11224527671578634</v>
          </cell>
        </row>
        <row r="47">
          <cell r="A47" t="str">
            <v xml:space="preserve"> 4Q</v>
          </cell>
          <cell r="B47">
            <v>1</v>
          </cell>
          <cell r="C47">
            <v>0.23796976384177071</v>
          </cell>
          <cell r="D47">
            <v>0.76203023615822929</v>
          </cell>
          <cell r="E47">
            <v>0.46240242416257704</v>
          </cell>
          <cell r="F47">
            <v>8.6821909686769227E-2</v>
          </cell>
          <cell r="G47">
            <v>0.21280590230888302</v>
          </cell>
          <cell r="H47">
            <v>4.8088007641382035E-3</v>
          </cell>
          <cell r="I47">
            <v>-8.4648068245446462E-3</v>
          </cell>
          <cell r="J47">
            <v>-5.0722966964197496E-3</v>
          </cell>
          <cell r="K47">
            <v>6.2580283916867036E-3</v>
          </cell>
          <cell r="L47">
            <v>-2.4702743651394883E-3</v>
          </cell>
          <cell r="M47">
            <v>0.21033562794374355</v>
          </cell>
          <cell r="N47">
            <v>0.1148512894832186</v>
          </cell>
        </row>
        <row r="49">
          <cell r="A49" t="str">
            <v>Year</v>
          </cell>
          <cell r="B49">
            <v>1</v>
          </cell>
          <cell r="C49">
            <v>0.25934027066773396</v>
          </cell>
          <cell r="D49">
            <v>0.74065972933226598</v>
          </cell>
          <cell r="E49">
            <v>0.44993391537444849</v>
          </cell>
          <cell r="F49">
            <v>9.2043783391351275E-2</v>
          </cell>
          <cell r="G49">
            <v>0.19868203056646616</v>
          </cell>
          <cell r="H49">
            <v>5.1843854129823702E-3</v>
          </cell>
          <cell r="I49">
            <v>-1.0620078556935163E-2</v>
          </cell>
          <cell r="J49">
            <v>-5.566000856307823E-3</v>
          </cell>
          <cell r="K49">
            <v>-7.0924626296096334E-3</v>
          </cell>
          <cell r="L49">
            <v>-1.8094156629870246E-2</v>
          </cell>
          <cell r="M49">
            <v>0.18058787393659592</v>
          </cell>
          <cell r="N49">
            <v>0.1184962489994229</v>
          </cell>
        </row>
        <row r="51">
          <cell r="A51">
            <v>1999</v>
          </cell>
        </row>
        <row r="52">
          <cell r="A52" t="str">
            <v xml:space="preserve"> 1QA (a)</v>
          </cell>
          <cell r="B52">
            <v>1</v>
          </cell>
          <cell r="C52">
            <v>0.2502994011976048</v>
          </cell>
          <cell r="D52">
            <v>0.74970059880239526</v>
          </cell>
          <cell r="E52">
            <v>0.45359281437125748</v>
          </cell>
          <cell r="F52">
            <v>9.1151031270791744E-2</v>
          </cell>
          <cell r="G52">
            <v>0.20495675316034603</v>
          </cell>
          <cell r="H52">
            <v>7.451763140385894E-3</v>
          </cell>
          <cell r="I52">
            <v>-1.081170991350632E-2</v>
          </cell>
          <cell r="J52">
            <v>-5.2228875582168996E-3</v>
          </cell>
          <cell r="K52">
            <v>-1.7465069860279441E-2</v>
          </cell>
          <cell r="L52">
            <v>-2.6047904191616764E-2</v>
          </cell>
          <cell r="M52">
            <v>0.17890884896872919</v>
          </cell>
          <cell r="N52">
            <v>0.12707917498336657</v>
          </cell>
        </row>
        <row r="53">
          <cell r="A53" t="str">
            <v xml:space="preserve"> 2QA</v>
          </cell>
          <cell r="B53">
            <v>1</v>
          </cell>
          <cell r="C53">
            <v>0.2295362935220745</v>
          </cell>
          <cell r="D53">
            <v>0.7704637064779255</v>
          </cell>
          <cell r="E53">
            <v>0.45996127844605966</v>
          </cell>
          <cell r="F53">
            <v>8.9440441806582671E-2</v>
          </cell>
          <cell r="G53">
            <v>0.22106198622528317</v>
          </cell>
          <cell r="H53">
            <v>1.0188212143333229E-2</v>
          </cell>
          <cell r="I53">
            <v>-1.1679944139397594E-2</v>
          </cell>
          <cell r="J53">
            <v>-4.8560637318691086E-3</v>
          </cell>
          <cell r="K53">
            <v>-1.4885580982004E-2</v>
          </cell>
          <cell r="L53">
            <v>-2.1233376709937472E-2</v>
          </cell>
          <cell r="M53">
            <v>0.19982860951534581</v>
          </cell>
          <cell r="N53">
            <v>0.14184149554067352</v>
          </cell>
        </row>
        <row r="54">
          <cell r="A54" t="str">
            <v xml:space="preserve"> 3QA</v>
          </cell>
          <cell r="B54">
            <v>1</v>
          </cell>
          <cell r="C54">
            <v>0.23696565357054608</v>
          </cell>
          <cell r="D54">
            <v>0.76303434642945389</v>
          </cell>
          <cell r="E54">
            <v>0.46123671855695569</v>
          </cell>
          <cell r="F54">
            <v>0.10705460835186557</v>
          </cell>
          <cell r="G54">
            <v>0.19474301952063261</v>
          </cell>
          <cell r="H54">
            <v>1.0192735359525574E-2</v>
          </cell>
          <cell r="I54">
            <v>-1.1459105510254509E-2</v>
          </cell>
          <cell r="J54">
            <v>-4.447739065974796E-3</v>
          </cell>
          <cell r="K54">
            <v>-7.5982209043736083E-3</v>
          </cell>
          <cell r="L54">
            <v>-1.3312330121077338E-2</v>
          </cell>
          <cell r="M54">
            <v>0.18143068939955537</v>
          </cell>
          <cell r="N54">
            <v>0.12879911045218698</v>
          </cell>
        </row>
        <row r="55">
          <cell r="A55" t="str">
            <v xml:space="preserve"> 4Q</v>
          </cell>
          <cell r="B55">
            <v>1</v>
          </cell>
          <cell r="C55">
            <v>0.2260729340538094</v>
          </cell>
          <cell r="D55">
            <v>0.77392706594619054</v>
          </cell>
          <cell r="E55">
            <v>0.46750785073697909</v>
          </cell>
          <cell r="F55">
            <v>0.10088550654935356</v>
          </cell>
          <cell r="G55">
            <v>0.20553370865985787</v>
          </cell>
          <cell r="H55">
            <v>1.1033468186833395E-2</v>
          </cell>
          <cell r="I55">
            <v>-9.5906300393244128E-3</v>
          </cell>
          <cell r="J55">
            <v>-4.3285144425269477E-3</v>
          </cell>
          <cell r="K55">
            <v>-8.4307013325034662E-3</v>
          </cell>
          <cell r="L55">
            <v>-1.1316377627521431E-2</v>
          </cell>
          <cell r="M55">
            <v>0.19421733103233652</v>
          </cell>
          <cell r="N55">
            <v>0.1378900613913486</v>
          </cell>
        </row>
        <row r="57">
          <cell r="A57" t="str">
            <v>Year</v>
          </cell>
          <cell r="B57">
            <v>1</v>
          </cell>
          <cell r="C57">
            <v>0.23527728362595715</v>
          </cell>
          <cell r="D57">
            <v>0.76472271637404288</v>
          </cell>
          <cell r="E57">
            <v>0.46086317580632685</v>
          </cell>
          <cell r="F57">
            <v>9.7377987470028612E-2</v>
          </cell>
          <cell r="G57">
            <v>0.2064815530976874</v>
          </cell>
          <cell r="H57">
            <v>9.7842060484182852E-3</v>
          </cell>
          <cell r="I57">
            <v>-1.0851573980973007E-2</v>
          </cell>
          <cell r="J57">
            <v>-4.6948719931935957E-3</v>
          </cell>
          <cell r="K57">
            <v>-1.1895738262820019E-2</v>
          </cell>
          <cell r="L57">
            <v>-1.7657978188568336E-2</v>
          </cell>
          <cell r="M57">
            <v>0.18882357490911908</v>
          </cell>
          <cell r="N57">
            <v>0.13406295923892028</v>
          </cell>
        </row>
        <row r="59">
          <cell r="A59" t="str">
            <v>2000E</v>
          </cell>
        </row>
        <row r="60">
          <cell r="A60" t="str">
            <v xml:space="preserve"> 1QA</v>
          </cell>
          <cell r="B60">
            <v>1</v>
          </cell>
          <cell r="C60">
            <v>0.22078074552392135</v>
          </cell>
          <cell r="D60">
            <v>0.77921925447607865</v>
          </cell>
          <cell r="E60">
            <v>0.45908423833284412</v>
          </cell>
          <cell r="F60">
            <v>0.10237745817434693</v>
          </cell>
          <cell r="G60">
            <v>0.2177575579688876</v>
          </cell>
          <cell r="H60">
            <v>1.6143234517170531E-2</v>
          </cell>
          <cell r="I60">
            <v>-1.6994423246257703E-2</v>
          </cell>
          <cell r="J60">
            <v>-4.373348987378926E-3</v>
          </cell>
          <cell r="K60">
            <v>-8.5118872908717411E-4</v>
          </cell>
          <cell r="L60">
            <v>-6.0757264455532723E-3</v>
          </cell>
          <cell r="M60">
            <v>0.21168183152333439</v>
          </cell>
          <cell r="N60">
            <v>0.15135250953918411</v>
          </cell>
        </row>
        <row r="61">
          <cell r="A61" t="str">
            <v xml:space="preserve"> 2QE</v>
          </cell>
          <cell r="B61">
            <v>1</v>
          </cell>
          <cell r="C61">
            <v>0.21</v>
          </cell>
          <cell r="D61">
            <v>0.79</v>
          </cell>
          <cell r="E61">
            <v>0.46200000000000002</v>
          </cell>
          <cell r="F61">
            <v>9.7000000000000003E-2</v>
          </cell>
          <cell r="G61">
            <v>0.23100000000000001</v>
          </cell>
          <cell r="H61">
            <v>1.4102244090102056E-2</v>
          </cell>
          <cell r="I61">
            <v>-1.6922692908122469E-2</v>
          </cell>
          <cell r="J61">
            <v>-4.0050373215889841E-3</v>
          </cell>
          <cell r="K61">
            <v>-8.4613464540612342E-4</v>
          </cell>
          <cell r="L61">
            <v>-7.6716207850155184E-3</v>
          </cell>
          <cell r="M61">
            <v>0.22332837921498438</v>
          </cell>
          <cell r="N61">
            <v>0.15967979113871386</v>
          </cell>
        </row>
        <row r="62">
          <cell r="A62" t="str">
            <v xml:space="preserve"> 3QE</v>
          </cell>
          <cell r="B62">
            <v>1</v>
          </cell>
          <cell r="C62">
            <v>0.216</v>
          </cell>
          <cell r="D62">
            <v>0.78400000000000003</v>
          </cell>
          <cell r="E62">
            <v>0.46400000000000002</v>
          </cell>
          <cell r="F62">
            <v>0.108</v>
          </cell>
          <cell r="G62">
            <v>0.21200000000000002</v>
          </cell>
          <cell r="H62">
            <v>1.3503630315974145E-2</v>
          </cell>
          <cell r="I62">
            <v>-1.6204356379168974E-2</v>
          </cell>
          <cell r="J62">
            <v>-4.1861253979519845E-3</v>
          </cell>
          <cell r="K62">
            <v>-8.102178189584487E-4</v>
          </cell>
          <cell r="L62">
            <v>-7.6970692801052627E-3</v>
          </cell>
          <cell r="M62">
            <v>0.20430293071989475</v>
          </cell>
          <cell r="N62">
            <v>0.14607659546472476</v>
          </cell>
        </row>
        <row r="63">
          <cell r="A63" t="str">
            <v xml:space="preserve"> 4QE</v>
          </cell>
          <cell r="B63">
            <v>1</v>
          </cell>
          <cell r="C63">
            <v>0.21720767293092527</v>
          </cell>
          <cell r="D63">
            <v>0.78279232706907476</v>
          </cell>
          <cell r="E63">
            <v>0.46977504248315194</v>
          </cell>
          <cell r="F63">
            <v>0.10418234799412245</v>
          </cell>
          <cell r="G63">
            <v>0.20883493659180036</v>
          </cell>
          <cell r="H63">
            <v>1.3323814082233145E-2</v>
          </cell>
          <cell r="I63">
            <v>-1.5043797354666877E-2</v>
          </cell>
          <cell r="J63">
            <v>-3.9002437586173398E-3</v>
          </cell>
          <cell r="K63">
            <v>-7.5097861190768578E-4</v>
          </cell>
          <cell r="L63">
            <v>-6.3712056429587579E-3</v>
          </cell>
          <cell r="M63">
            <v>0.20246373094884154</v>
          </cell>
          <cell r="N63">
            <v>0.14476156762842171</v>
          </cell>
        </row>
        <row r="65">
          <cell r="A65" t="str">
            <v>Year</v>
          </cell>
          <cell r="B65">
            <v>1</v>
          </cell>
          <cell r="C65">
            <v>0.216</v>
          </cell>
          <cell r="D65">
            <v>0.78400000000000003</v>
          </cell>
          <cell r="E65">
            <v>0.46400000000000002</v>
          </cell>
          <cell r="F65">
            <v>0.10299999999999999</v>
          </cell>
          <cell r="G65">
            <v>0.21700000000000003</v>
          </cell>
          <cell r="H65">
            <v>1.4205323631870048E-2</v>
          </cell>
          <cell r="I65">
            <v>-1.6234655579280055E-2</v>
          </cell>
          <cell r="J65">
            <v>-4.1060149735929145E-3</v>
          </cell>
          <cell r="K65">
            <v>-8.117327789640028E-4</v>
          </cell>
          <cell r="L65">
            <v>-6.9470796999669239E-3</v>
          </cell>
          <cell r="M65">
            <v>0.210052920300033</v>
          </cell>
          <cell r="N65">
            <v>0.15018783801452359</v>
          </cell>
        </row>
        <row r="67">
          <cell r="A67" t="str">
            <v>2001E</v>
          </cell>
          <cell r="B67">
            <v>1</v>
          </cell>
          <cell r="C67">
            <v>0.20100000000000001</v>
          </cell>
          <cell r="D67">
            <v>0.79899999999999993</v>
          </cell>
          <cell r="E67">
            <v>0.45400000000000001</v>
          </cell>
          <cell r="F67">
            <v>9.9400000000000002E-2</v>
          </cell>
          <cell r="G67">
            <v>0.24559999999999993</v>
          </cell>
          <cell r="H67">
            <v>1.6786932480638953E-2</v>
          </cell>
          <cell r="I67">
            <v>-1.4089032617679121E-2</v>
          </cell>
          <cell r="J67">
            <v>-3.6391671484813735E-3</v>
          </cell>
          <cell r="K67">
            <v>-1.1990666057599252E-4</v>
          </cell>
          <cell r="L67">
            <v>-1.061173946097534E-3</v>
          </cell>
          <cell r="M67">
            <v>0.24453882605390251</v>
          </cell>
          <cell r="N67">
            <v>0.17484526062854031</v>
          </cell>
        </row>
        <row r="68">
          <cell r="A68" t="str">
            <v>2002E</v>
          </cell>
          <cell r="B68">
            <v>1</v>
          </cell>
          <cell r="C68">
            <v>0.19600000000000001</v>
          </cell>
          <cell r="D68">
            <v>0.80400000000000005</v>
          </cell>
          <cell r="E68">
            <v>0.45</v>
          </cell>
          <cell r="F68">
            <v>9.7000000000000003E-2</v>
          </cell>
          <cell r="G68">
            <v>0.25700000000000001</v>
          </cell>
          <cell r="H68">
            <v>1.9333003741948941E-2</v>
          </cell>
          <cell r="I68">
            <v>-1.2620155220438894E-2</v>
          </cell>
          <cell r="J68">
            <v>-3.2597592420452802E-3</v>
          </cell>
          <cell r="K68">
            <v>4.2962230537664319E-4</v>
          </cell>
          <cell r="L68">
            <v>3.8827115848414123E-3</v>
          </cell>
          <cell r="M68">
            <v>0.26088271158484144</v>
          </cell>
          <cell r="N68">
            <v>0.18783555234108584</v>
          </cell>
        </row>
        <row r="69">
          <cell r="A69" t="str">
            <v>2003E</v>
          </cell>
          <cell r="B69">
            <v>1</v>
          </cell>
          <cell r="C69">
            <v>0.2</v>
          </cell>
          <cell r="D69">
            <v>0.8</v>
          </cell>
          <cell r="E69">
            <v>0.45700000000000002</v>
          </cell>
          <cell r="F69">
            <v>9.5000000000000001E-2</v>
          </cell>
          <cell r="G69">
            <v>0.24800000000000003</v>
          </cell>
          <cell r="H69">
            <v>2.4748282794725449E-2</v>
          </cell>
          <cell r="I69">
            <v>-1.2116346784917667E-2</v>
          </cell>
          <cell r="J69">
            <v>-3.1296265950829889E-3</v>
          </cell>
          <cell r="K69">
            <v>9.2806060480220428E-4</v>
          </cell>
          <cell r="L69">
            <v>1.0430370019526996E-2</v>
          </cell>
          <cell r="M69">
            <v>0.25843037001952701</v>
          </cell>
          <cell r="N69">
            <v>0.18684515752411801</v>
          </cell>
        </row>
        <row r="70">
          <cell r="A70" t="str">
            <v>2004E</v>
          </cell>
          <cell r="B70">
            <v>1</v>
          </cell>
          <cell r="C70">
            <v>0.2014</v>
          </cell>
          <cell r="D70">
            <v>0.79859999999999998</v>
          </cell>
          <cell r="E70">
            <v>0.45839999999999997</v>
          </cell>
          <cell r="F70">
            <v>9.4E-2</v>
          </cell>
          <cell r="G70">
            <v>0.2462</v>
          </cell>
          <cell r="H70">
            <v>3.0391973636750912E-2</v>
          </cell>
          <cell r="I70">
            <v>-1.1519538394574943E-2</v>
          </cell>
          <cell r="J70">
            <v>-2.9754722576625491E-3</v>
          </cell>
          <cell r="K70">
            <v>1.372540744885525E-3</v>
          </cell>
          <cell r="L70">
            <v>1.7269503729398946E-2</v>
          </cell>
          <cell r="M70">
            <v>0.26346950372939909</v>
          </cell>
          <cell r="N70">
            <v>0.19154232921127312</v>
          </cell>
        </row>
        <row r="71">
          <cell r="A71" t="str">
            <v>2005E</v>
          </cell>
          <cell r="B71">
            <v>1</v>
          </cell>
          <cell r="C71">
            <v>0.2</v>
          </cell>
          <cell r="D71">
            <v>0.8</v>
          </cell>
          <cell r="E71">
            <v>0.45800000000000002</v>
          </cell>
          <cell r="F71">
            <v>9.1528204272138342E-2</v>
          </cell>
          <cell r="G71">
            <v>0.25047179572786171</v>
          </cell>
          <cell r="H71">
            <v>3.647547065149969E-2</v>
          </cell>
          <cell r="I71">
            <v>-1.0919408411595449E-2</v>
          </cell>
          <cell r="J71">
            <v>-2.8204599599312504E-3</v>
          </cell>
          <cell r="K71">
            <v>1.7656915729388385E-3</v>
          </cell>
          <cell r="L71">
            <v>2.4501293852911828E-2</v>
          </cell>
          <cell r="M71">
            <v>0.27497308958077343</v>
          </cell>
          <cell r="N71">
            <v>0.20045538230438381</v>
          </cell>
        </row>
        <row r="73">
          <cell r="A73" t="str">
            <v>(a) Awaiting restatement; only sales, pretax income, shares outstanding, and EPS have been restated for Agouron pooling-of-interest transaction</v>
          </cell>
        </row>
        <row r="75">
          <cell r="A75" t="str">
            <v>E = Morgan Stanley Dean Witter Research Estimates             NM = Not Meaningful             A = Actual</v>
          </cell>
        </row>
      </sheetData>
      <sheetData sheetId="5" refreshError="1"/>
      <sheetData sheetId="6" refreshError="1">
        <row r="2">
          <cell r="A2" t="str">
            <v>Table 5</v>
          </cell>
          <cell r="AH2" t="str">
            <v>Table 5</v>
          </cell>
          <cell r="AI2" t="str">
            <v>(continued)</v>
          </cell>
          <cell r="BS2" t="str">
            <v>Table 5</v>
          </cell>
          <cell r="BT2" t="str">
            <v>(continued)</v>
          </cell>
          <cell r="CV2" t="str">
            <v>Table 5</v>
          </cell>
          <cell r="CW2" t="str">
            <v>(continued)</v>
          </cell>
          <cell r="DR2" t="str">
            <v>Table 5</v>
          </cell>
          <cell r="EM2" t="str">
            <v>Table 4 Continued</v>
          </cell>
        </row>
        <row r="3">
          <cell r="A3" t="str">
            <v>Warner Lambert</v>
          </cell>
          <cell r="AH3" t="str">
            <v>Warner Lambert</v>
          </cell>
          <cell r="BS3" t="str">
            <v>Warner Lambert</v>
          </cell>
          <cell r="CV3" t="str">
            <v>Warner Lambert</v>
          </cell>
          <cell r="DR3" t="str">
            <v>Warner Lambert</v>
          </cell>
          <cell r="EM3" t="str">
            <v>Warner Lambert</v>
          </cell>
        </row>
        <row r="4">
          <cell r="A4" t="str">
            <v>Quarterly/Annual Sales Analysis 1998-2005E -- Pharmaceuticals</v>
          </cell>
          <cell r="AH4" t="str">
            <v>Quarterly/Annual Sales Analysis 1998-2005E -- Pharmaceuticals</v>
          </cell>
          <cell r="BS4" t="str">
            <v>Quarterly/Annual Sales Analysis 1998-2005E -- Consumer Health Products</v>
          </cell>
          <cell r="CV4" t="str">
            <v>Quarterly/Annual Sales Analysis 1998-2005E -- Consumer Health Products</v>
          </cell>
          <cell r="DR4" t="str">
            <v>Quarterly/Annual Sales Analysis 1998-2005E -- Confectionery</v>
          </cell>
          <cell r="EM4" t="str">
            <v>Quarterly/Annual Sales Analysis 1998-2005E -- Confectionery</v>
          </cell>
        </row>
        <row r="5">
          <cell r="A5" t="str">
            <v>($ Millions)</v>
          </cell>
          <cell r="C5" t="str">
            <v xml:space="preserve">                                                                                                                                                                      </v>
          </cell>
          <cell r="G5" t="str">
            <v xml:space="preserve">                                                                                                                                                                      </v>
          </cell>
          <cell r="K5" t="str">
            <v xml:space="preserve">                                                                                                                                                                      </v>
          </cell>
          <cell r="AH5" t="str">
            <v>($ Millions)</v>
          </cell>
          <cell r="BS5" t="str">
            <v>($ Millions)</v>
          </cell>
          <cell r="CV5" t="str">
            <v>($ Millions)</v>
          </cell>
          <cell r="DR5" t="str">
            <v>($ Millions)</v>
          </cell>
          <cell r="EM5" t="str">
            <v>($ Millions)</v>
          </cell>
        </row>
        <row r="6">
          <cell r="B6" t="str">
            <v>Lipitor</v>
          </cell>
          <cell r="F6" t="str">
            <v>Rezulin</v>
          </cell>
          <cell r="J6" t="str">
            <v>Accupril</v>
          </cell>
          <cell r="N6" t="str">
            <v>Lopid/Gemfibrozil</v>
          </cell>
          <cell r="R6" t="str">
            <v>Dilantin</v>
          </cell>
          <cell r="V6" t="str">
            <v>Neurontin</v>
          </cell>
          <cell r="Z6" t="str">
            <v>Viracept (Agouron)</v>
          </cell>
          <cell r="AD6" t="str">
            <v>Loestrin</v>
          </cell>
          <cell r="AI6" t="str">
            <v>Ponstel/Ponstan</v>
          </cell>
          <cell r="AM6" t="str">
            <v>Cognex</v>
          </cell>
          <cell r="AQ6" t="str">
            <v>Capsugel</v>
          </cell>
          <cell r="AU6" t="str">
            <v>Alliance Revenues</v>
          </cell>
          <cell r="AY6" t="str">
            <v>Other</v>
          </cell>
          <cell r="BC6" t="str">
            <v>Total Existing Prods.</v>
          </cell>
          <cell r="BG6" t="str">
            <v>Pregabalin</v>
          </cell>
          <cell r="BK6" t="str">
            <v>Other New Pharma Products</v>
          </cell>
          <cell r="BO6" t="str">
            <v>Total Pharmaceuticals</v>
          </cell>
          <cell r="BT6" t="str">
            <v>Shaving Products</v>
          </cell>
          <cell r="BX6" t="str">
            <v>Listerine</v>
          </cell>
          <cell r="CB6" t="str">
            <v>Pet Lines</v>
          </cell>
          <cell r="CF6" t="str">
            <v>Zantac 75</v>
          </cell>
          <cell r="CJ6" t="str">
            <v>Sudafed</v>
          </cell>
          <cell r="CN6" t="str">
            <v>Benadryl</v>
          </cell>
          <cell r="CR6" t="str">
            <v>Rolaids</v>
          </cell>
          <cell r="CX6" t="str">
            <v>Lubriderm/Lubath</v>
          </cell>
          <cell r="DB6" t="str">
            <v>Neosporin</v>
          </cell>
          <cell r="DF6" t="str">
            <v>Actifed</v>
          </cell>
          <cell r="DJ6" t="str">
            <v>Other</v>
          </cell>
          <cell r="DO6" t="str">
            <v>Total Consumer Health</v>
          </cell>
          <cell r="DS6" t="str">
            <v>Halls</v>
          </cell>
          <cell r="DW6" t="str">
            <v>Trident</v>
          </cell>
          <cell r="EA6" t="str">
            <v>Clorets</v>
          </cell>
          <cell r="EE6" t="str">
            <v>Chiclets/Stick Gum</v>
          </cell>
          <cell r="EI6" t="str">
            <v>Certs</v>
          </cell>
          <cell r="EN6" t="str">
            <v>Bubblicious</v>
          </cell>
          <cell r="ER6" t="str">
            <v>Dentyne</v>
          </cell>
          <cell r="EV6" t="str">
            <v>Bubbaloo</v>
          </cell>
          <cell r="EZ6" t="str">
            <v>Other</v>
          </cell>
          <cell r="FD6" t="str">
            <v>Total</v>
          </cell>
          <cell r="FH6" t="str">
            <v>Total Corporate Sales</v>
          </cell>
        </row>
        <row r="7">
          <cell r="B7" t="str">
            <v>U.S.</v>
          </cell>
          <cell r="C7" t="str">
            <v>Intl</v>
          </cell>
          <cell r="D7" t="str">
            <v>W/W</v>
          </cell>
          <cell r="F7" t="str">
            <v>U.S.</v>
          </cell>
          <cell r="G7" t="str">
            <v>Intl</v>
          </cell>
          <cell r="H7" t="str">
            <v>W/W</v>
          </cell>
          <cell r="J7" t="str">
            <v>U.S.</v>
          </cell>
          <cell r="K7" t="str">
            <v>Intl</v>
          </cell>
          <cell r="L7" t="str">
            <v>W/W</v>
          </cell>
          <cell r="N7" t="str">
            <v>U.S.</v>
          </cell>
          <cell r="O7" t="str">
            <v>Intl</v>
          </cell>
          <cell r="P7" t="str">
            <v>W/W</v>
          </cell>
          <cell r="R7" t="str">
            <v>U.S.</v>
          </cell>
          <cell r="S7" t="str">
            <v>Intl</v>
          </cell>
          <cell r="T7" t="str">
            <v>W/W</v>
          </cell>
          <cell r="V7" t="str">
            <v>U.S.</v>
          </cell>
          <cell r="W7" t="str">
            <v>Intl</v>
          </cell>
          <cell r="X7" t="str">
            <v>W/W</v>
          </cell>
          <cell r="Z7" t="str">
            <v>U.S.</v>
          </cell>
          <cell r="AA7" t="str">
            <v>Intl</v>
          </cell>
          <cell r="AB7" t="str">
            <v>W/W</v>
          </cell>
          <cell r="AD7" t="str">
            <v>U.S.</v>
          </cell>
          <cell r="AE7" t="str">
            <v>Intl</v>
          </cell>
          <cell r="AF7" t="str">
            <v>W/W</v>
          </cell>
          <cell r="AI7" t="str">
            <v>U.S.</v>
          </cell>
          <cell r="AJ7" t="str">
            <v>Intl</v>
          </cell>
          <cell r="AK7" t="str">
            <v>W/W</v>
          </cell>
          <cell r="AM7" t="str">
            <v>U.S.</v>
          </cell>
          <cell r="AN7" t="str">
            <v>Intl</v>
          </cell>
          <cell r="AO7" t="str">
            <v>W/W</v>
          </cell>
          <cell r="AQ7" t="str">
            <v>U.S.</v>
          </cell>
          <cell r="AR7" t="str">
            <v>Intl</v>
          </cell>
          <cell r="AS7" t="str">
            <v>W/W</v>
          </cell>
          <cell r="AU7" t="str">
            <v>U.S.</v>
          </cell>
          <cell r="AV7" t="str">
            <v>Intl</v>
          </cell>
          <cell r="AW7" t="str">
            <v>W/W</v>
          </cell>
          <cell r="AY7" t="str">
            <v>U.S.</v>
          </cell>
          <cell r="AZ7" t="str">
            <v>Intl</v>
          </cell>
          <cell r="BA7" t="str">
            <v>W/W</v>
          </cell>
          <cell r="BC7" t="str">
            <v>U.S.</v>
          </cell>
          <cell r="BD7" t="str">
            <v>Intl</v>
          </cell>
          <cell r="BE7" t="str">
            <v>W/W</v>
          </cell>
          <cell r="BG7" t="str">
            <v>U.S.</v>
          </cell>
          <cell r="BH7" t="str">
            <v>Intl</v>
          </cell>
          <cell r="BI7" t="str">
            <v>W/W</v>
          </cell>
          <cell r="BK7" t="str">
            <v>U.S.</v>
          </cell>
          <cell r="BL7" t="str">
            <v>Intl</v>
          </cell>
          <cell r="BM7" t="str">
            <v>W/W</v>
          </cell>
          <cell r="BO7" t="str">
            <v>U.S.</v>
          </cell>
          <cell r="BP7" t="str">
            <v>Intl</v>
          </cell>
          <cell r="BQ7" t="str">
            <v>W/W</v>
          </cell>
          <cell r="BT7" t="str">
            <v>U.S.</v>
          </cell>
          <cell r="BU7" t="str">
            <v>Intl</v>
          </cell>
          <cell r="BV7" t="str">
            <v>W/W</v>
          </cell>
          <cell r="BX7" t="str">
            <v>U.S.</v>
          </cell>
          <cell r="BY7" t="str">
            <v>Intl</v>
          </cell>
          <cell r="BZ7" t="str">
            <v>W/W</v>
          </cell>
          <cell r="CB7" t="str">
            <v>U.S.</v>
          </cell>
          <cell r="CC7" t="str">
            <v>Intl</v>
          </cell>
          <cell r="CD7" t="str">
            <v>W/W</v>
          </cell>
          <cell r="CF7" t="str">
            <v>U.S.</v>
          </cell>
          <cell r="CG7" t="str">
            <v>Intl</v>
          </cell>
          <cell r="CH7" t="str">
            <v>W/W</v>
          </cell>
          <cell r="CJ7" t="str">
            <v>U.S.</v>
          </cell>
          <cell r="CK7" t="str">
            <v>Intl</v>
          </cell>
          <cell r="CL7" t="str">
            <v>W/W</v>
          </cell>
          <cell r="CN7" t="str">
            <v>U.S.</v>
          </cell>
          <cell r="CO7" t="str">
            <v>Intl</v>
          </cell>
          <cell r="CP7" t="str">
            <v>W/W</v>
          </cell>
          <cell r="CR7" t="str">
            <v>U.S.</v>
          </cell>
          <cell r="CS7" t="str">
            <v>Intl</v>
          </cell>
          <cell r="CT7" t="str">
            <v>W/W</v>
          </cell>
          <cell r="CX7" t="str">
            <v>U.S.</v>
          </cell>
          <cell r="CY7" t="str">
            <v>Intl</v>
          </cell>
          <cell r="CZ7" t="str">
            <v>W/W</v>
          </cell>
          <cell r="DB7" t="str">
            <v>U.S.</v>
          </cell>
          <cell r="DC7" t="str">
            <v>Intl</v>
          </cell>
          <cell r="DD7" t="str">
            <v>W/W</v>
          </cell>
          <cell r="DF7" t="str">
            <v>U.S.</v>
          </cell>
          <cell r="DG7" t="str">
            <v>Intl</v>
          </cell>
          <cell r="DH7" t="str">
            <v>W/W</v>
          </cell>
          <cell r="DJ7" t="str">
            <v>U.S.</v>
          </cell>
          <cell r="DK7" t="str">
            <v>Intl</v>
          </cell>
          <cell r="DL7" t="str">
            <v>W/W</v>
          </cell>
          <cell r="DN7" t="str">
            <v>U.S.</v>
          </cell>
          <cell r="DO7" t="str">
            <v>Intl</v>
          </cell>
          <cell r="DP7" t="str">
            <v>W/W</v>
          </cell>
          <cell r="DS7" t="str">
            <v>U.S.</v>
          </cell>
          <cell r="DT7" t="str">
            <v>Intl</v>
          </cell>
          <cell r="DU7" t="str">
            <v>W/W</v>
          </cell>
          <cell r="DW7" t="str">
            <v>U.S.</v>
          </cell>
          <cell r="DX7" t="str">
            <v>Intl</v>
          </cell>
          <cell r="DY7" t="str">
            <v>W/W</v>
          </cell>
          <cell r="EA7" t="str">
            <v>U.S.</v>
          </cell>
          <cell r="EB7" t="str">
            <v>Intl</v>
          </cell>
          <cell r="EC7" t="str">
            <v>W/W</v>
          </cell>
          <cell r="EE7" t="str">
            <v>U.S.</v>
          </cell>
          <cell r="EF7" t="str">
            <v>Intl</v>
          </cell>
          <cell r="EG7" t="str">
            <v>W/W</v>
          </cell>
          <cell r="EI7" t="str">
            <v>U.S.</v>
          </cell>
          <cell r="EJ7" t="str">
            <v>Intl</v>
          </cell>
          <cell r="EK7" t="str">
            <v>W/W</v>
          </cell>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8">
          <cell r="A8">
            <v>1993</v>
          </cell>
          <cell r="BS8">
            <v>1993</v>
          </cell>
          <cell r="DR8">
            <v>1993</v>
          </cell>
        </row>
        <row r="10">
          <cell r="A10" t="str">
            <v xml:space="preserve">1994 </v>
          </cell>
          <cell r="AH10" t="str">
            <v xml:space="preserve">1994 </v>
          </cell>
          <cell r="BS10" t="str">
            <v xml:space="preserve">1994 </v>
          </cell>
          <cell r="CV10" t="str">
            <v xml:space="preserve">1994 </v>
          </cell>
          <cell r="DR10" t="str">
            <v xml:space="preserve">1994 </v>
          </cell>
          <cell r="EM10" t="str">
            <v xml:space="preserve">1994 </v>
          </cell>
        </row>
        <row r="11">
          <cell r="A11" t="str">
            <v xml:space="preserve"> 1Q</v>
          </cell>
          <cell r="B11">
            <v>0</v>
          </cell>
          <cell r="C11">
            <v>0</v>
          </cell>
          <cell r="D11">
            <v>0</v>
          </cell>
          <cell r="F11">
            <v>0</v>
          </cell>
          <cell r="G11">
            <v>0</v>
          </cell>
          <cell r="H11">
            <v>0</v>
          </cell>
          <cell r="J11">
            <v>26.3</v>
          </cell>
          <cell r="K11">
            <v>28.6</v>
          </cell>
          <cell r="L11">
            <v>54.900000000000006</v>
          </cell>
          <cell r="N11">
            <v>52</v>
          </cell>
          <cell r="O11">
            <v>28</v>
          </cell>
          <cell r="P11">
            <v>80</v>
          </cell>
          <cell r="R11">
            <v>39.9</v>
          </cell>
          <cell r="S11">
            <v>7.2</v>
          </cell>
          <cell r="T11">
            <v>47.1</v>
          </cell>
          <cell r="V11">
            <v>9.3000000000000007</v>
          </cell>
          <cell r="W11">
            <v>0.6</v>
          </cell>
          <cell r="X11">
            <v>9.9</v>
          </cell>
          <cell r="AD11">
            <v>20</v>
          </cell>
          <cell r="AE11">
            <v>1</v>
          </cell>
          <cell r="AF11">
            <v>21</v>
          </cell>
          <cell r="AH11" t="str">
            <v xml:space="preserve"> 1Q</v>
          </cell>
          <cell r="AI11">
            <v>0</v>
          </cell>
          <cell r="AJ11">
            <v>27</v>
          </cell>
          <cell r="AK11">
            <v>27</v>
          </cell>
          <cell r="AM11">
            <v>10.199999999999999</v>
          </cell>
          <cell r="AN11">
            <v>0.1</v>
          </cell>
          <cell r="AO11">
            <v>10.299999999999999</v>
          </cell>
          <cell r="AQ11">
            <v>23</v>
          </cell>
          <cell r="AR11">
            <v>38</v>
          </cell>
          <cell r="AS11">
            <v>61</v>
          </cell>
          <cell r="AU11">
            <v>23</v>
          </cell>
          <cell r="AV11">
            <v>38</v>
          </cell>
          <cell r="AW11">
            <v>61</v>
          </cell>
          <cell r="AY11">
            <v>61.999999999999972</v>
          </cell>
          <cell r="AZ11">
            <v>133.70000000000002</v>
          </cell>
          <cell r="BA11">
            <v>195.7</v>
          </cell>
          <cell r="BC11">
            <v>242.7</v>
          </cell>
          <cell r="BD11">
            <v>264.2</v>
          </cell>
          <cell r="BE11">
            <v>506.9</v>
          </cell>
          <cell r="BG11">
            <v>9.3000000000000007</v>
          </cell>
          <cell r="BH11">
            <v>0.6</v>
          </cell>
          <cell r="BI11">
            <v>9.9</v>
          </cell>
          <cell r="BK11">
            <v>0</v>
          </cell>
          <cell r="BL11">
            <v>0</v>
          </cell>
          <cell r="BM11">
            <v>0</v>
          </cell>
          <cell r="BO11">
            <v>242.7</v>
          </cell>
          <cell r="BP11">
            <v>264.2</v>
          </cell>
          <cell r="BQ11">
            <v>506.9</v>
          </cell>
          <cell r="BS11" t="str">
            <v xml:space="preserve"> 1Q</v>
          </cell>
          <cell r="BT11">
            <v>24.9</v>
          </cell>
          <cell r="BU11">
            <v>110.9</v>
          </cell>
          <cell r="BV11">
            <v>135.80000000000001</v>
          </cell>
          <cell r="BX11">
            <v>63.1</v>
          </cell>
          <cell r="BY11">
            <v>16.3</v>
          </cell>
          <cell r="BZ11">
            <v>79.400000000000006</v>
          </cell>
          <cell r="CB11">
            <v>19</v>
          </cell>
          <cell r="CC11">
            <v>37</v>
          </cell>
          <cell r="CD11">
            <v>56</v>
          </cell>
          <cell r="CJ11">
            <v>26</v>
          </cell>
          <cell r="CK11">
            <v>0</v>
          </cell>
          <cell r="CL11">
            <v>26</v>
          </cell>
          <cell r="CN11">
            <v>23.4</v>
          </cell>
          <cell r="CO11">
            <v>1.7</v>
          </cell>
          <cell r="CP11">
            <v>25.099999999999998</v>
          </cell>
          <cell r="CR11">
            <v>25</v>
          </cell>
          <cell r="CS11">
            <v>2</v>
          </cell>
          <cell r="CT11">
            <v>27</v>
          </cell>
          <cell r="CV11" t="str">
            <v xml:space="preserve"> 1Q</v>
          </cell>
          <cell r="CX11">
            <v>20</v>
          </cell>
          <cell r="CY11">
            <v>0</v>
          </cell>
          <cell r="CZ11">
            <v>20</v>
          </cell>
          <cell r="DB11">
            <v>14</v>
          </cell>
          <cell r="DC11">
            <v>0</v>
          </cell>
          <cell r="DD11">
            <v>14</v>
          </cell>
          <cell r="DF11">
            <v>9</v>
          </cell>
          <cell r="DG11">
            <v>0</v>
          </cell>
          <cell r="DH11">
            <v>9</v>
          </cell>
          <cell r="DJ11">
            <v>61.899999999999977</v>
          </cell>
          <cell r="DK11">
            <v>101.89999999999993</v>
          </cell>
          <cell r="DL11">
            <v>163.7999999999999</v>
          </cell>
          <cell r="DN11">
            <v>286.29999999999995</v>
          </cell>
          <cell r="DO11">
            <v>269.79999999999995</v>
          </cell>
          <cell r="DP11">
            <v>556.09999999999991</v>
          </cell>
          <cell r="DR11" t="str">
            <v xml:space="preserve"> 1Q</v>
          </cell>
          <cell r="DS11">
            <v>20.6</v>
          </cell>
          <cell r="DT11">
            <v>77.099999999999994</v>
          </cell>
          <cell r="DU11">
            <v>97.699999999999989</v>
          </cell>
          <cell r="DW11">
            <v>33</v>
          </cell>
          <cell r="DX11">
            <v>39</v>
          </cell>
          <cell r="DY11">
            <v>72</v>
          </cell>
          <cell r="EA11">
            <v>5.2</v>
          </cell>
          <cell r="EB11">
            <v>45.6</v>
          </cell>
          <cell r="EC11">
            <v>50.800000000000004</v>
          </cell>
          <cell r="EE11">
            <v>3</v>
          </cell>
          <cell r="EF11">
            <v>36</v>
          </cell>
          <cell r="EG11">
            <v>39</v>
          </cell>
          <cell r="EI11">
            <v>25.9</v>
          </cell>
          <cell r="EJ11">
            <v>3.4</v>
          </cell>
          <cell r="EK11">
            <v>29.299999999999997</v>
          </cell>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A12" t="str">
            <v xml:space="preserve"> 2Q</v>
          </cell>
          <cell r="B12">
            <v>0</v>
          </cell>
          <cell r="C12">
            <v>0</v>
          </cell>
          <cell r="D12">
            <v>0</v>
          </cell>
          <cell r="F12">
            <v>0</v>
          </cell>
          <cell r="G12">
            <v>0</v>
          </cell>
          <cell r="H12">
            <v>0</v>
          </cell>
          <cell r="J12">
            <v>28.5</v>
          </cell>
          <cell r="K12">
            <v>31</v>
          </cell>
          <cell r="L12">
            <v>59.5</v>
          </cell>
          <cell r="N12">
            <v>51</v>
          </cell>
          <cell r="O12">
            <v>28</v>
          </cell>
          <cell r="P12">
            <v>79</v>
          </cell>
          <cell r="R12">
            <v>39.700000000000003</v>
          </cell>
          <cell r="S12">
            <v>8.3000000000000007</v>
          </cell>
          <cell r="T12">
            <v>48</v>
          </cell>
          <cell r="V12">
            <v>3</v>
          </cell>
          <cell r="W12">
            <v>1.1000000000000001</v>
          </cell>
          <cell r="X12">
            <v>4.0999999999999996</v>
          </cell>
          <cell r="AD12">
            <v>15</v>
          </cell>
          <cell r="AE12">
            <v>1</v>
          </cell>
          <cell r="AF12">
            <v>16</v>
          </cell>
          <cell r="AH12" t="str">
            <v xml:space="preserve"> 2Q</v>
          </cell>
          <cell r="AI12">
            <v>0</v>
          </cell>
          <cell r="AJ12">
            <v>30</v>
          </cell>
          <cell r="AK12">
            <v>30</v>
          </cell>
          <cell r="AM12">
            <v>17</v>
          </cell>
          <cell r="AN12">
            <v>0</v>
          </cell>
          <cell r="AO12">
            <v>17</v>
          </cell>
          <cell r="AQ12">
            <v>26</v>
          </cell>
          <cell r="AR12">
            <v>44</v>
          </cell>
          <cell r="AS12">
            <v>70</v>
          </cell>
          <cell r="AU12">
            <v>26</v>
          </cell>
          <cell r="AV12">
            <v>44</v>
          </cell>
          <cell r="AW12">
            <v>70</v>
          </cell>
          <cell r="AY12">
            <v>66.600000000000009</v>
          </cell>
          <cell r="AZ12">
            <v>123.70000000000002</v>
          </cell>
          <cell r="BA12">
            <v>190.3</v>
          </cell>
          <cell r="BC12">
            <v>246.8</v>
          </cell>
          <cell r="BD12">
            <v>267.10000000000002</v>
          </cell>
          <cell r="BE12">
            <v>513.90000000000009</v>
          </cell>
          <cell r="BG12">
            <v>3</v>
          </cell>
          <cell r="BH12">
            <v>1.1000000000000001</v>
          </cell>
          <cell r="BI12">
            <v>4.0999999999999996</v>
          </cell>
          <cell r="BK12">
            <v>0</v>
          </cell>
          <cell r="BL12">
            <v>0</v>
          </cell>
          <cell r="BM12">
            <v>0</v>
          </cell>
          <cell r="BO12">
            <v>246.8</v>
          </cell>
          <cell r="BP12">
            <v>267.10000000000002</v>
          </cell>
          <cell r="BQ12">
            <v>513.90000000000009</v>
          </cell>
          <cell r="BS12" t="str">
            <v xml:space="preserve"> 2Q</v>
          </cell>
          <cell r="BT12">
            <v>44.2</v>
          </cell>
          <cell r="BU12">
            <v>110.4</v>
          </cell>
          <cell r="BV12">
            <v>154.60000000000002</v>
          </cell>
          <cell r="BX12">
            <v>65.2</v>
          </cell>
          <cell r="BY12">
            <v>19.7</v>
          </cell>
          <cell r="BZ12">
            <v>84.9</v>
          </cell>
          <cell r="CB12">
            <v>22</v>
          </cell>
          <cell r="CC12">
            <v>36</v>
          </cell>
          <cell r="CD12">
            <v>58</v>
          </cell>
          <cell r="CJ12">
            <v>17</v>
          </cell>
          <cell r="CK12">
            <v>2</v>
          </cell>
          <cell r="CL12">
            <v>19</v>
          </cell>
          <cell r="CN12">
            <v>34.1</v>
          </cell>
          <cell r="CO12">
            <v>2.7</v>
          </cell>
          <cell r="CP12">
            <v>36.800000000000004</v>
          </cell>
          <cell r="CR12">
            <v>24</v>
          </cell>
          <cell r="CS12">
            <v>2</v>
          </cell>
          <cell r="CT12">
            <v>26</v>
          </cell>
          <cell r="CV12" t="str">
            <v xml:space="preserve"> 2Q</v>
          </cell>
          <cell r="CX12">
            <v>20</v>
          </cell>
          <cell r="CY12">
            <v>0</v>
          </cell>
          <cell r="CZ12">
            <v>20</v>
          </cell>
          <cell r="DB12">
            <v>18</v>
          </cell>
          <cell r="DC12">
            <v>0</v>
          </cell>
          <cell r="DD12">
            <v>18</v>
          </cell>
          <cell r="DF12">
            <v>7</v>
          </cell>
          <cell r="DG12">
            <v>1</v>
          </cell>
          <cell r="DH12">
            <v>8</v>
          </cell>
          <cell r="DJ12">
            <v>74.299999999999983</v>
          </cell>
          <cell r="DK12">
            <v>101.59999999999998</v>
          </cell>
          <cell r="DL12">
            <v>175.89999999999998</v>
          </cell>
          <cell r="DN12">
            <v>325.79999999999995</v>
          </cell>
          <cell r="DO12">
            <v>275.39999999999998</v>
          </cell>
          <cell r="DP12">
            <v>601.19999999999993</v>
          </cell>
          <cell r="DR12" t="str">
            <v xml:space="preserve"> 2Q</v>
          </cell>
          <cell r="DS12">
            <v>18.600000000000001</v>
          </cell>
          <cell r="DT12">
            <v>62.1</v>
          </cell>
          <cell r="DU12">
            <v>80.7</v>
          </cell>
          <cell r="DW12">
            <v>46.7</v>
          </cell>
          <cell r="DX12">
            <v>47.7</v>
          </cell>
          <cell r="DY12">
            <v>94.4</v>
          </cell>
          <cell r="EA12">
            <v>5.7</v>
          </cell>
          <cell r="EB12">
            <v>52.2</v>
          </cell>
          <cell r="EC12">
            <v>57.900000000000006</v>
          </cell>
          <cell r="EE12">
            <v>4</v>
          </cell>
          <cell r="EF12">
            <v>40</v>
          </cell>
          <cell r="EG12">
            <v>44</v>
          </cell>
          <cell r="EI12">
            <v>26.2</v>
          </cell>
          <cell r="EJ12">
            <v>4.3</v>
          </cell>
          <cell r="EK12">
            <v>30.5</v>
          </cell>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A13" t="str">
            <v xml:space="preserve"> 3Q</v>
          </cell>
          <cell r="B13">
            <v>0</v>
          </cell>
          <cell r="C13">
            <v>0</v>
          </cell>
          <cell r="D13">
            <v>0</v>
          </cell>
          <cell r="F13">
            <v>0</v>
          </cell>
          <cell r="G13">
            <v>0</v>
          </cell>
          <cell r="H13">
            <v>0</v>
          </cell>
          <cell r="J13">
            <v>29.8</v>
          </cell>
          <cell r="K13">
            <v>32</v>
          </cell>
          <cell r="L13">
            <v>61.8</v>
          </cell>
          <cell r="N13">
            <v>54</v>
          </cell>
          <cell r="O13">
            <v>28</v>
          </cell>
          <cell r="P13">
            <v>82</v>
          </cell>
          <cell r="R13">
            <v>52.1</v>
          </cell>
          <cell r="S13">
            <v>8.4</v>
          </cell>
          <cell r="T13">
            <v>60.5</v>
          </cell>
          <cell r="V13">
            <v>8.9</v>
          </cell>
          <cell r="W13">
            <v>1.2</v>
          </cell>
          <cell r="X13">
            <v>10.1</v>
          </cell>
          <cell r="AD13">
            <v>20</v>
          </cell>
          <cell r="AE13">
            <v>1</v>
          </cell>
          <cell r="AF13">
            <v>21</v>
          </cell>
          <cell r="AH13" t="str">
            <v xml:space="preserve"> 3Q</v>
          </cell>
          <cell r="AI13">
            <v>0</v>
          </cell>
          <cell r="AJ13">
            <v>27</v>
          </cell>
          <cell r="AK13">
            <v>27</v>
          </cell>
          <cell r="AM13">
            <v>14.2</v>
          </cell>
          <cell r="AN13">
            <v>0.1</v>
          </cell>
          <cell r="AO13">
            <v>14.299999999999999</v>
          </cell>
          <cell r="AQ13">
            <v>24</v>
          </cell>
          <cell r="AR13">
            <v>39</v>
          </cell>
          <cell r="AS13">
            <v>63</v>
          </cell>
          <cell r="AU13">
            <v>24</v>
          </cell>
          <cell r="AV13">
            <v>39</v>
          </cell>
          <cell r="AW13">
            <v>63</v>
          </cell>
          <cell r="AY13">
            <v>71.3</v>
          </cell>
          <cell r="AZ13">
            <v>125.10000000000002</v>
          </cell>
          <cell r="BA13">
            <v>196.40000000000003</v>
          </cell>
          <cell r="BC13">
            <v>274.3</v>
          </cell>
          <cell r="BD13">
            <v>261.8</v>
          </cell>
          <cell r="BE13">
            <v>536.1</v>
          </cell>
          <cell r="BG13">
            <v>8.9</v>
          </cell>
          <cell r="BH13">
            <v>1.2</v>
          </cell>
          <cell r="BI13">
            <v>10.1</v>
          </cell>
          <cell r="BK13">
            <v>0</v>
          </cell>
          <cell r="BL13">
            <v>0</v>
          </cell>
          <cell r="BM13">
            <v>0</v>
          </cell>
          <cell r="BO13">
            <v>274.3</v>
          </cell>
          <cell r="BP13">
            <v>261.8</v>
          </cell>
          <cell r="BQ13">
            <v>536.1</v>
          </cell>
          <cell r="BS13" t="str">
            <v xml:space="preserve"> 3Q</v>
          </cell>
          <cell r="BT13">
            <v>38.799999999999997</v>
          </cell>
          <cell r="BU13">
            <v>121.9</v>
          </cell>
          <cell r="BV13">
            <v>160.69999999999999</v>
          </cell>
          <cell r="BX13">
            <v>85</v>
          </cell>
          <cell r="BY13">
            <v>18.3</v>
          </cell>
          <cell r="BZ13">
            <v>103.3</v>
          </cell>
          <cell r="CB13">
            <v>20</v>
          </cell>
          <cell r="CC13">
            <v>31</v>
          </cell>
          <cell r="CD13">
            <v>51</v>
          </cell>
          <cell r="CJ13">
            <v>29</v>
          </cell>
          <cell r="CK13">
            <v>4</v>
          </cell>
          <cell r="CL13">
            <v>33</v>
          </cell>
          <cell r="CN13">
            <v>41.6</v>
          </cell>
          <cell r="CO13">
            <v>2.4</v>
          </cell>
          <cell r="CP13">
            <v>44</v>
          </cell>
          <cell r="CR13">
            <v>24</v>
          </cell>
          <cell r="CS13">
            <v>2</v>
          </cell>
          <cell r="CT13">
            <v>26</v>
          </cell>
          <cell r="CV13" t="str">
            <v xml:space="preserve"> 3Q</v>
          </cell>
          <cell r="CX13">
            <v>24</v>
          </cell>
          <cell r="CY13">
            <v>0</v>
          </cell>
          <cell r="CZ13">
            <v>24</v>
          </cell>
          <cell r="DB13">
            <v>17</v>
          </cell>
          <cell r="DC13">
            <v>1</v>
          </cell>
          <cell r="DD13">
            <v>18</v>
          </cell>
          <cell r="DF13">
            <v>12</v>
          </cell>
          <cell r="DG13">
            <v>4</v>
          </cell>
          <cell r="DH13">
            <v>16</v>
          </cell>
          <cell r="DJ13">
            <v>77.200000000000017</v>
          </cell>
          <cell r="DK13">
            <v>128.69999999999999</v>
          </cell>
          <cell r="DL13">
            <v>205.9</v>
          </cell>
          <cell r="DN13">
            <v>368.6</v>
          </cell>
          <cell r="DO13">
            <v>313.3</v>
          </cell>
          <cell r="DP13">
            <v>681.90000000000009</v>
          </cell>
          <cell r="DR13" t="str">
            <v xml:space="preserve"> 3Q</v>
          </cell>
          <cell r="DS13">
            <v>64.099999999999994</v>
          </cell>
          <cell r="DT13">
            <v>57.2</v>
          </cell>
          <cell r="DU13">
            <v>121.3</v>
          </cell>
          <cell r="DW13">
            <v>31.8</v>
          </cell>
          <cell r="DX13">
            <v>42</v>
          </cell>
          <cell r="DY13">
            <v>73.8</v>
          </cell>
          <cell r="EA13">
            <v>5.4</v>
          </cell>
          <cell r="EB13">
            <v>49</v>
          </cell>
          <cell r="EC13">
            <v>54.4</v>
          </cell>
          <cell r="EE13">
            <v>6</v>
          </cell>
          <cell r="EF13">
            <v>38</v>
          </cell>
          <cell r="EG13">
            <v>44</v>
          </cell>
          <cell r="EI13">
            <v>23</v>
          </cell>
          <cell r="EJ13">
            <v>3.9</v>
          </cell>
          <cell r="EK13">
            <v>26.9</v>
          </cell>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A14" t="str">
            <v xml:space="preserve"> 4Q</v>
          </cell>
          <cell r="B14">
            <v>0</v>
          </cell>
          <cell r="C14">
            <v>0</v>
          </cell>
          <cell r="D14">
            <v>0</v>
          </cell>
          <cell r="F14">
            <v>0</v>
          </cell>
          <cell r="G14">
            <v>0</v>
          </cell>
          <cell r="H14">
            <v>0</v>
          </cell>
          <cell r="J14">
            <v>18.899999999999999</v>
          </cell>
          <cell r="K14">
            <v>33.299999999999997</v>
          </cell>
          <cell r="L14">
            <v>52.199999999999996</v>
          </cell>
          <cell r="N14">
            <v>35</v>
          </cell>
          <cell r="O14">
            <v>33</v>
          </cell>
          <cell r="P14">
            <v>68</v>
          </cell>
          <cell r="R14">
            <v>59</v>
          </cell>
          <cell r="S14">
            <v>8.9</v>
          </cell>
          <cell r="T14">
            <v>67.900000000000006</v>
          </cell>
          <cell r="V14">
            <v>15.4</v>
          </cell>
          <cell r="W14">
            <v>5.8</v>
          </cell>
          <cell r="X14">
            <v>21.2</v>
          </cell>
          <cell r="AD14">
            <v>15</v>
          </cell>
          <cell r="AE14">
            <v>2</v>
          </cell>
          <cell r="AF14">
            <v>17</v>
          </cell>
          <cell r="AH14" t="str">
            <v xml:space="preserve"> 4Q</v>
          </cell>
          <cell r="AI14">
            <v>0</v>
          </cell>
          <cell r="AJ14">
            <v>28</v>
          </cell>
          <cell r="AK14">
            <v>28</v>
          </cell>
          <cell r="AM14">
            <v>9</v>
          </cell>
          <cell r="AN14">
            <v>0.7</v>
          </cell>
          <cell r="AO14">
            <v>9.6999999999999993</v>
          </cell>
          <cell r="AQ14">
            <v>23</v>
          </cell>
          <cell r="AR14">
            <v>45</v>
          </cell>
          <cell r="AS14">
            <v>68</v>
          </cell>
          <cell r="AU14">
            <v>23</v>
          </cell>
          <cell r="AV14">
            <v>45</v>
          </cell>
          <cell r="AW14">
            <v>68</v>
          </cell>
          <cell r="AY14">
            <v>69.699999999999989</v>
          </cell>
          <cell r="AZ14">
            <v>120.1</v>
          </cell>
          <cell r="BA14">
            <v>189.79999999999998</v>
          </cell>
          <cell r="BC14">
            <v>245</v>
          </cell>
          <cell r="BD14">
            <v>276.8</v>
          </cell>
          <cell r="BE14">
            <v>521.79999999999995</v>
          </cell>
          <cell r="BG14">
            <v>15.4</v>
          </cell>
          <cell r="BH14">
            <v>5.8</v>
          </cell>
          <cell r="BI14">
            <v>21.2</v>
          </cell>
          <cell r="BK14">
            <v>0</v>
          </cell>
          <cell r="BL14">
            <v>0</v>
          </cell>
          <cell r="BM14">
            <v>0</v>
          </cell>
          <cell r="BO14">
            <v>245</v>
          </cell>
          <cell r="BP14">
            <v>276.8</v>
          </cell>
          <cell r="BQ14">
            <v>521.79999999999995</v>
          </cell>
          <cell r="BS14" t="str">
            <v xml:space="preserve"> 4Q</v>
          </cell>
          <cell r="BT14">
            <v>31.8</v>
          </cell>
          <cell r="BU14">
            <v>129.30000000000001</v>
          </cell>
          <cell r="BV14">
            <v>161.10000000000002</v>
          </cell>
          <cell r="BX14">
            <v>69.3</v>
          </cell>
          <cell r="BY14">
            <v>20.8</v>
          </cell>
          <cell r="BZ14">
            <v>90.1</v>
          </cell>
          <cell r="CB14">
            <v>23</v>
          </cell>
          <cell r="CC14">
            <v>31</v>
          </cell>
          <cell r="CD14">
            <v>54</v>
          </cell>
          <cell r="CJ14">
            <v>35</v>
          </cell>
          <cell r="CK14">
            <v>7</v>
          </cell>
          <cell r="CL14">
            <v>42</v>
          </cell>
          <cell r="CN14">
            <v>24.1</v>
          </cell>
          <cell r="CO14">
            <v>2.9</v>
          </cell>
          <cell r="CP14">
            <v>27</v>
          </cell>
          <cell r="CR14">
            <v>26</v>
          </cell>
          <cell r="CS14">
            <v>4</v>
          </cell>
          <cell r="CT14">
            <v>30</v>
          </cell>
          <cell r="CV14" t="str">
            <v xml:space="preserve"> 4Q</v>
          </cell>
          <cell r="CX14">
            <v>27</v>
          </cell>
          <cell r="CY14">
            <v>0</v>
          </cell>
          <cell r="CZ14">
            <v>27</v>
          </cell>
          <cell r="DB14">
            <v>10</v>
          </cell>
          <cell r="DC14">
            <v>1</v>
          </cell>
          <cell r="DD14">
            <v>11</v>
          </cell>
          <cell r="DF14">
            <v>9</v>
          </cell>
          <cell r="DG14">
            <v>8</v>
          </cell>
          <cell r="DH14">
            <v>17</v>
          </cell>
          <cell r="DJ14">
            <v>72.899999999999949</v>
          </cell>
          <cell r="DK14">
            <v>155.49999999999997</v>
          </cell>
          <cell r="DL14">
            <v>228.39999999999992</v>
          </cell>
          <cell r="DN14">
            <v>328.09999999999997</v>
          </cell>
          <cell r="DO14">
            <v>359.5</v>
          </cell>
          <cell r="DP14">
            <v>687.59999999999991</v>
          </cell>
          <cell r="DR14" t="str">
            <v xml:space="preserve"> 4Q</v>
          </cell>
          <cell r="DS14">
            <v>54.3</v>
          </cell>
          <cell r="DT14">
            <v>88.8</v>
          </cell>
          <cell r="DU14">
            <v>143.1</v>
          </cell>
          <cell r="DW14">
            <v>37.4</v>
          </cell>
          <cell r="DX14">
            <v>47.8</v>
          </cell>
          <cell r="DY14">
            <v>85.199999999999989</v>
          </cell>
          <cell r="EA14">
            <v>5.9</v>
          </cell>
          <cell r="EB14">
            <v>56.1</v>
          </cell>
          <cell r="EC14">
            <v>62</v>
          </cell>
          <cell r="EE14">
            <v>4</v>
          </cell>
          <cell r="EF14">
            <v>44</v>
          </cell>
          <cell r="EG14">
            <v>48</v>
          </cell>
          <cell r="EI14">
            <v>27.9</v>
          </cell>
          <cell r="EJ14">
            <v>4.2</v>
          </cell>
          <cell r="EK14">
            <v>32.1</v>
          </cell>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A16" t="str">
            <v>1994</v>
          </cell>
          <cell r="B16">
            <v>0</v>
          </cell>
          <cell r="C16">
            <v>0</v>
          </cell>
          <cell r="D16">
            <v>0</v>
          </cell>
          <cell r="F16">
            <v>0</v>
          </cell>
          <cell r="G16">
            <v>0</v>
          </cell>
          <cell r="H16">
            <v>0</v>
          </cell>
          <cell r="J16">
            <v>103.5</v>
          </cell>
          <cell r="K16">
            <v>124.89999999999999</v>
          </cell>
          <cell r="L16">
            <v>228.39999999999998</v>
          </cell>
          <cell r="N16">
            <v>192</v>
          </cell>
          <cell r="O16">
            <v>117</v>
          </cell>
          <cell r="P16">
            <v>309</v>
          </cell>
          <cell r="R16">
            <v>190.7</v>
          </cell>
          <cell r="S16">
            <v>32.799999999999997</v>
          </cell>
          <cell r="T16">
            <v>223.5</v>
          </cell>
          <cell r="V16">
            <v>36.6</v>
          </cell>
          <cell r="W16">
            <v>8.6999999999999993</v>
          </cell>
          <cell r="X16">
            <v>45.3</v>
          </cell>
          <cell r="AD16">
            <v>70</v>
          </cell>
          <cell r="AE16">
            <v>5</v>
          </cell>
          <cell r="AF16">
            <v>75</v>
          </cell>
          <cell r="AH16" t="str">
            <v>1994</v>
          </cell>
          <cell r="AI16">
            <v>0</v>
          </cell>
          <cell r="AJ16">
            <v>112</v>
          </cell>
          <cell r="AK16">
            <v>112</v>
          </cell>
          <cell r="AM16">
            <v>50.4</v>
          </cell>
          <cell r="AN16">
            <v>0.89999999999999991</v>
          </cell>
          <cell r="AO16">
            <v>51.3</v>
          </cell>
          <cell r="AQ16">
            <v>96</v>
          </cell>
          <cell r="AR16">
            <v>166</v>
          </cell>
          <cell r="AS16">
            <v>262</v>
          </cell>
          <cell r="AU16">
            <v>96</v>
          </cell>
          <cell r="AV16">
            <v>166</v>
          </cell>
          <cell r="AW16">
            <v>262</v>
          </cell>
          <cell r="AY16">
            <v>269.59999999999997</v>
          </cell>
          <cell r="AZ16">
            <v>502.6</v>
          </cell>
          <cell r="BA16">
            <v>772.2</v>
          </cell>
          <cell r="BC16">
            <v>1008.8</v>
          </cell>
          <cell r="BD16">
            <v>1069.8999999999999</v>
          </cell>
          <cell r="BE16">
            <v>2078.6999999999998</v>
          </cell>
          <cell r="BG16">
            <v>36.6</v>
          </cell>
          <cell r="BH16">
            <v>8.6999999999999993</v>
          </cell>
          <cell r="BI16">
            <v>45.3</v>
          </cell>
          <cell r="BK16">
            <v>0</v>
          </cell>
          <cell r="BL16">
            <v>0</v>
          </cell>
          <cell r="BM16">
            <v>0</v>
          </cell>
          <cell r="BO16">
            <v>1008.8</v>
          </cell>
          <cell r="BP16">
            <v>1069.8999999999999</v>
          </cell>
          <cell r="BQ16">
            <v>2078.6999999999998</v>
          </cell>
          <cell r="BS16" t="str">
            <v>1994</v>
          </cell>
          <cell r="BT16">
            <v>139.69999999999999</v>
          </cell>
          <cell r="BU16">
            <v>472.50000000000006</v>
          </cell>
          <cell r="BV16">
            <v>612.20000000000005</v>
          </cell>
          <cell r="BX16">
            <v>282.60000000000002</v>
          </cell>
          <cell r="BY16">
            <v>75.099999999999994</v>
          </cell>
          <cell r="BZ16">
            <v>357.70000000000005</v>
          </cell>
          <cell r="CB16">
            <v>84</v>
          </cell>
          <cell r="CC16">
            <v>135</v>
          </cell>
          <cell r="CD16">
            <v>219</v>
          </cell>
          <cell r="CJ16">
            <v>107</v>
          </cell>
          <cell r="CK16">
            <v>13</v>
          </cell>
          <cell r="CL16">
            <v>120</v>
          </cell>
          <cell r="CN16">
            <v>123.19999999999999</v>
          </cell>
          <cell r="CO16">
            <v>9.7000000000000011</v>
          </cell>
          <cell r="CP16">
            <v>132.9</v>
          </cell>
          <cell r="CR16">
            <v>99</v>
          </cell>
          <cell r="CS16">
            <v>10</v>
          </cell>
          <cell r="CT16">
            <v>109</v>
          </cell>
          <cell r="CV16" t="str">
            <v>1994</v>
          </cell>
          <cell r="CX16">
            <v>91</v>
          </cell>
          <cell r="CY16">
            <v>0</v>
          </cell>
          <cell r="CZ16">
            <v>91</v>
          </cell>
          <cell r="DB16">
            <v>59</v>
          </cell>
          <cell r="DC16">
            <v>2</v>
          </cell>
          <cell r="DD16">
            <v>61</v>
          </cell>
          <cell r="DF16">
            <v>37</v>
          </cell>
          <cell r="DG16">
            <v>13</v>
          </cell>
          <cell r="DH16">
            <v>50</v>
          </cell>
          <cell r="DJ16">
            <v>286.29999999999995</v>
          </cell>
          <cell r="DK16">
            <v>487.69999999999993</v>
          </cell>
          <cell r="DL16">
            <v>773.99999999999977</v>
          </cell>
          <cell r="DN16">
            <v>1308.8</v>
          </cell>
          <cell r="DO16">
            <v>1218</v>
          </cell>
          <cell r="DP16">
            <v>2526.7999999999997</v>
          </cell>
          <cell r="DR16" t="str">
            <v>1994</v>
          </cell>
          <cell r="DS16">
            <v>157.6</v>
          </cell>
          <cell r="DT16">
            <v>285.2</v>
          </cell>
          <cell r="DU16">
            <v>442.79999999999995</v>
          </cell>
          <cell r="DW16">
            <v>148.9</v>
          </cell>
          <cell r="DX16">
            <v>176.5</v>
          </cell>
          <cell r="DY16">
            <v>325.39999999999998</v>
          </cell>
          <cell r="EA16">
            <v>22.200000000000003</v>
          </cell>
          <cell r="EB16">
            <v>202.9</v>
          </cell>
          <cell r="EC16">
            <v>225.10000000000002</v>
          </cell>
          <cell r="EE16">
            <v>17</v>
          </cell>
          <cell r="EF16">
            <v>158</v>
          </cell>
          <cell r="EG16">
            <v>175</v>
          </cell>
          <cell r="EI16">
            <v>103</v>
          </cell>
          <cell r="EJ16">
            <v>15.8</v>
          </cell>
          <cell r="EK16">
            <v>118.79999999999998</v>
          </cell>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A18" t="str">
            <v>1995/94 % Change</v>
          </cell>
          <cell r="AH18" t="str">
            <v>1995/94 % Change</v>
          </cell>
          <cell r="BS18" t="str">
            <v>1995/94 % Change</v>
          </cell>
          <cell r="CV18" t="str">
            <v>1995/94 % Change</v>
          </cell>
          <cell r="DR18" t="str">
            <v>1995/94 % Change</v>
          </cell>
          <cell r="EM18" t="str">
            <v>1995/94 % Change</v>
          </cell>
        </row>
        <row r="19">
          <cell r="A19" t="str">
            <v xml:space="preserve"> 1Q</v>
          </cell>
          <cell r="B19" t="str">
            <v>NM</v>
          </cell>
          <cell r="C19" t="str">
            <v>NM</v>
          </cell>
          <cell r="D19" t="str">
            <v>NM</v>
          </cell>
          <cell r="F19" t="str">
            <v>NM</v>
          </cell>
          <cell r="G19" t="str">
            <v>NM</v>
          </cell>
          <cell r="H19" t="str">
            <v>NM</v>
          </cell>
          <cell r="J19">
            <v>0.55513307984790861</v>
          </cell>
          <cell r="K19">
            <v>0.2972027972027973</v>
          </cell>
          <cell r="L19">
            <v>0.42076502732240417</v>
          </cell>
          <cell r="N19">
            <v>-0.23076923076923073</v>
          </cell>
          <cell r="O19">
            <v>7.1428571428571397E-2</v>
          </cell>
          <cell r="P19">
            <v>-0.125</v>
          </cell>
          <cell r="R19">
            <v>0.37092731829573955</v>
          </cell>
          <cell r="S19">
            <v>8.3333333333333259E-2</v>
          </cell>
          <cell r="T19">
            <v>0.3269639065817409</v>
          </cell>
          <cell r="V19">
            <v>1.075268817204301</v>
          </cell>
          <cell r="W19">
            <v>2.1666666666666665</v>
          </cell>
          <cell r="X19">
            <v>1.1414141414141414</v>
          </cell>
          <cell r="AD19">
            <v>0.31000000000000005</v>
          </cell>
          <cell r="AE19">
            <v>0.10000000000000009</v>
          </cell>
          <cell r="AF19">
            <v>0.30000000000000004</v>
          </cell>
          <cell r="AH19" t="str">
            <v xml:space="preserve"> 1Q</v>
          </cell>
          <cell r="AI19" t="str">
            <v>NM</v>
          </cell>
          <cell r="AJ19">
            <v>0.18518518518518512</v>
          </cell>
          <cell r="AK19">
            <v>0.18518518518518512</v>
          </cell>
          <cell r="AM19">
            <v>0.50000000000000022</v>
          </cell>
          <cell r="AN19" t="str">
            <v>NM</v>
          </cell>
          <cell r="AO19">
            <v>0.6407766990291266</v>
          </cell>
          <cell r="AQ19">
            <v>8.6956521739130377E-2</v>
          </cell>
          <cell r="AR19">
            <v>0.28947368421052633</v>
          </cell>
          <cell r="AS19">
            <v>0.21311475409836067</v>
          </cell>
          <cell r="AU19">
            <v>8.6956521739130377E-2</v>
          </cell>
          <cell r="AV19">
            <v>0.28947368421052633</v>
          </cell>
          <cell r="AW19">
            <v>0.21311475409836067</v>
          </cell>
          <cell r="AY19">
            <v>-9.8387096774193328E-2</v>
          </cell>
          <cell r="AZ19">
            <v>8.3769633507852825E-2</v>
          </cell>
          <cell r="BA19">
            <v>2.6060296371997804E-2</v>
          </cell>
          <cell r="BC19">
            <v>0.14256283477544307</v>
          </cell>
          <cell r="BD19">
            <v>0.15594246782740351</v>
          </cell>
          <cell r="BE19">
            <v>0.14953639771158023</v>
          </cell>
          <cell r="BG19">
            <v>1.075268817204301</v>
          </cell>
          <cell r="BH19">
            <v>2.1666666666666665</v>
          </cell>
          <cell r="BI19">
            <v>1.1414141414141414</v>
          </cell>
          <cell r="BK19" t="str">
            <v>NM</v>
          </cell>
          <cell r="BL19" t="str">
            <v>NM</v>
          </cell>
          <cell r="BM19" t="str">
            <v>NM</v>
          </cell>
          <cell r="BO19">
            <v>0.14256283477544307</v>
          </cell>
          <cell r="BP19">
            <v>0.15594246782740351</v>
          </cell>
          <cell r="BQ19">
            <v>0.14953639771158023</v>
          </cell>
          <cell r="BS19" t="str">
            <v xml:space="preserve"> 1Q</v>
          </cell>
          <cell r="BT19">
            <v>0.25702811244979928</v>
          </cell>
          <cell r="BU19">
            <v>0.10189359783588814</v>
          </cell>
          <cell r="BV19">
            <v>0.13033873343151692</v>
          </cell>
          <cell r="BX19">
            <v>-8.8114104595879539E-2</v>
          </cell>
          <cell r="BY19">
            <v>0.1042944785276072</v>
          </cell>
          <cell r="BZ19">
            <v>-4.8614609571788536E-2</v>
          </cell>
          <cell r="CB19">
            <v>0</v>
          </cell>
          <cell r="CC19">
            <v>-2.7027027027026973E-2</v>
          </cell>
          <cell r="CD19">
            <v>-1.7857142857142905E-2</v>
          </cell>
          <cell r="CJ19">
            <v>-0.12307692307692308</v>
          </cell>
          <cell r="CK19" t="str">
            <v>NM</v>
          </cell>
          <cell r="CL19">
            <v>0.14615384615384608</v>
          </cell>
          <cell r="CN19">
            <v>0.19358974358974357</v>
          </cell>
          <cell r="CO19">
            <v>0.20588235294117641</v>
          </cell>
          <cell r="CP19">
            <v>0.19442231075697225</v>
          </cell>
          <cell r="CR19">
            <v>-0.16000000000000003</v>
          </cell>
          <cell r="CS19">
            <v>-0.5</v>
          </cell>
          <cell r="CT19">
            <v>-0.18518518518518523</v>
          </cell>
          <cell r="CV19" t="str">
            <v xml:space="preserve"> 1Q</v>
          </cell>
          <cell r="CX19">
            <v>5.0000000000000044E-2</v>
          </cell>
          <cell r="CY19" t="str">
            <v>NM</v>
          </cell>
          <cell r="CZ19">
            <v>5.0000000000000044E-2</v>
          </cell>
          <cell r="DB19">
            <v>0.28571428571428581</v>
          </cell>
          <cell r="DC19" t="str">
            <v>NM</v>
          </cell>
          <cell r="DD19">
            <v>0.35714285714285721</v>
          </cell>
          <cell r="DF19">
            <v>-0.22222222222222221</v>
          </cell>
          <cell r="DG19" t="str">
            <v>NM</v>
          </cell>
          <cell r="DH19">
            <v>0.44444444444444442</v>
          </cell>
          <cell r="DJ19">
            <v>-5.2827140549273177E-2</v>
          </cell>
          <cell r="DK19">
            <v>0.3481844946025523</v>
          </cell>
          <cell r="DL19">
            <v>0.19664224664224705</v>
          </cell>
          <cell r="DN19">
            <v>-7.3349633251832413E-3</v>
          </cell>
          <cell r="DO19">
            <v>0.22546330615270582</v>
          </cell>
          <cell r="DP19">
            <v>0.10561050170832598</v>
          </cell>
          <cell r="DR19" t="str">
            <v xml:space="preserve"> 1Q</v>
          </cell>
          <cell r="DS19">
            <v>4.8543689320388328E-2</v>
          </cell>
          <cell r="DT19">
            <v>9.0791180285343387E-3</v>
          </cell>
          <cell r="DU19">
            <v>1.7400204708290845E-2</v>
          </cell>
          <cell r="DW19">
            <v>-0.17878787878787872</v>
          </cell>
          <cell r="DX19">
            <v>-4.3589743589743657E-2</v>
          </cell>
          <cell r="DY19">
            <v>-0.10555555555555551</v>
          </cell>
          <cell r="EA19">
            <v>-0.11538461538461553</v>
          </cell>
          <cell r="EB19">
            <v>-0.10526315789473695</v>
          </cell>
          <cell r="EC19">
            <v>-0.10629921259842534</v>
          </cell>
          <cell r="EE19">
            <v>0</v>
          </cell>
          <cell r="EF19">
            <v>0</v>
          </cell>
          <cell r="EG19">
            <v>0</v>
          </cell>
          <cell r="EI19">
            <v>-0.18532818532818518</v>
          </cell>
          <cell r="EJ19">
            <v>-0.32352941176470595</v>
          </cell>
          <cell r="EK19">
            <v>-0.20136518771331047</v>
          </cell>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A20" t="str">
            <v xml:space="preserve"> 2Q</v>
          </cell>
          <cell r="B20" t="str">
            <v>NM</v>
          </cell>
          <cell r="C20" t="str">
            <v>NM</v>
          </cell>
          <cell r="D20" t="str">
            <v>NM</v>
          </cell>
          <cell r="F20" t="str">
            <v>NM</v>
          </cell>
          <cell r="G20" t="str">
            <v>NM</v>
          </cell>
          <cell r="H20" t="str">
            <v>NM</v>
          </cell>
          <cell r="J20">
            <v>0.60350877192982466</v>
          </cell>
          <cell r="K20">
            <v>0.27419354838709675</v>
          </cell>
          <cell r="L20">
            <v>0.43193277310924372</v>
          </cell>
          <cell r="N20">
            <v>-0.33333333333333337</v>
          </cell>
          <cell r="O20">
            <v>0.21428571428571419</v>
          </cell>
          <cell r="P20">
            <v>-0.13924050632911389</v>
          </cell>
          <cell r="R20">
            <v>0.46095717884130982</v>
          </cell>
          <cell r="S20">
            <v>3.6144578313252795E-2</v>
          </cell>
          <cell r="T20">
            <v>0.38749999999999996</v>
          </cell>
          <cell r="V20">
            <v>6.9333333333333336</v>
          </cell>
          <cell r="W20">
            <v>1.7272727272727271</v>
          </cell>
          <cell r="X20">
            <v>5.536585365853659</v>
          </cell>
          <cell r="AD20">
            <v>0.54</v>
          </cell>
          <cell r="AE20">
            <v>0.5</v>
          </cell>
          <cell r="AF20">
            <v>0.53750000000000009</v>
          </cell>
          <cell r="AH20" t="str">
            <v xml:space="preserve"> 2Q</v>
          </cell>
          <cell r="AI20" t="str">
            <v>NM</v>
          </cell>
          <cell r="AJ20">
            <v>0.10000000000000009</v>
          </cell>
          <cell r="AK20">
            <v>0.10000000000000009</v>
          </cell>
          <cell r="AM20">
            <v>0.46470588235294108</v>
          </cell>
          <cell r="AN20" t="str">
            <v>NM</v>
          </cell>
          <cell r="AO20">
            <v>0.59411764705882342</v>
          </cell>
          <cell r="AQ20">
            <v>3.8461538461538547E-2</v>
          </cell>
          <cell r="AR20">
            <v>0.27272727272727271</v>
          </cell>
          <cell r="AS20">
            <v>0.18571428571428572</v>
          </cell>
          <cell r="AU20">
            <v>3.8461538461538547E-2</v>
          </cell>
          <cell r="AV20">
            <v>0.27272727272727271</v>
          </cell>
          <cell r="AW20">
            <v>0.18571428571428572</v>
          </cell>
          <cell r="AY20">
            <v>6.7567567567567766E-2</v>
          </cell>
          <cell r="AZ20">
            <v>0.22473726758286183</v>
          </cell>
          <cell r="BA20">
            <v>0.16973200210194439</v>
          </cell>
          <cell r="BC20">
            <v>0.24635332252836317</v>
          </cell>
          <cell r="BD20">
            <v>0.23287158367652561</v>
          </cell>
          <cell r="BE20">
            <v>0.23934617629889088</v>
          </cell>
          <cell r="BG20">
            <v>6.9333333333333336</v>
          </cell>
          <cell r="BH20">
            <v>1.7272727272727271</v>
          </cell>
          <cell r="BI20">
            <v>5.536585365853659</v>
          </cell>
          <cell r="BK20" t="str">
            <v>NM</v>
          </cell>
          <cell r="BL20" t="str">
            <v>NM</v>
          </cell>
          <cell r="BM20" t="str">
            <v>NM</v>
          </cell>
          <cell r="BO20">
            <v>0.24635332252836317</v>
          </cell>
          <cell r="BP20">
            <v>0.23287158367652561</v>
          </cell>
          <cell r="BQ20">
            <v>0.23934617629889088</v>
          </cell>
          <cell r="BS20" t="str">
            <v xml:space="preserve"> 2Q</v>
          </cell>
          <cell r="BT20">
            <v>-0.1131221719457014</v>
          </cell>
          <cell r="BU20">
            <v>0.36865942028985499</v>
          </cell>
          <cell r="BV20">
            <v>0.23091849935316944</v>
          </cell>
          <cell r="BX20">
            <v>6.9018404907975395E-2</v>
          </cell>
          <cell r="BY20">
            <v>0.10152284263959399</v>
          </cell>
          <cell r="BZ20">
            <v>7.6560659599528957E-2</v>
          </cell>
          <cell r="CB20">
            <v>0</v>
          </cell>
          <cell r="CC20">
            <v>0.25</v>
          </cell>
          <cell r="CD20">
            <v>0.15517241379310343</v>
          </cell>
          <cell r="CJ20">
            <v>0.12941176470588234</v>
          </cell>
          <cell r="CK20" t="str">
            <v>NM</v>
          </cell>
          <cell r="CL20">
            <v>0.36315789473684212</v>
          </cell>
          <cell r="CN20">
            <v>0.11436950146627556</v>
          </cell>
          <cell r="CO20">
            <v>0</v>
          </cell>
          <cell r="CP20">
            <v>0.10597826086956519</v>
          </cell>
          <cell r="CR20">
            <v>-0.125</v>
          </cell>
          <cell r="CS20">
            <v>0</v>
          </cell>
          <cell r="CT20">
            <v>-0.11538461538461542</v>
          </cell>
          <cell r="CV20" t="str">
            <v xml:space="preserve"> 2Q</v>
          </cell>
          <cell r="CX20">
            <v>0</v>
          </cell>
          <cell r="CY20" t="str">
            <v>NM</v>
          </cell>
          <cell r="CZ20">
            <v>0</v>
          </cell>
          <cell r="DB20">
            <v>0.22222222222222232</v>
          </cell>
          <cell r="DC20" t="str">
            <v>NM</v>
          </cell>
          <cell r="DD20">
            <v>0.27777777777777768</v>
          </cell>
          <cell r="DF20">
            <v>0</v>
          </cell>
          <cell r="DG20" t="str">
            <v>NM</v>
          </cell>
          <cell r="DH20">
            <v>0.625</v>
          </cell>
          <cell r="DJ20">
            <v>-7.2678331090174297E-2</v>
          </cell>
          <cell r="DK20">
            <v>0.37923228346456739</v>
          </cell>
          <cell r="DL20">
            <v>0.18834565093803346</v>
          </cell>
          <cell r="DN20">
            <v>3.6832412523022384E-3</v>
          </cell>
          <cell r="DO20">
            <v>0.36648511256354399</v>
          </cell>
          <cell r="DP20">
            <v>0.16987691284098472</v>
          </cell>
          <cell r="DR20" t="str">
            <v xml:space="preserve"> 2Q</v>
          </cell>
          <cell r="DS20">
            <v>-6.9892473118279619E-2</v>
          </cell>
          <cell r="DT20">
            <v>0.22061191626409005</v>
          </cell>
          <cell r="DU20">
            <v>0.15365551425030977</v>
          </cell>
          <cell r="DW20">
            <v>-0.13490364025695945</v>
          </cell>
          <cell r="DX20">
            <v>0.18029350104821784</v>
          </cell>
          <cell r="DY20">
            <v>2.4364406779660897E-2</v>
          </cell>
          <cell r="EA20">
            <v>0.10526315789473673</v>
          </cell>
          <cell r="EB20">
            <v>-6.321839080459779E-2</v>
          </cell>
          <cell r="EC20">
            <v>-4.6632124352331772E-2</v>
          </cell>
          <cell r="EE20">
            <v>-0.25</v>
          </cell>
          <cell r="EF20">
            <v>-5.0000000000000044E-2</v>
          </cell>
          <cell r="EG20">
            <v>-6.8181818181818232E-2</v>
          </cell>
          <cell r="EI20">
            <v>-0.11832061068702282</v>
          </cell>
          <cell r="EJ20">
            <v>-0.32558139534883723</v>
          </cell>
          <cell r="EK20">
            <v>-0.14754098360655743</v>
          </cell>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A21" t="str">
            <v xml:space="preserve"> 3Q</v>
          </cell>
          <cell r="B21" t="str">
            <v>NM</v>
          </cell>
          <cell r="C21" t="str">
            <v>NM</v>
          </cell>
          <cell r="D21" t="str">
            <v>NM</v>
          </cell>
          <cell r="F21" t="str">
            <v>NM</v>
          </cell>
          <cell r="G21" t="str">
            <v>NM</v>
          </cell>
          <cell r="H21" t="str">
            <v>NM</v>
          </cell>
          <cell r="J21">
            <v>-0.24161073825503354</v>
          </cell>
          <cell r="K21">
            <v>0.36250000000000004</v>
          </cell>
          <cell r="L21">
            <v>7.1197411003236288E-2</v>
          </cell>
          <cell r="N21">
            <v>-0.53703703703703698</v>
          </cell>
          <cell r="O21">
            <v>0.10714285714285721</v>
          </cell>
          <cell r="P21">
            <v>-0.31707317073170727</v>
          </cell>
          <cell r="R21">
            <v>-1.8234165067178565E-2</v>
          </cell>
          <cell r="S21">
            <v>4.1666666666666519E-2</v>
          </cell>
          <cell r="T21">
            <v>-9.91735537190086E-3</v>
          </cell>
          <cell r="V21">
            <v>1.2584269662921348</v>
          </cell>
          <cell r="W21">
            <v>2.25</v>
          </cell>
          <cell r="X21">
            <v>1.3762376237623761</v>
          </cell>
          <cell r="AD21">
            <v>0.46500000000000008</v>
          </cell>
          <cell r="AE21">
            <v>1</v>
          </cell>
          <cell r="AF21">
            <v>0.49047619047619051</v>
          </cell>
          <cell r="AH21" t="str">
            <v xml:space="preserve"> 3Q</v>
          </cell>
          <cell r="AI21" t="str">
            <v>NM</v>
          </cell>
          <cell r="AJ21">
            <v>5.555555555555558E-2</v>
          </cell>
          <cell r="AK21">
            <v>5.555555555555558E-2</v>
          </cell>
          <cell r="AM21">
            <v>-0.76760563380281688</v>
          </cell>
          <cell r="AN21" t="str">
            <v>NM</v>
          </cell>
          <cell r="AO21">
            <v>-0.59440559440559437</v>
          </cell>
          <cell r="AQ21">
            <v>0.16666666666666674</v>
          </cell>
          <cell r="AR21">
            <v>0.23076923076923084</v>
          </cell>
          <cell r="AS21">
            <v>0.20634920634920628</v>
          </cell>
          <cell r="AU21">
            <v>0.16666666666666674</v>
          </cell>
          <cell r="AV21">
            <v>0.23076923076923084</v>
          </cell>
          <cell r="AW21">
            <v>0.20634920634920628</v>
          </cell>
          <cell r="AY21">
            <v>-2.1037868162692153E-3</v>
          </cell>
          <cell r="AZ21">
            <v>0.11231015187849658</v>
          </cell>
          <cell r="BA21">
            <v>7.0773930753563752E-2</v>
          </cell>
          <cell r="BC21">
            <v>-8.640174990885896E-2</v>
          </cell>
          <cell r="BD21">
            <v>0.1741787624140565</v>
          </cell>
          <cell r="BE21">
            <v>4.0850587576944486E-2</v>
          </cell>
          <cell r="BG21">
            <v>1.2584269662921348</v>
          </cell>
          <cell r="BH21">
            <v>2.25</v>
          </cell>
          <cell r="BI21">
            <v>1.3762376237623761</v>
          </cell>
          <cell r="BK21" t="str">
            <v>NM</v>
          </cell>
          <cell r="BL21" t="str">
            <v>NM</v>
          </cell>
          <cell r="BM21" t="str">
            <v>NM</v>
          </cell>
          <cell r="BO21">
            <v>-8.640174990885896E-2</v>
          </cell>
          <cell r="BP21">
            <v>0.1741787624140565</v>
          </cell>
          <cell r="BQ21">
            <v>4.0850587576944486E-2</v>
          </cell>
          <cell r="BS21" t="str">
            <v xml:space="preserve"> 3Q</v>
          </cell>
          <cell r="BT21">
            <v>0.1829896907216495</v>
          </cell>
          <cell r="BU21">
            <v>0.17883511074651337</v>
          </cell>
          <cell r="BV21">
            <v>0.17983820784069704</v>
          </cell>
          <cell r="BX21">
            <v>-0.1470588235294118</v>
          </cell>
          <cell r="BY21">
            <v>9.2896174863387859E-2</v>
          </cell>
          <cell r="BZ21">
            <v>-0.10454985479186829</v>
          </cell>
          <cell r="CB21">
            <v>0</v>
          </cell>
          <cell r="CC21">
            <v>6.4516129032258007E-2</v>
          </cell>
          <cell r="CD21">
            <v>3.9215686274509887E-2</v>
          </cell>
          <cell r="CJ21">
            <v>0.23793103448275854</v>
          </cell>
          <cell r="CK21">
            <v>0.17500000000000004</v>
          </cell>
          <cell r="CL21">
            <v>0.23030303030303045</v>
          </cell>
          <cell r="CN21">
            <v>-4.5673076923076872E-2</v>
          </cell>
          <cell r="CO21">
            <v>0</v>
          </cell>
          <cell r="CP21">
            <v>-4.3181818181818099E-2</v>
          </cell>
          <cell r="CR21">
            <v>-0.10416666666666663</v>
          </cell>
          <cell r="CS21">
            <v>-0.44999999999999996</v>
          </cell>
          <cell r="CT21">
            <v>-0.13076923076923075</v>
          </cell>
          <cell r="CV21" t="str">
            <v xml:space="preserve"> 3Q</v>
          </cell>
          <cell r="CX21">
            <v>-0.26666666666666661</v>
          </cell>
          <cell r="CY21" t="str">
            <v>NM</v>
          </cell>
          <cell r="CZ21">
            <v>-0.26666666666666661</v>
          </cell>
          <cell r="DB21">
            <v>0</v>
          </cell>
          <cell r="DC21">
            <v>0</v>
          </cell>
          <cell r="DD21">
            <v>0</v>
          </cell>
          <cell r="DF21">
            <v>-0.33333333333333337</v>
          </cell>
          <cell r="DG21">
            <v>0</v>
          </cell>
          <cell r="DH21">
            <v>-0.25</v>
          </cell>
          <cell r="DJ21">
            <v>0.32383419689119153</v>
          </cell>
          <cell r="DK21">
            <v>9.4017094017094127E-2</v>
          </cell>
          <cell r="DL21">
            <v>0.18018455560951918</v>
          </cell>
          <cell r="DN21">
            <v>3.1741725447639757E-2</v>
          </cell>
          <cell r="DO21">
            <v>0.1193744015320779</v>
          </cell>
          <cell r="DP21">
            <v>7.2004692770200718E-2</v>
          </cell>
          <cell r="DR21" t="str">
            <v xml:space="preserve"> 3Q</v>
          </cell>
          <cell r="DS21">
            <v>-6.7082683307332247E-2</v>
          </cell>
          <cell r="DT21">
            <v>0.30769230769230749</v>
          </cell>
          <cell r="DU21">
            <v>0.1096455070074196</v>
          </cell>
          <cell r="DW21">
            <v>0</v>
          </cell>
          <cell r="DX21">
            <v>6.6666666666666652E-2</v>
          </cell>
          <cell r="DY21">
            <v>3.7940379403794022E-2</v>
          </cell>
          <cell r="EA21">
            <v>-0.12962962962962965</v>
          </cell>
          <cell r="EB21">
            <v>8.7755102040816269E-2</v>
          </cell>
          <cell r="EC21">
            <v>6.6176470588235281E-2</v>
          </cell>
          <cell r="EE21">
            <v>-0.5</v>
          </cell>
          <cell r="EF21">
            <v>2.6315789473684292E-2</v>
          </cell>
          <cell r="EG21">
            <v>-4.5454545454545414E-2</v>
          </cell>
          <cell r="EI21">
            <v>9.565217391304337E-2</v>
          </cell>
          <cell r="EJ21">
            <v>-0.12820512820512819</v>
          </cell>
          <cell r="EK21">
            <v>6.3197026022304703E-2</v>
          </cell>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A22" t="str">
            <v xml:space="preserve"> 4Q</v>
          </cell>
          <cell r="B22" t="str">
            <v>NM</v>
          </cell>
          <cell r="C22" t="str">
            <v>NM</v>
          </cell>
          <cell r="D22" t="str">
            <v>NM</v>
          </cell>
          <cell r="F22" t="str">
            <v>NM</v>
          </cell>
          <cell r="G22" t="str">
            <v>NM</v>
          </cell>
          <cell r="H22" t="str">
            <v>NM</v>
          </cell>
          <cell r="J22">
            <v>0.61375661375661394</v>
          </cell>
          <cell r="K22">
            <v>0.56756756756756777</v>
          </cell>
          <cell r="L22">
            <v>0.58429118773946387</v>
          </cell>
          <cell r="N22">
            <v>-0.4</v>
          </cell>
          <cell r="O22">
            <v>3.0303030303030276E-2</v>
          </cell>
          <cell r="P22">
            <v>-0.19117647058823528</v>
          </cell>
          <cell r="R22">
            <v>-0.16101694915254239</v>
          </cell>
          <cell r="S22">
            <v>6.7415730337078594E-2</v>
          </cell>
          <cell r="T22">
            <v>-0.13107511045655384</v>
          </cell>
          <cell r="V22">
            <v>0.55844155844155852</v>
          </cell>
          <cell r="W22">
            <v>1.7241379310344973E-2</v>
          </cell>
          <cell r="X22">
            <v>0.41037735849056611</v>
          </cell>
          <cell r="AD22">
            <v>0.8</v>
          </cell>
          <cell r="AE22">
            <v>0.5</v>
          </cell>
          <cell r="AF22">
            <v>0.76470588235294112</v>
          </cell>
          <cell r="AH22" t="str">
            <v xml:space="preserve"> 4Q</v>
          </cell>
          <cell r="AI22" t="str">
            <v>NM</v>
          </cell>
          <cell r="AJ22">
            <v>3.5714285714285809E-2</v>
          </cell>
          <cell r="AK22">
            <v>3.5714285714285809E-2</v>
          </cell>
          <cell r="AM22">
            <v>-0.44444444444444442</v>
          </cell>
          <cell r="AN22" t="str">
            <v>NM</v>
          </cell>
          <cell r="AO22">
            <v>-9.2783505154639068E-2</v>
          </cell>
          <cell r="AQ22">
            <v>0.34782608695652173</v>
          </cell>
          <cell r="AR22">
            <v>0.15555555555555545</v>
          </cell>
          <cell r="AS22">
            <v>0.22058823529411775</v>
          </cell>
          <cell r="AU22">
            <v>0.34782608695652173</v>
          </cell>
          <cell r="AV22">
            <v>0.15555555555555545</v>
          </cell>
          <cell r="AW22">
            <v>0.22058823529411775</v>
          </cell>
          <cell r="AY22">
            <v>-0.23959827833572445</v>
          </cell>
          <cell r="AZ22">
            <v>0.22897585345545379</v>
          </cell>
          <cell r="BA22">
            <v>5.6902002107481531E-2</v>
          </cell>
          <cell r="BC22">
            <v>-1.6326530612244872E-2</v>
          </cell>
          <cell r="BD22">
            <v>0.21748554913294793</v>
          </cell>
          <cell r="BE22">
            <v>0.10770410118819473</v>
          </cell>
          <cell r="BG22">
            <v>0.55844155844155852</v>
          </cell>
          <cell r="BH22">
            <v>1.7241379310344973E-2</v>
          </cell>
          <cell r="BI22">
            <v>0.41037735849056611</v>
          </cell>
          <cell r="BK22" t="str">
            <v>NM</v>
          </cell>
          <cell r="BL22" t="str">
            <v>NM</v>
          </cell>
          <cell r="BM22" t="str">
            <v>NM</v>
          </cell>
          <cell r="BO22">
            <v>-1.6326530612244872E-2</v>
          </cell>
          <cell r="BP22">
            <v>0.21748554913294793</v>
          </cell>
          <cell r="BQ22">
            <v>0.10770410118819473</v>
          </cell>
          <cell r="BS22" t="str">
            <v xml:space="preserve"> 4Q</v>
          </cell>
          <cell r="BT22">
            <v>0.24528301886792447</v>
          </cell>
          <cell r="BU22">
            <v>0.12915699922660462</v>
          </cell>
          <cell r="BV22">
            <v>0.1520794537554313</v>
          </cell>
          <cell r="BX22">
            <v>0.37085137085137099</v>
          </cell>
          <cell r="BY22">
            <v>0.14423076923076916</v>
          </cell>
          <cell r="BZ22">
            <v>0.31853496115427316</v>
          </cell>
          <cell r="CB22">
            <v>0</v>
          </cell>
          <cell r="CC22">
            <v>0.12903225806451624</v>
          </cell>
          <cell r="CD22">
            <v>7.4074074074074181E-2</v>
          </cell>
          <cell r="CJ22">
            <v>0.25714285714285712</v>
          </cell>
          <cell r="CK22">
            <v>0</v>
          </cell>
          <cell r="CL22">
            <v>0.21428571428571419</v>
          </cell>
          <cell r="CN22">
            <v>7.4688796680497882E-2</v>
          </cell>
          <cell r="CO22">
            <v>-6.8965517241379226E-2</v>
          </cell>
          <cell r="CP22">
            <v>5.9259259259259123E-2</v>
          </cell>
          <cell r="CR22">
            <v>-0.19230769230769229</v>
          </cell>
          <cell r="CS22">
            <v>-0.25</v>
          </cell>
          <cell r="CT22">
            <v>-0.19999999999999996</v>
          </cell>
          <cell r="CV22" t="str">
            <v xml:space="preserve"> 4Q</v>
          </cell>
          <cell r="CX22">
            <v>-3.703703703703709E-2</v>
          </cell>
          <cell r="CY22" t="str">
            <v>NM</v>
          </cell>
          <cell r="CZ22">
            <v>-3.703703703703709E-2</v>
          </cell>
          <cell r="DB22">
            <v>0.19999999999999996</v>
          </cell>
          <cell r="DC22">
            <v>0</v>
          </cell>
          <cell r="DD22">
            <v>0.18181818181818188</v>
          </cell>
          <cell r="DF22">
            <v>0.22222222222222232</v>
          </cell>
          <cell r="DG22">
            <v>0.125</v>
          </cell>
          <cell r="DH22">
            <v>0.17647058823529416</v>
          </cell>
          <cell r="DJ22">
            <v>-1.508916323731091E-2</v>
          </cell>
          <cell r="DK22">
            <v>-8.8102893890675049E-2</v>
          </cell>
          <cell r="DL22">
            <v>-6.4798598949211583E-2</v>
          </cell>
          <cell r="DN22">
            <v>0.12557147211216102</v>
          </cell>
          <cell r="DO22">
            <v>2.726008344923514E-2</v>
          </cell>
          <cell r="DP22">
            <v>7.4171029668411936E-2</v>
          </cell>
          <cell r="DR22" t="str">
            <v xml:space="preserve"> 4Q</v>
          </cell>
          <cell r="DS22">
            <v>5.1565377532228451E-2</v>
          </cell>
          <cell r="DT22">
            <v>0.18018018018018012</v>
          </cell>
          <cell r="DU22">
            <v>0.13137665967854661</v>
          </cell>
          <cell r="DW22">
            <v>-0.14973262032085555</v>
          </cell>
          <cell r="DX22">
            <v>0.35774058577405876</v>
          </cell>
          <cell r="DY22">
            <v>0.13497652582159647</v>
          </cell>
          <cell r="EA22">
            <v>-8.4745762711864403E-2</v>
          </cell>
          <cell r="EB22">
            <v>-8.9126559714794995E-2</v>
          </cell>
          <cell r="EC22">
            <v>-8.8709677419354871E-2</v>
          </cell>
          <cell r="EE22">
            <v>-0.25</v>
          </cell>
          <cell r="EF22">
            <v>-9.0909090909090939E-2</v>
          </cell>
          <cell r="EG22">
            <v>-0.10416666666666663</v>
          </cell>
          <cell r="EI22">
            <v>-0.15412186379928305</v>
          </cell>
          <cell r="EJ22">
            <v>0.33333333333333326</v>
          </cell>
          <cell r="EK22">
            <v>-9.0342679127725756E-2</v>
          </cell>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A24" t="str">
            <v>1995/94</v>
          </cell>
          <cell r="B24" t="str">
            <v>NM</v>
          </cell>
          <cell r="C24" t="str">
            <v>NM</v>
          </cell>
          <cell r="D24" t="str">
            <v>NM</v>
          </cell>
          <cell r="F24" t="str">
            <v>NM</v>
          </cell>
          <cell r="G24" t="str">
            <v>NM</v>
          </cell>
          <cell r="H24" t="str">
            <v>NM</v>
          </cell>
          <cell r="J24">
            <v>0.34975845410628015</v>
          </cell>
          <cell r="K24">
            <v>0.38030424339471569</v>
          </cell>
          <cell r="L24">
            <v>0.36646234676007006</v>
          </cell>
          <cell r="N24">
            <v>-0.375</v>
          </cell>
          <cell r="O24">
            <v>0.10256410256410264</v>
          </cell>
          <cell r="P24">
            <v>-0.19417475728155342</v>
          </cell>
          <cell r="R24">
            <v>0.11877294179339271</v>
          </cell>
          <cell r="S24">
            <v>5.6402439024390238E-2</v>
          </cell>
          <cell r="T24">
            <v>0.10961968680089496</v>
          </cell>
          <cell r="V24">
            <v>1.3825136612021858</v>
          </cell>
          <cell r="W24">
            <v>0.68965517241379337</v>
          </cell>
          <cell r="X24">
            <v>1.2494481236203092</v>
          </cell>
          <cell r="AD24">
            <v>0.50857142857142845</v>
          </cell>
          <cell r="AE24">
            <v>0.52</v>
          </cell>
          <cell r="AF24">
            <v>0.50933333333333342</v>
          </cell>
          <cell r="AH24" t="str">
            <v>1995/94</v>
          </cell>
          <cell r="AI24" t="str">
            <v>NM</v>
          </cell>
          <cell r="AJ24">
            <v>9.375E-2</v>
          </cell>
          <cell r="AK24">
            <v>9.375E-2</v>
          </cell>
          <cell r="AM24">
            <v>-3.7698412698412676E-2</v>
          </cell>
          <cell r="AN24" t="str">
            <v>NM</v>
          </cell>
          <cell r="AO24">
            <v>0.14230019493177393</v>
          </cell>
          <cell r="AQ24">
            <v>0.15625</v>
          </cell>
          <cell r="AR24">
            <v>0.23493975903614461</v>
          </cell>
          <cell r="AS24">
            <v>0.20610687022900764</v>
          </cell>
          <cell r="AU24">
            <v>0.15625</v>
          </cell>
          <cell r="AV24">
            <v>0.23493975903614461</v>
          </cell>
          <cell r="AW24">
            <v>0.20610687022900764</v>
          </cell>
          <cell r="AY24">
            <v>-6.8434718100889969E-2</v>
          </cell>
          <cell r="AZ24">
            <v>0.16026661360923189</v>
          </cell>
          <cell r="BA24">
            <v>8.0419580419580194E-2</v>
          </cell>
          <cell r="BC24">
            <v>6.7109436954797763E-2</v>
          </cell>
          <cell r="BD24">
            <v>0.19553229273763906</v>
          </cell>
          <cell r="BE24">
            <v>0.13320825515947488</v>
          </cell>
          <cell r="BG24">
            <v>1.3825136612021858</v>
          </cell>
          <cell r="BH24">
            <v>0.68965517241379337</v>
          </cell>
          <cell r="BI24">
            <v>1.2494481236203092</v>
          </cell>
          <cell r="BK24" t="str">
            <v>NM</v>
          </cell>
          <cell r="BL24" t="str">
            <v>NM</v>
          </cell>
          <cell r="BM24" t="str">
            <v>NM</v>
          </cell>
          <cell r="BO24">
            <v>6.7109436954797763E-2</v>
          </cell>
          <cell r="BP24">
            <v>0.19553229273763906</v>
          </cell>
          <cell r="BQ24">
            <v>0.13320825515947488</v>
          </cell>
          <cell r="BS24" t="str">
            <v>Year</v>
          </cell>
          <cell r="BT24">
            <v>0.11667859699355776</v>
          </cell>
          <cell r="BU24">
            <v>0.19153439153439145</v>
          </cell>
          <cell r="BV24">
            <v>0.17445279320483498</v>
          </cell>
          <cell r="BX24">
            <v>4.2958244869072848E-2</v>
          </cell>
          <cell r="BY24">
            <v>0.11185086551264978</v>
          </cell>
          <cell r="BZ24">
            <v>5.7422421023203718E-2</v>
          </cell>
          <cell r="CB24">
            <v>0</v>
          </cell>
          <cell r="CC24">
            <v>0.10370370370370363</v>
          </cell>
          <cell r="CD24">
            <v>6.3926940639269514E-2</v>
          </cell>
          <cell r="CJ24">
            <v>0.13925233644859825</v>
          </cell>
          <cell r="CK24">
            <v>0.95384615384615379</v>
          </cell>
          <cell r="CL24">
            <v>0.22750000000000004</v>
          </cell>
          <cell r="CN24">
            <v>6.7613636363636376E-2</v>
          </cell>
          <cell r="CO24">
            <v>1.5463917525773141E-2</v>
          </cell>
          <cell r="CP24">
            <v>6.3807373965387493E-2</v>
          </cell>
          <cell r="CR24">
            <v>-0.14646464646464652</v>
          </cell>
          <cell r="CS24">
            <v>-0.29000000000000004</v>
          </cell>
          <cell r="CT24">
            <v>-0.15963302752293584</v>
          </cell>
          <cell r="CV24" t="str">
            <v>Year</v>
          </cell>
          <cell r="CX24">
            <v>-7.0329670329670413E-2</v>
          </cell>
          <cell r="CY24" t="str">
            <v>NM</v>
          </cell>
          <cell r="CZ24">
            <v>-7.0329670329670413E-2</v>
          </cell>
          <cell r="DB24">
            <v>0.16949152542372881</v>
          </cell>
          <cell r="DC24">
            <v>1</v>
          </cell>
          <cell r="DD24">
            <v>0.19672131147540983</v>
          </cell>
          <cell r="DF24">
            <v>-0.10810810810810811</v>
          </cell>
          <cell r="DG24">
            <v>0.92307692307692313</v>
          </cell>
          <cell r="DH24">
            <v>0.15999999999999992</v>
          </cell>
          <cell r="DJ24">
            <v>5.319594830597274E-2</v>
          </cell>
          <cell r="DK24">
            <v>0.14847242157063789</v>
          </cell>
          <cell r="DL24">
            <v>0.11322997416020719</v>
          </cell>
          <cell r="DN24">
            <v>3.9731051344743307E-2</v>
          </cell>
          <cell r="DO24">
            <v>0.17155993431855499</v>
          </cell>
          <cell r="DP24">
            <v>0.1032768719328796</v>
          </cell>
          <cell r="DR24" t="str">
            <v>1995/94</v>
          </cell>
          <cell r="DS24">
            <v>-1.1421319796954155E-2</v>
          </cell>
          <cell r="DT24">
            <v>0.16830294530154277</v>
          </cell>
          <cell r="DU24">
            <v>0.10433604336043367</v>
          </cell>
          <cell r="DW24">
            <v>-0.11954331766286108</v>
          </cell>
          <cell r="DX24">
            <v>0.15184135977337099</v>
          </cell>
          <cell r="DY24">
            <v>2.7658266748617155E-2</v>
          </cell>
          <cell r="EA24">
            <v>-5.4054054054054168E-2</v>
          </cell>
          <cell r="EB24">
            <v>-4.3371118777723039E-2</v>
          </cell>
          <cell r="EC24">
            <v>-4.4424700133274264E-2</v>
          </cell>
          <cell r="EE24">
            <v>-0.29411764705882348</v>
          </cell>
          <cell r="EF24">
            <v>-3.1645569620253111E-2</v>
          </cell>
          <cell r="EG24">
            <v>-5.7142857142857162E-2</v>
          </cell>
          <cell r="EI24">
            <v>-9.7087378640776656E-2</v>
          </cell>
          <cell r="EJ24">
            <v>-0.10126582278481022</v>
          </cell>
          <cell r="EK24">
            <v>-9.7643097643097532E-2</v>
          </cell>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A26" t="str">
            <v xml:space="preserve">1995 </v>
          </cell>
          <cell r="AH26" t="str">
            <v xml:space="preserve">1995 </v>
          </cell>
          <cell r="BB26">
            <v>0</v>
          </cell>
          <cell r="BS26" t="str">
            <v xml:space="preserve">1995 </v>
          </cell>
          <cell r="CV26" t="str">
            <v xml:space="preserve">1995 </v>
          </cell>
          <cell r="DR26" t="str">
            <v xml:space="preserve">1995 </v>
          </cell>
          <cell r="EM26" t="str">
            <v xml:space="preserve">1995 </v>
          </cell>
        </row>
        <row r="27">
          <cell r="A27" t="str">
            <v xml:space="preserve"> 1Q</v>
          </cell>
          <cell r="B27">
            <v>0</v>
          </cell>
          <cell r="C27">
            <v>0</v>
          </cell>
          <cell r="D27">
            <v>0</v>
          </cell>
          <cell r="F27">
            <v>0</v>
          </cell>
          <cell r="G27">
            <v>0</v>
          </cell>
          <cell r="H27">
            <v>0</v>
          </cell>
          <cell r="J27">
            <v>40.9</v>
          </cell>
          <cell r="K27">
            <v>37.1</v>
          </cell>
          <cell r="L27">
            <v>78</v>
          </cell>
          <cell r="N27">
            <v>40</v>
          </cell>
          <cell r="O27">
            <v>30</v>
          </cell>
          <cell r="P27">
            <v>70</v>
          </cell>
          <cell r="R27">
            <v>54.7</v>
          </cell>
          <cell r="S27">
            <v>7.8</v>
          </cell>
          <cell r="T27">
            <v>62.5</v>
          </cell>
          <cell r="V27">
            <v>19.3</v>
          </cell>
          <cell r="W27">
            <v>1.9</v>
          </cell>
          <cell r="X27">
            <v>21.2</v>
          </cell>
          <cell r="AD27">
            <v>26.2</v>
          </cell>
          <cell r="AE27">
            <v>1.1000000000000001</v>
          </cell>
          <cell r="AF27">
            <v>27.3</v>
          </cell>
          <cell r="AH27" t="str">
            <v xml:space="preserve"> 1Q</v>
          </cell>
          <cell r="AI27">
            <v>0</v>
          </cell>
          <cell r="AJ27">
            <v>32</v>
          </cell>
          <cell r="AK27">
            <v>32</v>
          </cell>
          <cell r="AM27">
            <v>15.3</v>
          </cell>
          <cell r="AN27">
            <v>1.6</v>
          </cell>
          <cell r="AO27">
            <v>16.900000000000002</v>
          </cell>
          <cell r="AQ27">
            <v>25</v>
          </cell>
          <cell r="AR27">
            <v>49</v>
          </cell>
          <cell r="AS27">
            <v>74</v>
          </cell>
          <cell r="AU27">
            <v>25</v>
          </cell>
          <cell r="AV27">
            <v>49</v>
          </cell>
          <cell r="AW27">
            <v>74</v>
          </cell>
          <cell r="AY27">
            <v>55.899999999999991</v>
          </cell>
          <cell r="AZ27">
            <v>144.89999999999995</v>
          </cell>
          <cell r="BA27">
            <v>200.79999999999995</v>
          </cell>
          <cell r="BC27">
            <v>277.3</v>
          </cell>
          <cell r="BD27">
            <v>305.39999999999998</v>
          </cell>
          <cell r="BE27">
            <v>582.70000000000005</v>
          </cell>
          <cell r="BG27">
            <v>19.3</v>
          </cell>
          <cell r="BH27">
            <v>1.9</v>
          </cell>
          <cell r="BI27">
            <v>21.2</v>
          </cell>
          <cell r="BK27">
            <v>0</v>
          </cell>
          <cell r="BL27">
            <v>0</v>
          </cell>
          <cell r="BM27">
            <v>0</v>
          </cell>
          <cell r="BO27">
            <v>277.3</v>
          </cell>
          <cell r="BP27">
            <v>305.39999999999998</v>
          </cell>
          <cell r="BQ27">
            <v>582.70000000000005</v>
          </cell>
          <cell r="BS27" t="str">
            <v xml:space="preserve"> 1Q</v>
          </cell>
          <cell r="BT27">
            <v>31.3</v>
          </cell>
          <cell r="BU27">
            <v>122.2</v>
          </cell>
          <cell r="BV27">
            <v>153.5</v>
          </cell>
          <cell r="BX27">
            <v>57.54</v>
          </cell>
          <cell r="BY27">
            <v>18</v>
          </cell>
          <cell r="BZ27">
            <v>75.539999999999992</v>
          </cell>
          <cell r="CB27">
            <v>19</v>
          </cell>
          <cell r="CC27">
            <v>36</v>
          </cell>
          <cell r="CD27">
            <v>55</v>
          </cell>
          <cell r="CJ27">
            <v>22.8</v>
          </cell>
          <cell r="CK27">
            <v>7</v>
          </cell>
          <cell r="CL27">
            <v>29.8</v>
          </cell>
          <cell r="CN27">
            <v>27.93</v>
          </cell>
          <cell r="CO27">
            <v>2.0499999999999998</v>
          </cell>
          <cell r="CP27">
            <v>29.98</v>
          </cell>
          <cell r="CR27">
            <v>21</v>
          </cell>
          <cell r="CS27">
            <v>1</v>
          </cell>
          <cell r="CT27">
            <v>22</v>
          </cell>
          <cell r="CV27" t="str">
            <v xml:space="preserve"> 1Q</v>
          </cell>
          <cell r="CX27">
            <v>21</v>
          </cell>
          <cell r="CY27">
            <v>0</v>
          </cell>
          <cell r="CZ27">
            <v>21</v>
          </cell>
          <cell r="DB27">
            <v>18</v>
          </cell>
          <cell r="DC27">
            <v>1</v>
          </cell>
          <cell r="DD27">
            <v>19</v>
          </cell>
          <cell r="DF27">
            <v>7</v>
          </cell>
          <cell r="DG27">
            <v>6</v>
          </cell>
          <cell r="DH27">
            <v>13</v>
          </cell>
          <cell r="DJ27">
            <v>58.629999999999967</v>
          </cell>
          <cell r="DK27">
            <v>137.38</v>
          </cell>
          <cell r="DL27">
            <v>196.00999999999996</v>
          </cell>
          <cell r="DN27">
            <v>284.2</v>
          </cell>
          <cell r="DO27">
            <v>330.63</v>
          </cell>
          <cell r="DP27">
            <v>614.82999999999993</v>
          </cell>
          <cell r="DR27" t="str">
            <v xml:space="preserve"> 1Q</v>
          </cell>
          <cell r="DS27">
            <v>21.6</v>
          </cell>
          <cell r="DT27">
            <v>77.8</v>
          </cell>
          <cell r="DU27">
            <v>99.4</v>
          </cell>
          <cell r="DW27">
            <v>27.1</v>
          </cell>
          <cell r="DX27">
            <v>37.299999999999997</v>
          </cell>
          <cell r="DY27">
            <v>64.400000000000006</v>
          </cell>
          <cell r="EA27">
            <v>4.5999999999999996</v>
          </cell>
          <cell r="EB27">
            <v>40.799999999999997</v>
          </cell>
          <cell r="EC27">
            <v>45.4</v>
          </cell>
          <cell r="EE27">
            <v>3</v>
          </cell>
          <cell r="EF27">
            <v>36</v>
          </cell>
          <cell r="EG27">
            <v>39</v>
          </cell>
          <cell r="EI27">
            <v>21.1</v>
          </cell>
          <cell r="EJ27">
            <v>2.2999999999999998</v>
          </cell>
          <cell r="EK27">
            <v>23.400000000000002</v>
          </cell>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A28" t="str">
            <v xml:space="preserve"> 2Q</v>
          </cell>
          <cell r="B28">
            <v>0</v>
          </cell>
          <cell r="C28">
            <v>0</v>
          </cell>
          <cell r="D28">
            <v>0</v>
          </cell>
          <cell r="F28">
            <v>0</v>
          </cell>
          <cell r="G28">
            <v>0</v>
          </cell>
          <cell r="H28">
            <v>0</v>
          </cell>
          <cell r="J28">
            <v>45.7</v>
          </cell>
          <cell r="K28">
            <v>39.5</v>
          </cell>
          <cell r="L28">
            <v>85.2</v>
          </cell>
          <cell r="N28">
            <v>34</v>
          </cell>
          <cell r="O28">
            <v>34</v>
          </cell>
          <cell r="P28">
            <v>68</v>
          </cell>
          <cell r="R28">
            <v>58</v>
          </cell>
          <cell r="S28">
            <v>8.6</v>
          </cell>
          <cell r="T28">
            <v>66.599999999999994</v>
          </cell>
          <cell r="V28">
            <v>23.8</v>
          </cell>
          <cell r="W28">
            <v>3</v>
          </cell>
          <cell r="X28">
            <v>26.8</v>
          </cell>
          <cell r="AD28">
            <v>23.1</v>
          </cell>
          <cell r="AE28">
            <v>1.5</v>
          </cell>
          <cell r="AF28">
            <v>24.6</v>
          </cell>
          <cell r="AH28" t="str">
            <v xml:space="preserve"> 2Q</v>
          </cell>
          <cell r="AI28">
            <v>0</v>
          </cell>
          <cell r="AJ28">
            <v>33</v>
          </cell>
          <cell r="AK28">
            <v>33</v>
          </cell>
          <cell r="AM28">
            <v>24.9</v>
          </cell>
          <cell r="AN28">
            <v>2.2000000000000002</v>
          </cell>
          <cell r="AO28">
            <v>27.099999999999998</v>
          </cell>
          <cell r="AQ28">
            <v>27</v>
          </cell>
          <cell r="AR28">
            <v>56</v>
          </cell>
          <cell r="AS28">
            <v>83</v>
          </cell>
          <cell r="AU28">
            <v>27</v>
          </cell>
          <cell r="AV28">
            <v>56</v>
          </cell>
          <cell r="AW28">
            <v>83</v>
          </cell>
          <cell r="AY28">
            <v>71.100000000000023</v>
          </cell>
          <cell r="AZ28">
            <v>151.50000000000003</v>
          </cell>
          <cell r="BA28">
            <v>222.60000000000005</v>
          </cell>
          <cell r="BC28">
            <v>307.60000000000002</v>
          </cell>
          <cell r="BD28">
            <v>329.3</v>
          </cell>
          <cell r="BE28">
            <v>636.90000000000009</v>
          </cell>
          <cell r="BG28">
            <v>23.8</v>
          </cell>
          <cell r="BH28">
            <v>3</v>
          </cell>
          <cell r="BI28">
            <v>26.8</v>
          </cell>
          <cell r="BK28">
            <v>0</v>
          </cell>
          <cell r="BL28">
            <v>0</v>
          </cell>
          <cell r="BM28">
            <v>0</v>
          </cell>
          <cell r="BO28">
            <v>307.60000000000002</v>
          </cell>
          <cell r="BP28">
            <v>329.3</v>
          </cell>
          <cell r="BQ28">
            <v>636.90000000000009</v>
          </cell>
          <cell r="BS28" t="str">
            <v xml:space="preserve"> 2Q</v>
          </cell>
          <cell r="BT28">
            <v>39.200000000000003</v>
          </cell>
          <cell r="BU28">
            <v>151.1</v>
          </cell>
          <cell r="BV28">
            <v>190.3</v>
          </cell>
          <cell r="BX28">
            <v>69.7</v>
          </cell>
          <cell r="BY28">
            <v>21.7</v>
          </cell>
          <cell r="BZ28">
            <v>91.4</v>
          </cell>
          <cell r="CB28">
            <v>22</v>
          </cell>
          <cell r="CC28">
            <v>45</v>
          </cell>
          <cell r="CD28">
            <v>67</v>
          </cell>
          <cell r="CJ28">
            <v>19.2</v>
          </cell>
          <cell r="CK28">
            <v>6.7</v>
          </cell>
          <cell r="CL28">
            <v>25.9</v>
          </cell>
          <cell r="CN28">
            <v>38</v>
          </cell>
          <cell r="CO28">
            <v>2.7</v>
          </cell>
          <cell r="CP28">
            <v>40.700000000000003</v>
          </cell>
          <cell r="CR28">
            <v>21</v>
          </cell>
          <cell r="CS28">
            <v>2</v>
          </cell>
          <cell r="CT28">
            <v>23</v>
          </cell>
          <cell r="CV28" t="str">
            <v xml:space="preserve"> 2Q</v>
          </cell>
          <cell r="CX28">
            <v>20</v>
          </cell>
          <cell r="CY28">
            <v>0</v>
          </cell>
          <cell r="CZ28">
            <v>20</v>
          </cell>
          <cell r="DB28">
            <v>22</v>
          </cell>
          <cell r="DC28">
            <v>1</v>
          </cell>
          <cell r="DD28">
            <v>23</v>
          </cell>
          <cell r="DF28">
            <v>7</v>
          </cell>
          <cell r="DG28">
            <v>6</v>
          </cell>
          <cell r="DH28">
            <v>13</v>
          </cell>
          <cell r="DJ28">
            <v>68.900000000000034</v>
          </cell>
          <cell r="DK28">
            <v>140.13000000000002</v>
          </cell>
          <cell r="DL28">
            <v>209.03000000000006</v>
          </cell>
          <cell r="DN28">
            <v>327</v>
          </cell>
          <cell r="DO28">
            <v>376.33</v>
          </cell>
          <cell r="DP28">
            <v>703.32999999999993</v>
          </cell>
          <cell r="DR28" t="str">
            <v xml:space="preserve"> 2Q</v>
          </cell>
          <cell r="DS28">
            <v>17.3</v>
          </cell>
          <cell r="DT28">
            <v>75.8</v>
          </cell>
          <cell r="DU28">
            <v>93.1</v>
          </cell>
          <cell r="DW28">
            <v>40.4</v>
          </cell>
          <cell r="DX28">
            <v>56.3</v>
          </cell>
          <cell r="DY28">
            <v>96.699999999999989</v>
          </cell>
          <cell r="EA28">
            <v>6.3</v>
          </cell>
          <cell r="EB28">
            <v>48.9</v>
          </cell>
          <cell r="EC28">
            <v>55.199999999999996</v>
          </cell>
          <cell r="EE28">
            <v>3</v>
          </cell>
          <cell r="EF28">
            <v>38</v>
          </cell>
          <cell r="EG28">
            <v>41</v>
          </cell>
          <cell r="EI28">
            <v>23.1</v>
          </cell>
          <cell r="EJ28">
            <v>2.9</v>
          </cell>
          <cell r="EK28">
            <v>26</v>
          </cell>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A29" t="str">
            <v xml:space="preserve"> 3Q</v>
          </cell>
          <cell r="B29">
            <v>0</v>
          </cell>
          <cell r="C29">
            <v>0</v>
          </cell>
          <cell r="D29">
            <v>0</v>
          </cell>
          <cell r="F29">
            <v>0</v>
          </cell>
          <cell r="G29">
            <v>0</v>
          </cell>
          <cell r="H29">
            <v>0</v>
          </cell>
          <cell r="J29">
            <v>22.6</v>
          </cell>
          <cell r="K29">
            <v>43.6</v>
          </cell>
          <cell r="L29">
            <v>66.2</v>
          </cell>
          <cell r="N29">
            <v>25</v>
          </cell>
          <cell r="O29">
            <v>31</v>
          </cell>
          <cell r="P29">
            <v>56</v>
          </cell>
          <cell r="R29">
            <v>51.15</v>
          </cell>
          <cell r="S29">
            <v>8.75</v>
          </cell>
          <cell r="T29">
            <v>59.9</v>
          </cell>
          <cell r="V29">
            <v>20.100000000000001</v>
          </cell>
          <cell r="W29">
            <v>3.9</v>
          </cell>
          <cell r="X29">
            <v>24</v>
          </cell>
          <cell r="AD29">
            <v>29.3</v>
          </cell>
          <cell r="AE29">
            <v>2</v>
          </cell>
          <cell r="AF29">
            <v>31.3</v>
          </cell>
          <cell r="AH29" t="str">
            <v xml:space="preserve"> 3Q</v>
          </cell>
          <cell r="AI29">
            <v>0</v>
          </cell>
          <cell r="AJ29">
            <v>28.5</v>
          </cell>
          <cell r="AK29">
            <v>28.5</v>
          </cell>
          <cell r="AM29">
            <v>3.3</v>
          </cell>
          <cell r="AN29">
            <v>2.5</v>
          </cell>
          <cell r="AO29">
            <v>5.8</v>
          </cell>
          <cell r="AQ29">
            <v>28</v>
          </cell>
          <cell r="AR29">
            <v>48</v>
          </cell>
          <cell r="AS29">
            <v>76</v>
          </cell>
          <cell r="AU29">
            <v>28</v>
          </cell>
          <cell r="AV29">
            <v>48</v>
          </cell>
          <cell r="AW29">
            <v>76</v>
          </cell>
          <cell r="AY29">
            <v>71.150000000000006</v>
          </cell>
          <cell r="AZ29">
            <v>139.14999999999995</v>
          </cell>
          <cell r="BA29">
            <v>210.29999999999995</v>
          </cell>
          <cell r="BC29">
            <v>250.6</v>
          </cell>
          <cell r="BD29">
            <v>307.39999999999998</v>
          </cell>
          <cell r="BE29">
            <v>558</v>
          </cell>
          <cell r="BG29">
            <v>20.100000000000001</v>
          </cell>
          <cell r="BH29">
            <v>3.9</v>
          </cell>
          <cell r="BI29">
            <v>24</v>
          </cell>
          <cell r="BK29">
            <v>0</v>
          </cell>
          <cell r="BL29">
            <v>0</v>
          </cell>
          <cell r="BM29">
            <v>0</v>
          </cell>
          <cell r="BO29">
            <v>250.6</v>
          </cell>
          <cell r="BP29">
            <v>307.39999999999998</v>
          </cell>
          <cell r="BQ29">
            <v>558</v>
          </cell>
          <cell r="BS29" t="str">
            <v xml:space="preserve"> 3Q</v>
          </cell>
          <cell r="BT29">
            <v>45.9</v>
          </cell>
          <cell r="BU29">
            <v>143.69999999999999</v>
          </cell>
          <cell r="BV29">
            <v>189.6</v>
          </cell>
          <cell r="BX29">
            <v>72.5</v>
          </cell>
          <cell r="BY29">
            <v>20</v>
          </cell>
          <cell r="BZ29">
            <v>92.5</v>
          </cell>
          <cell r="CB29">
            <v>20</v>
          </cell>
          <cell r="CC29">
            <v>33</v>
          </cell>
          <cell r="CD29">
            <v>53</v>
          </cell>
          <cell r="CJ29">
            <v>35.9</v>
          </cell>
          <cell r="CK29">
            <v>4.7</v>
          </cell>
          <cell r="CL29">
            <v>40.6</v>
          </cell>
          <cell r="CN29">
            <v>39.700000000000003</v>
          </cell>
          <cell r="CO29">
            <v>2.4</v>
          </cell>
          <cell r="CP29">
            <v>42.1</v>
          </cell>
          <cell r="CR29">
            <v>21.5</v>
          </cell>
          <cell r="CS29">
            <v>1.1000000000000001</v>
          </cell>
          <cell r="CT29">
            <v>22.6</v>
          </cell>
          <cell r="CV29" t="str">
            <v xml:space="preserve"> 3Q</v>
          </cell>
          <cell r="CX29">
            <v>17.600000000000001</v>
          </cell>
          <cell r="CY29">
            <v>0</v>
          </cell>
          <cell r="CZ29">
            <v>17.600000000000001</v>
          </cell>
          <cell r="DB29">
            <v>17</v>
          </cell>
          <cell r="DC29">
            <v>1</v>
          </cell>
          <cell r="DD29">
            <v>18</v>
          </cell>
          <cell r="DF29">
            <v>8</v>
          </cell>
          <cell r="DG29">
            <v>4</v>
          </cell>
          <cell r="DH29">
            <v>12</v>
          </cell>
          <cell r="DJ29">
            <v>102.20000000000002</v>
          </cell>
          <cell r="DK29">
            <v>140.80000000000001</v>
          </cell>
          <cell r="DL29">
            <v>243.00000000000003</v>
          </cell>
          <cell r="DN29">
            <v>380.3</v>
          </cell>
          <cell r="DO29">
            <v>350.7</v>
          </cell>
          <cell r="DP29">
            <v>731</v>
          </cell>
          <cell r="DR29" t="str">
            <v xml:space="preserve"> 3Q</v>
          </cell>
          <cell r="DS29">
            <v>59.8</v>
          </cell>
          <cell r="DT29">
            <v>74.8</v>
          </cell>
          <cell r="DU29">
            <v>134.6</v>
          </cell>
          <cell r="DW29">
            <v>31.8</v>
          </cell>
          <cell r="DX29">
            <v>44.8</v>
          </cell>
          <cell r="DY29">
            <v>76.599999999999994</v>
          </cell>
          <cell r="EA29">
            <v>4.7</v>
          </cell>
          <cell r="EB29">
            <v>53.3</v>
          </cell>
          <cell r="EC29">
            <v>58</v>
          </cell>
          <cell r="EE29">
            <v>3</v>
          </cell>
          <cell r="EF29">
            <v>39</v>
          </cell>
          <cell r="EG29">
            <v>42</v>
          </cell>
          <cell r="EI29">
            <v>25.2</v>
          </cell>
          <cell r="EJ29">
            <v>3.4</v>
          </cell>
          <cell r="EK29">
            <v>28.599999999999998</v>
          </cell>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A30" t="str">
            <v xml:space="preserve"> 4Q</v>
          </cell>
          <cell r="B30">
            <v>0</v>
          </cell>
          <cell r="C30">
            <v>0</v>
          </cell>
          <cell r="D30">
            <v>0</v>
          </cell>
          <cell r="F30">
            <v>0</v>
          </cell>
          <cell r="G30">
            <v>0</v>
          </cell>
          <cell r="H30">
            <v>0</v>
          </cell>
          <cell r="J30">
            <v>30.5</v>
          </cell>
          <cell r="K30">
            <v>52.2</v>
          </cell>
          <cell r="L30">
            <v>82.7</v>
          </cell>
          <cell r="N30">
            <v>21</v>
          </cell>
          <cell r="O30">
            <v>34</v>
          </cell>
          <cell r="P30">
            <v>55</v>
          </cell>
          <cell r="R30">
            <v>49.5</v>
          </cell>
          <cell r="S30">
            <v>9.5</v>
          </cell>
          <cell r="T30">
            <v>59</v>
          </cell>
          <cell r="V30">
            <v>24</v>
          </cell>
          <cell r="W30">
            <v>5.9</v>
          </cell>
          <cell r="X30">
            <v>29.9</v>
          </cell>
          <cell r="AD30">
            <v>27</v>
          </cell>
          <cell r="AE30">
            <v>3</v>
          </cell>
          <cell r="AF30">
            <v>30</v>
          </cell>
          <cell r="AH30" t="str">
            <v xml:space="preserve"> 4Q</v>
          </cell>
          <cell r="AI30">
            <v>0</v>
          </cell>
          <cell r="AJ30">
            <v>29</v>
          </cell>
          <cell r="AK30">
            <v>29</v>
          </cell>
          <cell r="AM30">
            <v>5</v>
          </cell>
          <cell r="AN30">
            <v>3.8</v>
          </cell>
          <cell r="AO30">
            <v>8.8000000000000007</v>
          </cell>
          <cell r="AQ30">
            <v>31</v>
          </cell>
          <cell r="AR30">
            <v>52</v>
          </cell>
          <cell r="AS30">
            <v>83</v>
          </cell>
          <cell r="AU30">
            <v>31</v>
          </cell>
          <cell r="AV30">
            <v>52</v>
          </cell>
          <cell r="AW30">
            <v>83</v>
          </cell>
          <cell r="AY30">
            <v>53</v>
          </cell>
          <cell r="AZ30">
            <v>147.6</v>
          </cell>
          <cell r="BA30">
            <v>200.6</v>
          </cell>
          <cell r="BC30">
            <v>241</v>
          </cell>
          <cell r="BD30">
            <v>337</v>
          </cell>
          <cell r="BE30">
            <v>578</v>
          </cell>
          <cell r="BG30">
            <v>24</v>
          </cell>
          <cell r="BH30">
            <v>5.9</v>
          </cell>
          <cell r="BI30">
            <v>29.9</v>
          </cell>
          <cell r="BK30">
            <v>0</v>
          </cell>
          <cell r="BL30">
            <v>0</v>
          </cell>
          <cell r="BM30">
            <v>0</v>
          </cell>
          <cell r="BO30">
            <v>241</v>
          </cell>
          <cell r="BP30">
            <v>337</v>
          </cell>
          <cell r="BQ30">
            <v>578</v>
          </cell>
          <cell r="BS30" t="str">
            <v xml:space="preserve"> 4Q</v>
          </cell>
          <cell r="BT30">
            <v>39.6</v>
          </cell>
          <cell r="BU30">
            <v>146</v>
          </cell>
          <cell r="BV30">
            <v>185.6</v>
          </cell>
          <cell r="BX30">
            <v>95</v>
          </cell>
          <cell r="BY30">
            <v>23.8</v>
          </cell>
          <cell r="BZ30">
            <v>118.8</v>
          </cell>
          <cell r="CB30">
            <v>23</v>
          </cell>
          <cell r="CC30">
            <v>35</v>
          </cell>
          <cell r="CD30">
            <v>58</v>
          </cell>
          <cell r="CJ30">
            <v>44</v>
          </cell>
          <cell r="CK30">
            <v>7</v>
          </cell>
          <cell r="CL30">
            <v>51</v>
          </cell>
          <cell r="CN30">
            <v>25.9</v>
          </cell>
          <cell r="CO30">
            <v>2.7</v>
          </cell>
          <cell r="CP30">
            <v>28.599999999999998</v>
          </cell>
          <cell r="CR30">
            <v>21</v>
          </cell>
          <cell r="CS30">
            <v>3</v>
          </cell>
          <cell r="CT30">
            <v>24</v>
          </cell>
          <cell r="CV30" t="str">
            <v xml:space="preserve"> 4Q</v>
          </cell>
          <cell r="CX30">
            <v>26</v>
          </cell>
          <cell r="CY30">
            <v>0</v>
          </cell>
          <cell r="CZ30">
            <v>26</v>
          </cell>
          <cell r="DB30">
            <v>12</v>
          </cell>
          <cell r="DC30">
            <v>1</v>
          </cell>
          <cell r="DD30">
            <v>13</v>
          </cell>
          <cell r="DF30">
            <v>11</v>
          </cell>
          <cell r="DG30">
            <v>9</v>
          </cell>
          <cell r="DH30">
            <v>20</v>
          </cell>
          <cell r="DJ30">
            <v>71.799999999999983</v>
          </cell>
          <cell r="DK30">
            <v>141.80000000000001</v>
          </cell>
          <cell r="DL30">
            <v>213.6</v>
          </cell>
          <cell r="DN30">
            <v>369.3</v>
          </cell>
          <cell r="DO30">
            <v>369.3</v>
          </cell>
          <cell r="DP30">
            <v>738.6</v>
          </cell>
          <cell r="DR30" t="str">
            <v xml:space="preserve"> 4Q</v>
          </cell>
          <cell r="DS30">
            <v>57.1</v>
          </cell>
          <cell r="DT30">
            <v>104.8</v>
          </cell>
          <cell r="DU30">
            <v>161.9</v>
          </cell>
          <cell r="DW30">
            <v>31.8</v>
          </cell>
          <cell r="DX30">
            <v>64.900000000000006</v>
          </cell>
          <cell r="DY30">
            <v>96.7</v>
          </cell>
          <cell r="EA30">
            <v>5.4</v>
          </cell>
          <cell r="EB30">
            <v>51.1</v>
          </cell>
          <cell r="EC30">
            <v>56.5</v>
          </cell>
          <cell r="EE30">
            <v>3</v>
          </cell>
          <cell r="EF30">
            <v>40</v>
          </cell>
          <cell r="EG30">
            <v>43</v>
          </cell>
          <cell r="EI30">
            <v>23.6</v>
          </cell>
          <cell r="EJ30">
            <v>5.6</v>
          </cell>
          <cell r="EK30">
            <v>29.200000000000003</v>
          </cell>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A32" t="str">
            <v xml:space="preserve">1995 </v>
          </cell>
          <cell r="B32">
            <v>0</v>
          </cell>
          <cell r="C32">
            <v>0</v>
          </cell>
          <cell r="D32">
            <v>0</v>
          </cell>
          <cell r="F32">
            <v>0</v>
          </cell>
          <cell r="G32">
            <v>0</v>
          </cell>
          <cell r="H32">
            <v>0</v>
          </cell>
          <cell r="J32">
            <v>139.69999999999999</v>
          </cell>
          <cell r="K32">
            <v>172.39999999999998</v>
          </cell>
          <cell r="L32">
            <v>312.09999999999997</v>
          </cell>
          <cell r="N32">
            <v>120</v>
          </cell>
          <cell r="O32">
            <v>129</v>
          </cell>
          <cell r="P32">
            <v>249</v>
          </cell>
          <cell r="R32">
            <v>213.35</v>
          </cell>
          <cell r="S32">
            <v>34.65</v>
          </cell>
          <cell r="T32">
            <v>248</v>
          </cell>
          <cell r="V32">
            <v>87.2</v>
          </cell>
          <cell r="W32">
            <v>14.700000000000001</v>
          </cell>
          <cell r="X32">
            <v>101.9</v>
          </cell>
          <cell r="AD32">
            <v>105.6</v>
          </cell>
          <cell r="AE32">
            <v>7.6</v>
          </cell>
          <cell r="AF32">
            <v>113.2</v>
          </cell>
          <cell r="AH32" t="str">
            <v xml:space="preserve">1995 </v>
          </cell>
          <cell r="AI32" t="str">
            <v>NA</v>
          </cell>
          <cell r="AJ32">
            <v>122.5</v>
          </cell>
          <cell r="AK32">
            <v>122.5</v>
          </cell>
          <cell r="AM32">
            <v>48.5</v>
          </cell>
          <cell r="AN32">
            <v>10.100000000000001</v>
          </cell>
          <cell r="AO32">
            <v>58.599999999999994</v>
          </cell>
          <cell r="AQ32">
            <v>111</v>
          </cell>
          <cell r="AR32">
            <v>205</v>
          </cell>
          <cell r="AS32">
            <v>316</v>
          </cell>
          <cell r="AU32">
            <v>111</v>
          </cell>
          <cell r="AV32">
            <v>205</v>
          </cell>
          <cell r="AW32">
            <v>316</v>
          </cell>
          <cell r="AY32">
            <v>251.15000000000003</v>
          </cell>
          <cell r="AZ32">
            <v>583.15</v>
          </cell>
          <cell r="BA32">
            <v>834.3</v>
          </cell>
          <cell r="BC32">
            <v>1076.5</v>
          </cell>
          <cell r="BD32">
            <v>1279.0999999999999</v>
          </cell>
          <cell r="BE32">
            <v>2355.6000000000004</v>
          </cell>
          <cell r="BG32">
            <v>87.2</v>
          </cell>
          <cell r="BH32">
            <v>14.700000000000001</v>
          </cell>
          <cell r="BI32">
            <v>101.9</v>
          </cell>
          <cell r="BK32">
            <v>0</v>
          </cell>
          <cell r="BL32">
            <v>0</v>
          </cell>
          <cell r="BM32">
            <v>0</v>
          </cell>
          <cell r="BO32">
            <v>1076.5</v>
          </cell>
          <cell r="BP32">
            <v>1279.0999999999999</v>
          </cell>
          <cell r="BQ32">
            <v>2355.6000000000004</v>
          </cell>
          <cell r="BS32" t="str">
            <v>Year</v>
          </cell>
          <cell r="BT32">
            <v>156</v>
          </cell>
          <cell r="BU32">
            <v>563</v>
          </cell>
          <cell r="BV32">
            <v>719</v>
          </cell>
          <cell r="BX32">
            <v>294.74</v>
          </cell>
          <cell r="BY32">
            <v>83.5</v>
          </cell>
          <cell r="BZ32">
            <v>378.24</v>
          </cell>
          <cell r="CB32">
            <v>84</v>
          </cell>
          <cell r="CC32">
            <v>149</v>
          </cell>
          <cell r="CD32">
            <v>233</v>
          </cell>
          <cell r="CJ32">
            <v>121.9</v>
          </cell>
          <cell r="CK32">
            <v>25.4</v>
          </cell>
          <cell r="CL32">
            <v>147.30000000000001</v>
          </cell>
          <cell r="CN32">
            <v>131.53</v>
          </cell>
          <cell r="CO32">
            <v>9.8500000000000014</v>
          </cell>
          <cell r="CP32">
            <v>141.38</v>
          </cell>
          <cell r="CR32">
            <v>84.5</v>
          </cell>
          <cell r="CS32">
            <v>7.1</v>
          </cell>
          <cell r="CT32">
            <v>91.6</v>
          </cell>
          <cell r="CV32" t="str">
            <v>Year</v>
          </cell>
          <cell r="CX32">
            <v>84.6</v>
          </cell>
          <cell r="CY32">
            <v>0</v>
          </cell>
          <cell r="CZ32">
            <v>84.6</v>
          </cell>
          <cell r="DB32">
            <v>69</v>
          </cell>
          <cell r="DC32">
            <v>4</v>
          </cell>
          <cell r="DD32">
            <v>73</v>
          </cell>
          <cell r="DF32">
            <v>33</v>
          </cell>
          <cell r="DG32">
            <v>25</v>
          </cell>
          <cell r="DH32">
            <v>58</v>
          </cell>
          <cell r="DJ32">
            <v>301.52999999999997</v>
          </cell>
          <cell r="DK32">
            <v>560.11</v>
          </cell>
          <cell r="DL32">
            <v>861.6400000000001</v>
          </cell>
          <cell r="DN32">
            <v>1360.8</v>
          </cell>
          <cell r="DO32">
            <v>1426.96</v>
          </cell>
          <cell r="DP32">
            <v>2787.7599999999998</v>
          </cell>
          <cell r="DR32" t="str">
            <v xml:space="preserve">1995 </v>
          </cell>
          <cell r="DS32">
            <v>155.80000000000001</v>
          </cell>
          <cell r="DT32">
            <v>333.2</v>
          </cell>
          <cell r="DU32">
            <v>489</v>
          </cell>
          <cell r="DW32">
            <v>131.1</v>
          </cell>
          <cell r="DX32">
            <v>203.29999999999998</v>
          </cell>
          <cell r="DY32">
            <v>334.4</v>
          </cell>
          <cell r="EA32">
            <v>21</v>
          </cell>
          <cell r="EB32">
            <v>194.1</v>
          </cell>
          <cell r="EC32">
            <v>215.1</v>
          </cell>
          <cell r="EE32">
            <v>12</v>
          </cell>
          <cell r="EF32">
            <v>153</v>
          </cell>
          <cell r="EG32">
            <v>165</v>
          </cell>
          <cell r="EI32">
            <v>93</v>
          </cell>
          <cell r="EJ32">
            <v>14.2</v>
          </cell>
          <cell r="EK32">
            <v>107.2</v>
          </cell>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A34" t="str">
            <v xml:space="preserve">1996/95 </v>
          </cell>
          <cell r="AH34" t="str">
            <v xml:space="preserve">1996/95 </v>
          </cell>
          <cell r="BS34" t="str">
            <v xml:space="preserve">1996/95 </v>
          </cell>
          <cell r="CV34" t="str">
            <v xml:space="preserve">1996/95 </v>
          </cell>
          <cell r="DR34" t="str">
            <v xml:space="preserve">1996/95 </v>
          </cell>
          <cell r="EM34" t="str">
            <v xml:space="preserve">1996/95 </v>
          </cell>
        </row>
        <row r="35">
          <cell r="A35" t="str">
            <v xml:space="preserve"> 1Q</v>
          </cell>
          <cell r="B35" t="str">
            <v>NM</v>
          </cell>
          <cell r="C35" t="str">
            <v>NM</v>
          </cell>
          <cell r="D35" t="str">
            <v>NM</v>
          </cell>
          <cell r="F35" t="str">
            <v>NM</v>
          </cell>
          <cell r="G35" t="str">
            <v>NM</v>
          </cell>
          <cell r="H35" t="str">
            <v>NM</v>
          </cell>
          <cell r="J35">
            <v>0.24938875305623487</v>
          </cell>
          <cell r="K35">
            <v>0.29649595687331542</v>
          </cell>
          <cell r="L35">
            <v>0.27179487179487194</v>
          </cell>
          <cell r="N35">
            <v>-0.4</v>
          </cell>
          <cell r="O35">
            <v>6.6666666666666652E-2</v>
          </cell>
          <cell r="P35">
            <v>-0.19999999999999996</v>
          </cell>
          <cell r="R35">
            <v>0.30712979890310788</v>
          </cell>
          <cell r="S35">
            <v>0.10256410256410264</v>
          </cell>
          <cell r="T35">
            <v>0.28159999999999985</v>
          </cell>
          <cell r="V35">
            <v>1.0362694300518132</v>
          </cell>
          <cell r="W35">
            <v>3.2105263157894735</v>
          </cell>
          <cell r="X35">
            <v>1.2311320754716979</v>
          </cell>
          <cell r="AD35">
            <v>0.46183206106870212</v>
          </cell>
          <cell r="AE35">
            <v>1.0909090909090904</v>
          </cell>
          <cell r="AF35">
            <v>0.487179487179487</v>
          </cell>
          <cell r="AH35" t="str">
            <v xml:space="preserve"> 1Q</v>
          </cell>
          <cell r="AI35" t="str">
            <v>NM</v>
          </cell>
          <cell r="AJ35">
            <v>-0.125</v>
          </cell>
          <cell r="AK35">
            <v>-0.125</v>
          </cell>
          <cell r="AM35">
            <v>-8.496732026143794E-2</v>
          </cell>
          <cell r="AN35">
            <v>1.5</v>
          </cell>
          <cell r="AO35">
            <v>6.5088757396449592E-2</v>
          </cell>
          <cell r="AQ35">
            <v>0.28000000000000003</v>
          </cell>
          <cell r="AR35">
            <v>0.20408163265306123</v>
          </cell>
          <cell r="AS35">
            <v>0.22972972972972983</v>
          </cell>
          <cell r="AU35">
            <v>0.28000000000000003</v>
          </cell>
          <cell r="AV35">
            <v>0.20408163265306123</v>
          </cell>
          <cell r="AW35">
            <v>0.22972972972972983</v>
          </cell>
          <cell r="AY35">
            <v>-4.651162790697716E-2</v>
          </cell>
          <cell r="AZ35">
            <v>6.2111801242239473E-3</v>
          </cell>
          <cell r="BA35">
            <v>-8.4661354581673232E-3</v>
          </cell>
          <cell r="BC35">
            <v>0.1666065632888567</v>
          </cell>
          <cell r="BD35">
            <v>9.9541584806810857E-2</v>
          </cell>
          <cell r="BE35">
            <v>0.13145701046850844</v>
          </cell>
          <cell r="BG35">
            <v>1.0362694300518132</v>
          </cell>
          <cell r="BH35">
            <v>3.2105263157894735</v>
          </cell>
          <cell r="BI35">
            <v>1.2311320754716979</v>
          </cell>
          <cell r="BK35" t="str">
            <v>NM</v>
          </cell>
          <cell r="BL35" t="str">
            <v>NM</v>
          </cell>
          <cell r="BM35" t="str">
            <v>NM</v>
          </cell>
          <cell r="BO35">
            <v>0.1666065632888567</v>
          </cell>
          <cell r="BP35">
            <v>9.9541584806810857E-2</v>
          </cell>
          <cell r="BQ35">
            <v>0.13145701046850844</v>
          </cell>
          <cell r="BS35" t="str">
            <v xml:space="preserve"> 1Q</v>
          </cell>
          <cell r="BT35">
            <v>0.10223642172523961</v>
          </cell>
          <cell r="BU35">
            <v>0.15220949263502459</v>
          </cell>
          <cell r="BV35">
            <v>0.14201954397394134</v>
          </cell>
          <cell r="BX35">
            <v>0.23044838373305532</v>
          </cell>
          <cell r="BY35">
            <v>0.21111111111111125</v>
          </cell>
          <cell r="BZ35">
            <v>0.22584061424410917</v>
          </cell>
          <cell r="CB35">
            <v>0.10526315789473695</v>
          </cell>
          <cell r="CC35">
            <v>0.16666666666666674</v>
          </cell>
          <cell r="CD35">
            <v>0.1454545454545455</v>
          </cell>
          <cell r="CJ35">
            <v>0.30701754385964919</v>
          </cell>
          <cell r="CK35">
            <v>0.19999999999999996</v>
          </cell>
          <cell r="CL35">
            <v>0.28187919463087252</v>
          </cell>
          <cell r="CN35">
            <v>0.18152524167561768</v>
          </cell>
          <cell r="CO35">
            <v>-7.3170731707317027E-2</v>
          </cell>
          <cell r="CP35">
            <v>0.16410940627084725</v>
          </cell>
          <cell r="CR35">
            <v>9.52380952380949E-3</v>
          </cell>
          <cell r="CS35">
            <v>1</v>
          </cell>
          <cell r="CT35">
            <v>5.4545454545454453E-2</v>
          </cell>
          <cell r="CV35" t="str">
            <v xml:space="preserve"> 1Q</v>
          </cell>
          <cell r="CX35">
            <v>0.12857142857142856</v>
          </cell>
          <cell r="CY35" t="str">
            <v>NM</v>
          </cell>
          <cell r="CZ35">
            <v>0.12857142857142856</v>
          </cell>
          <cell r="DB35">
            <v>0.16111111111111098</v>
          </cell>
          <cell r="DC35">
            <v>0</v>
          </cell>
          <cell r="DD35">
            <v>0.15263157894736845</v>
          </cell>
          <cell r="DF35">
            <v>-0.2857142857142857</v>
          </cell>
          <cell r="DG35">
            <v>0.5</v>
          </cell>
          <cell r="DH35">
            <v>7.6923076923076872E-2</v>
          </cell>
          <cell r="DJ35">
            <v>0.19563363465802497</v>
          </cell>
          <cell r="DK35">
            <v>4.7459601106420113E-2</v>
          </cell>
          <cell r="DL35">
            <v>9.1781031580021377E-2</v>
          </cell>
          <cell r="DN35">
            <v>0.16115411681914149</v>
          </cell>
          <cell r="DO35">
            <v>0.12149532710280386</v>
          </cell>
          <cell r="DP35">
            <v>0.1398272693264806</v>
          </cell>
          <cell r="DR35" t="str">
            <v xml:space="preserve"> 1Q</v>
          </cell>
          <cell r="DS35">
            <v>0.23611111111111094</v>
          </cell>
          <cell r="DT35">
            <v>0.3176092544987148</v>
          </cell>
          <cell r="DU35">
            <v>0.29989939637826968</v>
          </cell>
          <cell r="DW35">
            <v>4.7970479704796842E-2</v>
          </cell>
          <cell r="DX35">
            <v>0.28150134048257369</v>
          </cell>
          <cell r="DY35">
            <v>0.18322981366459601</v>
          </cell>
          <cell r="EA35">
            <v>0.10869565217391308</v>
          </cell>
          <cell r="EB35">
            <v>0.15196078431372562</v>
          </cell>
          <cell r="EC35">
            <v>0.14757709251101336</v>
          </cell>
          <cell r="EE35">
            <v>-3.3333333333333326E-2</v>
          </cell>
          <cell r="EF35">
            <v>0.16666666666666674</v>
          </cell>
          <cell r="EG35">
            <v>0.15128205128205119</v>
          </cell>
          <cell r="EI35">
            <v>0.20379146919431257</v>
          </cell>
          <cell r="EJ35">
            <v>0.73913043478260887</v>
          </cell>
          <cell r="EK35">
            <v>0.25641025641025617</v>
          </cell>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A36" t="str">
            <v xml:space="preserve"> 2Q</v>
          </cell>
          <cell r="B36" t="str">
            <v>NM</v>
          </cell>
          <cell r="C36" t="str">
            <v>NM</v>
          </cell>
          <cell r="D36" t="str">
            <v>NM</v>
          </cell>
          <cell r="F36" t="str">
            <v>NM</v>
          </cell>
          <cell r="G36" t="str">
            <v>NM</v>
          </cell>
          <cell r="H36" t="str">
            <v>NM</v>
          </cell>
          <cell r="J36">
            <v>9.1903719912472592E-2</v>
          </cell>
          <cell r="K36">
            <v>0.3645569620253164</v>
          </cell>
          <cell r="L36">
            <v>0.21830985915492951</v>
          </cell>
          <cell r="N36">
            <v>-0.7</v>
          </cell>
          <cell r="O36">
            <v>-9.7058823529411753E-2</v>
          </cell>
          <cell r="P36">
            <v>-0.39852941176470591</v>
          </cell>
          <cell r="R36">
            <v>8.6206896551724199E-2</v>
          </cell>
          <cell r="S36">
            <v>8.1395348837209447E-2</v>
          </cell>
          <cell r="T36">
            <v>8.55855855855856E-2</v>
          </cell>
          <cell r="V36">
            <v>0.89495798319327724</v>
          </cell>
          <cell r="W36">
            <v>1.7666666666666671</v>
          </cell>
          <cell r="X36">
            <v>0.99253731343283591</v>
          </cell>
          <cell r="AD36">
            <v>0.51082251082251062</v>
          </cell>
          <cell r="AE36">
            <v>0.73333333333333339</v>
          </cell>
          <cell r="AF36">
            <v>0.52439024390243905</v>
          </cell>
          <cell r="AH36" t="str">
            <v xml:space="preserve"> 2Q</v>
          </cell>
          <cell r="AI36" t="str">
            <v>NM</v>
          </cell>
          <cell r="AJ36">
            <v>-0.12121212121212122</v>
          </cell>
          <cell r="AK36">
            <v>-0.12121212121212122</v>
          </cell>
          <cell r="AM36">
            <v>-0.59036144578313254</v>
          </cell>
          <cell r="AN36">
            <v>1.1363636363636362</v>
          </cell>
          <cell r="AO36">
            <v>-0.45018450184501846</v>
          </cell>
          <cell r="AQ36">
            <v>0.14074074074074083</v>
          </cell>
          <cell r="AR36">
            <v>1.2499999999999956E-2</v>
          </cell>
          <cell r="AS36">
            <v>5.4216867469879526E-2</v>
          </cell>
          <cell r="AU36">
            <v>0.14074074074074083</v>
          </cell>
          <cell r="AV36">
            <v>1.2499999999999956E-2</v>
          </cell>
          <cell r="AW36">
            <v>5.4216867469879526E-2</v>
          </cell>
          <cell r="AY36">
            <v>-0.50773558368495053</v>
          </cell>
          <cell r="AZ36">
            <v>-5.6765676567656742E-2</v>
          </cell>
          <cell r="BA36">
            <v>-0.20080862533692712</v>
          </cell>
          <cell r="BC36">
            <v>-9.2652795838751634E-2</v>
          </cell>
          <cell r="BD36">
            <v>2.6723352566049297E-2</v>
          </cell>
          <cell r="BE36">
            <v>-3.0931072381849667E-2</v>
          </cell>
          <cell r="BG36">
            <v>0.89495798319327724</v>
          </cell>
          <cell r="BH36">
            <v>1.7666666666666671</v>
          </cell>
          <cell r="BI36">
            <v>0.99253731343283591</v>
          </cell>
          <cell r="BK36" t="str">
            <v>NM</v>
          </cell>
          <cell r="BL36" t="str">
            <v>NM</v>
          </cell>
          <cell r="BM36" t="str">
            <v>NM</v>
          </cell>
          <cell r="BO36">
            <v>-9.2652795838751634E-2</v>
          </cell>
          <cell r="BP36">
            <v>2.6723352566049297E-2</v>
          </cell>
          <cell r="BQ36">
            <v>-3.0931072381849667E-2</v>
          </cell>
          <cell r="BS36" t="str">
            <v xml:space="preserve"> 2Q</v>
          </cell>
          <cell r="BT36">
            <v>9.4387755102040671E-2</v>
          </cell>
          <cell r="BU36">
            <v>-3.9046988749172784E-2</v>
          </cell>
          <cell r="BV36">
            <v>-1.1560693641618602E-2</v>
          </cell>
          <cell r="BX36">
            <v>1.4347202295552419E-2</v>
          </cell>
          <cell r="BY36">
            <v>0.11059907834101401</v>
          </cell>
          <cell r="BZ36">
            <v>3.7199124726477129E-2</v>
          </cell>
          <cell r="CB36">
            <v>-4.5454545454545414E-2</v>
          </cell>
          <cell r="CC36">
            <v>-0.22222222222222221</v>
          </cell>
          <cell r="CD36">
            <v>-0.16417910447761197</v>
          </cell>
          <cell r="CJ36">
            <v>2.0833333333333481E-2</v>
          </cell>
          <cell r="CK36">
            <v>-0.17910447761194037</v>
          </cell>
          <cell r="CL36">
            <v>-3.0888030888030826E-2</v>
          </cell>
          <cell r="CN36">
            <v>-0.20526315789473681</v>
          </cell>
          <cell r="CO36">
            <v>-0.11111111111111116</v>
          </cell>
          <cell r="CP36">
            <v>-0.19901719901719905</v>
          </cell>
          <cell r="CR36">
            <v>-0.14761904761904765</v>
          </cell>
          <cell r="CS36">
            <v>0.14999999999999991</v>
          </cell>
          <cell r="CT36">
            <v>-0.12173913043478268</v>
          </cell>
          <cell r="CV36" t="str">
            <v xml:space="preserve"> 2Q</v>
          </cell>
          <cell r="CX36">
            <v>-4.0000000000000036E-2</v>
          </cell>
          <cell r="CY36" t="str">
            <v>NM</v>
          </cell>
          <cell r="CZ36">
            <v>-4.0000000000000036E-2</v>
          </cell>
          <cell r="DB36">
            <v>-0.14090909090909098</v>
          </cell>
          <cell r="DC36">
            <v>1</v>
          </cell>
          <cell r="DD36">
            <v>-9.1304347826086985E-2</v>
          </cell>
          <cell r="DF36">
            <v>-0.2857142857142857</v>
          </cell>
          <cell r="DG36">
            <v>0</v>
          </cell>
          <cell r="DH36">
            <v>-0.15384615384615385</v>
          </cell>
          <cell r="DJ36">
            <v>0.62989840348330883</v>
          </cell>
          <cell r="DK36">
            <v>-8.3707985442089794E-2</v>
          </cell>
          <cell r="DL36">
            <v>0.15150935272448907</v>
          </cell>
          <cell r="DN36">
            <v>9.3883792048929715E-2</v>
          </cell>
          <cell r="DO36">
            <v>-6.7573672043153676E-2</v>
          </cell>
          <cell r="DP36">
            <v>7.4929265067606998E-3</v>
          </cell>
          <cell r="DR36" t="str">
            <v xml:space="preserve"> 2Q</v>
          </cell>
          <cell r="DS36">
            <v>0.32369942196531776</v>
          </cell>
          <cell r="DT36">
            <v>0.14907651715039583</v>
          </cell>
          <cell r="DU36">
            <v>0.18152524167561768</v>
          </cell>
          <cell r="DW36">
            <v>4.7029702970297071E-2</v>
          </cell>
          <cell r="DX36">
            <v>-6.2166962699822359E-2</v>
          </cell>
          <cell r="DY36">
            <v>-1.6546018614270852E-2</v>
          </cell>
          <cell r="EA36">
            <v>-0.19047619047619047</v>
          </cell>
          <cell r="EB36">
            <v>-1.8404907975460127E-2</v>
          </cell>
          <cell r="EC36">
            <v>-3.8043478260869512E-2</v>
          </cell>
          <cell r="EE36">
            <v>-3.3333333333333326E-2</v>
          </cell>
          <cell r="EF36">
            <v>0.13157894736842102</v>
          </cell>
          <cell r="EG36">
            <v>0.1195121951219511</v>
          </cell>
          <cell r="EI36">
            <v>-7.3593073593073766E-2</v>
          </cell>
          <cell r="EJ36">
            <v>0.44827586206896552</v>
          </cell>
          <cell r="EK36">
            <v>-1.5384615384615441E-2</v>
          </cell>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A37" t="str">
            <v xml:space="preserve"> 3Q</v>
          </cell>
          <cell r="B37" t="str">
            <v>NM</v>
          </cell>
          <cell r="C37" t="str">
            <v>NM</v>
          </cell>
          <cell r="D37" t="str">
            <v>NM</v>
          </cell>
          <cell r="F37" t="str">
            <v>NM</v>
          </cell>
          <cell r="G37" t="str">
            <v>NM</v>
          </cell>
          <cell r="H37" t="str">
            <v>NM</v>
          </cell>
          <cell r="J37">
            <v>1.3362831858407076</v>
          </cell>
          <cell r="K37">
            <v>0.11009174311926606</v>
          </cell>
          <cell r="L37">
            <v>0.52870090634441058</v>
          </cell>
          <cell r="N37">
            <v>-0.56000000000000005</v>
          </cell>
          <cell r="O37">
            <v>-3.2258064516129004E-2</v>
          </cell>
          <cell r="P37">
            <v>-0.2678571428571429</v>
          </cell>
          <cell r="R37">
            <v>-5.1808406647116279E-2</v>
          </cell>
          <cell r="S37">
            <v>6.2857142857142945E-2</v>
          </cell>
          <cell r="T37">
            <v>-3.5058430717863076E-2</v>
          </cell>
          <cell r="V37">
            <v>1.5472636815920398</v>
          </cell>
          <cell r="W37">
            <v>1.2051282051282053</v>
          </cell>
          <cell r="X37">
            <v>1.4916666666666667</v>
          </cell>
          <cell r="AD37">
            <v>0.23549488054607526</v>
          </cell>
          <cell r="AE37">
            <v>0.25</v>
          </cell>
          <cell r="AF37">
            <v>0.23642172523961658</v>
          </cell>
          <cell r="AH37" t="str">
            <v xml:space="preserve"> 3Q</v>
          </cell>
          <cell r="AI37" t="str">
            <v>NM</v>
          </cell>
          <cell r="AJ37">
            <v>-8.7719298245614086E-2</v>
          </cell>
          <cell r="AK37">
            <v>-8.7719298245614086E-2</v>
          </cell>
          <cell r="AM37">
            <v>2.9393939393939394</v>
          </cell>
          <cell r="AN37">
            <v>1</v>
          </cell>
          <cell r="AO37">
            <v>2.103448275862069</v>
          </cell>
          <cell r="AQ37">
            <v>3.5714285714285809E-2</v>
          </cell>
          <cell r="AR37">
            <v>2.0833333333333259E-2</v>
          </cell>
          <cell r="AS37">
            <v>2.6315789473684292E-2</v>
          </cell>
          <cell r="AU37">
            <v>3.5714285714285809E-2</v>
          </cell>
          <cell r="AV37">
            <v>2.0833333333333259E-2</v>
          </cell>
          <cell r="AW37">
            <v>2.6315789473684292E-2</v>
          </cell>
          <cell r="AY37">
            <v>-0.32255797610681725</v>
          </cell>
          <cell r="AZ37">
            <v>-2.8386633129715677E-2</v>
          </cell>
          <cell r="BA37">
            <v>-0.12791250594388959</v>
          </cell>
          <cell r="BC37">
            <v>0.15682362330407007</v>
          </cell>
          <cell r="BD37">
            <v>2.1470396877033338E-2</v>
          </cell>
          <cell r="BE37">
            <v>8.2258064516129048E-2</v>
          </cell>
          <cell r="BG37">
            <v>1.5472636815920398</v>
          </cell>
          <cell r="BH37">
            <v>1.2051282051282053</v>
          </cell>
          <cell r="BI37">
            <v>1.4916666666666667</v>
          </cell>
          <cell r="BK37" t="str">
            <v>NM</v>
          </cell>
          <cell r="BL37" t="str">
            <v>NM</v>
          </cell>
          <cell r="BM37" t="str">
            <v>NM</v>
          </cell>
          <cell r="BO37">
            <v>0.15682362330407007</v>
          </cell>
          <cell r="BP37">
            <v>2.1470396877033338E-2</v>
          </cell>
          <cell r="BQ37">
            <v>8.2258064516129048E-2</v>
          </cell>
          <cell r="BS37" t="str">
            <v xml:space="preserve"> 3Q</v>
          </cell>
          <cell r="BT37">
            <v>-2.1786492374727628E-2</v>
          </cell>
          <cell r="BU37">
            <v>1.1830201809325036E-2</v>
          </cell>
          <cell r="BV37">
            <v>3.6919831223629629E-3</v>
          </cell>
          <cell r="BX37">
            <v>2.7586206896551779E-2</v>
          </cell>
          <cell r="BY37">
            <v>0.16500000000000004</v>
          </cell>
          <cell r="BZ37">
            <v>5.7297297297297156E-2</v>
          </cell>
          <cell r="CB37">
            <v>-5.0000000000000044E-2</v>
          </cell>
          <cell r="CC37">
            <v>-3.0303030303030276E-2</v>
          </cell>
          <cell r="CD37">
            <v>-3.7735849056603765E-2</v>
          </cell>
          <cell r="CJ37">
            <v>5.0139275766016844E-2</v>
          </cell>
          <cell r="CK37">
            <v>0.1914893617021276</v>
          </cell>
          <cell r="CL37">
            <v>6.6502463054187277E-2</v>
          </cell>
          <cell r="CN37">
            <v>-5.0377833753149082E-3</v>
          </cell>
          <cell r="CO37">
            <v>-0.29166666666666663</v>
          </cell>
          <cell r="CP37">
            <v>-2.1377672209026088E-2</v>
          </cell>
          <cell r="CR37">
            <v>-9.7674418604651203E-2</v>
          </cell>
          <cell r="CS37">
            <v>0.90909090909090895</v>
          </cell>
          <cell r="CT37">
            <v>-4.8672566371681492E-2</v>
          </cell>
          <cell r="CV37" t="str">
            <v xml:space="preserve"> 3Q</v>
          </cell>
          <cell r="CX37">
            <v>0.10795454545454541</v>
          </cell>
          <cell r="CY37" t="str">
            <v>NM</v>
          </cell>
          <cell r="CZ37">
            <v>0.10795454545454541</v>
          </cell>
          <cell r="DB37">
            <v>0.11176470588235277</v>
          </cell>
          <cell r="DC37">
            <v>0</v>
          </cell>
          <cell r="DD37">
            <v>0.1055555555555554</v>
          </cell>
          <cell r="DF37">
            <v>-1.2499999999999956E-2</v>
          </cell>
          <cell r="DG37">
            <v>0.75</v>
          </cell>
          <cell r="DH37">
            <v>0.2416666666666667</v>
          </cell>
          <cell r="DJ37">
            <v>-0.21135029354207457</v>
          </cell>
          <cell r="DK37">
            <v>-0.20951704545454575</v>
          </cell>
          <cell r="DL37">
            <v>-0.21028806584362159</v>
          </cell>
          <cell r="DN37">
            <v>-4.8382855640284106E-2</v>
          </cell>
          <cell r="DO37">
            <v>-6.0735671514114631E-2</v>
          </cell>
          <cell r="DP37">
            <v>-5.4309165526675862E-2</v>
          </cell>
          <cell r="DR37" t="str">
            <v xml:space="preserve"> 3Q</v>
          </cell>
          <cell r="DS37">
            <v>-5.3511705685618693E-2</v>
          </cell>
          <cell r="DT37">
            <v>0.20454545454545459</v>
          </cell>
          <cell r="DU37">
            <v>8.9895988112927094E-2</v>
          </cell>
          <cell r="DW37">
            <v>-0.12264150943396235</v>
          </cell>
          <cell r="DX37">
            <v>5.5803571428571397E-2</v>
          </cell>
          <cell r="DY37">
            <v>-1.8276762402088864E-2</v>
          </cell>
          <cell r="EA37">
            <v>6.3829787234042534E-2</v>
          </cell>
          <cell r="EB37">
            <v>-0.17448405253283295</v>
          </cell>
          <cell r="EC37">
            <v>-0.15517241379310343</v>
          </cell>
          <cell r="EE37">
            <v>0</v>
          </cell>
          <cell r="EF37">
            <v>0.15384615384615374</v>
          </cell>
          <cell r="EG37">
            <v>0.14285714285714279</v>
          </cell>
          <cell r="EI37">
            <v>-9.5238095238095233E-2</v>
          </cell>
          <cell r="EJ37">
            <v>0.17647058823529416</v>
          </cell>
          <cell r="EK37">
            <v>-6.2937062937062804E-2</v>
          </cell>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A38" t="str">
            <v xml:space="preserve"> 4Q</v>
          </cell>
          <cell r="B38" t="str">
            <v>NM</v>
          </cell>
          <cell r="C38" t="str">
            <v>NM</v>
          </cell>
          <cell r="D38" t="str">
            <v>NM</v>
          </cell>
          <cell r="F38" t="str">
            <v>NM</v>
          </cell>
          <cell r="G38" t="str">
            <v>NM</v>
          </cell>
          <cell r="H38" t="str">
            <v>NM</v>
          </cell>
          <cell r="J38">
            <v>0.6163934426229507</v>
          </cell>
          <cell r="K38">
            <v>5.7471264367816577E-3</v>
          </cell>
          <cell r="L38">
            <v>0.23095525997581623</v>
          </cell>
          <cell r="N38">
            <v>-0.52380952380952384</v>
          </cell>
          <cell r="O38">
            <v>-8.8235294117647078E-2</v>
          </cell>
          <cell r="P38">
            <v>-0.25454545454545452</v>
          </cell>
          <cell r="R38">
            <v>0.15353535353535364</v>
          </cell>
          <cell r="S38">
            <v>5.2631578947368363E-2</v>
          </cell>
          <cell r="T38">
            <v>0.13728813559322028</v>
          </cell>
          <cell r="V38">
            <v>1.5041666666666669</v>
          </cell>
          <cell r="W38">
            <v>0.76271186440677963</v>
          </cell>
          <cell r="X38">
            <v>1.3578595317725752</v>
          </cell>
          <cell r="AD38">
            <v>0.39999999999999991</v>
          </cell>
          <cell r="AE38">
            <v>-9.9999999999999978E-2</v>
          </cell>
          <cell r="AF38">
            <v>0.35000000000000009</v>
          </cell>
          <cell r="AH38" t="str">
            <v xml:space="preserve"> 4Q</v>
          </cell>
          <cell r="AI38" t="str">
            <v>NM</v>
          </cell>
          <cell r="AJ38">
            <v>3.4482758620689724E-2</v>
          </cell>
          <cell r="AK38">
            <v>3.4482758620689724E-2</v>
          </cell>
          <cell r="AM38">
            <v>0.8</v>
          </cell>
          <cell r="AN38">
            <v>0.31578947368421062</v>
          </cell>
          <cell r="AO38">
            <v>0.59090909090909083</v>
          </cell>
          <cell r="AQ38">
            <v>-9.6774193548387122E-2</v>
          </cell>
          <cell r="AR38">
            <v>-7.6923076923076872E-2</v>
          </cell>
          <cell r="AS38">
            <v>-8.4337349397590411E-2</v>
          </cell>
          <cell r="AU38">
            <v>-9.6774193548387122E-2</v>
          </cell>
          <cell r="AV38">
            <v>-7.6923076923076872E-2</v>
          </cell>
          <cell r="AW38">
            <v>-8.4337349397590411E-2</v>
          </cell>
          <cell r="AY38">
            <v>-0.58679245283018888</v>
          </cell>
          <cell r="AZ38">
            <v>-6.7750677506774881E-3</v>
          </cell>
          <cell r="BA38">
            <v>-0.16001994017946164</v>
          </cell>
          <cell r="BC38">
            <v>0.13360995850622404</v>
          </cell>
          <cell r="BD38">
            <v>-2.3738872403561428E-3</v>
          </cell>
          <cell r="BE38">
            <v>5.4325259515570989E-2</v>
          </cell>
          <cell r="BG38">
            <v>1.5041666666666669</v>
          </cell>
          <cell r="BH38">
            <v>0.76271186440677963</v>
          </cell>
          <cell r="BI38">
            <v>1.3578595317725752</v>
          </cell>
          <cell r="BK38" t="str">
            <v>NM</v>
          </cell>
          <cell r="BL38" t="str">
            <v>NM</v>
          </cell>
          <cell r="BM38" t="str">
            <v>NM</v>
          </cell>
          <cell r="BO38">
            <v>0.19585062240663897</v>
          </cell>
          <cell r="BP38">
            <v>-2.3738872403561428E-3</v>
          </cell>
          <cell r="BQ38">
            <v>8.0276816608996437E-2</v>
          </cell>
          <cell r="BS38" t="str">
            <v xml:space="preserve"> 4Q</v>
          </cell>
          <cell r="BT38">
            <v>2.020202020202011E-2</v>
          </cell>
          <cell r="BU38">
            <v>-6.164383561643838E-3</v>
          </cell>
          <cell r="BV38">
            <v>-5.3879310344828735E-4</v>
          </cell>
          <cell r="BX38">
            <v>-0.15157894736842115</v>
          </cell>
          <cell r="BY38">
            <v>9.243697478991586E-2</v>
          </cell>
          <cell r="BZ38">
            <v>-0.10269360269360273</v>
          </cell>
          <cell r="CB38">
            <v>-8.6956521739130488E-2</v>
          </cell>
          <cell r="CC38">
            <v>-8.5714285714285743E-2</v>
          </cell>
          <cell r="CD38">
            <v>-8.6206896551724088E-2</v>
          </cell>
          <cell r="CJ38">
            <v>6.8181818181818121E-2</v>
          </cell>
          <cell r="CK38">
            <v>-5.7142857142857162E-2</v>
          </cell>
          <cell r="CL38">
            <v>5.0980392156862786E-2</v>
          </cell>
          <cell r="CN38">
            <v>0.13127413127413146</v>
          </cell>
          <cell r="CO38">
            <v>-0.55555555555555558</v>
          </cell>
          <cell r="CP38">
            <v>6.643356643356646E-2</v>
          </cell>
          <cell r="CR38">
            <v>-3.8095238095238182E-2</v>
          </cell>
          <cell r="CS38">
            <v>-0.20000000000000007</v>
          </cell>
          <cell r="CT38">
            <v>-5.8333333333333459E-2</v>
          </cell>
          <cell r="CV38" t="str">
            <v xml:space="preserve"> 4Q</v>
          </cell>
          <cell r="CX38">
            <v>3.8461538461538325E-3</v>
          </cell>
          <cell r="CY38" t="str">
            <v>NM</v>
          </cell>
          <cell r="CZ38">
            <v>3.8461538461538325E-3</v>
          </cell>
          <cell r="DB38">
            <v>3.3333333333333437E-2</v>
          </cell>
          <cell r="DC38">
            <v>0.30000000000000004</v>
          </cell>
          <cell r="DD38">
            <v>5.3846153846153877E-2</v>
          </cell>
          <cell r="DF38">
            <v>-0.29999999999999993</v>
          </cell>
          <cell r="DG38">
            <v>-0.1333333333333333</v>
          </cell>
          <cell r="DH38">
            <v>-0.22499999999999998</v>
          </cell>
          <cell r="DJ38">
            <v>-3.6211699164345523E-2</v>
          </cell>
          <cell r="DK38">
            <v>-0.15162200282087457</v>
          </cell>
          <cell r="DL38">
            <v>-0.11282771535580538</v>
          </cell>
          <cell r="DN38">
            <v>-4.170051448686718E-2</v>
          </cell>
          <cell r="DO38">
            <v>-7.2028161386406775E-2</v>
          </cell>
          <cell r="DP38">
            <v>-5.6864337936637033E-2</v>
          </cell>
          <cell r="DR38" t="str">
            <v xml:space="preserve"> 4Q</v>
          </cell>
          <cell r="DS38">
            <v>7.35551663747811E-2</v>
          </cell>
          <cell r="DT38">
            <v>9.6374045801526753E-2</v>
          </cell>
          <cell r="DU38">
            <v>8.8326127239036323E-2</v>
          </cell>
          <cell r="DW38">
            <v>5.9748427672956073E-2</v>
          </cell>
          <cell r="DX38">
            <v>-0.16949152542372892</v>
          </cell>
          <cell r="DY38">
            <v>-9.4105480868666103E-2</v>
          </cell>
          <cell r="EA38">
            <v>-9.259259259259256E-2</v>
          </cell>
          <cell r="EB38">
            <v>2.1526418786692814E-2</v>
          </cell>
          <cell r="EC38">
            <v>1.0619469026548645E-2</v>
          </cell>
          <cell r="EE38">
            <v>-0.23333333333333339</v>
          </cell>
          <cell r="EF38">
            <v>-7.4999999999999512E-3</v>
          </cell>
          <cell r="EG38">
            <v>-2.3255813953488413E-2</v>
          </cell>
          <cell r="EI38">
            <v>5.0847457627118509E-2</v>
          </cell>
          <cell r="EJ38">
            <v>-0.24999999999999989</v>
          </cell>
          <cell r="EK38">
            <v>-6.8493150684932891E-3</v>
          </cell>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A40" t="str">
            <v>1996/95</v>
          </cell>
          <cell r="B40" t="str">
            <v>NM</v>
          </cell>
          <cell r="C40" t="str">
            <v>NM</v>
          </cell>
          <cell r="D40" t="str">
            <v>NM</v>
          </cell>
          <cell r="F40" t="str">
            <v>NM</v>
          </cell>
          <cell r="G40" t="str">
            <v>NM</v>
          </cell>
          <cell r="H40" t="str">
            <v>NM</v>
          </cell>
          <cell r="J40">
            <v>0.45382963493199746</v>
          </cell>
          <cell r="K40">
            <v>0.17691415313225067</v>
          </cell>
          <cell r="L40">
            <v>0.30086510733739202</v>
          </cell>
          <cell r="N40">
            <v>-0.54</v>
          </cell>
          <cell r="O40">
            <v>-4.1085271317829464E-2</v>
          </cell>
          <cell r="P40">
            <v>-0.28152610441767068</v>
          </cell>
          <cell r="R40">
            <v>0.12538082962268571</v>
          </cell>
          <cell r="S40">
            <v>7.3593073593073655E-2</v>
          </cell>
          <cell r="T40">
            <v>0.11814516129032238</v>
          </cell>
          <cell r="V40">
            <v>1.2442660550458715</v>
          </cell>
          <cell r="W40">
            <v>1.4013605442176869</v>
          </cell>
          <cell r="X40">
            <v>1.2669283611383708</v>
          </cell>
          <cell r="AD40">
            <v>0.39393939393939381</v>
          </cell>
          <cell r="AE40">
            <v>0.32894736842105288</v>
          </cell>
          <cell r="AF40">
            <v>0.38957597173144887</v>
          </cell>
          <cell r="AH40" t="str">
            <v>1996/95</v>
          </cell>
          <cell r="AI40" t="str">
            <v>NM</v>
          </cell>
          <cell r="AJ40">
            <v>-7.7551020408163307E-2</v>
          </cell>
          <cell r="AK40">
            <v>-7.7551020408163307E-2</v>
          </cell>
          <cell r="AM40">
            <v>-4.7422680412371077E-2</v>
          </cell>
          <cell r="AN40">
            <v>0.85148514851485113</v>
          </cell>
          <cell r="AO40">
            <v>0.10750853242320835</v>
          </cell>
          <cell r="AQ40">
            <v>7.9279279279279358E-2</v>
          </cell>
          <cell r="AR40">
            <v>3.7560975609756131E-2</v>
          </cell>
          <cell r="AS40">
            <v>5.2215189873417778E-2</v>
          </cell>
          <cell r="AU40">
            <v>7.9279279279279358E-2</v>
          </cell>
          <cell r="AV40">
            <v>3.7560975609756131E-2</v>
          </cell>
          <cell r="AW40">
            <v>5.2215189873417778E-2</v>
          </cell>
          <cell r="AY40">
            <v>-0.36930121441369734</v>
          </cell>
          <cell r="AZ40">
            <v>-2.1692531938609094E-2</v>
          </cell>
          <cell r="BA40">
            <v>-0.12633345319429456</v>
          </cell>
          <cell r="BC40">
            <v>8.286112401300505E-2</v>
          </cell>
          <cell r="BD40">
            <v>3.5180986631225153E-2</v>
          </cell>
          <cell r="BE40">
            <v>5.6970623195788717E-2</v>
          </cell>
          <cell r="BG40">
            <v>1.2442660550458715</v>
          </cell>
          <cell r="BH40">
            <v>1.4013605442176869</v>
          </cell>
          <cell r="BI40">
            <v>1.2669283611383708</v>
          </cell>
          <cell r="BK40" t="str">
            <v>NM</v>
          </cell>
          <cell r="BL40" t="str">
            <v>NM</v>
          </cell>
          <cell r="BM40" t="str">
            <v>NM</v>
          </cell>
          <cell r="BO40">
            <v>9.6795169530887071E-2</v>
          </cell>
          <cell r="BP40">
            <v>3.5180986631225153E-2</v>
          </cell>
          <cell r="BQ40">
            <v>6.3338427576838052E-2</v>
          </cell>
          <cell r="BS40" t="str">
            <v>1996/95</v>
          </cell>
          <cell r="BT40">
            <v>4.2948717948718018E-2</v>
          </cell>
          <cell r="BU40">
            <v>2.3978685612788597E-2</v>
          </cell>
          <cell r="BV40">
            <v>2.8094575799721966E-2</v>
          </cell>
          <cell r="BX40">
            <v>6.3106466716429388E-3</v>
          </cell>
          <cell r="BY40">
            <v>0.14011976047904184</v>
          </cell>
          <cell r="BZ40">
            <v>3.585025380710638E-2</v>
          </cell>
          <cell r="CB40">
            <v>-2.3809523809523836E-2</v>
          </cell>
          <cell r="CC40">
            <v>-5.3691275167785268E-2</v>
          </cell>
          <cell r="CD40">
            <v>-4.2918454935622297E-2</v>
          </cell>
          <cell r="CJ40">
            <v>0.10008203445447106</v>
          </cell>
          <cell r="CK40">
            <v>2.7559055118110409E-2</v>
          </cell>
          <cell r="CL40">
            <v>8.7576374745417462E-2</v>
          </cell>
          <cell r="CN40">
            <v>3.5733292784916326E-3</v>
          </cell>
          <cell r="CO40">
            <v>-0.269035532994924</v>
          </cell>
          <cell r="CP40">
            <v>-1.5419436978356238E-2</v>
          </cell>
          <cell r="CR40">
            <v>-6.8639053254437976E-2</v>
          </cell>
          <cell r="CS40">
            <v>0.23943661971830998</v>
          </cell>
          <cell r="CT40">
            <v>-4.4759825327510883E-2</v>
          </cell>
          <cell r="CV40" t="str">
            <v>1996/95</v>
          </cell>
          <cell r="CX40">
            <v>4.6099290780141855E-2</v>
          </cell>
          <cell r="CY40" t="str">
            <v>NM</v>
          </cell>
          <cell r="CZ40">
            <v>4.6099290780141855E-2</v>
          </cell>
          <cell r="DB40">
            <v>3.0434782608695476E-2</v>
          </cell>
          <cell r="DC40">
            <v>0.32499999999999996</v>
          </cell>
          <cell r="DD40">
            <v>4.6575342465753344E-2</v>
          </cell>
          <cell r="DF40">
            <v>-0.22424242424242435</v>
          </cell>
          <cell r="DG40">
            <v>0.19199999999999995</v>
          </cell>
          <cell r="DH40">
            <v>-4.482758620689653E-2</v>
          </cell>
          <cell r="DJ40">
            <v>0.10171458892979146</v>
          </cell>
          <cell r="DK40">
            <v>-0.10035528735426991</v>
          </cell>
          <cell r="DL40">
            <v>-2.9641149435959524E-2</v>
          </cell>
          <cell r="DN40">
            <v>3.1378600823045222E-2</v>
          </cell>
          <cell r="DO40">
            <v>-2.3238212703930117E-2</v>
          </cell>
          <cell r="DP40">
            <v>3.4221023330558431E-3</v>
          </cell>
          <cell r="DR40" t="str">
            <v>1996/95</v>
          </cell>
          <cell r="DS40">
            <v>7.5096277278562162E-2</v>
          </cell>
          <cell r="DT40">
            <v>0.18430372148859542</v>
          </cell>
          <cell r="DU40">
            <v>0.14950920245398747</v>
          </cell>
          <cell r="DW40">
            <v>9.1533180778033962E-3</v>
          </cell>
          <cell r="DX40">
            <v>-7.3782587309394465E-3</v>
          </cell>
          <cell r="DY40">
            <v>-8.9712918660289631E-4</v>
          </cell>
          <cell r="EA40">
            <v>-4.2857142857142816E-2</v>
          </cell>
          <cell r="EB40">
            <v>-1.494075218959301E-2</v>
          </cell>
          <cell r="EC40">
            <v>-1.766620176662026E-2</v>
          </cell>
          <cell r="EE40">
            <v>-7.4999999999999845E-2</v>
          </cell>
          <cell r="EF40">
            <v>0.10915032679738546</v>
          </cell>
          <cell r="EG40">
            <v>9.575757575757593E-2</v>
          </cell>
          <cell r="EI40">
            <v>1.5053763440860068E-2</v>
          </cell>
          <cell r="EJ40">
            <v>0.15492957746478875</v>
          </cell>
          <cell r="EK40">
            <v>3.3582089552238736E-2</v>
          </cell>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A42" t="str">
            <v>1996</v>
          </cell>
          <cell r="AH42" t="str">
            <v>1996</v>
          </cell>
          <cell r="BS42" t="str">
            <v>1996</v>
          </cell>
          <cell r="CV42" t="str">
            <v>1996</v>
          </cell>
          <cell r="DR42" t="str">
            <v>1996</v>
          </cell>
          <cell r="EM42" t="str">
            <v>1996</v>
          </cell>
        </row>
        <row r="43">
          <cell r="A43" t="str">
            <v xml:space="preserve"> 1Q</v>
          </cell>
          <cell r="B43">
            <v>0</v>
          </cell>
          <cell r="C43">
            <v>0</v>
          </cell>
          <cell r="D43">
            <v>0</v>
          </cell>
          <cell r="F43">
            <v>0</v>
          </cell>
          <cell r="G43">
            <v>0</v>
          </cell>
          <cell r="H43">
            <v>0</v>
          </cell>
          <cell r="J43">
            <v>51.1</v>
          </cell>
          <cell r="K43">
            <v>48.1</v>
          </cell>
          <cell r="L43">
            <v>99.2</v>
          </cell>
          <cell r="N43">
            <v>24</v>
          </cell>
          <cell r="O43">
            <v>32</v>
          </cell>
          <cell r="P43">
            <v>56</v>
          </cell>
          <cell r="R43">
            <v>71.5</v>
          </cell>
          <cell r="S43">
            <v>8.6</v>
          </cell>
          <cell r="T43">
            <v>80.099999999999994</v>
          </cell>
          <cell r="V43">
            <v>39.299999999999997</v>
          </cell>
          <cell r="W43">
            <v>8</v>
          </cell>
          <cell r="X43">
            <v>47.3</v>
          </cell>
          <cell r="AD43">
            <v>38.299999999999997</v>
          </cell>
          <cell r="AE43">
            <v>2.2999999999999998</v>
          </cell>
          <cell r="AF43">
            <v>40.599999999999994</v>
          </cell>
          <cell r="AH43" t="str">
            <v xml:space="preserve"> 1Q</v>
          </cell>
          <cell r="AI43">
            <v>0</v>
          </cell>
          <cell r="AJ43">
            <v>28</v>
          </cell>
          <cell r="AK43">
            <v>28</v>
          </cell>
          <cell r="AM43">
            <v>14</v>
          </cell>
          <cell r="AN43">
            <v>4</v>
          </cell>
          <cell r="AO43">
            <v>18</v>
          </cell>
          <cell r="AQ43">
            <v>32</v>
          </cell>
          <cell r="AR43">
            <v>59</v>
          </cell>
          <cell r="AS43">
            <v>91</v>
          </cell>
          <cell r="AU43">
            <v>32</v>
          </cell>
          <cell r="AV43">
            <v>59</v>
          </cell>
          <cell r="AW43">
            <v>91</v>
          </cell>
          <cell r="AY43">
            <v>53.299999999999969</v>
          </cell>
          <cell r="AZ43">
            <v>145.79999999999998</v>
          </cell>
          <cell r="BA43">
            <v>199.09999999999997</v>
          </cell>
          <cell r="BC43">
            <v>323.5</v>
          </cell>
          <cell r="BD43">
            <v>335.8</v>
          </cell>
          <cell r="BE43">
            <v>659.3</v>
          </cell>
          <cell r="BG43">
            <v>39.299999999999997</v>
          </cell>
          <cell r="BH43">
            <v>8</v>
          </cell>
          <cell r="BI43">
            <v>47.3</v>
          </cell>
          <cell r="BK43">
            <v>0</v>
          </cell>
          <cell r="BL43">
            <v>0</v>
          </cell>
          <cell r="BM43">
            <v>0</v>
          </cell>
          <cell r="BO43">
            <v>323.5</v>
          </cell>
          <cell r="BP43">
            <v>335.8</v>
          </cell>
          <cell r="BQ43">
            <v>659.3</v>
          </cell>
          <cell r="BS43" t="str">
            <v xml:space="preserve"> 1Q</v>
          </cell>
          <cell r="BT43">
            <v>34.5</v>
          </cell>
          <cell r="BU43">
            <v>140.80000000000001</v>
          </cell>
          <cell r="BV43">
            <v>175.3</v>
          </cell>
          <cell r="BX43">
            <v>70.8</v>
          </cell>
          <cell r="BY43">
            <v>21.8</v>
          </cell>
          <cell r="BZ43">
            <v>92.6</v>
          </cell>
          <cell r="CB43">
            <v>21</v>
          </cell>
          <cell r="CC43">
            <v>42</v>
          </cell>
          <cell r="CD43">
            <v>63</v>
          </cell>
          <cell r="CJ43">
            <v>29.8</v>
          </cell>
          <cell r="CK43">
            <v>8.4</v>
          </cell>
          <cell r="CL43">
            <v>38.200000000000003</v>
          </cell>
          <cell r="CN43">
            <v>33</v>
          </cell>
          <cell r="CO43">
            <v>1.9</v>
          </cell>
          <cell r="CP43">
            <v>34.9</v>
          </cell>
          <cell r="CR43">
            <v>21.2</v>
          </cell>
          <cell r="CS43">
            <v>2</v>
          </cell>
          <cell r="CT43">
            <v>23.2</v>
          </cell>
          <cell r="CV43" t="str">
            <v xml:space="preserve"> 1Q</v>
          </cell>
          <cell r="CX43">
            <v>23.7</v>
          </cell>
          <cell r="CY43">
            <v>0</v>
          </cell>
          <cell r="CZ43">
            <v>23.7</v>
          </cell>
          <cell r="DB43">
            <v>20.9</v>
          </cell>
          <cell r="DC43">
            <v>1</v>
          </cell>
          <cell r="DD43">
            <v>21.9</v>
          </cell>
          <cell r="DF43">
            <v>5</v>
          </cell>
          <cell r="DG43">
            <v>9</v>
          </cell>
          <cell r="DH43">
            <v>14</v>
          </cell>
          <cell r="DJ43">
            <v>70.099999999999966</v>
          </cell>
          <cell r="DK43">
            <v>143.89999999999998</v>
          </cell>
          <cell r="DL43">
            <v>213.99999999999994</v>
          </cell>
          <cell r="DN43">
            <v>330</v>
          </cell>
          <cell r="DO43">
            <v>370.8</v>
          </cell>
          <cell r="DP43">
            <v>700.8</v>
          </cell>
          <cell r="DR43" t="str">
            <v xml:space="preserve"> 1Q</v>
          </cell>
          <cell r="DS43">
            <v>26.7</v>
          </cell>
          <cell r="DT43">
            <v>102.51</v>
          </cell>
          <cell r="DU43">
            <v>129.21</v>
          </cell>
          <cell r="DW43">
            <v>28.4</v>
          </cell>
          <cell r="DX43">
            <v>47.8</v>
          </cell>
          <cell r="DY43">
            <v>76.199999999999989</v>
          </cell>
          <cell r="EA43">
            <v>5.0999999999999996</v>
          </cell>
          <cell r="EB43">
            <v>47</v>
          </cell>
          <cell r="EC43">
            <v>52.1</v>
          </cell>
          <cell r="EE43">
            <v>2.9</v>
          </cell>
          <cell r="EF43">
            <v>42</v>
          </cell>
          <cell r="EG43">
            <v>44.9</v>
          </cell>
          <cell r="EI43">
            <v>25.4</v>
          </cell>
          <cell r="EJ43">
            <v>4</v>
          </cell>
          <cell r="EK43">
            <v>29.4</v>
          </cell>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A44" t="str">
            <v xml:space="preserve"> 2Q</v>
          </cell>
          <cell r="B44">
            <v>0</v>
          </cell>
          <cell r="C44">
            <v>0</v>
          </cell>
          <cell r="D44">
            <v>0</v>
          </cell>
          <cell r="F44">
            <v>0</v>
          </cell>
          <cell r="G44">
            <v>0</v>
          </cell>
          <cell r="H44">
            <v>0</v>
          </cell>
          <cell r="J44">
            <v>49.9</v>
          </cell>
          <cell r="K44">
            <v>53.9</v>
          </cell>
          <cell r="L44">
            <v>103.8</v>
          </cell>
          <cell r="N44">
            <v>10.199999999999999</v>
          </cell>
          <cell r="O44">
            <v>30.7</v>
          </cell>
          <cell r="P44">
            <v>40.9</v>
          </cell>
          <cell r="R44">
            <v>63</v>
          </cell>
          <cell r="S44">
            <v>9.3000000000000007</v>
          </cell>
          <cell r="T44">
            <v>72.3</v>
          </cell>
          <cell r="V44">
            <v>45.1</v>
          </cell>
          <cell r="W44">
            <v>8.3000000000000007</v>
          </cell>
          <cell r="X44">
            <v>53.400000000000006</v>
          </cell>
          <cell r="AD44">
            <v>34.9</v>
          </cell>
          <cell r="AE44">
            <v>2.6</v>
          </cell>
          <cell r="AF44">
            <v>37.5</v>
          </cell>
          <cell r="AH44" t="str">
            <v xml:space="preserve"> 2Q</v>
          </cell>
          <cell r="AI44">
            <v>0</v>
          </cell>
          <cell r="AJ44">
            <v>29</v>
          </cell>
          <cell r="AK44">
            <v>29</v>
          </cell>
          <cell r="AM44">
            <v>10.199999999999999</v>
          </cell>
          <cell r="AN44">
            <v>4.7</v>
          </cell>
          <cell r="AO44">
            <v>14.899999999999999</v>
          </cell>
          <cell r="AQ44">
            <v>30.8</v>
          </cell>
          <cell r="AR44">
            <v>56.7</v>
          </cell>
          <cell r="AS44">
            <v>87.5</v>
          </cell>
          <cell r="AU44">
            <v>30.8</v>
          </cell>
          <cell r="AV44">
            <v>56.7</v>
          </cell>
          <cell r="AW44">
            <v>87.5</v>
          </cell>
          <cell r="AY44">
            <v>35.000000000000028</v>
          </cell>
          <cell r="AZ44">
            <v>142.90000000000003</v>
          </cell>
          <cell r="BA44">
            <v>177.90000000000006</v>
          </cell>
          <cell r="BC44">
            <v>279.10000000000002</v>
          </cell>
          <cell r="BD44">
            <v>338.1</v>
          </cell>
          <cell r="BE44">
            <v>617.20000000000005</v>
          </cell>
          <cell r="BG44">
            <v>45.1</v>
          </cell>
          <cell r="BH44">
            <v>8.3000000000000007</v>
          </cell>
          <cell r="BI44">
            <v>53.400000000000006</v>
          </cell>
          <cell r="BK44">
            <v>0</v>
          </cell>
          <cell r="BL44">
            <v>0</v>
          </cell>
          <cell r="BM44">
            <v>0</v>
          </cell>
          <cell r="BO44">
            <v>279.10000000000002</v>
          </cell>
          <cell r="BP44">
            <v>338.1</v>
          </cell>
          <cell r="BQ44">
            <v>617.20000000000005</v>
          </cell>
          <cell r="BS44" t="str">
            <v xml:space="preserve"> 2Q</v>
          </cell>
          <cell r="BT44">
            <v>42.9</v>
          </cell>
          <cell r="BU44">
            <v>145.19999999999999</v>
          </cell>
          <cell r="BV44">
            <v>188.1</v>
          </cell>
          <cell r="BX44">
            <v>70.7</v>
          </cell>
          <cell r="BY44">
            <v>24.1</v>
          </cell>
          <cell r="BZ44">
            <v>94.800000000000011</v>
          </cell>
          <cell r="CB44">
            <v>21</v>
          </cell>
          <cell r="CC44">
            <v>35</v>
          </cell>
          <cell r="CD44">
            <v>56</v>
          </cell>
          <cell r="CJ44">
            <v>19.600000000000001</v>
          </cell>
          <cell r="CK44">
            <v>5.5</v>
          </cell>
          <cell r="CL44">
            <v>25.1</v>
          </cell>
          <cell r="CN44">
            <v>30.2</v>
          </cell>
          <cell r="CO44">
            <v>2.4</v>
          </cell>
          <cell r="CP44">
            <v>32.6</v>
          </cell>
          <cell r="CR44">
            <v>17.899999999999999</v>
          </cell>
          <cell r="CS44">
            <v>2.2999999999999998</v>
          </cell>
          <cell r="CT44">
            <v>20.2</v>
          </cell>
          <cell r="CV44" t="str">
            <v xml:space="preserve"> 2Q</v>
          </cell>
          <cell r="CX44">
            <v>19.2</v>
          </cell>
          <cell r="CY44">
            <v>0</v>
          </cell>
          <cell r="CZ44">
            <v>19.2</v>
          </cell>
          <cell r="DB44">
            <v>18.899999999999999</v>
          </cell>
          <cell r="DC44">
            <v>2</v>
          </cell>
          <cell r="DD44">
            <v>20.9</v>
          </cell>
          <cell r="DF44">
            <v>5</v>
          </cell>
          <cell r="DG44">
            <v>6</v>
          </cell>
          <cell r="DH44">
            <v>11</v>
          </cell>
          <cell r="DJ44">
            <v>112.30000000000004</v>
          </cell>
          <cell r="DK44">
            <v>128.39999999999998</v>
          </cell>
          <cell r="DL44">
            <v>240.70000000000002</v>
          </cell>
          <cell r="DN44">
            <v>357.7</v>
          </cell>
          <cell r="DO44">
            <v>350.9</v>
          </cell>
          <cell r="DP44">
            <v>708.59999999999991</v>
          </cell>
          <cell r="DR44" t="str">
            <v xml:space="preserve"> 2Q</v>
          </cell>
          <cell r="DS44">
            <v>22.9</v>
          </cell>
          <cell r="DT44">
            <v>87.1</v>
          </cell>
          <cell r="DU44">
            <v>110</v>
          </cell>
          <cell r="DW44">
            <v>42.3</v>
          </cell>
          <cell r="DX44">
            <v>52.8</v>
          </cell>
          <cell r="DY44">
            <v>95.1</v>
          </cell>
          <cell r="EA44">
            <v>5.0999999999999996</v>
          </cell>
          <cell r="EB44">
            <v>48</v>
          </cell>
          <cell r="EC44">
            <v>53.1</v>
          </cell>
          <cell r="EE44">
            <v>2.9</v>
          </cell>
          <cell r="EF44">
            <v>43</v>
          </cell>
          <cell r="EG44">
            <v>45.9</v>
          </cell>
          <cell r="EI44">
            <v>21.4</v>
          </cell>
          <cell r="EJ44">
            <v>4.2</v>
          </cell>
          <cell r="EK44">
            <v>25.599999999999998</v>
          </cell>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A45" t="str">
            <v xml:space="preserve"> 3Q</v>
          </cell>
          <cell r="B45">
            <v>0</v>
          </cell>
          <cell r="C45">
            <v>0</v>
          </cell>
          <cell r="D45">
            <v>0</v>
          </cell>
          <cell r="F45">
            <v>0</v>
          </cell>
          <cell r="G45">
            <v>0</v>
          </cell>
          <cell r="H45">
            <v>0</v>
          </cell>
          <cell r="J45">
            <v>52.8</v>
          </cell>
          <cell r="K45">
            <v>48.4</v>
          </cell>
          <cell r="L45">
            <v>101.19999999999999</v>
          </cell>
          <cell r="N45">
            <v>11</v>
          </cell>
          <cell r="O45">
            <v>30</v>
          </cell>
          <cell r="P45">
            <v>41</v>
          </cell>
          <cell r="R45">
            <v>48.5</v>
          </cell>
          <cell r="S45">
            <v>9.3000000000000007</v>
          </cell>
          <cell r="T45">
            <v>57.8</v>
          </cell>
          <cell r="V45">
            <v>51.2</v>
          </cell>
          <cell r="W45">
            <v>8.6</v>
          </cell>
          <cell r="X45">
            <v>59.800000000000004</v>
          </cell>
          <cell r="AD45">
            <v>36.200000000000003</v>
          </cell>
          <cell r="AE45">
            <v>2.5</v>
          </cell>
          <cell r="AF45">
            <v>38.700000000000003</v>
          </cell>
          <cell r="AH45" t="str">
            <v xml:space="preserve"> 3Q</v>
          </cell>
          <cell r="AI45">
            <v>0</v>
          </cell>
          <cell r="AJ45">
            <v>26</v>
          </cell>
          <cell r="AK45">
            <v>26</v>
          </cell>
          <cell r="AM45">
            <v>13</v>
          </cell>
          <cell r="AN45">
            <v>5</v>
          </cell>
          <cell r="AO45">
            <v>18</v>
          </cell>
          <cell r="AQ45">
            <v>29</v>
          </cell>
          <cell r="AR45">
            <v>49</v>
          </cell>
          <cell r="AS45">
            <v>78</v>
          </cell>
          <cell r="AU45">
            <v>29</v>
          </cell>
          <cell r="AV45">
            <v>49</v>
          </cell>
          <cell r="AW45">
            <v>78</v>
          </cell>
          <cell r="AY45">
            <v>48.19999999999996</v>
          </cell>
          <cell r="AZ45">
            <v>135.20000000000002</v>
          </cell>
          <cell r="BA45">
            <v>183.39999999999998</v>
          </cell>
          <cell r="BC45">
            <v>289.89999999999998</v>
          </cell>
          <cell r="BD45">
            <v>314</v>
          </cell>
          <cell r="BE45">
            <v>603.9</v>
          </cell>
          <cell r="BG45">
            <v>51.2</v>
          </cell>
          <cell r="BH45">
            <v>8.6</v>
          </cell>
          <cell r="BI45">
            <v>59.800000000000004</v>
          </cell>
          <cell r="BK45">
            <v>0</v>
          </cell>
          <cell r="BL45">
            <v>0</v>
          </cell>
          <cell r="BM45">
            <v>0</v>
          </cell>
          <cell r="BO45">
            <v>289.89999999999998</v>
          </cell>
          <cell r="BP45">
            <v>314</v>
          </cell>
          <cell r="BQ45">
            <v>603.9</v>
          </cell>
          <cell r="BS45" t="str">
            <v xml:space="preserve"> 3Q</v>
          </cell>
          <cell r="BT45">
            <v>44.9</v>
          </cell>
          <cell r="BU45">
            <v>145.4</v>
          </cell>
          <cell r="BV45">
            <v>190.3</v>
          </cell>
          <cell r="BX45">
            <v>74.5</v>
          </cell>
          <cell r="BY45">
            <v>23.3</v>
          </cell>
          <cell r="BZ45">
            <v>97.8</v>
          </cell>
          <cell r="CB45">
            <v>19</v>
          </cell>
          <cell r="CC45">
            <v>32</v>
          </cell>
          <cell r="CD45">
            <v>51</v>
          </cell>
          <cell r="CJ45">
            <v>37.700000000000003</v>
          </cell>
          <cell r="CK45">
            <v>5.6</v>
          </cell>
          <cell r="CL45">
            <v>43.300000000000004</v>
          </cell>
          <cell r="CN45">
            <v>39.5</v>
          </cell>
          <cell r="CO45">
            <v>1.7</v>
          </cell>
          <cell r="CP45">
            <v>41.2</v>
          </cell>
          <cell r="CR45">
            <v>19.399999999999999</v>
          </cell>
          <cell r="CS45">
            <v>2.1</v>
          </cell>
          <cell r="CT45">
            <v>21.5</v>
          </cell>
          <cell r="CV45" t="str">
            <v xml:space="preserve"> 3Q</v>
          </cell>
          <cell r="CX45">
            <v>19.5</v>
          </cell>
          <cell r="CY45">
            <v>0</v>
          </cell>
          <cell r="CZ45">
            <v>19.5</v>
          </cell>
          <cell r="DB45">
            <v>18.899999999999999</v>
          </cell>
          <cell r="DC45">
            <v>1</v>
          </cell>
          <cell r="DD45">
            <v>19.899999999999999</v>
          </cell>
          <cell r="DF45">
            <v>7.9</v>
          </cell>
          <cell r="DG45">
            <v>7</v>
          </cell>
          <cell r="DH45">
            <v>14.9</v>
          </cell>
          <cell r="DJ45">
            <v>80.599999999999994</v>
          </cell>
          <cell r="DK45">
            <v>111.29999999999997</v>
          </cell>
          <cell r="DL45">
            <v>191.89999999999998</v>
          </cell>
          <cell r="DN45">
            <v>361.9</v>
          </cell>
          <cell r="DO45">
            <v>329.4</v>
          </cell>
          <cell r="DP45">
            <v>691.3</v>
          </cell>
          <cell r="DR45" t="str">
            <v xml:space="preserve"> 3Q</v>
          </cell>
          <cell r="DS45">
            <v>56.6</v>
          </cell>
          <cell r="DT45">
            <v>90.1</v>
          </cell>
          <cell r="DU45">
            <v>146.69999999999999</v>
          </cell>
          <cell r="DW45">
            <v>27.9</v>
          </cell>
          <cell r="DX45">
            <v>47.3</v>
          </cell>
          <cell r="DY45">
            <v>75.199999999999989</v>
          </cell>
          <cell r="EA45">
            <v>5</v>
          </cell>
          <cell r="EB45">
            <v>44</v>
          </cell>
          <cell r="EC45">
            <v>49</v>
          </cell>
          <cell r="EE45">
            <v>3</v>
          </cell>
          <cell r="EF45">
            <v>45</v>
          </cell>
          <cell r="EG45">
            <v>48</v>
          </cell>
          <cell r="EI45">
            <v>22.8</v>
          </cell>
          <cell r="EJ45">
            <v>4</v>
          </cell>
          <cell r="EK45">
            <v>26.8</v>
          </cell>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A46" t="str">
            <v xml:space="preserve"> 4Q</v>
          </cell>
          <cell r="B46">
            <v>0</v>
          </cell>
          <cell r="C46">
            <v>0</v>
          </cell>
          <cell r="D46">
            <v>0</v>
          </cell>
          <cell r="F46">
            <v>0</v>
          </cell>
          <cell r="G46">
            <v>0</v>
          </cell>
          <cell r="H46">
            <v>0</v>
          </cell>
          <cell r="J46">
            <v>49.3</v>
          </cell>
          <cell r="K46">
            <v>52.5</v>
          </cell>
          <cell r="L46">
            <v>101.8</v>
          </cell>
          <cell r="N46">
            <v>10</v>
          </cell>
          <cell r="O46">
            <v>31</v>
          </cell>
          <cell r="P46">
            <v>41</v>
          </cell>
          <cell r="R46">
            <v>57.1</v>
          </cell>
          <cell r="S46">
            <v>10</v>
          </cell>
          <cell r="T46">
            <v>67.099999999999994</v>
          </cell>
          <cell r="V46">
            <v>60.1</v>
          </cell>
          <cell r="W46">
            <v>10.4</v>
          </cell>
          <cell r="X46">
            <v>70.5</v>
          </cell>
          <cell r="AD46">
            <v>37.799999999999997</v>
          </cell>
          <cell r="AE46">
            <v>2.7</v>
          </cell>
          <cell r="AF46">
            <v>40.5</v>
          </cell>
          <cell r="AH46" t="str">
            <v xml:space="preserve"> 4Q</v>
          </cell>
          <cell r="AI46">
            <v>0</v>
          </cell>
          <cell r="AJ46">
            <v>30</v>
          </cell>
          <cell r="AK46">
            <v>30</v>
          </cell>
          <cell r="AM46">
            <v>9</v>
          </cell>
          <cell r="AN46">
            <v>5</v>
          </cell>
          <cell r="AO46">
            <v>14</v>
          </cell>
          <cell r="AQ46">
            <v>28</v>
          </cell>
          <cell r="AR46">
            <v>48</v>
          </cell>
          <cell r="AS46">
            <v>76</v>
          </cell>
          <cell r="AU46">
            <v>28</v>
          </cell>
          <cell r="AV46">
            <v>48</v>
          </cell>
          <cell r="AW46">
            <v>76</v>
          </cell>
          <cell r="AY46">
            <v>21.899999999999991</v>
          </cell>
          <cell r="AZ46">
            <v>146.6</v>
          </cell>
          <cell r="BA46">
            <v>168.5</v>
          </cell>
          <cell r="BC46">
            <v>273.2</v>
          </cell>
          <cell r="BD46">
            <v>336.2</v>
          </cell>
          <cell r="BE46">
            <v>609.4</v>
          </cell>
          <cell r="BG46">
            <v>60.1</v>
          </cell>
          <cell r="BH46">
            <v>10.4</v>
          </cell>
          <cell r="BI46">
            <v>70.5</v>
          </cell>
          <cell r="BK46">
            <v>15</v>
          </cell>
          <cell r="BL46">
            <v>0</v>
          </cell>
          <cell r="BM46">
            <v>15</v>
          </cell>
          <cell r="BO46">
            <v>288.2</v>
          </cell>
          <cell r="BP46">
            <v>336.2</v>
          </cell>
          <cell r="BQ46">
            <v>624.4</v>
          </cell>
          <cell r="BS46" t="str">
            <v xml:space="preserve"> 4Q</v>
          </cell>
          <cell r="BT46">
            <v>40.4</v>
          </cell>
          <cell r="BU46">
            <v>145.1</v>
          </cell>
          <cell r="BV46">
            <v>185.5</v>
          </cell>
          <cell r="BX46">
            <v>80.599999999999994</v>
          </cell>
          <cell r="BY46">
            <v>26</v>
          </cell>
          <cell r="BZ46">
            <v>106.6</v>
          </cell>
          <cell r="CB46">
            <v>21</v>
          </cell>
          <cell r="CC46">
            <v>32</v>
          </cell>
          <cell r="CD46">
            <v>53</v>
          </cell>
          <cell r="CJ46">
            <v>47</v>
          </cell>
          <cell r="CK46">
            <v>6.6</v>
          </cell>
          <cell r="CL46">
            <v>53.6</v>
          </cell>
          <cell r="CN46">
            <v>29.3</v>
          </cell>
          <cell r="CO46">
            <v>1.2</v>
          </cell>
          <cell r="CP46">
            <v>30.5</v>
          </cell>
          <cell r="CR46">
            <v>20.2</v>
          </cell>
          <cell r="CS46">
            <v>2.4</v>
          </cell>
          <cell r="CT46">
            <v>22.599999999999998</v>
          </cell>
          <cell r="CV46" t="str">
            <v xml:space="preserve"> 4Q</v>
          </cell>
          <cell r="CX46">
            <v>26.1</v>
          </cell>
          <cell r="CY46">
            <v>0</v>
          </cell>
          <cell r="CZ46">
            <v>26.1</v>
          </cell>
          <cell r="DB46">
            <v>12.4</v>
          </cell>
          <cell r="DC46">
            <v>1.3</v>
          </cell>
          <cell r="DD46">
            <v>13.700000000000001</v>
          </cell>
          <cell r="DF46">
            <v>7.7</v>
          </cell>
          <cell r="DG46">
            <v>7.8</v>
          </cell>
          <cell r="DH46">
            <v>15.5</v>
          </cell>
          <cell r="DJ46">
            <v>69.199999999999974</v>
          </cell>
          <cell r="DK46">
            <v>120.3</v>
          </cell>
          <cell r="DL46">
            <v>189.49999999999997</v>
          </cell>
          <cell r="DN46">
            <v>353.9</v>
          </cell>
          <cell r="DO46">
            <v>342.7</v>
          </cell>
          <cell r="DP46">
            <v>696.59999999999991</v>
          </cell>
          <cell r="DR46" t="str">
            <v xml:space="preserve"> 4Q</v>
          </cell>
          <cell r="DS46">
            <v>61.3</v>
          </cell>
          <cell r="DT46">
            <v>114.9</v>
          </cell>
          <cell r="DU46">
            <v>176.2</v>
          </cell>
          <cell r="DW46">
            <v>33.700000000000003</v>
          </cell>
          <cell r="DX46">
            <v>53.9</v>
          </cell>
          <cell r="DY46">
            <v>87.6</v>
          </cell>
          <cell r="EA46">
            <v>4.9000000000000004</v>
          </cell>
          <cell r="EB46">
            <v>52.2</v>
          </cell>
          <cell r="EC46">
            <v>57.1</v>
          </cell>
          <cell r="EE46">
            <v>2.2999999999999998</v>
          </cell>
          <cell r="EF46">
            <v>39.700000000000003</v>
          </cell>
          <cell r="EG46">
            <v>42</v>
          </cell>
          <cell r="EI46">
            <v>24.8</v>
          </cell>
          <cell r="EJ46">
            <v>4.2</v>
          </cell>
          <cell r="EK46">
            <v>29</v>
          </cell>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A48" t="str">
            <v>1996</v>
          </cell>
          <cell r="B48">
            <v>0</v>
          </cell>
          <cell r="C48">
            <v>0</v>
          </cell>
          <cell r="D48">
            <v>0</v>
          </cell>
          <cell r="F48">
            <v>0</v>
          </cell>
          <cell r="G48">
            <v>0</v>
          </cell>
          <cell r="H48">
            <v>0</v>
          </cell>
          <cell r="J48">
            <v>203.10000000000002</v>
          </cell>
          <cell r="K48">
            <v>202.9</v>
          </cell>
          <cell r="L48">
            <v>406</v>
          </cell>
          <cell r="N48">
            <v>55.2</v>
          </cell>
          <cell r="O48">
            <v>123.7</v>
          </cell>
          <cell r="P48">
            <v>178.9</v>
          </cell>
          <cell r="R48">
            <v>240.1</v>
          </cell>
          <cell r="S48">
            <v>37.200000000000003</v>
          </cell>
          <cell r="T48">
            <v>277.29999999999995</v>
          </cell>
          <cell r="V48">
            <v>195.70000000000002</v>
          </cell>
          <cell r="W48">
            <v>35.299999999999997</v>
          </cell>
          <cell r="X48">
            <v>231</v>
          </cell>
          <cell r="AD48">
            <v>147.19999999999999</v>
          </cell>
          <cell r="AE48">
            <v>10.100000000000001</v>
          </cell>
          <cell r="AF48">
            <v>157.30000000000001</v>
          </cell>
          <cell r="AH48" t="str">
            <v>1996</v>
          </cell>
          <cell r="AI48" t="e">
            <v>#REF!</v>
          </cell>
          <cell r="AJ48">
            <v>113</v>
          </cell>
          <cell r="AK48">
            <v>113</v>
          </cell>
          <cell r="AM48">
            <v>46.2</v>
          </cell>
          <cell r="AN48">
            <v>18.7</v>
          </cell>
          <cell r="AO48">
            <v>64.900000000000006</v>
          </cell>
          <cell r="AQ48">
            <v>119.8</v>
          </cell>
          <cell r="AR48">
            <v>212.7</v>
          </cell>
          <cell r="AS48">
            <v>332.5</v>
          </cell>
          <cell r="AU48">
            <v>119.8</v>
          </cell>
          <cell r="AV48">
            <v>212.7</v>
          </cell>
          <cell r="AW48">
            <v>332.5</v>
          </cell>
          <cell r="AY48">
            <v>158.39999999999992</v>
          </cell>
          <cell r="AZ48">
            <v>570.50000000000011</v>
          </cell>
          <cell r="BA48">
            <v>728.9</v>
          </cell>
          <cell r="BC48">
            <v>1165.7</v>
          </cell>
          <cell r="BD48">
            <v>1324.1000000000001</v>
          </cell>
          <cell r="BE48">
            <v>2489.8000000000002</v>
          </cell>
          <cell r="BG48">
            <v>195.70000000000002</v>
          </cell>
          <cell r="BH48">
            <v>35.299999999999997</v>
          </cell>
          <cell r="BI48">
            <v>231</v>
          </cell>
          <cell r="BK48">
            <v>15</v>
          </cell>
          <cell r="BL48">
            <v>0</v>
          </cell>
          <cell r="BM48">
            <v>15</v>
          </cell>
          <cell r="BO48">
            <v>1180.7</v>
          </cell>
          <cell r="BP48">
            <v>1324.1000000000001</v>
          </cell>
          <cell r="BQ48">
            <v>2504.8000000000002</v>
          </cell>
          <cell r="BS48" t="str">
            <v>1996</v>
          </cell>
          <cell r="BT48">
            <v>162.70000000000002</v>
          </cell>
          <cell r="BU48">
            <v>576.5</v>
          </cell>
          <cell r="BV48">
            <v>739.2</v>
          </cell>
          <cell r="BX48">
            <v>296.60000000000002</v>
          </cell>
          <cell r="BY48">
            <v>95.2</v>
          </cell>
          <cell r="BZ48">
            <v>391.79999999999995</v>
          </cell>
          <cell r="CB48">
            <v>82</v>
          </cell>
          <cell r="CC48">
            <v>141</v>
          </cell>
          <cell r="CD48">
            <v>223</v>
          </cell>
          <cell r="CJ48">
            <v>134.10000000000002</v>
          </cell>
          <cell r="CK48">
            <v>26.1</v>
          </cell>
          <cell r="CL48">
            <v>160.20000000000002</v>
          </cell>
          <cell r="CN48">
            <v>132</v>
          </cell>
          <cell r="CO48">
            <v>7.2</v>
          </cell>
          <cell r="CP48">
            <v>139.19999999999999</v>
          </cell>
          <cell r="CR48">
            <v>78.699999999999989</v>
          </cell>
          <cell r="CS48">
            <v>8.8000000000000007</v>
          </cell>
          <cell r="CT48">
            <v>87.5</v>
          </cell>
          <cell r="CV48" t="str">
            <v>1996</v>
          </cell>
          <cell r="CX48">
            <v>88.5</v>
          </cell>
          <cell r="CY48">
            <v>0</v>
          </cell>
          <cell r="CZ48">
            <v>88.5</v>
          </cell>
          <cell r="DB48">
            <v>71.099999999999994</v>
          </cell>
          <cell r="DC48">
            <v>5.3</v>
          </cell>
          <cell r="DD48">
            <v>76.399999999999991</v>
          </cell>
          <cell r="DF48">
            <v>25.599999999999998</v>
          </cell>
          <cell r="DG48">
            <v>29.8</v>
          </cell>
          <cell r="DH48">
            <v>55.4</v>
          </cell>
          <cell r="DJ48">
            <v>332.2</v>
          </cell>
          <cell r="DK48">
            <v>503.89999999999992</v>
          </cell>
          <cell r="DL48">
            <v>836.09999999999991</v>
          </cell>
          <cell r="DN48">
            <v>1403.5</v>
          </cell>
          <cell r="DO48">
            <v>1393.8</v>
          </cell>
          <cell r="DP48">
            <v>2797.2999999999997</v>
          </cell>
          <cell r="DR48" t="str">
            <v>1996</v>
          </cell>
          <cell r="DS48">
            <v>167.5</v>
          </cell>
          <cell r="DT48">
            <v>394.61</v>
          </cell>
          <cell r="DU48">
            <v>562.1099999999999</v>
          </cell>
          <cell r="DW48">
            <v>132.30000000000001</v>
          </cell>
          <cell r="DX48">
            <v>201.79999999999998</v>
          </cell>
          <cell r="DY48">
            <v>334.09999999999997</v>
          </cell>
          <cell r="EA48">
            <v>20.100000000000001</v>
          </cell>
          <cell r="EB48">
            <v>191.2</v>
          </cell>
          <cell r="EC48">
            <v>211.29999999999998</v>
          </cell>
          <cell r="EE48">
            <v>11.100000000000001</v>
          </cell>
          <cell r="EF48">
            <v>169.7</v>
          </cell>
          <cell r="EG48">
            <v>180.8</v>
          </cell>
          <cell r="EI48">
            <v>94.399999999999991</v>
          </cell>
          <cell r="EJ48">
            <v>16.399999999999999</v>
          </cell>
          <cell r="EK48">
            <v>110.8</v>
          </cell>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A50" t="str">
            <v xml:space="preserve">1997/96 </v>
          </cell>
          <cell r="AH50" t="str">
            <v xml:space="preserve">1997/96 </v>
          </cell>
          <cell r="BS50" t="str">
            <v xml:space="preserve">1997/96 </v>
          </cell>
          <cell r="CV50" t="str">
            <v xml:space="preserve">1997/96 </v>
          </cell>
          <cell r="DR50" t="str">
            <v xml:space="preserve">1997/96 </v>
          </cell>
          <cell r="EM50" t="str">
            <v xml:space="preserve">1997/96 </v>
          </cell>
        </row>
        <row r="51">
          <cell r="A51" t="str">
            <v xml:space="preserve"> 1Q</v>
          </cell>
          <cell r="B51" t="str">
            <v>NM</v>
          </cell>
          <cell r="C51" t="str">
            <v>NM</v>
          </cell>
          <cell r="D51" t="str">
            <v>NM</v>
          </cell>
          <cell r="F51" t="str">
            <v>NM</v>
          </cell>
          <cell r="G51" t="str">
            <v>NM</v>
          </cell>
          <cell r="H51" t="str">
            <v>NM</v>
          </cell>
          <cell r="I51" t="e">
            <v>#DIV/0!</v>
          </cell>
          <cell r="J51">
            <v>7.4363992172211235E-2</v>
          </cell>
          <cell r="K51">
            <v>7.6923076923076872E-2</v>
          </cell>
          <cell r="L51">
            <v>7.5604838709677269E-2</v>
          </cell>
          <cell r="M51" t="e">
            <v>#DIV/0!</v>
          </cell>
          <cell r="N51">
            <v>-0.6166666666666667</v>
          </cell>
          <cell r="O51">
            <v>-0.17812499999999998</v>
          </cell>
          <cell r="P51">
            <v>-0.3660714285714286</v>
          </cell>
          <cell r="R51">
            <v>-0.18041958041958039</v>
          </cell>
          <cell r="S51">
            <v>2.3255813953488413E-2</v>
          </cell>
          <cell r="T51">
            <v>-0.15855181023720333</v>
          </cell>
          <cell r="U51" t="e">
            <v>#DIV/0!</v>
          </cell>
          <cell r="V51">
            <v>0.57506361323155231</v>
          </cell>
          <cell r="W51">
            <v>0.3125</v>
          </cell>
          <cell r="X51">
            <v>0.53065539112050764</v>
          </cell>
          <cell r="AD51">
            <v>-0.14882506527415129</v>
          </cell>
          <cell r="AE51">
            <v>4.3478260869565188E-2</v>
          </cell>
          <cell r="AF51">
            <v>-0.13793103448275845</v>
          </cell>
          <cell r="AH51" t="str">
            <v xml:space="preserve"> 1Q</v>
          </cell>
          <cell r="AI51" t="str">
            <v>NM</v>
          </cell>
          <cell r="AJ51">
            <v>0.10357142857142843</v>
          </cell>
          <cell r="AK51">
            <v>0.10357142857142843</v>
          </cell>
          <cell r="AM51">
            <v>-0.51428571428571423</v>
          </cell>
          <cell r="AN51">
            <v>0.39999999999999991</v>
          </cell>
          <cell r="AO51">
            <v>-0.31111111111111123</v>
          </cell>
          <cell r="AQ51">
            <v>0.11562500000000009</v>
          </cell>
          <cell r="AR51">
            <v>-6.6101694915254194E-2</v>
          </cell>
          <cell r="AS51">
            <v>-2.197802197802079E-3</v>
          </cell>
          <cell r="AT51" t="e">
            <v>#DIV/0!</v>
          </cell>
          <cell r="AU51">
            <v>-1</v>
          </cell>
          <cell r="AV51">
            <v>-1</v>
          </cell>
          <cell r="AW51">
            <v>-1</v>
          </cell>
          <cell r="AX51" t="e">
            <v>#DIV/0!</v>
          </cell>
          <cell r="AY51">
            <v>-0.22514071294559035</v>
          </cell>
          <cell r="AZ51">
            <v>-0.18312757201646102</v>
          </cell>
          <cell r="BA51">
            <v>-0.19437468608739328</v>
          </cell>
          <cell r="BC51">
            <v>0.14621329211746525</v>
          </cell>
          <cell r="BD51">
            <v>-6.0750446694461058E-2</v>
          </cell>
          <cell r="BE51">
            <v>4.0800849385712157E-2</v>
          </cell>
          <cell r="BG51">
            <v>-1</v>
          </cell>
          <cell r="BH51">
            <v>-1</v>
          </cell>
          <cell r="BI51">
            <v>-1</v>
          </cell>
          <cell r="BK51" t="str">
            <v>NM</v>
          </cell>
          <cell r="BL51" t="str">
            <v>NM</v>
          </cell>
          <cell r="BM51" t="str">
            <v>NM</v>
          </cell>
          <cell r="BO51">
            <v>0.14621329211746525</v>
          </cell>
          <cell r="BP51">
            <v>-6.0750446694461058E-2</v>
          </cell>
          <cell r="BQ51">
            <v>4.0800849385712157E-2</v>
          </cell>
          <cell r="BS51" t="str">
            <v xml:space="preserve"> 1Q</v>
          </cell>
          <cell r="BT51">
            <v>5.7971014492753659E-2</v>
          </cell>
          <cell r="BU51">
            <v>-6.6761363636363646E-2</v>
          </cell>
          <cell r="BV51">
            <v>-4.2213348545350859E-2</v>
          </cell>
          <cell r="BX51">
            <v>4.8022598870056665E-2</v>
          </cell>
          <cell r="BY51">
            <v>0.10550458715596323</v>
          </cell>
          <cell r="BZ51">
            <v>6.1555075593952679E-2</v>
          </cell>
          <cell r="CB51">
            <v>-8.0952380952380887E-2</v>
          </cell>
          <cell r="CC51">
            <v>-0.20714285714285718</v>
          </cell>
          <cell r="CD51">
            <v>-0.16507936507936516</v>
          </cell>
          <cell r="CJ51">
            <v>7.0469798657718075E-2</v>
          </cell>
          <cell r="CK51">
            <v>0.15476190476190466</v>
          </cell>
          <cell r="CL51">
            <v>8.9005235602094057E-2</v>
          </cell>
          <cell r="CN51">
            <v>-6.9696969696969702E-2</v>
          </cell>
          <cell r="CO51">
            <v>0.15789473684210531</v>
          </cell>
          <cell r="CP51">
            <v>-5.7306590257879653E-2</v>
          </cell>
          <cell r="CR51">
            <v>-0.19339622641509424</v>
          </cell>
          <cell r="CS51">
            <v>0.10000000000000009</v>
          </cell>
          <cell r="CT51">
            <v>-0.16810344827586199</v>
          </cell>
          <cell r="CV51" t="str">
            <v xml:space="preserve"> 1Q</v>
          </cell>
          <cell r="CX51">
            <v>-5.4852320675105481E-2</v>
          </cell>
          <cell r="CY51" t="str">
            <v>NM</v>
          </cell>
          <cell r="CZ51">
            <v>0.20675105485232059</v>
          </cell>
          <cell r="DB51">
            <v>-0.12918660287081341</v>
          </cell>
          <cell r="DC51">
            <v>0.10000000000000009</v>
          </cell>
          <cell r="DD51">
            <v>-0.11872146118721449</v>
          </cell>
          <cell r="DF51">
            <v>-1.9999999999999907E-2</v>
          </cell>
          <cell r="DG51">
            <v>0.34444444444444433</v>
          </cell>
          <cell r="DH51">
            <v>0.21428571428571419</v>
          </cell>
          <cell r="DJ51">
            <v>4.2796005706134732E-2</v>
          </cell>
          <cell r="DK51">
            <v>-0.22515635858234839</v>
          </cell>
          <cell r="DL51">
            <v>-0.137383177570093</v>
          </cell>
          <cell r="DN51">
            <v>-5.1515151515151292E-3</v>
          </cell>
          <cell r="DO51">
            <v>-9.978425026968718E-2</v>
          </cell>
          <cell r="DP51">
            <v>-5.5222602739725901E-2</v>
          </cell>
          <cell r="DR51" t="str">
            <v xml:space="preserve"> 1Q</v>
          </cell>
          <cell r="DS51">
            <v>-0.11610486891385763</v>
          </cell>
          <cell r="DT51">
            <v>-5.7652911911033167E-2</v>
          </cell>
          <cell r="DU51">
            <v>-6.9731444934602704E-2</v>
          </cell>
          <cell r="DW51">
            <v>-5.2816901408450745E-2</v>
          </cell>
          <cell r="DX51">
            <v>-6.9037656903765621E-2</v>
          </cell>
          <cell r="DY51">
            <v>-6.2992125984251746E-2</v>
          </cell>
          <cell r="EA51">
            <v>-3.9215686274509665E-2</v>
          </cell>
          <cell r="EB51">
            <v>-0.1404255319148936</v>
          </cell>
          <cell r="EC51">
            <v>-0.13051823416506725</v>
          </cell>
          <cell r="EE51">
            <v>0</v>
          </cell>
          <cell r="EF51">
            <v>-5.4761904761904678E-2</v>
          </cell>
          <cell r="EG51">
            <v>-5.1224944320712673E-2</v>
          </cell>
          <cell r="EI51">
            <v>-0.10236220472440938</v>
          </cell>
          <cell r="EJ51">
            <v>-0.19999999999999996</v>
          </cell>
          <cell r="EK51">
            <v>-0.11564625850340127</v>
          </cell>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A52" t="str">
            <v xml:space="preserve"> 2Q</v>
          </cell>
          <cell r="B52" t="str">
            <v>NM</v>
          </cell>
          <cell r="C52" t="str">
            <v>NM</v>
          </cell>
          <cell r="D52" t="str">
            <v>NM</v>
          </cell>
          <cell r="F52" t="str">
            <v>NM</v>
          </cell>
          <cell r="G52" t="str">
            <v>NM</v>
          </cell>
          <cell r="H52" t="str">
            <v>NM</v>
          </cell>
          <cell r="J52">
            <v>-0.13226452905811625</v>
          </cell>
          <cell r="K52">
            <v>1.4842300556586308E-2</v>
          </cell>
          <cell r="L52">
            <v>-5.5876685934489356E-2</v>
          </cell>
          <cell r="N52">
            <v>-0.26470588235294112</v>
          </cell>
          <cell r="O52">
            <v>-7.1661237785016318E-2</v>
          </cell>
          <cell r="P52">
            <v>-0.11980440097799505</v>
          </cell>
          <cell r="R52">
            <v>-0.36190476190476184</v>
          </cell>
          <cell r="S52">
            <v>0.18279569892473102</v>
          </cell>
          <cell r="T52">
            <v>-0.29183955739972334</v>
          </cell>
          <cell r="V52">
            <v>0.31485587583148544</v>
          </cell>
          <cell r="W52">
            <v>0.44578313253012025</v>
          </cell>
          <cell r="X52">
            <v>0.33520599250936312</v>
          </cell>
          <cell r="AD52">
            <v>-0.24928366762177645</v>
          </cell>
          <cell r="AE52">
            <v>3.8461538461538547E-2</v>
          </cell>
          <cell r="AF52">
            <v>-0.22933333333333339</v>
          </cell>
          <cell r="AH52" t="str">
            <v xml:space="preserve"> 2Q</v>
          </cell>
          <cell r="AI52" t="str">
            <v>NM</v>
          </cell>
          <cell r="AJ52">
            <v>-9.3103448275862033E-2</v>
          </cell>
          <cell r="AK52">
            <v>-9.3103448275862033E-2</v>
          </cell>
          <cell r="AM52" t="str">
            <v>NM</v>
          </cell>
          <cell r="AN52">
            <v>0.23404255319148937</v>
          </cell>
          <cell r="AO52">
            <v>-0.61073825503355694</v>
          </cell>
          <cell r="AQ52">
            <v>0.15909090909090917</v>
          </cell>
          <cell r="AR52">
            <v>-5.6437389770723101E-2</v>
          </cell>
          <cell r="AS52">
            <v>1.9428571428571351E-2</v>
          </cell>
          <cell r="AU52">
            <v>-1</v>
          </cell>
          <cell r="AV52">
            <v>-1</v>
          </cell>
          <cell r="AW52">
            <v>-1</v>
          </cell>
          <cell r="AY52">
            <v>5.7142857142857606E-2</v>
          </cell>
          <cell r="AZ52">
            <v>5.5983205038488526E-2</v>
          </cell>
          <cell r="BA52">
            <v>5.6211354693648241E-2</v>
          </cell>
          <cell r="BC52">
            <v>0.65245431744894278</v>
          </cell>
          <cell r="BD52">
            <v>7.4534161490683148E-2</v>
          </cell>
          <cell r="BE52">
            <v>0.33587167854828248</v>
          </cell>
          <cell r="BG52">
            <v>-1</v>
          </cell>
          <cell r="BH52">
            <v>-1</v>
          </cell>
          <cell r="BI52">
            <v>-1</v>
          </cell>
          <cell r="BK52" t="str">
            <v>NM</v>
          </cell>
          <cell r="BL52" t="str">
            <v>NM</v>
          </cell>
          <cell r="BM52" t="str">
            <v>NM</v>
          </cell>
          <cell r="BO52">
            <v>0.65245431744894278</v>
          </cell>
          <cell r="BP52">
            <v>7.4534161490683148E-2</v>
          </cell>
          <cell r="BQ52">
            <v>0.33587167854828248</v>
          </cell>
          <cell r="BS52" t="str">
            <v xml:space="preserve"> 2Q</v>
          </cell>
          <cell r="BT52">
            <v>0.16783216783216792</v>
          </cell>
          <cell r="BU52">
            <v>1.9283746556473913E-2</v>
          </cell>
          <cell r="BV52">
            <v>5.3163211057947857E-2</v>
          </cell>
          <cell r="BX52">
            <v>7.2135785007072073E-2</v>
          </cell>
          <cell r="BY52">
            <v>0.15352697095435675</v>
          </cell>
          <cell r="BZ52">
            <v>9.2827004219409037E-2</v>
          </cell>
          <cell r="CB52">
            <v>-2.3809523809523836E-2</v>
          </cell>
          <cell r="CC52">
            <v>-0.11714285714285722</v>
          </cell>
          <cell r="CD52">
            <v>-8.2142857142857184E-2</v>
          </cell>
          <cell r="CJ52">
            <v>9.183673469387732E-2</v>
          </cell>
          <cell r="CK52">
            <v>-9.0909090909090939E-2</v>
          </cell>
          <cell r="CL52">
            <v>5.1792828685258918E-2</v>
          </cell>
          <cell r="CN52">
            <v>0.20529801324503305</v>
          </cell>
          <cell r="CO52">
            <v>0.29166666666666674</v>
          </cell>
          <cell r="CP52">
            <v>0.2116564417177913</v>
          </cell>
          <cell r="CR52">
            <v>6.7039106145251548E-2</v>
          </cell>
          <cell r="CS52">
            <v>4.3478260869565188E-2</v>
          </cell>
          <cell r="CT52">
            <v>6.4356435643564414E-2</v>
          </cell>
          <cell r="CV52" t="str">
            <v xml:space="preserve"> 2Q</v>
          </cell>
          <cell r="CX52">
            <v>-5.208333333333337E-2</v>
          </cell>
          <cell r="CY52" t="str">
            <v>NM</v>
          </cell>
          <cell r="CZ52">
            <v>0.27604166666666674</v>
          </cell>
          <cell r="DB52">
            <v>0.15873015873015883</v>
          </cell>
          <cell r="DC52">
            <v>0</v>
          </cell>
          <cell r="DD52">
            <v>0.14354066985645941</v>
          </cell>
          <cell r="DF52">
            <v>-0.14000000000000001</v>
          </cell>
          <cell r="DG52">
            <v>-0.1166666666666667</v>
          </cell>
          <cell r="DH52">
            <v>-0.12727272727272732</v>
          </cell>
          <cell r="DJ52">
            <v>-0.33659839715049034</v>
          </cell>
          <cell r="DK52">
            <v>-0.20482866043613723</v>
          </cell>
          <cell r="DL52">
            <v>-0.26630660573327836</v>
          </cell>
          <cell r="DN52">
            <v>-4.3332401453732183E-2</v>
          </cell>
          <cell r="DO52">
            <v>-5.1296665716728418E-2</v>
          </cell>
          <cell r="DP52">
            <v>-4.7276319503245845E-2</v>
          </cell>
          <cell r="DR52" t="str">
            <v xml:space="preserve"> 2Q</v>
          </cell>
          <cell r="DS52">
            <v>0.28384279475982543</v>
          </cell>
          <cell r="DT52">
            <v>-2.2962112514349764E-3</v>
          </cell>
          <cell r="DU52">
            <v>5.7272727272727364E-2</v>
          </cell>
          <cell r="DW52">
            <v>-0.11820330969267145</v>
          </cell>
          <cell r="DX52">
            <v>7.5757575757577911E-3</v>
          </cell>
          <cell r="DY52">
            <v>-4.8370136698212329E-2</v>
          </cell>
          <cell r="EA52">
            <v>-1.9607843137254832E-2</v>
          </cell>
          <cell r="EB52">
            <v>-5.6250000000000022E-2</v>
          </cell>
          <cell r="EC52">
            <v>-5.2730696798493515E-2</v>
          </cell>
          <cell r="EE52">
            <v>0.17241379310344818</v>
          </cell>
          <cell r="EF52">
            <v>-7.6744186046511564E-2</v>
          </cell>
          <cell r="EG52">
            <v>-6.1002178649237404E-2</v>
          </cell>
          <cell r="EI52">
            <v>0.17289719626168232</v>
          </cell>
          <cell r="EJ52">
            <v>-9.5238095238095344E-2</v>
          </cell>
          <cell r="EK52">
            <v>0.12890625000000022</v>
          </cell>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A53" t="str">
            <v xml:space="preserve"> 3Q</v>
          </cell>
          <cell r="B53" t="str">
            <v>NM</v>
          </cell>
          <cell r="C53" t="str">
            <v>NM</v>
          </cell>
          <cell r="D53" t="str">
            <v>NM</v>
          </cell>
          <cell r="F53" t="str">
            <v>NM</v>
          </cell>
          <cell r="G53" t="str">
            <v>NM</v>
          </cell>
          <cell r="H53" t="str">
            <v>NM</v>
          </cell>
          <cell r="J53">
            <v>-0.39583333333333337</v>
          </cell>
          <cell r="K53">
            <v>1.6528925619834878E-2</v>
          </cell>
          <cell r="L53">
            <v>-0.1986166007905138</v>
          </cell>
          <cell r="N53">
            <v>-0.44545454545454544</v>
          </cell>
          <cell r="O53">
            <v>-0.18666666666666676</v>
          </cell>
          <cell r="P53">
            <v>-0.25609756097560976</v>
          </cell>
          <cell r="R53">
            <v>-0.10103092783505152</v>
          </cell>
          <cell r="S53">
            <v>2.1505376344086002E-2</v>
          </cell>
          <cell r="T53">
            <v>-8.1314878892733478E-2</v>
          </cell>
          <cell r="V53">
            <v>0.279296875</v>
          </cell>
          <cell r="W53">
            <v>0.47674418604651159</v>
          </cell>
          <cell r="X53">
            <v>0.30769230769230771</v>
          </cell>
          <cell r="AD53">
            <v>-2.4861878453038777E-2</v>
          </cell>
          <cell r="AE53">
            <v>8.0000000000000071E-2</v>
          </cell>
          <cell r="AF53">
            <v>-1.8087855297157729E-2</v>
          </cell>
          <cell r="AH53" t="str">
            <v xml:space="preserve"> 3Q</v>
          </cell>
          <cell r="AI53" t="str">
            <v>NM</v>
          </cell>
          <cell r="AJ53">
            <v>-0.11153846153846148</v>
          </cell>
          <cell r="AK53">
            <v>-0.11153846153846148</v>
          </cell>
          <cell r="AM53" t="str">
            <v>NM</v>
          </cell>
          <cell r="AN53">
            <v>6.0000000000000053E-2</v>
          </cell>
          <cell r="AO53">
            <v>-0.70555555555555549</v>
          </cell>
          <cell r="AQ53">
            <v>0.15862068965517251</v>
          </cell>
          <cell r="AR53">
            <v>-3.4693877551020491E-2</v>
          </cell>
          <cell r="AS53">
            <v>3.7179487179487269E-2</v>
          </cell>
          <cell r="AU53">
            <v>-1</v>
          </cell>
          <cell r="AV53">
            <v>-1</v>
          </cell>
          <cell r="AW53">
            <v>-1</v>
          </cell>
          <cell r="AY53">
            <v>-0.72821576763485507</v>
          </cell>
          <cell r="AZ53">
            <v>0.1227810650887573</v>
          </cell>
          <cell r="BA53">
            <v>-0.10087241003271541</v>
          </cell>
          <cell r="BC53">
            <v>1.0175922731976543</v>
          </cell>
          <cell r="BD53">
            <v>0.15668789808917194</v>
          </cell>
          <cell r="BE53">
            <v>0.56996191422420917</v>
          </cell>
          <cell r="BG53">
            <v>-1</v>
          </cell>
          <cell r="BH53">
            <v>-1</v>
          </cell>
          <cell r="BI53">
            <v>-1</v>
          </cell>
          <cell r="BK53" t="str">
            <v>NM</v>
          </cell>
          <cell r="BL53" t="str">
            <v>NM</v>
          </cell>
          <cell r="BM53" t="str">
            <v>NM</v>
          </cell>
          <cell r="BO53">
            <v>1.0175922731976543</v>
          </cell>
          <cell r="BP53">
            <v>0.15668789808917194</v>
          </cell>
          <cell r="BQ53">
            <v>0.56996191422420917</v>
          </cell>
          <cell r="BS53" t="str">
            <v xml:space="preserve"> 3Q</v>
          </cell>
          <cell r="BT53">
            <v>0.16258351893095768</v>
          </cell>
          <cell r="BU53">
            <v>-9.0784044016506305E-2</v>
          </cell>
          <cell r="BV53">
            <v>-3.1003678402522494E-2</v>
          </cell>
          <cell r="BX53">
            <v>-3.8926174496644372E-2</v>
          </cell>
          <cell r="BY53">
            <v>9.4420600858369008E-2</v>
          </cell>
          <cell r="BZ53">
            <v>-7.1574642126789323E-3</v>
          </cell>
          <cell r="CB53">
            <v>5.7894736842105443E-2</v>
          </cell>
          <cell r="CC53">
            <v>-0.13124999999999998</v>
          </cell>
          <cell r="CD53">
            <v>-6.0784313725490091E-2</v>
          </cell>
          <cell r="CJ53">
            <v>-6.3660477453581055E-2</v>
          </cell>
          <cell r="CK53">
            <v>5.3571428571428603E-2</v>
          </cell>
          <cell r="CL53">
            <v>-4.8498845265589119E-2</v>
          </cell>
          <cell r="CN53">
            <v>1.0126582278481067E-2</v>
          </cell>
          <cell r="CO53">
            <v>0.23529411764705888</v>
          </cell>
          <cell r="CP53">
            <v>1.9417475728155331E-2</v>
          </cell>
          <cell r="CR53">
            <v>-0.11340206185567003</v>
          </cell>
          <cell r="CS53">
            <v>9.5238095238095122E-2</v>
          </cell>
          <cell r="CT53">
            <v>-9.3023255813953543E-2</v>
          </cell>
          <cell r="CV53" t="str">
            <v xml:space="preserve"> 3Q</v>
          </cell>
          <cell r="CX53">
            <v>5.6410256410256432E-2</v>
          </cell>
          <cell r="CY53" t="str">
            <v>NM</v>
          </cell>
          <cell r="CZ53">
            <v>0.37435897435897436</v>
          </cell>
          <cell r="DB53">
            <v>4.2328042328042326E-2</v>
          </cell>
          <cell r="DC53">
            <v>-0.4</v>
          </cell>
          <cell r="DD53">
            <v>2.0100502512562901E-2</v>
          </cell>
          <cell r="DF53">
            <v>-0.21518987341772156</v>
          </cell>
          <cell r="DG53">
            <v>0.21428571428571419</v>
          </cell>
          <cell r="DH53">
            <v>-1.34228187919464E-2</v>
          </cell>
          <cell r="DJ53">
            <v>-1.2406947890818421E-3</v>
          </cell>
          <cell r="DK53">
            <v>-0.12668463611859782</v>
          </cell>
          <cell r="DL53">
            <v>-7.3996873371547367E-2</v>
          </cell>
          <cell r="DN53">
            <v>3.8684719535784229E-3</v>
          </cell>
          <cell r="DO53">
            <v>-6.4055859137826299E-2</v>
          </cell>
          <cell r="DP53">
            <v>-2.8497034572544377E-2</v>
          </cell>
          <cell r="DR53" t="str">
            <v xml:space="preserve"> 3Q</v>
          </cell>
          <cell r="DS53">
            <v>7.0671378091873294E-3</v>
          </cell>
          <cell r="DT53">
            <v>-1.2208657047724669E-2</v>
          </cell>
          <cell r="DU53">
            <v>-4.7716428084525475E-3</v>
          </cell>
          <cell r="DW53">
            <v>0.20071684587813632</v>
          </cell>
          <cell r="DX53">
            <v>-1.6913319238900604E-2</v>
          </cell>
          <cell r="DY53">
            <v>6.3829787234042756E-2</v>
          </cell>
          <cell r="EA53">
            <v>-5.9999999999999942E-2</v>
          </cell>
          <cell r="EB53">
            <v>3.6363636363636376E-2</v>
          </cell>
          <cell r="EC53">
            <v>2.6530612244898055E-2</v>
          </cell>
          <cell r="EE53">
            <v>0</v>
          </cell>
          <cell r="EF53">
            <v>-0.17111111111111121</v>
          </cell>
          <cell r="EG53">
            <v>-0.16041666666666676</v>
          </cell>
          <cell r="EI53">
            <v>0.21491228070175428</v>
          </cell>
          <cell r="EJ53">
            <v>-0.19999999999999996</v>
          </cell>
          <cell r="EK53">
            <v>0.1529850746268655</v>
          </cell>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A54" t="str">
            <v xml:space="preserve"> 4Q</v>
          </cell>
          <cell r="B54" t="str">
            <v>NM</v>
          </cell>
          <cell r="C54" t="str">
            <v>NM</v>
          </cell>
          <cell r="D54" t="str">
            <v>NM</v>
          </cell>
          <cell r="F54" t="str">
            <v>NM</v>
          </cell>
          <cell r="G54" t="str">
            <v>NM</v>
          </cell>
          <cell r="H54" t="str">
            <v>NM</v>
          </cell>
          <cell r="J54">
            <v>-0.21501014198782953</v>
          </cell>
          <cell r="K54">
            <v>2.0952380952381056E-2</v>
          </cell>
          <cell r="L54">
            <v>-9.3320235756384928E-2</v>
          </cell>
          <cell r="N54">
            <v>-0.61</v>
          </cell>
          <cell r="O54">
            <v>-0.19354838709677424</v>
          </cell>
          <cell r="P54">
            <v>-0.29512195121951224</v>
          </cell>
          <cell r="R54">
            <v>-0.2942206654991244</v>
          </cell>
          <cell r="S54">
            <v>-1.9999999999999907E-2</v>
          </cell>
          <cell r="T54">
            <v>-0.25335320417287632</v>
          </cell>
          <cell r="V54">
            <v>-7.1547420965058284E-2</v>
          </cell>
          <cell r="W54">
            <v>0.34615384615384603</v>
          </cell>
          <cell r="X54">
            <v>-9.9290780141844115E-3</v>
          </cell>
          <cell r="AD54">
            <v>-0.40740740740740744</v>
          </cell>
          <cell r="AE54">
            <v>0</v>
          </cell>
          <cell r="AF54">
            <v>-0.38024691358024698</v>
          </cell>
          <cell r="AH54" t="str">
            <v xml:space="preserve"> 4Q</v>
          </cell>
          <cell r="AI54" t="str">
            <v>NM</v>
          </cell>
          <cell r="AJ54">
            <v>-0.20666666666666667</v>
          </cell>
          <cell r="AK54">
            <v>-0.20666666666666667</v>
          </cell>
          <cell r="AM54" t="str">
            <v>NM</v>
          </cell>
          <cell r="AN54">
            <v>-1.9999999999999907E-2</v>
          </cell>
          <cell r="AO54">
            <v>-0.75</v>
          </cell>
          <cell r="AQ54">
            <v>0.22499999999999987</v>
          </cell>
          <cell r="AR54">
            <v>3.5416666666666652E-2</v>
          </cell>
          <cell r="AS54">
            <v>0.10526315789473695</v>
          </cell>
          <cell r="AU54">
            <v>-1</v>
          </cell>
          <cell r="AV54">
            <v>-1</v>
          </cell>
          <cell r="AW54">
            <v>-1</v>
          </cell>
          <cell r="AY54">
            <v>0.24200913242008992</v>
          </cell>
          <cell r="AZ54">
            <v>0.16371077762619324</v>
          </cell>
          <cell r="BA54">
            <v>0.17388724035608227</v>
          </cell>
          <cell r="BC54">
            <v>1.7243777452415814</v>
          </cell>
          <cell r="BD54">
            <v>0.24003569303985728</v>
          </cell>
          <cell r="BE54">
            <v>0.9054808007876598</v>
          </cell>
          <cell r="BG54">
            <v>-1</v>
          </cell>
          <cell r="BH54">
            <v>-1</v>
          </cell>
          <cell r="BI54">
            <v>-1</v>
          </cell>
          <cell r="BK54" t="str">
            <v>NM</v>
          </cell>
          <cell r="BL54" t="str">
            <v>NM</v>
          </cell>
          <cell r="BM54" t="str">
            <v>NM</v>
          </cell>
          <cell r="BO54">
            <v>1.5825815405968076</v>
          </cell>
          <cell r="BP54">
            <v>0.24003569303985728</v>
          </cell>
          <cell r="BQ54">
            <v>0.85970531710442</v>
          </cell>
          <cell r="BS54" t="str">
            <v xml:space="preserve"> 4Q</v>
          </cell>
          <cell r="BT54">
            <v>0.48762376237623761</v>
          </cell>
          <cell r="BU54">
            <v>-0.11302549965541009</v>
          </cell>
          <cell r="BV54">
            <v>1.7789757412398854E-2</v>
          </cell>
          <cell r="BX54">
            <v>1.8610421836228186E-2</v>
          </cell>
          <cell r="BY54">
            <v>-0.10384615384615381</v>
          </cell>
          <cell r="BZ54">
            <v>-1.1257035647279534E-2</v>
          </cell>
          <cell r="CB54">
            <v>-5.2380952380952417E-2</v>
          </cell>
          <cell r="CC54">
            <v>-0.203125</v>
          </cell>
          <cell r="CD54">
            <v>-0.14339622641509442</v>
          </cell>
          <cell r="CJ54">
            <v>-4.680851063829794E-2</v>
          </cell>
          <cell r="CK54">
            <v>-7.5757575757575801E-2</v>
          </cell>
          <cell r="CL54">
            <v>-5.0373134328358216E-2</v>
          </cell>
          <cell r="CN54">
            <v>2.0477815699658564E-2</v>
          </cell>
          <cell r="CO54">
            <v>0.41666666666666674</v>
          </cell>
          <cell r="CP54">
            <v>3.6065573770491799E-2</v>
          </cell>
          <cell r="CR54">
            <v>-8.9108910891089188E-2</v>
          </cell>
          <cell r="CS54">
            <v>-0.20833333333333337</v>
          </cell>
          <cell r="CT54">
            <v>-0.10176991150442483</v>
          </cell>
          <cell r="CV54" t="str">
            <v xml:space="preserve"> 4Q</v>
          </cell>
          <cell r="CX54">
            <v>8.0459770114942541E-2</v>
          </cell>
          <cell r="CY54" t="str">
            <v>NM</v>
          </cell>
          <cell r="CZ54">
            <v>0.30651340996168575</v>
          </cell>
          <cell r="DB54">
            <v>0.12903225806451601</v>
          </cell>
          <cell r="DC54">
            <v>-0.38461538461538458</v>
          </cell>
          <cell r="DD54">
            <v>8.0291970802919721E-2</v>
          </cell>
          <cell r="DF54">
            <v>-0.1558441558441559</v>
          </cell>
          <cell r="DG54">
            <v>0.47435897435897445</v>
          </cell>
          <cell r="DH54">
            <v>0.16129032258064524</v>
          </cell>
          <cell r="DJ54">
            <v>-1.8786127167630284E-2</v>
          </cell>
          <cell r="DK54">
            <v>-0.12551953449709041</v>
          </cell>
          <cell r="DL54">
            <v>-8.6543535620052792E-2</v>
          </cell>
          <cell r="DN54">
            <v>5.0579259677875132E-2</v>
          </cell>
          <cell r="DO54">
            <v>-9.3667931135103522E-2</v>
          </cell>
          <cell r="DP54">
            <v>-2.0384725811082194E-2</v>
          </cell>
          <cell r="DR54" t="str">
            <v xml:space="preserve"> 4Q</v>
          </cell>
          <cell r="DS54">
            <v>9.4616639477977049E-2</v>
          </cell>
          <cell r="DT54">
            <v>-7.3107049608355124E-2</v>
          </cell>
          <cell r="DU54">
            <v>-1.4755959137343844E-2</v>
          </cell>
          <cell r="DW54">
            <v>-9.1988130563798287E-2</v>
          </cell>
          <cell r="DX54">
            <v>-0.18738404452690172</v>
          </cell>
          <cell r="DY54">
            <v>-0.15068493150684914</v>
          </cell>
          <cell r="EA54">
            <v>0</v>
          </cell>
          <cell r="EB54">
            <v>-0.21455938697318011</v>
          </cell>
          <cell r="EC54">
            <v>-0.19614711033274956</v>
          </cell>
          <cell r="EE54">
            <v>0.56521739130434789</v>
          </cell>
          <cell r="EF54">
            <v>-0.14861460957178851</v>
          </cell>
          <cell r="EG54">
            <v>-0.10952380952380958</v>
          </cell>
          <cell r="EI54">
            <v>0.11693548387096775</v>
          </cell>
          <cell r="EJ54">
            <v>-0.26190476190476186</v>
          </cell>
          <cell r="EK54">
            <v>6.2068965517241503E-2</v>
          </cell>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A56" t="str">
            <v>Year</v>
          </cell>
          <cell r="B56" t="str">
            <v>NM</v>
          </cell>
          <cell r="C56" t="str">
            <v>NM</v>
          </cell>
          <cell r="D56" t="str">
            <v>NM</v>
          </cell>
          <cell r="F56" t="str">
            <v>NM</v>
          </cell>
          <cell r="G56" t="str">
            <v>NM</v>
          </cell>
          <cell r="H56" t="str">
            <v>NM</v>
          </cell>
          <cell r="J56">
            <v>-0.1688823239783358</v>
          </cell>
          <cell r="K56">
            <v>3.1542631838343826E-2</v>
          </cell>
          <cell r="L56">
            <v>-6.8719211822660164E-2</v>
          </cell>
          <cell r="N56">
            <v>-0.51630434782608714</v>
          </cell>
          <cell r="O56">
            <v>-0.15763945028294268</v>
          </cell>
          <cell r="P56">
            <v>-0.26830631637786473</v>
          </cell>
          <cell r="R56">
            <v>-0.23906705539358608</v>
          </cell>
          <cell r="S56">
            <v>5.1075268817204256E-2</v>
          </cell>
          <cell r="T56">
            <v>-0.20014424810674347</v>
          </cell>
          <cell r="V56">
            <v>0.23914154317833414</v>
          </cell>
          <cell r="W56">
            <v>0.39376770538243644</v>
          </cell>
          <cell r="X56">
            <v>0.26277056277056277</v>
          </cell>
          <cell r="AD56">
            <v>-0.20855978260869557</v>
          </cell>
          <cell r="AE56">
            <v>3.9603960396039417E-2</v>
          </cell>
          <cell r="AF56">
            <v>-0.19262555626191991</v>
          </cell>
          <cell r="AH56" t="str">
            <v>Year</v>
          </cell>
          <cell r="AI56" t="str">
            <v>NM</v>
          </cell>
          <cell r="AJ56">
            <v>-7.8761061946902577E-2</v>
          </cell>
          <cell r="AK56">
            <v>-7.8761061946902577E-2</v>
          </cell>
          <cell r="AM56">
            <v>-0.88311688311688308</v>
          </cell>
          <cell r="AN56">
            <v>0.15508021390374349</v>
          </cell>
          <cell r="AO56">
            <v>-0.58397534668721107</v>
          </cell>
          <cell r="AQ56">
            <v>0.162771285475793</v>
          </cell>
          <cell r="AR56">
            <v>-3.3380347907851493E-2</v>
          </cell>
          <cell r="AS56">
            <v>3.7293233082706712E-2</v>
          </cell>
          <cell r="AU56">
            <v>-1</v>
          </cell>
          <cell r="AV56">
            <v>-1</v>
          </cell>
          <cell r="AW56">
            <v>-1</v>
          </cell>
          <cell r="AY56">
            <v>-0.25126262626262597</v>
          </cell>
          <cell r="AZ56">
            <v>3.838737949167359E-2</v>
          </cell>
          <cell r="BA56">
            <v>-2.4557552476334288E-2</v>
          </cell>
          <cell r="BC56">
            <v>0.85399330874152857</v>
          </cell>
          <cell r="BD56">
            <v>0.10172947662563248</v>
          </cell>
          <cell r="BE56">
            <v>0.45393204273435606</v>
          </cell>
          <cell r="BG56">
            <v>-1</v>
          </cell>
          <cell r="BH56">
            <v>-1</v>
          </cell>
          <cell r="BI56">
            <v>-1</v>
          </cell>
          <cell r="BK56" t="str">
            <v>NM</v>
          </cell>
          <cell r="BL56" t="str">
            <v>NM</v>
          </cell>
          <cell r="BM56" t="str">
            <v>NM</v>
          </cell>
          <cell r="BO56">
            <v>0.83043956974676014</v>
          </cell>
          <cell r="BP56">
            <v>0.10172947662563248</v>
          </cell>
          <cell r="BQ56">
            <v>0.44522516767805809</v>
          </cell>
          <cell r="BS56" t="str">
            <v>Year</v>
          </cell>
          <cell r="BT56">
            <v>0.22249539028887511</v>
          </cell>
          <cell r="BU56">
            <v>-6.2792714657415538E-2</v>
          </cell>
          <cell r="BV56">
            <v>-1.1102230246251565E-16</v>
          </cell>
          <cell r="BX56">
            <v>2.3937963587322919E-2</v>
          </cell>
          <cell r="BY56">
            <v>5.7773109243697496E-2</v>
          </cell>
          <cell r="BZ56">
            <v>3.2159264931087339E-2</v>
          </cell>
          <cell r="CB56">
            <v>-2.6829268292682951E-2</v>
          </cell>
          <cell r="CC56">
            <v>-0.16666666666666674</v>
          </cell>
          <cell r="CD56">
            <v>-0.11524663677130043</v>
          </cell>
          <cell r="CJ56">
            <v>-5.2199850857572727E-3</v>
          </cell>
          <cell r="CK56">
            <v>2.2988505747126409E-2</v>
          </cell>
          <cell r="CL56">
            <v>-6.242197253434334E-4</v>
          </cell>
          <cell r="CN56">
            <v>3.712121212121211E-2</v>
          </cell>
          <cell r="CO56">
            <v>0.26388888888888884</v>
          </cell>
          <cell r="CP56">
            <v>4.8850574712643757E-2</v>
          </cell>
          <cell r="CR56">
            <v>-8.7674714104192808E-2</v>
          </cell>
          <cell r="CS56">
            <v>-2.2204460492503131E-16</v>
          </cell>
          <cell r="CT56">
            <v>-7.8857142857142959E-2</v>
          </cell>
          <cell r="CV56" t="str">
            <v>Year</v>
          </cell>
          <cell r="CX56">
            <v>1.0169491525423568E-2</v>
          </cell>
          <cell r="CY56" t="str">
            <v>NM</v>
          </cell>
          <cell r="CZ56">
            <v>0.28813559322033888</v>
          </cell>
          <cell r="DB56">
            <v>3.7974683544303778E-2</v>
          </cell>
          <cell r="DC56">
            <v>-0.15094339622641506</v>
          </cell>
          <cell r="DD56">
            <v>2.486910994764413E-2</v>
          </cell>
          <cell r="DF56">
            <v>-0.14453125</v>
          </cell>
          <cell r="DG56">
            <v>0.25503355704697972</v>
          </cell>
          <cell r="DH56">
            <v>7.0397111913357291E-2</v>
          </cell>
          <cell r="DJ56">
            <v>-0.10897049969897665</v>
          </cell>
          <cell r="DK56">
            <v>-0.1744393728914464</v>
          </cell>
          <cell r="DL56">
            <v>-0.14842722162420752</v>
          </cell>
          <cell r="DN56">
            <v>1.4962593516207878E-3</v>
          </cell>
          <cell r="DO56">
            <v>-7.7629502080642898E-2</v>
          </cell>
          <cell r="DP56">
            <v>-3.7929431952239634E-2</v>
          </cell>
          <cell r="DR56" t="str">
            <v>Year</v>
          </cell>
          <cell r="DS56">
            <v>5.731343283582091E-2</v>
          </cell>
          <cell r="DT56">
            <v>-3.9558044651681445E-2</v>
          </cell>
          <cell r="DU56">
            <v>-1.0691857465620402E-2</v>
          </cell>
          <cell r="DW56">
            <v>-3.023431594860182E-2</v>
          </cell>
          <cell r="DX56">
            <v>-6.8384539147670842E-2</v>
          </cell>
          <cell r="DY56">
            <v>-5.3277461837773044E-2</v>
          </cell>
          <cell r="EA56">
            <v>-2.9850746268656803E-2</v>
          </cell>
          <cell r="EB56">
            <v>-9.8849372384937295E-2</v>
          </cell>
          <cell r="EC56">
            <v>-9.2285849503076056E-2</v>
          </cell>
          <cell r="EE56">
            <v>0.16216216216216206</v>
          </cell>
          <cell r="EF56">
            <v>-0.11314083677077191</v>
          </cell>
          <cell r="EG56">
            <v>-9.6238938053097356E-2</v>
          </cell>
          <cell r="EI56">
            <v>9.4279661016949401E-2</v>
          </cell>
          <cell r="EJ56">
            <v>-0.18902439024390238</v>
          </cell>
          <cell r="EK56">
            <v>5.2346570397111991E-2</v>
          </cell>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A58" t="str">
            <v>1997</v>
          </cell>
          <cell r="AH58" t="str">
            <v>1997</v>
          </cell>
          <cell r="BS58" t="str">
            <v>1997</v>
          </cell>
          <cell r="CV58" t="str">
            <v>1997</v>
          </cell>
          <cell r="DR58" t="str">
            <v>1997</v>
          </cell>
          <cell r="EM58" t="str">
            <v>1997</v>
          </cell>
        </row>
        <row r="59">
          <cell r="A59" t="str">
            <v xml:space="preserve"> 1Q</v>
          </cell>
          <cell r="B59">
            <v>44.3</v>
          </cell>
          <cell r="C59">
            <v>4.9000000000000004</v>
          </cell>
          <cell r="D59">
            <v>49.199999999999996</v>
          </cell>
          <cell r="F59">
            <v>25.5</v>
          </cell>
          <cell r="G59">
            <v>0</v>
          </cell>
          <cell r="H59">
            <v>25.5</v>
          </cell>
          <cell r="J59">
            <v>54.9</v>
          </cell>
          <cell r="K59">
            <v>51.8</v>
          </cell>
          <cell r="L59">
            <v>106.69999999999999</v>
          </cell>
          <cell r="N59">
            <v>9.1999999999999993</v>
          </cell>
          <cell r="O59">
            <v>26.3</v>
          </cell>
          <cell r="P59">
            <v>35.5</v>
          </cell>
          <cell r="R59">
            <v>58.6</v>
          </cell>
          <cell r="S59">
            <v>8.8000000000000007</v>
          </cell>
          <cell r="T59">
            <v>67.400000000000006</v>
          </cell>
          <cell r="V59">
            <v>61.9</v>
          </cell>
          <cell r="W59">
            <v>10.5</v>
          </cell>
          <cell r="X59">
            <v>72.400000000000006</v>
          </cell>
          <cell r="AD59">
            <v>32.6</v>
          </cell>
          <cell r="AE59">
            <v>2.4</v>
          </cell>
          <cell r="AF59">
            <v>35</v>
          </cell>
          <cell r="AH59" t="str">
            <v xml:space="preserve"> 1Q</v>
          </cell>
          <cell r="AI59">
            <v>0</v>
          </cell>
          <cell r="AJ59">
            <v>30.9</v>
          </cell>
          <cell r="AK59">
            <v>30.9</v>
          </cell>
          <cell r="AM59">
            <v>6.8</v>
          </cell>
          <cell r="AN59">
            <v>5.6</v>
          </cell>
          <cell r="AO59">
            <v>12.399999999999999</v>
          </cell>
          <cell r="AQ59">
            <v>35.700000000000003</v>
          </cell>
          <cell r="AR59">
            <v>55.1</v>
          </cell>
          <cell r="AS59">
            <v>90.800000000000011</v>
          </cell>
          <cell r="AW59">
            <v>0</v>
          </cell>
          <cell r="AY59">
            <v>41.300000000000011</v>
          </cell>
          <cell r="AZ59">
            <v>119.09999999999997</v>
          </cell>
          <cell r="BA59">
            <v>160.39999999999998</v>
          </cell>
          <cell r="BC59">
            <v>370.8</v>
          </cell>
          <cell r="BD59">
            <v>315.39999999999998</v>
          </cell>
          <cell r="BE59">
            <v>686.2</v>
          </cell>
          <cell r="BK59">
            <v>0</v>
          </cell>
          <cell r="BL59">
            <v>0</v>
          </cell>
          <cell r="BM59">
            <v>0</v>
          </cell>
          <cell r="BO59">
            <v>370.8</v>
          </cell>
          <cell r="BP59">
            <v>315.39999999999998</v>
          </cell>
          <cell r="BQ59">
            <v>686.2</v>
          </cell>
          <cell r="BS59" t="str">
            <v xml:space="preserve"> 1Q</v>
          </cell>
          <cell r="BT59">
            <v>36.5</v>
          </cell>
          <cell r="BU59">
            <v>131.4</v>
          </cell>
          <cell r="BV59">
            <v>167.9</v>
          </cell>
          <cell r="BX59">
            <v>74.2</v>
          </cell>
          <cell r="BY59">
            <v>24.1</v>
          </cell>
          <cell r="BZ59">
            <v>98.300000000000011</v>
          </cell>
          <cell r="CB59">
            <v>19.3</v>
          </cell>
          <cell r="CC59">
            <v>33.299999999999997</v>
          </cell>
          <cell r="CD59">
            <v>52.599999999999994</v>
          </cell>
          <cell r="CF59">
            <v>0</v>
          </cell>
          <cell r="CG59">
            <v>0</v>
          </cell>
          <cell r="CH59">
            <v>0</v>
          </cell>
          <cell r="CJ59">
            <v>31.9</v>
          </cell>
          <cell r="CK59">
            <v>9.6999999999999993</v>
          </cell>
          <cell r="CL59">
            <v>41.599999999999994</v>
          </cell>
          <cell r="CN59">
            <v>30.7</v>
          </cell>
          <cell r="CO59">
            <v>2.2000000000000002</v>
          </cell>
          <cell r="CP59">
            <v>32.9</v>
          </cell>
          <cell r="CR59">
            <v>17.100000000000001</v>
          </cell>
          <cell r="CS59">
            <v>2.2000000000000002</v>
          </cell>
          <cell r="CT59">
            <v>19.3</v>
          </cell>
          <cell r="CV59" t="str">
            <v xml:space="preserve"> 1Q</v>
          </cell>
          <cell r="CX59">
            <v>22.4</v>
          </cell>
          <cell r="CY59">
            <v>6.2</v>
          </cell>
          <cell r="CZ59">
            <v>28.599999999999998</v>
          </cell>
          <cell r="DB59">
            <v>18.2</v>
          </cell>
          <cell r="DC59">
            <v>1.1000000000000001</v>
          </cell>
          <cell r="DD59">
            <v>19.3</v>
          </cell>
          <cell r="DF59">
            <v>4.9000000000000004</v>
          </cell>
          <cell r="DG59">
            <v>12.1</v>
          </cell>
          <cell r="DH59">
            <v>17</v>
          </cell>
          <cell r="DJ59">
            <v>73.100000000000009</v>
          </cell>
          <cell r="DK59">
            <v>111.50000000000004</v>
          </cell>
          <cell r="DL59">
            <v>184.60000000000005</v>
          </cell>
          <cell r="DN59">
            <v>328.3</v>
          </cell>
          <cell r="DO59">
            <v>333.8</v>
          </cell>
          <cell r="DP59">
            <v>662.1</v>
          </cell>
          <cell r="DR59" t="str">
            <v xml:space="preserve"> 1Q</v>
          </cell>
          <cell r="DS59">
            <v>23.6</v>
          </cell>
          <cell r="DT59">
            <v>96.6</v>
          </cell>
          <cell r="DU59">
            <v>120.19999999999999</v>
          </cell>
          <cell r="DW59">
            <v>26.9</v>
          </cell>
          <cell r="DX59">
            <v>44.5</v>
          </cell>
          <cell r="DY59">
            <v>71.400000000000006</v>
          </cell>
          <cell r="EA59">
            <v>4.9000000000000004</v>
          </cell>
          <cell r="EB59">
            <v>40.4</v>
          </cell>
          <cell r="EC59">
            <v>45.3</v>
          </cell>
          <cell r="EE59">
            <v>2.9</v>
          </cell>
          <cell r="EF59">
            <v>39.700000000000003</v>
          </cell>
          <cell r="EG59">
            <v>42.6</v>
          </cell>
          <cell r="EI59">
            <v>22.8</v>
          </cell>
          <cell r="EJ59">
            <v>3.2</v>
          </cell>
          <cell r="EK59">
            <v>26</v>
          </cell>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A60" t="str">
            <v xml:space="preserve"> 2Q</v>
          </cell>
          <cell r="B60">
            <v>133.1</v>
          </cell>
          <cell r="C60">
            <v>17.899999999999999</v>
          </cell>
          <cell r="D60">
            <v>151</v>
          </cell>
          <cell r="F60">
            <v>78.900000000000006</v>
          </cell>
          <cell r="G60">
            <v>0</v>
          </cell>
          <cell r="H60">
            <v>78.900000000000006</v>
          </cell>
          <cell r="J60">
            <v>43.3</v>
          </cell>
          <cell r="K60">
            <v>54.7</v>
          </cell>
          <cell r="L60">
            <v>98</v>
          </cell>
          <cell r="N60">
            <v>7.5</v>
          </cell>
          <cell r="O60">
            <v>28.5</v>
          </cell>
          <cell r="P60">
            <v>36</v>
          </cell>
          <cell r="R60">
            <v>40.200000000000003</v>
          </cell>
          <cell r="S60">
            <v>11</v>
          </cell>
          <cell r="T60">
            <v>51.2</v>
          </cell>
          <cell r="V60">
            <v>59.3</v>
          </cell>
          <cell r="W60">
            <v>12</v>
          </cell>
          <cell r="X60">
            <v>71.3</v>
          </cell>
          <cell r="AD60">
            <v>26.2</v>
          </cell>
          <cell r="AE60">
            <v>2.7</v>
          </cell>
          <cell r="AF60">
            <v>28.9</v>
          </cell>
          <cell r="AH60" t="str">
            <v xml:space="preserve"> 2Q</v>
          </cell>
          <cell r="AI60">
            <v>0</v>
          </cell>
          <cell r="AJ60">
            <v>26.3</v>
          </cell>
          <cell r="AK60">
            <v>26.3</v>
          </cell>
          <cell r="AM60">
            <v>0</v>
          </cell>
          <cell r="AN60">
            <v>5.8</v>
          </cell>
          <cell r="AO60">
            <v>5.8</v>
          </cell>
          <cell r="AQ60">
            <v>35.700000000000003</v>
          </cell>
          <cell r="AR60">
            <v>53.5</v>
          </cell>
          <cell r="AS60">
            <v>89.2</v>
          </cell>
          <cell r="AW60">
            <v>0</v>
          </cell>
          <cell r="AY60">
            <v>37.000000000000043</v>
          </cell>
          <cell r="AZ60">
            <v>150.90000000000003</v>
          </cell>
          <cell r="BA60">
            <v>187.90000000000009</v>
          </cell>
          <cell r="BC60">
            <v>461.2</v>
          </cell>
          <cell r="BD60">
            <v>363.3</v>
          </cell>
          <cell r="BE60">
            <v>824.5</v>
          </cell>
          <cell r="BK60">
            <v>0</v>
          </cell>
          <cell r="BL60">
            <v>0</v>
          </cell>
          <cell r="BM60">
            <v>0</v>
          </cell>
          <cell r="BO60">
            <v>461.2</v>
          </cell>
          <cell r="BP60">
            <v>363.3</v>
          </cell>
          <cell r="BQ60">
            <v>824.5</v>
          </cell>
          <cell r="BS60" t="str">
            <v xml:space="preserve"> 2Q</v>
          </cell>
          <cell r="BT60">
            <v>50.1</v>
          </cell>
          <cell r="BU60">
            <v>148</v>
          </cell>
          <cell r="BV60">
            <v>198.1</v>
          </cell>
          <cell r="BX60">
            <v>75.8</v>
          </cell>
          <cell r="BY60">
            <v>27.8</v>
          </cell>
          <cell r="BZ60">
            <v>103.6</v>
          </cell>
          <cell r="CB60">
            <v>20.5</v>
          </cell>
          <cell r="CC60">
            <v>30.9</v>
          </cell>
          <cell r="CD60">
            <v>51.4</v>
          </cell>
          <cell r="CF60">
            <v>0</v>
          </cell>
          <cell r="CG60">
            <v>0</v>
          </cell>
          <cell r="CH60">
            <v>0</v>
          </cell>
          <cell r="CJ60">
            <v>21.4</v>
          </cell>
          <cell r="CK60">
            <v>5</v>
          </cell>
          <cell r="CL60">
            <v>26.4</v>
          </cell>
          <cell r="CN60">
            <v>36.4</v>
          </cell>
          <cell r="CO60">
            <v>3.1</v>
          </cell>
          <cell r="CP60">
            <v>39.5</v>
          </cell>
          <cell r="CR60">
            <v>19.100000000000001</v>
          </cell>
          <cell r="CS60">
            <v>2.4</v>
          </cell>
          <cell r="CT60">
            <v>21.5</v>
          </cell>
          <cell r="CV60" t="str">
            <v xml:space="preserve"> 2Q</v>
          </cell>
          <cell r="CX60">
            <v>18.2</v>
          </cell>
          <cell r="CY60">
            <v>6.3</v>
          </cell>
          <cell r="CZ60">
            <v>24.5</v>
          </cell>
          <cell r="DB60">
            <v>21.9</v>
          </cell>
          <cell r="DC60">
            <v>2</v>
          </cell>
          <cell r="DD60">
            <v>23.9</v>
          </cell>
          <cell r="DF60">
            <v>4.3</v>
          </cell>
          <cell r="DG60">
            <v>5.3</v>
          </cell>
          <cell r="DH60">
            <v>9.6</v>
          </cell>
          <cell r="DJ60">
            <v>74.499999999999957</v>
          </cell>
          <cell r="DK60">
            <v>102.09999999999997</v>
          </cell>
          <cell r="DL60">
            <v>176.59999999999991</v>
          </cell>
          <cell r="DN60">
            <v>342.2</v>
          </cell>
          <cell r="DO60">
            <v>332.9</v>
          </cell>
          <cell r="DP60">
            <v>675.09999999999991</v>
          </cell>
          <cell r="DR60" t="str">
            <v xml:space="preserve"> 2Q</v>
          </cell>
          <cell r="DS60">
            <v>29.4</v>
          </cell>
          <cell r="DT60">
            <v>86.9</v>
          </cell>
          <cell r="DU60">
            <v>116.30000000000001</v>
          </cell>
          <cell r="DW60">
            <v>37.299999999999997</v>
          </cell>
          <cell r="DX60">
            <v>53.2</v>
          </cell>
          <cell r="DY60">
            <v>90.5</v>
          </cell>
          <cell r="EA60">
            <v>5</v>
          </cell>
          <cell r="EB60">
            <v>45.3</v>
          </cell>
          <cell r="EC60">
            <v>50.3</v>
          </cell>
          <cell r="EE60">
            <v>3.4</v>
          </cell>
          <cell r="EF60">
            <v>39.700000000000003</v>
          </cell>
          <cell r="EG60">
            <v>43.1</v>
          </cell>
          <cell r="EI60">
            <v>25.1</v>
          </cell>
          <cell r="EJ60">
            <v>3.8</v>
          </cell>
          <cell r="EK60">
            <v>28.900000000000002</v>
          </cell>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A61" t="str">
            <v xml:space="preserve"> 3Q</v>
          </cell>
          <cell r="B61">
            <v>219.3</v>
          </cell>
          <cell r="C61">
            <v>37.200000000000003</v>
          </cell>
          <cell r="D61">
            <v>256.5</v>
          </cell>
          <cell r="F61">
            <v>136.5</v>
          </cell>
          <cell r="G61">
            <v>0</v>
          </cell>
          <cell r="H61">
            <v>136.5</v>
          </cell>
          <cell r="J61">
            <v>31.9</v>
          </cell>
          <cell r="K61">
            <v>49.2</v>
          </cell>
          <cell r="L61">
            <v>81.099999999999994</v>
          </cell>
          <cell r="N61">
            <v>6.1</v>
          </cell>
          <cell r="O61">
            <v>24.4</v>
          </cell>
          <cell r="P61">
            <v>30.5</v>
          </cell>
          <cell r="R61">
            <v>43.6</v>
          </cell>
          <cell r="S61">
            <v>9.5</v>
          </cell>
          <cell r="T61">
            <v>53.1</v>
          </cell>
          <cell r="V61">
            <v>65.5</v>
          </cell>
          <cell r="W61">
            <v>12.7</v>
          </cell>
          <cell r="X61">
            <v>78.2</v>
          </cell>
          <cell r="AD61">
            <v>35.299999999999997</v>
          </cell>
          <cell r="AE61">
            <v>2.7</v>
          </cell>
          <cell r="AF61">
            <v>38</v>
          </cell>
          <cell r="AH61" t="str">
            <v xml:space="preserve"> 3Q</v>
          </cell>
          <cell r="AI61">
            <v>0</v>
          </cell>
          <cell r="AJ61">
            <v>23.1</v>
          </cell>
          <cell r="AK61">
            <v>23.1</v>
          </cell>
          <cell r="AM61">
            <v>0</v>
          </cell>
          <cell r="AN61">
            <v>5.3</v>
          </cell>
          <cell r="AO61">
            <v>5.3</v>
          </cell>
          <cell r="AQ61">
            <v>33.6</v>
          </cell>
          <cell r="AR61">
            <v>47.3</v>
          </cell>
          <cell r="AS61">
            <v>80.900000000000006</v>
          </cell>
          <cell r="AW61">
            <v>0</v>
          </cell>
          <cell r="AY61">
            <v>13.099999999999973</v>
          </cell>
          <cell r="AZ61">
            <v>151.80000000000001</v>
          </cell>
          <cell r="BA61">
            <v>164.89999999999998</v>
          </cell>
          <cell r="BC61">
            <v>584.9</v>
          </cell>
          <cell r="BD61">
            <v>363.2</v>
          </cell>
          <cell r="BE61">
            <v>948.09999999999991</v>
          </cell>
          <cell r="BK61">
            <v>0</v>
          </cell>
          <cell r="BL61">
            <v>0</v>
          </cell>
          <cell r="BM61">
            <v>0</v>
          </cell>
          <cell r="BO61">
            <v>584.9</v>
          </cell>
          <cell r="BP61">
            <v>363.2</v>
          </cell>
          <cell r="BQ61">
            <v>948.09999999999991</v>
          </cell>
          <cell r="BS61" t="str">
            <v xml:space="preserve"> 3Q</v>
          </cell>
          <cell r="BT61">
            <v>52.2</v>
          </cell>
          <cell r="BU61">
            <v>132.19999999999999</v>
          </cell>
          <cell r="BV61">
            <v>184.39999999999998</v>
          </cell>
          <cell r="BX61">
            <v>71.599999999999994</v>
          </cell>
          <cell r="BY61">
            <v>25.5</v>
          </cell>
          <cell r="BZ61">
            <v>97.1</v>
          </cell>
          <cell r="CB61">
            <v>20.100000000000001</v>
          </cell>
          <cell r="CC61">
            <v>27.8</v>
          </cell>
          <cell r="CD61">
            <v>47.900000000000006</v>
          </cell>
          <cell r="CF61">
            <v>0</v>
          </cell>
          <cell r="CG61">
            <v>0</v>
          </cell>
          <cell r="CH61">
            <v>0</v>
          </cell>
          <cell r="CJ61">
            <v>35.299999999999997</v>
          </cell>
          <cell r="CK61">
            <v>5.9</v>
          </cell>
          <cell r="CL61">
            <v>41.199999999999996</v>
          </cell>
          <cell r="CN61">
            <v>39.9</v>
          </cell>
          <cell r="CO61">
            <v>2.1</v>
          </cell>
          <cell r="CP61">
            <v>42</v>
          </cell>
          <cell r="CR61">
            <v>17.2</v>
          </cell>
          <cell r="CS61">
            <v>2.2999999999999998</v>
          </cell>
          <cell r="CT61">
            <v>19.5</v>
          </cell>
          <cell r="CV61" t="str">
            <v xml:space="preserve"> 3Q</v>
          </cell>
          <cell r="CX61">
            <v>20.6</v>
          </cell>
          <cell r="CY61">
            <v>6.2</v>
          </cell>
          <cell r="CZ61">
            <v>26.8</v>
          </cell>
          <cell r="DB61">
            <v>19.7</v>
          </cell>
          <cell r="DC61">
            <v>0.6</v>
          </cell>
          <cell r="DD61">
            <v>20.3</v>
          </cell>
          <cell r="DF61">
            <v>6.2</v>
          </cell>
          <cell r="DG61">
            <v>8.5</v>
          </cell>
          <cell r="DH61">
            <v>14.7</v>
          </cell>
          <cell r="DJ61">
            <v>80.5</v>
          </cell>
          <cell r="DK61">
            <v>97.200000000000031</v>
          </cell>
          <cell r="DL61">
            <v>177.70000000000005</v>
          </cell>
          <cell r="DN61">
            <v>363.3</v>
          </cell>
          <cell r="DO61">
            <v>308.3</v>
          </cell>
          <cell r="DP61">
            <v>671.6</v>
          </cell>
          <cell r="DR61" t="str">
            <v xml:space="preserve"> 3Q</v>
          </cell>
          <cell r="DS61">
            <v>57</v>
          </cell>
          <cell r="DT61">
            <v>89</v>
          </cell>
          <cell r="DU61">
            <v>146</v>
          </cell>
          <cell r="DW61">
            <v>33.5</v>
          </cell>
          <cell r="DX61">
            <v>46.5</v>
          </cell>
          <cell r="DY61">
            <v>80</v>
          </cell>
          <cell r="EA61">
            <v>4.7</v>
          </cell>
          <cell r="EB61">
            <v>45.6</v>
          </cell>
          <cell r="EC61">
            <v>50.300000000000004</v>
          </cell>
          <cell r="EE61">
            <v>3</v>
          </cell>
          <cell r="EF61">
            <v>37.299999999999997</v>
          </cell>
          <cell r="EG61">
            <v>40.299999999999997</v>
          </cell>
          <cell r="EI61">
            <v>27.7</v>
          </cell>
          <cell r="EJ61">
            <v>3.2</v>
          </cell>
          <cell r="EK61">
            <v>30.9</v>
          </cell>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A62" t="str">
            <v xml:space="preserve"> 4Q</v>
          </cell>
          <cell r="B62">
            <v>345.7</v>
          </cell>
          <cell r="C62">
            <v>62.8</v>
          </cell>
          <cell r="D62">
            <v>408.5</v>
          </cell>
          <cell r="F62">
            <v>177.4</v>
          </cell>
          <cell r="G62">
            <v>0</v>
          </cell>
          <cell r="H62">
            <v>177.4</v>
          </cell>
          <cell r="J62">
            <v>38.700000000000003</v>
          </cell>
          <cell r="K62">
            <v>53.6</v>
          </cell>
          <cell r="L62">
            <v>92.300000000000011</v>
          </cell>
          <cell r="N62">
            <v>3.9</v>
          </cell>
          <cell r="O62">
            <v>25</v>
          </cell>
          <cell r="P62">
            <v>28.9</v>
          </cell>
          <cell r="R62">
            <v>40.299999999999997</v>
          </cell>
          <cell r="S62">
            <v>9.8000000000000007</v>
          </cell>
          <cell r="T62">
            <v>50.099999999999994</v>
          </cell>
          <cell r="V62">
            <v>55.8</v>
          </cell>
          <cell r="W62">
            <v>14</v>
          </cell>
          <cell r="X62">
            <v>69.8</v>
          </cell>
          <cell r="AD62">
            <v>22.4</v>
          </cell>
          <cell r="AE62">
            <v>2.7</v>
          </cell>
          <cell r="AF62">
            <v>25.099999999999998</v>
          </cell>
          <cell r="AH62" t="str">
            <v xml:space="preserve"> 4Q</v>
          </cell>
          <cell r="AI62">
            <v>0</v>
          </cell>
          <cell r="AJ62">
            <v>23.8</v>
          </cell>
          <cell r="AK62">
            <v>23.8</v>
          </cell>
          <cell r="AM62">
            <v>-1.4</v>
          </cell>
          <cell r="AN62">
            <v>4.9000000000000004</v>
          </cell>
          <cell r="AO62">
            <v>3.5000000000000004</v>
          </cell>
          <cell r="AQ62">
            <v>34.299999999999997</v>
          </cell>
          <cell r="AR62">
            <v>49.7</v>
          </cell>
          <cell r="AS62">
            <v>84</v>
          </cell>
          <cell r="AW62">
            <v>0</v>
          </cell>
          <cell r="AY62">
            <v>27.19999999999996</v>
          </cell>
          <cell r="AZ62">
            <v>170.59999999999991</v>
          </cell>
          <cell r="BA62">
            <v>197.79999999999987</v>
          </cell>
          <cell r="BC62">
            <v>744.3</v>
          </cell>
          <cell r="BD62">
            <v>416.9</v>
          </cell>
          <cell r="BE62">
            <v>1161.1999999999998</v>
          </cell>
          <cell r="BK62">
            <v>0</v>
          </cell>
          <cell r="BL62">
            <v>0</v>
          </cell>
          <cell r="BM62">
            <v>0</v>
          </cell>
          <cell r="BO62">
            <v>744.3</v>
          </cell>
          <cell r="BP62">
            <v>416.9</v>
          </cell>
          <cell r="BQ62">
            <v>1161.1999999999998</v>
          </cell>
          <cell r="BS62" t="str">
            <v xml:space="preserve"> 4Q</v>
          </cell>
          <cell r="BT62">
            <v>60.1</v>
          </cell>
          <cell r="BU62">
            <v>128.69999999999999</v>
          </cell>
          <cell r="BV62">
            <v>188.79999999999998</v>
          </cell>
          <cell r="BX62">
            <v>82.1</v>
          </cell>
          <cell r="BY62">
            <v>23.3</v>
          </cell>
          <cell r="BZ62">
            <v>105.39999999999999</v>
          </cell>
          <cell r="CB62">
            <v>19.899999999999999</v>
          </cell>
          <cell r="CC62">
            <v>25.5</v>
          </cell>
          <cell r="CD62">
            <v>45.4</v>
          </cell>
          <cell r="CF62">
            <v>0</v>
          </cell>
          <cell r="CG62">
            <v>0</v>
          </cell>
          <cell r="CH62">
            <v>0</v>
          </cell>
          <cell r="CJ62">
            <v>44.8</v>
          </cell>
          <cell r="CK62">
            <v>6.1</v>
          </cell>
          <cell r="CL62">
            <v>50.9</v>
          </cell>
          <cell r="CN62">
            <v>29.9</v>
          </cell>
          <cell r="CO62">
            <v>1.7</v>
          </cell>
          <cell r="CP62">
            <v>31.599999999999998</v>
          </cell>
          <cell r="CR62">
            <v>18.399999999999999</v>
          </cell>
          <cell r="CS62">
            <v>1.9</v>
          </cell>
          <cell r="CT62">
            <v>20.299999999999997</v>
          </cell>
          <cell r="CV62" t="str">
            <v xml:space="preserve"> 4Q</v>
          </cell>
          <cell r="CX62">
            <v>28.2</v>
          </cell>
          <cell r="CY62">
            <v>5.9</v>
          </cell>
          <cell r="CZ62">
            <v>34.1</v>
          </cell>
          <cell r="DB62">
            <v>14</v>
          </cell>
          <cell r="DC62">
            <v>0.8</v>
          </cell>
          <cell r="DD62">
            <v>14.8</v>
          </cell>
          <cell r="DF62">
            <v>6.5</v>
          </cell>
          <cell r="DG62">
            <v>11.5</v>
          </cell>
          <cell r="DH62">
            <v>18</v>
          </cell>
          <cell r="DJ62">
            <v>67.899999999999963</v>
          </cell>
          <cell r="DK62">
            <v>105.20000000000002</v>
          </cell>
          <cell r="DL62">
            <v>173.09999999999997</v>
          </cell>
          <cell r="DN62">
            <v>371.8</v>
          </cell>
          <cell r="DO62">
            <v>310.60000000000002</v>
          </cell>
          <cell r="DP62">
            <v>682.40000000000009</v>
          </cell>
          <cell r="DR62" t="str">
            <v xml:space="preserve"> 4Q</v>
          </cell>
          <cell r="DS62">
            <v>67.099999999999994</v>
          </cell>
          <cell r="DT62">
            <v>106.5</v>
          </cell>
          <cell r="DU62">
            <v>173.6</v>
          </cell>
          <cell r="DW62">
            <v>30.6</v>
          </cell>
          <cell r="DX62">
            <v>43.8</v>
          </cell>
          <cell r="DY62">
            <v>74.400000000000006</v>
          </cell>
          <cell r="EA62">
            <v>4.9000000000000004</v>
          </cell>
          <cell r="EB62">
            <v>41</v>
          </cell>
          <cell r="EC62">
            <v>45.9</v>
          </cell>
          <cell r="EE62">
            <v>3.6</v>
          </cell>
          <cell r="EF62">
            <v>33.799999999999997</v>
          </cell>
          <cell r="EG62">
            <v>37.4</v>
          </cell>
          <cell r="EI62">
            <v>27.7</v>
          </cell>
          <cell r="EJ62">
            <v>3.1</v>
          </cell>
          <cell r="EK62">
            <v>30.8</v>
          </cell>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A64" t="str">
            <v>Year</v>
          </cell>
          <cell r="B64">
            <v>742.4</v>
          </cell>
          <cell r="C64">
            <v>122.8</v>
          </cell>
          <cell r="D64">
            <v>865.2</v>
          </cell>
          <cell r="F64">
            <v>418.3</v>
          </cell>
          <cell r="G64">
            <v>0</v>
          </cell>
          <cell r="H64">
            <v>418.3</v>
          </cell>
          <cell r="J64">
            <v>168.8</v>
          </cell>
          <cell r="K64">
            <v>209.29999999999998</v>
          </cell>
          <cell r="L64">
            <v>378.09999999999997</v>
          </cell>
          <cell r="N64">
            <v>26.699999999999996</v>
          </cell>
          <cell r="O64">
            <v>104.19999999999999</v>
          </cell>
          <cell r="P64">
            <v>130.9</v>
          </cell>
          <cell r="R64">
            <v>182.7</v>
          </cell>
          <cell r="S64">
            <v>39.1</v>
          </cell>
          <cell r="T64">
            <v>221.8</v>
          </cell>
          <cell r="V64">
            <v>242.5</v>
          </cell>
          <cell r="W64">
            <v>49.2</v>
          </cell>
          <cell r="X64">
            <v>291.7</v>
          </cell>
          <cell r="AD64">
            <v>116.5</v>
          </cell>
          <cell r="AE64">
            <v>10.5</v>
          </cell>
          <cell r="AF64">
            <v>127</v>
          </cell>
          <cell r="AH64" t="str">
            <v>Year</v>
          </cell>
          <cell r="AI64">
            <v>0</v>
          </cell>
          <cell r="AJ64">
            <v>104.10000000000001</v>
          </cell>
          <cell r="AK64">
            <v>104.10000000000001</v>
          </cell>
          <cell r="AM64">
            <v>5.4</v>
          </cell>
          <cell r="AN64">
            <v>21.6</v>
          </cell>
          <cell r="AO64">
            <v>27</v>
          </cell>
          <cell r="AQ64">
            <v>139.30000000000001</v>
          </cell>
          <cell r="AR64">
            <v>205.59999999999997</v>
          </cell>
          <cell r="AS64">
            <v>344.9</v>
          </cell>
          <cell r="AU64">
            <v>0</v>
          </cell>
          <cell r="AV64">
            <v>0</v>
          </cell>
          <cell r="AW64">
            <v>0</v>
          </cell>
          <cell r="AY64">
            <v>118.6</v>
          </cell>
          <cell r="AZ64">
            <v>592.39999999999986</v>
          </cell>
          <cell r="BA64">
            <v>710.99999999999989</v>
          </cell>
          <cell r="BC64">
            <v>2161.1999999999998</v>
          </cell>
          <cell r="BD64">
            <v>1458.8000000000002</v>
          </cell>
          <cell r="BE64">
            <v>3620</v>
          </cell>
          <cell r="BK64">
            <v>0</v>
          </cell>
          <cell r="BL64">
            <v>0</v>
          </cell>
          <cell r="BM64">
            <v>0</v>
          </cell>
          <cell r="BO64">
            <v>2161.1999999999998</v>
          </cell>
          <cell r="BP64">
            <v>1458.8000000000002</v>
          </cell>
          <cell r="BQ64">
            <v>3620</v>
          </cell>
          <cell r="BS64" t="str">
            <v>Year</v>
          </cell>
          <cell r="BT64">
            <v>198.9</v>
          </cell>
          <cell r="BU64">
            <v>540.29999999999995</v>
          </cell>
          <cell r="BV64">
            <v>739.19999999999993</v>
          </cell>
          <cell r="BX64">
            <v>303.7</v>
          </cell>
          <cell r="BY64">
            <v>100.7</v>
          </cell>
          <cell r="BZ64">
            <v>404.4</v>
          </cell>
          <cell r="CB64">
            <v>79.8</v>
          </cell>
          <cell r="CC64">
            <v>117.49999999999999</v>
          </cell>
          <cell r="CD64">
            <v>197.3</v>
          </cell>
          <cell r="CF64">
            <v>0</v>
          </cell>
          <cell r="CG64">
            <v>0</v>
          </cell>
          <cell r="CH64">
            <v>0</v>
          </cell>
          <cell r="CJ64">
            <v>133.39999999999998</v>
          </cell>
          <cell r="CK64">
            <v>26.700000000000003</v>
          </cell>
          <cell r="CL64">
            <v>160.1</v>
          </cell>
          <cell r="CN64">
            <v>136.9</v>
          </cell>
          <cell r="CO64">
            <v>9.1</v>
          </cell>
          <cell r="CP64">
            <v>146</v>
          </cell>
          <cell r="CR64">
            <v>71.800000000000011</v>
          </cell>
          <cell r="CS64">
            <v>8.7999999999999989</v>
          </cell>
          <cell r="CT64">
            <v>80.599999999999994</v>
          </cell>
          <cell r="CV64" t="str">
            <v>Year</v>
          </cell>
          <cell r="CX64">
            <v>89.399999999999991</v>
          </cell>
          <cell r="CY64">
            <v>24.6</v>
          </cell>
          <cell r="CZ64">
            <v>114</v>
          </cell>
          <cell r="DB64">
            <v>73.8</v>
          </cell>
          <cell r="DC64">
            <v>4.5</v>
          </cell>
          <cell r="DD64">
            <v>78.3</v>
          </cell>
          <cell r="DF64">
            <v>21.9</v>
          </cell>
          <cell r="DG64">
            <v>37.4</v>
          </cell>
          <cell r="DH64">
            <v>59.3</v>
          </cell>
          <cell r="DJ64">
            <v>295.99999999999994</v>
          </cell>
          <cell r="DK64">
            <v>416.00000000000011</v>
          </cell>
          <cell r="DL64">
            <v>712</v>
          </cell>
          <cell r="DN64">
            <v>1405.6</v>
          </cell>
          <cell r="DO64">
            <v>1285.5999999999999</v>
          </cell>
          <cell r="DP64">
            <v>2691.2</v>
          </cell>
          <cell r="DR64" t="str">
            <v>Year</v>
          </cell>
          <cell r="DS64">
            <v>177.1</v>
          </cell>
          <cell r="DT64">
            <v>379</v>
          </cell>
          <cell r="DU64">
            <v>556.1</v>
          </cell>
          <cell r="DW64">
            <v>128.29999999999998</v>
          </cell>
          <cell r="DX64">
            <v>188</v>
          </cell>
          <cell r="DY64">
            <v>316.3</v>
          </cell>
          <cell r="EA64">
            <v>19.5</v>
          </cell>
          <cell r="EB64">
            <v>172.29999999999998</v>
          </cell>
          <cell r="EC64">
            <v>191.8</v>
          </cell>
          <cell r="EE64">
            <v>12.9</v>
          </cell>
          <cell r="EF64">
            <v>150.5</v>
          </cell>
          <cell r="EG64">
            <v>163.4</v>
          </cell>
          <cell r="EI64">
            <v>103.30000000000001</v>
          </cell>
          <cell r="EJ64">
            <v>13.299999999999999</v>
          </cell>
          <cell r="EK64">
            <v>116.60000000000001</v>
          </cell>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A66" t="str">
            <v>1998/97 % Change</v>
          </cell>
          <cell r="AH66" t="str">
            <v>1998/97 % Change</v>
          </cell>
          <cell r="BS66" t="str">
            <v>1998/97 % Change</v>
          </cell>
          <cell r="CV66" t="str">
            <v>1998/97 % Change</v>
          </cell>
          <cell r="DR66" t="str">
            <v>1998/97 % Change</v>
          </cell>
          <cell r="EM66" t="str">
            <v>1998/97 % Change</v>
          </cell>
        </row>
        <row r="67">
          <cell r="A67" t="str">
            <v xml:space="preserve"> 1Q</v>
          </cell>
          <cell r="B67" t="str">
            <v>NM</v>
          </cell>
          <cell r="C67" t="str">
            <v>NM</v>
          </cell>
          <cell r="D67" t="str">
            <v>NM</v>
          </cell>
          <cell r="F67" t="str">
            <v>NM</v>
          </cell>
          <cell r="G67" t="str">
            <v>NM</v>
          </cell>
          <cell r="H67" t="str">
            <v>NM</v>
          </cell>
          <cell r="I67" t="e">
            <v>#DIV/0!</v>
          </cell>
          <cell r="J67">
            <v>-0.14571948998178508</v>
          </cell>
          <cell r="K67">
            <v>-3.8610038610037423E-3</v>
          </cell>
          <cell r="L67">
            <v>-7.6850984067478811E-2</v>
          </cell>
          <cell r="M67" t="e">
            <v>#DIV/0!</v>
          </cell>
          <cell r="N67">
            <v>-0.17391304347826086</v>
          </cell>
          <cell r="O67">
            <v>-0.23193916349809895</v>
          </cell>
          <cell r="P67">
            <v>-0.21690140845070427</v>
          </cell>
          <cell r="R67">
            <v>-1.3651877133105894E-2</v>
          </cell>
          <cell r="S67">
            <v>-6.8181818181818343E-2</v>
          </cell>
          <cell r="T67">
            <v>-2.0771513353115778E-2</v>
          </cell>
          <cell r="U67" t="e">
            <v>#DIV/0!</v>
          </cell>
          <cell r="V67">
            <v>0.31663974151857843</v>
          </cell>
          <cell r="W67">
            <v>0.37142857142857144</v>
          </cell>
          <cell r="X67">
            <v>0.32458563535911589</v>
          </cell>
          <cell r="AD67">
            <v>-0.24233128834355833</v>
          </cell>
          <cell r="AE67">
            <v>4.1666666666666741E-2</v>
          </cell>
          <cell r="AF67">
            <v>-0.22285714285714286</v>
          </cell>
          <cell r="AH67" t="str">
            <v xml:space="preserve"> 1Q</v>
          </cell>
          <cell r="AI67" t="str">
            <v>NM</v>
          </cell>
          <cell r="AJ67">
            <v>-0.34951456310679607</v>
          </cell>
          <cell r="AK67">
            <v>-0.34627831715210344</v>
          </cell>
          <cell r="AM67" t="str">
            <v>NM</v>
          </cell>
          <cell r="AN67">
            <v>-0.12499999999999989</v>
          </cell>
          <cell r="AO67">
            <v>-0.65322580645161277</v>
          </cell>
          <cell r="AQ67">
            <v>0.19607843137254899</v>
          </cell>
          <cell r="AR67">
            <v>-6.7150635208711451E-2</v>
          </cell>
          <cell r="AS67">
            <v>3.6343612334801545E-2</v>
          </cell>
          <cell r="AT67" t="e">
            <v>#DIV/0!</v>
          </cell>
          <cell r="AU67" t="str">
            <v xml:space="preserve"> </v>
          </cell>
          <cell r="AV67" t="str">
            <v xml:space="preserve"> </v>
          </cell>
          <cell r="AW67" t="str">
            <v xml:space="preserve"> </v>
          </cell>
          <cell r="AX67" t="e">
            <v>#DIV/0!</v>
          </cell>
          <cell r="AY67">
            <v>-0.45520581113801539</v>
          </cell>
          <cell r="AZ67">
            <v>0.27623845507976497</v>
          </cell>
          <cell r="BA67">
            <v>8.7905236907730444E-2</v>
          </cell>
          <cell r="BC67">
            <v>1.1672060409924487</v>
          </cell>
          <cell r="BD67">
            <v>0.37254280279010787</v>
          </cell>
          <cell r="BE67">
            <v>0.80195278344505971</v>
          </cell>
          <cell r="BK67" t="str">
            <v>NM</v>
          </cell>
          <cell r="BL67" t="str">
            <v>NM</v>
          </cell>
          <cell r="BM67" t="str">
            <v>NM</v>
          </cell>
          <cell r="BO67">
            <v>1.1672060409924487</v>
          </cell>
          <cell r="BP67">
            <v>0.37254280279010787</v>
          </cell>
          <cell r="BQ67">
            <v>0.80195278344505971</v>
          </cell>
          <cell r="BS67" t="str">
            <v xml:space="preserve"> 1Q</v>
          </cell>
          <cell r="BT67">
            <v>0.40000000000000013</v>
          </cell>
          <cell r="BU67">
            <v>-0.11491628614916294</v>
          </cell>
          <cell r="BV67">
            <v>-2.9779630732579276E-3</v>
          </cell>
          <cell r="BX67">
            <v>0.11590296495956864</v>
          </cell>
          <cell r="BY67">
            <v>-8.7136929460580936E-2</v>
          </cell>
          <cell r="BZ67">
            <v>6.6124109867751635E-2</v>
          </cell>
          <cell r="CB67">
            <v>6.7357512953367893E-2</v>
          </cell>
          <cell r="CC67">
            <v>-0.15915915915915912</v>
          </cell>
          <cell r="CD67">
            <v>-7.6045627376425728E-2</v>
          </cell>
          <cell r="CF67" t="str">
            <v>NM</v>
          </cell>
          <cell r="CG67" t="str">
            <v>NM</v>
          </cell>
          <cell r="CH67" t="str">
            <v>NM</v>
          </cell>
          <cell r="CI67" t="e">
            <v>#DIV/0!</v>
          </cell>
          <cell r="CJ67">
            <v>0.1849529780564263</v>
          </cell>
          <cell r="CK67">
            <v>-0.37113402061855671</v>
          </cell>
          <cell r="CL67">
            <v>5.5288461538461675E-2</v>
          </cell>
          <cell r="CN67">
            <v>0.17589576547231278</v>
          </cell>
          <cell r="CO67">
            <v>0.31818181818181812</v>
          </cell>
          <cell r="CP67">
            <v>0.18541033434650456</v>
          </cell>
          <cell r="CR67">
            <v>-2.3391812865497186E-2</v>
          </cell>
          <cell r="CS67">
            <v>-4.5454545454545525E-2</v>
          </cell>
          <cell r="CT67">
            <v>-2.5906735751295318E-2</v>
          </cell>
          <cell r="CV67" t="str">
            <v xml:space="preserve"> 1Q</v>
          </cell>
          <cell r="CX67">
            <v>-0.1383928571428571</v>
          </cell>
          <cell r="CY67" t="str">
            <v>NM</v>
          </cell>
          <cell r="CZ67">
            <v>-9.0909090909090828E-2</v>
          </cell>
          <cell r="DB67">
            <v>6.0439560439560447E-2</v>
          </cell>
          <cell r="DC67">
            <v>0.27272727272727249</v>
          </cell>
          <cell r="DD67">
            <v>7.2538860103626757E-2</v>
          </cell>
          <cell r="DF67">
            <v>2.0408163265306145E-2</v>
          </cell>
          <cell r="DG67">
            <v>-0.14876033057851235</v>
          </cell>
          <cell r="DH67">
            <v>-9.9999999999999978E-2</v>
          </cell>
          <cell r="DJ67">
            <v>-0.10123119015047921</v>
          </cell>
          <cell r="DK67">
            <v>-0.10941704035874467</v>
          </cell>
          <cell r="DL67">
            <v>-0.1061755146262191</v>
          </cell>
          <cell r="DN67">
            <v>7.9500456899177507E-2</v>
          </cell>
          <cell r="DO67">
            <v>-0.1159376872378669</v>
          </cell>
          <cell r="DP67">
            <v>-1.9030357951971055E-2</v>
          </cell>
          <cell r="DR67" t="str">
            <v xml:space="preserve"> 1Q</v>
          </cell>
          <cell r="DS67">
            <v>0.21610169491525411</v>
          </cell>
          <cell r="DT67">
            <v>-0.11283643892339534</v>
          </cell>
          <cell r="DU67">
            <v>-4.8252911813643773E-2</v>
          </cell>
          <cell r="DW67">
            <v>0.24535315985130124</v>
          </cell>
          <cell r="DX67">
            <v>-1.1235955056179803E-2</v>
          </cell>
          <cell r="DY67">
            <v>8.5434173669467706E-2</v>
          </cell>
          <cell r="EA67">
            <v>6.1224489795918435E-2</v>
          </cell>
          <cell r="EB67">
            <v>-6.683168316831678E-2</v>
          </cell>
          <cell r="EC67">
            <v>-5.2980132450330952E-2</v>
          </cell>
          <cell r="EE67">
            <v>0.58620689655172398</v>
          </cell>
          <cell r="EF67">
            <v>-0.12594458438287148</v>
          </cell>
          <cell r="EG67">
            <v>-7.7464788732394263E-2</v>
          </cell>
          <cell r="EI67">
            <v>0.2192982456140351</v>
          </cell>
          <cell r="EJ67">
            <v>-3.125E-2</v>
          </cell>
          <cell r="EK67">
            <v>0.18846153846153846</v>
          </cell>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A68" t="str">
            <v xml:space="preserve"> 2Q</v>
          </cell>
          <cell r="B68" t="str">
            <v>NM</v>
          </cell>
          <cell r="C68" t="str">
            <v>NM</v>
          </cell>
          <cell r="D68" t="str">
            <v>NM</v>
          </cell>
          <cell r="F68" t="str">
            <v>NM</v>
          </cell>
          <cell r="G68" t="str">
            <v>NM</v>
          </cell>
          <cell r="H68" t="str">
            <v>NM</v>
          </cell>
          <cell r="I68" t="e">
            <v>#DIV/0!</v>
          </cell>
          <cell r="J68">
            <v>0.49653579676674364</v>
          </cell>
          <cell r="K68">
            <v>-1.8281535648995151E-3</v>
          </cell>
          <cell r="L68">
            <v>0.21836734693877546</v>
          </cell>
          <cell r="M68" t="e">
            <v>#DIV/0!</v>
          </cell>
          <cell r="N68">
            <v>-0.30666666666666664</v>
          </cell>
          <cell r="O68">
            <v>-0.3543859649122808</v>
          </cell>
          <cell r="P68">
            <v>-0.34444444444444455</v>
          </cell>
          <cell r="R68">
            <v>0.27114427860696511</v>
          </cell>
          <cell r="S68">
            <v>-0.26363636363636367</v>
          </cell>
          <cell r="T68">
            <v>0.15625</v>
          </cell>
          <cell r="U68" t="e">
            <v>#DIV/0!</v>
          </cell>
          <cell r="V68">
            <v>0.76559865092748747</v>
          </cell>
          <cell r="W68">
            <v>0.41666666666666674</v>
          </cell>
          <cell r="X68">
            <v>0.70687237026647987</v>
          </cell>
          <cell r="AD68">
            <v>0.10305343511450382</v>
          </cell>
          <cell r="AE68">
            <v>-7.4074074074074181E-2</v>
          </cell>
          <cell r="AF68">
            <v>8.6505190311418678E-2</v>
          </cell>
          <cell r="AH68" t="str">
            <v xml:space="preserve"> 2Q</v>
          </cell>
          <cell r="AI68" t="str">
            <v>NM</v>
          </cell>
          <cell r="AJ68">
            <v>-0.1901140684410646</v>
          </cell>
          <cell r="AK68">
            <v>-0.1901140684410646</v>
          </cell>
          <cell r="AM68" t="str">
            <v>NM</v>
          </cell>
          <cell r="AN68">
            <v>-0.55172413793103448</v>
          </cell>
          <cell r="AO68">
            <v>-0.44827586206896552</v>
          </cell>
          <cell r="AQ68">
            <v>0.16246498599439763</v>
          </cell>
          <cell r="AR68">
            <v>-6.1682242990654168E-2</v>
          </cell>
          <cell r="AS68">
            <v>2.8026905829596327E-2</v>
          </cell>
          <cell r="AT68" t="e">
            <v>#DIV/0!</v>
          </cell>
          <cell r="AU68" t="str">
            <v xml:space="preserve"> </v>
          </cell>
          <cell r="AV68" t="str">
            <v xml:space="preserve"> </v>
          </cell>
          <cell r="AW68" t="str">
            <v xml:space="preserve"> </v>
          </cell>
          <cell r="AX68" t="str">
            <v xml:space="preserve"> </v>
          </cell>
          <cell r="AY68">
            <v>-0.14054054054054044</v>
          </cell>
          <cell r="AZ68">
            <v>-3.9761431411532433E-3</v>
          </cell>
          <cell r="BA68">
            <v>-3.0867482703565874E-2</v>
          </cell>
          <cell r="BC68">
            <v>1.3146140503035562</v>
          </cell>
          <cell r="BD68">
            <v>0.2967244701348748</v>
          </cell>
          <cell r="BE68">
            <v>0.8661006670709519</v>
          </cell>
          <cell r="BK68" t="str">
            <v>NM</v>
          </cell>
          <cell r="BL68" t="str">
            <v>NM</v>
          </cell>
          <cell r="BM68" t="str">
            <v>NM</v>
          </cell>
          <cell r="BO68">
            <v>1.3146140503035562</v>
          </cell>
          <cell r="BP68">
            <v>0.2967244701348748</v>
          </cell>
          <cell r="BQ68">
            <v>0.8661006670709519</v>
          </cell>
          <cell r="BS68" t="str">
            <v xml:space="preserve"> 2Q</v>
          </cell>
          <cell r="BT68">
            <v>0.2534930139720557</v>
          </cell>
          <cell r="BU68">
            <v>-0.10000000000000009</v>
          </cell>
          <cell r="BV68">
            <v>-1.0600706713780883E-2</v>
          </cell>
          <cell r="BX68">
            <v>5.0131926121371961E-2</v>
          </cell>
          <cell r="BY68">
            <v>-0.12589928057553956</v>
          </cell>
          <cell r="BZ68">
            <v>2.8957528957529455E-3</v>
          </cell>
          <cell r="CB68">
            <v>-4.8780487804879202E-3</v>
          </cell>
          <cell r="CC68">
            <v>-7.1197411003236177E-2</v>
          </cell>
          <cell r="CD68">
            <v>-4.474708171206232E-2</v>
          </cell>
          <cell r="CF68" t="str">
            <v>NM</v>
          </cell>
          <cell r="CG68" t="str">
            <v>NM</v>
          </cell>
          <cell r="CH68" t="str">
            <v>NM</v>
          </cell>
          <cell r="CI68" t="e">
            <v>#DIV/0!</v>
          </cell>
          <cell r="CJ68">
            <v>7.0093457943925186E-2</v>
          </cell>
          <cell r="CK68">
            <v>0.24</v>
          </cell>
          <cell r="CL68">
            <v>0.10227272727272729</v>
          </cell>
          <cell r="CN68">
            <v>3.0219780219780334E-2</v>
          </cell>
          <cell r="CO68">
            <v>0.45161290322580649</v>
          </cell>
          <cell r="CP68">
            <v>6.3291139240506222E-2</v>
          </cell>
          <cell r="CR68">
            <v>1.5706806282722363E-2</v>
          </cell>
          <cell r="CS68">
            <v>-0.20833333333333337</v>
          </cell>
          <cell r="CT68">
            <v>-9.302325581395432E-3</v>
          </cell>
          <cell r="CV68" t="str">
            <v xml:space="preserve"> 2Q</v>
          </cell>
          <cell r="CX68">
            <v>0.12637362637362637</v>
          </cell>
          <cell r="CY68" t="str">
            <v>NM</v>
          </cell>
          <cell r="CZ68">
            <v>7.3469387755102034E-2</v>
          </cell>
          <cell r="DB68">
            <v>5.4794520547945424E-2</v>
          </cell>
          <cell r="DC68">
            <v>-0.19999999999999996</v>
          </cell>
          <cell r="DD68">
            <v>3.3472803347280422E-2</v>
          </cell>
          <cell r="DF68">
            <v>0.13953488372093026</v>
          </cell>
          <cell r="DG68">
            <v>5.6603773584905648E-2</v>
          </cell>
          <cell r="DH68">
            <v>9.375E-2</v>
          </cell>
          <cell r="DJ68">
            <v>-2.2818791946308759E-2</v>
          </cell>
          <cell r="DK68">
            <v>-1.9588638589617902E-2</v>
          </cell>
          <cell r="DL68">
            <v>-2.0951302378255932E-2</v>
          </cell>
          <cell r="DN68">
            <v>6.34132086499124E-2</v>
          </cell>
          <cell r="DO68">
            <v>-6.3082006608591201E-2</v>
          </cell>
          <cell r="DP68">
            <v>1.0368834246778924E-3</v>
          </cell>
          <cell r="DR68" t="str">
            <v xml:space="preserve"> 2Q</v>
          </cell>
          <cell r="DS68">
            <v>-0.14285714285714279</v>
          </cell>
          <cell r="DT68">
            <v>-1.3808975834292303E-2</v>
          </cell>
          <cell r="DU68">
            <v>-4.6431642304385234E-2</v>
          </cell>
          <cell r="DW68">
            <v>2.4128686327077986E-2</v>
          </cell>
          <cell r="DX68">
            <v>-0.11842105263157898</v>
          </cell>
          <cell r="DY68">
            <v>-5.9668508287292865E-2</v>
          </cell>
          <cell r="EA68">
            <v>0</v>
          </cell>
          <cell r="EB68">
            <v>6.6225165562914245E-3</v>
          </cell>
          <cell r="EC68">
            <v>5.9642147117298094E-3</v>
          </cell>
          <cell r="EE68">
            <v>0.35294117647058809</v>
          </cell>
          <cell r="EF68">
            <v>-0.11838790931989929</v>
          </cell>
          <cell r="EG68">
            <v>-8.120649651972156E-2</v>
          </cell>
          <cell r="EI68">
            <v>0.17529880478087634</v>
          </cell>
          <cell r="EJ68">
            <v>-0.10526315789473684</v>
          </cell>
          <cell r="EK68">
            <v>0.1384083044982698</v>
          </cell>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A69" t="str">
            <v xml:space="preserve"> 3Q</v>
          </cell>
          <cell r="B69">
            <v>0.94664842681258521</v>
          </cell>
          <cell r="C69">
            <v>2.8198924731182791</v>
          </cell>
          <cell r="D69">
            <v>1.2183235867446394</v>
          </cell>
          <cell r="F69">
            <v>0.32527472527472523</v>
          </cell>
          <cell r="G69" t="str">
            <v>NM</v>
          </cell>
          <cell r="H69">
            <v>0.32673992673992669</v>
          </cell>
          <cell r="J69">
            <v>1.0062695924764893</v>
          </cell>
          <cell r="K69">
            <v>0.13821138211382111</v>
          </cell>
          <cell r="L69">
            <v>0.47965474722564738</v>
          </cell>
          <cell r="N69">
            <v>9.8360655737705027E-2</v>
          </cell>
          <cell r="O69">
            <v>-0.2786885245901638</v>
          </cell>
          <cell r="P69">
            <v>-0.20327868852459019</v>
          </cell>
          <cell r="R69">
            <v>0.30504587155963292</v>
          </cell>
          <cell r="S69">
            <v>-0.13684210526315799</v>
          </cell>
          <cell r="T69">
            <v>0.22598870056497167</v>
          </cell>
          <cell r="V69">
            <v>0.72061068702290076</v>
          </cell>
          <cell r="W69">
            <v>0.51968503937007893</v>
          </cell>
          <cell r="X69">
            <v>0.68797953964194369</v>
          </cell>
          <cell r="AD69">
            <v>-0.31444759206798867</v>
          </cell>
          <cell r="AE69">
            <v>-7.4074074074074181E-2</v>
          </cell>
          <cell r="AF69">
            <v>-0.29736842105263162</v>
          </cell>
          <cell r="AH69" t="str">
            <v xml:space="preserve"> 3Q</v>
          </cell>
          <cell r="AI69" t="str">
            <v>NM</v>
          </cell>
          <cell r="AJ69">
            <v>-0.1558441558441559</v>
          </cell>
          <cell r="AK69">
            <v>-0.1558441558441559</v>
          </cell>
          <cell r="AM69" t="str">
            <v>NM</v>
          </cell>
          <cell r="AN69">
            <v>-0.58490566037735836</v>
          </cell>
          <cell r="AO69">
            <v>-0.50943396226415083</v>
          </cell>
          <cell r="AQ69">
            <v>0.16071428571428559</v>
          </cell>
          <cell r="AR69">
            <v>-1.0570824524312905E-2</v>
          </cell>
          <cell r="AS69">
            <v>6.0568603213844163E-2</v>
          </cell>
          <cell r="AU69" t="str">
            <v xml:space="preserve"> </v>
          </cell>
          <cell r="AV69" t="str">
            <v xml:space="preserve"> </v>
          </cell>
          <cell r="AW69" t="str">
            <v xml:space="preserve"> </v>
          </cell>
          <cell r="AY69">
            <v>1.3740458015267252</v>
          </cell>
          <cell r="AZ69">
            <v>-6.0606060606060885E-2</v>
          </cell>
          <cell r="BA69">
            <v>5.3365676167374199E-2</v>
          </cell>
          <cell r="BC69">
            <v>0.79996580612070445</v>
          </cell>
          <cell r="BD69">
            <v>0.32433920704845809</v>
          </cell>
          <cell r="BE69">
            <v>0.61776183946841057</v>
          </cell>
          <cell r="BK69" t="str">
            <v>NM</v>
          </cell>
          <cell r="BL69" t="str">
            <v>NM</v>
          </cell>
          <cell r="BM69" t="str">
            <v>NM</v>
          </cell>
          <cell r="BO69">
            <v>0.79996580612070445</v>
          </cell>
          <cell r="BP69">
            <v>0.32433920704845809</v>
          </cell>
          <cell r="BQ69">
            <v>0.61776183946841057</v>
          </cell>
          <cell r="BS69" t="str">
            <v xml:space="preserve"> 3Q</v>
          </cell>
          <cell r="BT69">
            <v>0.14367816091954033</v>
          </cell>
          <cell r="BU69">
            <v>5.2950075642965722E-3</v>
          </cell>
          <cell r="BV69">
            <v>4.4468546637744355E-2</v>
          </cell>
          <cell r="BX69">
            <v>0.13128491620111737</v>
          </cell>
          <cell r="BY69">
            <v>4.3137254901960853E-2</v>
          </cell>
          <cell r="BZ69">
            <v>0.10813594232749746</v>
          </cell>
          <cell r="CB69">
            <v>4.9751243781094523E-2</v>
          </cell>
          <cell r="CC69">
            <v>-9.3525179856115193E-2</v>
          </cell>
          <cell r="CD69">
            <v>-3.3402922755741304E-2</v>
          </cell>
          <cell r="CF69" t="str">
            <v>NM</v>
          </cell>
          <cell r="CG69" t="str">
            <v>NM</v>
          </cell>
          <cell r="CH69" t="str">
            <v>NM</v>
          </cell>
          <cell r="CJ69">
            <v>8.4985835694051381E-3</v>
          </cell>
          <cell r="CK69">
            <v>0.13559322033898291</v>
          </cell>
          <cell r="CL69">
            <v>2.6699029126213691E-2</v>
          </cell>
          <cell r="CN69">
            <v>2.7568922305764465E-2</v>
          </cell>
          <cell r="CO69">
            <v>0.28571428571428581</v>
          </cell>
          <cell r="CP69">
            <v>4.0476190476190554E-2</v>
          </cell>
          <cell r="CR69">
            <v>-7.5581395348837122E-2</v>
          </cell>
          <cell r="CS69">
            <v>-0.13043478260869557</v>
          </cell>
          <cell r="CT69">
            <v>-8.2051282051282093E-2</v>
          </cell>
          <cell r="CV69" t="str">
            <v xml:space="preserve"> 3Q</v>
          </cell>
          <cell r="CX69">
            <v>-7.2815533980582492E-2</v>
          </cell>
          <cell r="CY69" t="str">
            <v>NM</v>
          </cell>
          <cell r="CZ69">
            <v>-3.7313432835820448E-3</v>
          </cell>
          <cell r="DB69">
            <v>2.5380710659898442E-2</v>
          </cell>
          <cell r="DC69">
            <v>0.5</v>
          </cell>
          <cell r="DD69">
            <v>3.9408866995073843E-2</v>
          </cell>
          <cell r="DF69">
            <v>-0.19354838709677424</v>
          </cell>
          <cell r="DG69">
            <v>4.705882352941182E-2</v>
          </cell>
          <cell r="DH69">
            <v>-5.4421768707482943E-2</v>
          </cell>
          <cell r="DJ69">
            <v>-1.2422360248446673E-2</v>
          </cell>
          <cell r="DK69">
            <v>1.2345679012345068E-2</v>
          </cell>
          <cell r="DL69">
            <v>1.1254924029260316E-3</v>
          </cell>
          <cell r="DN69">
            <v>4.0737682356179583E-2</v>
          </cell>
          <cell r="DO69">
            <v>1.1676938047356256E-2</v>
          </cell>
          <cell r="DP69">
            <v>2.739726027397249E-2</v>
          </cell>
          <cell r="DR69" t="str">
            <v xml:space="preserve"> 3Q</v>
          </cell>
          <cell r="DS69">
            <v>-0.21052631578947367</v>
          </cell>
          <cell r="DT69">
            <v>-1.0112359550561889E-2</v>
          </cell>
          <cell r="DU69">
            <v>-8.8356164383561642E-2</v>
          </cell>
          <cell r="DW69">
            <v>0</v>
          </cell>
          <cell r="DX69">
            <v>-5.8064516129032295E-2</v>
          </cell>
          <cell r="DY69">
            <v>-3.3750000000000058E-2</v>
          </cell>
          <cell r="EA69">
            <v>-4.2553191489361764E-2</v>
          </cell>
          <cell r="EB69">
            <v>-5.9210526315789491E-2</v>
          </cell>
          <cell r="EC69">
            <v>-5.7654075546719752E-2</v>
          </cell>
          <cell r="EE69">
            <v>0.43333333333333335</v>
          </cell>
          <cell r="EF69">
            <v>-8.8471849865951691E-2</v>
          </cell>
          <cell r="EG69">
            <v>-4.9627791563275458E-2</v>
          </cell>
          <cell r="EI69">
            <v>-0.11913357400722024</v>
          </cell>
          <cell r="EJ69">
            <v>-3.125E-2</v>
          </cell>
          <cell r="EK69">
            <v>-0.11003236245954684</v>
          </cell>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A70" t="str">
            <v xml:space="preserve"> 4Q</v>
          </cell>
          <cell r="B70">
            <v>0.50564072895574208</v>
          </cell>
          <cell r="C70">
            <v>1.9363057324840764</v>
          </cell>
          <cell r="D70">
            <v>0.72558139534883725</v>
          </cell>
          <cell r="F70">
            <v>0.13641488162344984</v>
          </cell>
          <cell r="G70" t="str">
            <v>NM</v>
          </cell>
          <cell r="H70">
            <v>0.14261555806087922</v>
          </cell>
          <cell r="J70">
            <v>0.52713178294573626</v>
          </cell>
          <cell r="K70">
            <v>6.5298507462686617E-2</v>
          </cell>
          <cell r="L70">
            <v>0.25893824485373762</v>
          </cell>
          <cell r="N70">
            <v>0.89743589743589758</v>
          </cell>
          <cell r="O70">
            <v>-0.31200000000000006</v>
          </cell>
          <cell r="P70">
            <v>-0.14878892733564009</v>
          </cell>
          <cell r="R70">
            <v>0.96526054590570731</v>
          </cell>
          <cell r="S70">
            <v>-0.10204081632653061</v>
          </cell>
          <cell r="T70">
            <v>0.75648702594810402</v>
          </cell>
          <cell r="V70">
            <v>1.5770609318996418</v>
          </cell>
          <cell r="W70">
            <v>0.47142857142857153</v>
          </cell>
          <cell r="X70">
            <v>1.355300859598854</v>
          </cell>
          <cell r="AD70">
            <v>0.90625000000000022</v>
          </cell>
          <cell r="AE70">
            <v>-0.40740740740740744</v>
          </cell>
          <cell r="AF70">
            <v>0.76494023904382491</v>
          </cell>
          <cell r="AH70" t="str">
            <v xml:space="preserve"> 4Q</v>
          </cell>
          <cell r="AI70" t="str">
            <v>NM</v>
          </cell>
          <cell r="AJ70">
            <v>-1.6806722689075682E-2</v>
          </cell>
          <cell r="AK70">
            <v>-8.4033613445378963E-3</v>
          </cell>
          <cell r="AM70" t="str">
            <v>NM</v>
          </cell>
          <cell r="AN70">
            <v>-0.63265306122448983</v>
          </cell>
          <cell r="AO70">
            <v>-0.4285714285714286</v>
          </cell>
          <cell r="AQ70">
            <v>0.20991253644314889</v>
          </cell>
          <cell r="AR70">
            <v>7.444668008048283E-2</v>
          </cell>
          <cell r="AS70">
            <v>0.12976190476190474</v>
          </cell>
          <cell r="AU70" t="str">
            <v xml:space="preserve"> </v>
          </cell>
          <cell r="AV70" t="str">
            <v xml:space="preserve"> </v>
          </cell>
          <cell r="AW70" t="str">
            <v xml:space="preserve"> </v>
          </cell>
          <cell r="AY70">
            <v>3.5527136788005009E-15</v>
          </cell>
          <cell r="AZ70">
            <v>2.110199296600257E-2</v>
          </cell>
          <cell r="BA70">
            <v>1.8200202224470052E-2</v>
          </cell>
          <cell r="BC70">
            <v>0.67728066639795803</v>
          </cell>
          <cell r="BD70">
            <v>0.38306548332933565</v>
          </cell>
          <cell r="BE70">
            <v>0.57165001722356212</v>
          </cell>
          <cell r="BK70" t="str">
            <v>NM</v>
          </cell>
          <cell r="BL70" t="str">
            <v>NM</v>
          </cell>
          <cell r="BM70" t="str">
            <v>NM</v>
          </cell>
          <cell r="BO70">
            <v>0.67728066639795803</v>
          </cell>
          <cell r="BP70">
            <v>0.38306548332933565</v>
          </cell>
          <cell r="BQ70">
            <v>0.57165001722356212</v>
          </cell>
          <cell r="BS70" t="str">
            <v xml:space="preserve"> 4Q</v>
          </cell>
          <cell r="BT70">
            <v>-0.12479201331114809</v>
          </cell>
          <cell r="BU70">
            <v>5.8275058275058189E-2</v>
          </cell>
          <cell r="BV70">
            <v>0</v>
          </cell>
          <cell r="BX70">
            <v>5.602923264311821E-2</v>
          </cell>
          <cell r="BY70">
            <v>0.15879828326180245</v>
          </cell>
          <cell r="BZ70">
            <v>7.8747628083491561E-2</v>
          </cell>
          <cell r="CB70">
            <v>1.0050251256281451E-2</v>
          </cell>
          <cell r="CC70">
            <v>0.1333333333333333</v>
          </cell>
          <cell r="CD70">
            <v>7.9295154185021977E-2</v>
          </cell>
          <cell r="CF70" t="str">
            <v>NM</v>
          </cell>
          <cell r="CG70" t="str">
            <v>NM</v>
          </cell>
          <cell r="CH70" t="str">
            <v>NM</v>
          </cell>
          <cell r="CJ70">
            <v>4.9107142857143016E-2</v>
          </cell>
          <cell r="CK70">
            <v>0.18032786885245922</v>
          </cell>
          <cell r="CL70">
            <v>6.4833005893909723E-2</v>
          </cell>
          <cell r="CN70">
            <v>5.0167224080267525E-2</v>
          </cell>
          <cell r="CO70">
            <v>-0.23529411764705876</v>
          </cell>
          <cell r="CP70">
            <v>3.4810126582278444E-2</v>
          </cell>
          <cell r="CR70">
            <v>0.14130434782608714</v>
          </cell>
          <cell r="CS70">
            <v>-5.2631578947368363E-2</v>
          </cell>
          <cell r="CT70">
            <v>0.12315270935960609</v>
          </cell>
          <cell r="CV70" t="str">
            <v xml:space="preserve"> 4Q</v>
          </cell>
          <cell r="CX70">
            <v>-1.4184397163120477E-2</v>
          </cell>
          <cell r="CY70" t="str">
            <v>NM</v>
          </cell>
          <cell r="CZ70">
            <v>0</v>
          </cell>
          <cell r="DB70">
            <v>7.8571428571428514E-2</v>
          </cell>
          <cell r="DC70">
            <v>0.375</v>
          </cell>
          <cell r="DD70">
            <v>9.4594594594594517E-2</v>
          </cell>
          <cell r="DF70">
            <v>-9.2307692307692202E-2</v>
          </cell>
          <cell r="DG70">
            <v>8.6956521739130377E-2</v>
          </cell>
          <cell r="DH70">
            <v>2.2222222222222143E-2</v>
          </cell>
          <cell r="DJ70">
            <v>4.1237113402062375E-2</v>
          </cell>
          <cell r="DK70">
            <v>7.6045627376428726E-3</v>
          </cell>
          <cell r="DL70">
            <v>2.0797227036395638E-2</v>
          </cell>
          <cell r="DN70">
            <v>1.7482517482517501E-2</v>
          </cell>
          <cell r="DO70">
            <v>5.6986477784932266E-2</v>
          </cell>
          <cell r="DP70">
            <v>3.546307151230943E-2</v>
          </cell>
          <cell r="DR70" t="str">
            <v xml:space="preserve"> 4Q</v>
          </cell>
          <cell r="DS70">
            <v>-6.2593144560357583E-2</v>
          </cell>
          <cell r="DT70">
            <v>-7.6056338028168913E-2</v>
          </cell>
          <cell r="DU70">
            <v>-7.0852534562211855E-2</v>
          </cell>
          <cell r="DW70">
            <v>0.29411764705882359</v>
          </cell>
          <cell r="DX70">
            <v>4.5662100456621113E-2</v>
          </cell>
          <cell r="DY70">
            <v>0.14784946236559149</v>
          </cell>
          <cell r="EA70">
            <v>-2.0408163265306256E-2</v>
          </cell>
          <cell r="EB70">
            <v>5.6097560975609584E-2</v>
          </cell>
          <cell r="EC70">
            <v>4.7930283224400849E-2</v>
          </cell>
          <cell r="EE70">
            <v>0.27777777777777768</v>
          </cell>
          <cell r="EF70">
            <v>-0.13609467455621294</v>
          </cell>
          <cell r="EG70">
            <v>-9.6256684491978661E-2</v>
          </cell>
          <cell r="EI70">
            <v>5.7761732851985714E-2</v>
          </cell>
          <cell r="EJ70">
            <v>-0.16129032258064513</v>
          </cell>
          <cell r="EK70">
            <v>3.5714285714285809E-2</v>
          </cell>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A72" t="str">
            <v>Year</v>
          </cell>
          <cell r="B72">
            <v>1.21484375</v>
          </cell>
          <cell r="C72">
            <v>3.3998371335504887</v>
          </cell>
          <cell r="D72">
            <v>1.5249653259361993</v>
          </cell>
          <cell r="F72" t="str">
            <v>NM</v>
          </cell>
          <cell r="G72" t="str">
            <v>NM</v>
          </cell>
          <cell r="H72" t="str">
            <v>NM</v>
          </cell>
          <cell r="J72">
            <v>0.39099526066350698</v>
          </cell>
          <cell r="K72">
            <v>4.7778308647873802E-2</v>
          </cell>
          <cell r="L72">
            <v>0.20100502512562812</v>
          </cell>
          <cell r="N72">
            <v>7.4906367041198685E-3</v>
          </cell>
          <cell r="O72">
            <v>-0.29558541266794625</v>
          </cell>
          <cell r="P72">
            <v>-0.23376623376623396</v>
          </cell>
          <cell r="R72">
            <v>0.34099616858237547</v>
          </cell>
          <cell r="S72">
            <v>-0.1483375959079285</v>
          </cell>
          <cell r="T72">
            <v>0.25473399458972046</v>
          </cell>
          <cell r="V72">
            <v>0.82556701030927826</v>
          </cell>
          <cell r="W72">
            <v>0.44918699186991895</v>
          </cell>
          <cell r="X72">
            <v>0.76208433321906077</v>
          </cell>
          <cell r="AD72">
            <v>3.4334763948497882E-2</v>
          </cell>
          <cell r="AE72">
            <v>-0.13333333333333341</v>
          </cell>
          <cell r="AF72">
            <v>2.0472440944881765E-2</v>
          </cell>
          <cell r="AH72" t="str">
            <v>Year</v>
          </cell>
          <cell r="AI72" t="str">
            <v>NM</v>
          </cell>
          <cell r="AJ72">
            <v>-0.19020172910662825</v>
          </cell>
          <cell r="AK72">
            <v>-0.18731988472622485</v>
          </cell>
          <cell r="AM72" t="str">
            <v>NM</v>
          </cell>
          <cell r="AN72">
            <v>-0.46759259259259267</v>
          </cell>
          <cell r="AO72">
            <v>-0.55185185185185182</v>
          </cell>
          <cell r="AQ72">
            <v>0.18234027279253384</v>
          </cell>
          <cell r="AR72">
            <v>-1.8482490272373475E-2</v>
          </cell>
          <cell r="AS72">
            <v>6.2626848361844178E-2</v>
          </cell>
          <cell r="AU72" t="str">
            <v xml:space="preserve"> </v>
          </cell>
          <cell r="AV72" t="str">
            <v xml:space="preserve"> </v>
          </cell>
          <cell r="AW72" t="str">
            <v xml:space="preserve"> </v>
          </cell>
          <cell r="AY72">
            <v>-5.0590219224282307E-2</v>
          </cell>
          <cell r="AZ72">
            <v>4.5070898041863705E-2</v>
          </cell>
          <cell r="BA72">
            <v>2.9113924050633067E-2</v>
          </cell>
          <cell r="BC72">
            <v>0.93054784379048661</v>
          </cell>
          <cell r="BD72">
            <v>0.34466684946531378</v>
          </cell>
          <cell r="BE72">
            <v>0.69444751381215464</v>
          </cell>
          <cell r="BK72" t="str">
            <v>NM</v>
          </cell>
          <cell r="BL72" t="str">
            <v>NM</v>
          </cell>
          <cell r="BM72" t="str">
            <v>NM</v>
          </cell>
          <cell r="BO72">
            <v>0.93054784379048661</v>
          </cell>
          <cell r="BP72">
            <v>0.34466684946531378</v>
          </cell>
          <cell r="BQ72">
            <v>0.69444751381215464</v>
          </cell>
          <cell r="BS72" t="str">
            <v>Year</v>
          </cell>
          <cell r="BT72">
            <v>0.13725490196078427</v>
          </cell>
          <cell r="BU72">
            <v>-4.0162872478252898E-2</v>
          </cell>
          <cell r="BV72">
            <v>7.575757575757569E-3</v>
          </cell>
          <cell r="BX72">
            <v>8.6927889364504463E-2</v>
          </cell>
          <cell r="BY72">
            <v>-7.9443892750744594E-3</v>
          </cell>
          <cell r="BZ72">
            <v>6.33036597428287E-2</v>
          </cell>
          <cell r="CB72">
            <v>3.007518796992481E-2</v>
          </cell>
          <cell r="CC72">
            <v>-5.7021276595744519E-2</v>
          </cell>
          <cell r="CD72">
            <v>-2.1794221996959018E-2</v>
          </cell>
          <cell r="CF72" t="str">
            <v>NM</v>
          </cell>
          <cell r="CG72" t="str">
            <v>NM</v>
          </cell>
          <cell r="CH72" t="str">
            <v>NM</v>
          </cell>
          <cell r="CJ72">
            <v>7.421289355322358E-2</v>
          </cell>
          <cell r="CK72">
            <v>-1.8726591760299782E-2</v>
          </cell>
          <cell r="CL72">
            <v>5.8713304184884407E-2</v>
          </cell>
          <cell r="CN72">
            <v>6.6471877282687997E-2</v>
          </cell>
          <cell r="CO72">
            <v>0.25274725274725296</v>
          </cell>
          <cell r="CP72">
            <v>7.8082191780821875E-2</v>
          </cell>
          <cell r="CR72">
            <v>1.6713091922005319E-2</v>
          </cell>
          <cell r="CS72">
            <v>-0.11363636363636354</v>
          </cell>
          <cell r="CT72">
            <v>2.4813895781639062E-3</v>
          </cell>
          <cell r="CV72" t="str">
            <v>Year</v>
          </cell>
          <cell r="CX72">
            <v>-3.0201342281879096E-2</v>
          </cell>
          <cell r="CY72" t="str">
            <v>NM</v>
          </cell>
          <cell r="CZ72">
            <v>-7.8947368421052877E-3</v>
          </cell>
          <cell r="DB72">
            <v>5.2845528455284674E-2</v>
          </cell>
          <cell r="DC72">
            <v>0.11111111111111116</v>
          </cell>
          <cell r="DD72">
            <v>5.6194125159642505E-2</v>
          </cell>
          <cell r="DF72">
            <v>-5.0228310502283047E-2</v>
          </cell>
          <cell r="DG72">
            <v>-2.673796791443861E-3</v>
          </cell>
          <cell r="DH72">
            <v>-2.02360876897133E-2</v>
          </cell>
          <cell r="DJ72">
            <v>-2.4662162162161994E-2</v>
          </cell>
          <cell r="DK72">
            <v>-2.9326923076923306E-2</v>
          </cell>
          <cell r="DL72">
            <v>-2.73876404494382E-2</v>
          </cell>
          <cell r="DN72">
            <v>4.916050085372814E-2</v>
          </cell>
          <cell r="DO72">
            <v>-2.9869321717485908E-2</v>
          </cell>
          <cell r="DP72">
            <v>1.1407550535077471E-2</v>
          </cell>
          <cell r="DR72" t="str">
            <v>Year</v>
          </cell>
          <cell r="DS72">
            <v>-8.6391869000564614E-2</v>
          </cell>
          <cell r="DT72">
            <v>-5.5672823218997469E-2</v>
          </cell>
          <cell r="DU72">
            <v>-6.5455853263801433E-2</v>
          </cell>
          <cell r="DW72">
            <v>0.12860483242400655</v>
          </cell>
          <cell r="DX72">
            <v>-3.9893617021276584E-2</v>
          </cell>
          <cell r="DY72">
            <v>2.8453999367688665E-2</v>
          </cell>
          <cell r="EA72">
            <v>0</v>
          </cell>
          <cell r="EB72">
            <v>-1.6250725478815897E-2</v>
          </cell>
          <cell r="EC72">
            <v>-1.4598540145985495E-2</v>
          </cell>
          <cell r="EE72">
            <v>0.4031007751937985</v>
          </cell>
          <cell r="EF72">
            <v>-0.11694352159468435</v>
          </cell>
          <cell r="EG72">
            <v>-7.5887392900856776E-2</v>
          </cell>
          <cell r="EI72">
            <v>7.4540174249757785E-2</v>
          </cell>
          <cell r="EJ72">
            <v>-8.2706766917293173E-2</v>
          </cell>
          <cell r="EK72">
            <v>5.6603773584905648E-2</v>
          </cell>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A74" t="str">
            <v>1998</v>
          </cell>
          <cell r="AH74" t="str">
            <v>1998</v>
          </cell>
          <cell r="BS74" t="str">
            <v>1998</v>
          </cell>
          <cell r="CV74" t="str">
            <v>1998</v>
          </cell>
          <cell r="CW74">
            <v>0</v>
          </cell>
          <cell r="DR74" t="str">
            <v>1998</v>
          </cell>
          <cell r="EM74" t="str">
            <v>1998</v>
          </cell>
        </row>
        <row r="75">
          <cell r="A75" t="str">
            <v xml:space="preserve"> 1Q</v>
          </cell>
          <cell r="B75">
            <v>289.5</v>
          </cell>
          <cell r="C75">
            <v>88.4</v>
          </cell>
          <cell r="D75">
            <v>377.9</v>
          </cell>
          <cell r="F75">
            <v>138.1</v>
          </cell>
          <cell r="G75">
            <v>0</v>
          </cell>
          <cell r="H75">
            <v>138.1</v>
          </cell>
          <cell r="J75">
            <v>46.9</v>
          </cell>
          <cell r="K75">
            <v>51.6</v>
          </cell>
          <cell r="L75">
            <v>98.5</v>
          </cell>
          <cell r="N75">
            <v>7.6</v>
          </cell>
          <cell r="O75">
            <v>20.2</v>
          </cell>
          <cell r="P75">
            <v>27.799999999999997</v>
          </cell>
          <cell r="R75">
            <v>57.8</v>
          </cell>
          <cell r="S75">
            <v>8.1999999999999993</v>
          </cell>
          <cell r="T75">
            <v>66</v>
          </cell>
          <cell r="V75">
            <v>81.5</v>
          </cell>
          <cell r="W75">
            <v>14.4</v>
          </cell>
          <cell r="X75">
            <v>95.9</v>
          </cell>
          <cell r="Z75">
            <v>92.800000000000011</v>
          </cell>
          <cell r="AA75">
            <v>19.200000000000003</v>
          </cell>
          <cell r="AB75">
            <v>112.00000000000001</v>
          </cell>
          <cell r="AD75">
            <v>24.7</v>
          </cell>
          <cell r="AE75">
            <v>2.5</v>
          </cell>
          <cell r="AF75">
            <v>27.2</v>
          </cell>
          <cell r="AH75" t="str">
            <v xml:space="preserve"> 1Q</v>
          </cell>
          <cell r="AI75">
            <v>0.1</v>
          </cell>
          <cell r="AJ75">
            <v>20.100000000000001</v>
          </cell>
          <cell r="AK75">
            <v>20.200000000000003</v>
          </cell>
          <cell r="AM75">
            <v>-0.6</v>
          </cell>
          <cell r="AN75">
            <v>4.9000000000000004</v>
          </cell>
          <cell r="AO75">
            <v>4.3000000000000007</v>
          </cell>
          <cell r="AQ75">
            <v>42.7</v>
          </cell>
          <cell r="AR75">
            <v>51.4</v>
          </cell>
          <cell r="AS75">
            <v>94.1</v>
          </cell>
          <cell r="AY75">
            <v>22.499999999999972</v>
          </cell>
          <cell r="AZ75">
            <v>151.99999999999997</v>
          </cell>
          <cell r="BA75">
            <v>174.49999999999994</v>
          </cell>
          <cell r="BC75">
            <v>803.6</v>
          </cell>
          <cell r="BD75">
            <v>432.9</v>
          </cell>
          <cell r="BE75">
            <v>1236.5</v>
          </cell>
          <cell r="BG75">
            <v>803.60000000000014</v>
          </cell>
          <cell r="BH75">
            <v>432.9</v>
          </cell>
          <cell r="BK75">
            <v>0</v>
          </cell>
          <cell r="BL75">
            <v>0</v>
          </cell>
          <cell r="BM75">
            <v>0</v>
          </cell>
          <cell r="BO75">
            <v>803.6</v>
          </cell>
          <cell r="BP75">
            <v>432.9</v>
          </cell>
          <cell r="BQ75">
            <v>1236.5</v>
          </cell>
          <cell r="BS75" t="str">
            <v xml:space="preserve"> 1Q</v>
          </cell>
          <cell r="BT75">
            <v>51.1</v>
          </cell>
          <cell r="BU75">
            <v>116.3</v>
          </cell>
          <cell r="BV75">
            <v>167.4</v>
          </cell>
          <cell r="BX75">
            <v>82.8</v>
          </cell>
          <cell r="BY75">
            <v>22</v>
          </cell>
          <cell r="BZ75">
            <v>104.8</v>
          </cell>
          <cell r="CB75">
            <v>20.6</v>
          </cell>
          <cell r="CC75">
            <v>28</v>
          </cell>
          <cell r="CD75">
            <v>48.6</v>
          </cell>
          <cell r="CF75">
            <v>0</v>
          </cell>
          <cell r="CG75">
            <v>0</v>
          </cell>
          <cell r="CH75">
            <v>0</v>
          </cell>
          <cell r="CJ75">
            <v>37.799999999999997</v>
          </cell>
          <cell r="CK75">
            <v>6.1</v>
          </cell>
          <cell r="CL75">
            <v>43.9</v>
          </cell>
          <cell r="CN75">
            <v>36.1</v>
          </cell>
          <cell r="CO75">
            <v>2.9</v>
          </cell>
          <cell r="CP75">
            <v>39</v>
          </cell>
          <cell r="CR75">
            <v>16.7</v>
          </cell>
          <cell r="CS75">
            <v>2.1</v>
          </cell>
          <cell r="CT75">
            <v>18.8</v>
          </cell>
          <cell r="CV75" t="str">
            <v xml:space="preserve"> 1Q</v>
          </cell>
          <cell r="CX75">
            <v>19.3</v>
          </cell>
          <cell r="CY75">
            <v>6.7</v>
          </cell>
          <cell r="CZ75">
            <v>26</v>
          </cell>
          <cell r="DB75">
            <v>19.3</v>
          </cell>
          <cell r="DC75">
            <v>1.4</v>
          </cell>
          <cell r="DD75">
            <v>20.7</v>
          </cell>
          <cell r="DF75">
            <v>5</v>
          </cell>
          <cell r="DG75">
            <v>10.3</v>
          </cell>
          <cell r="DH75">
            <v>15.3</v>
          </cell>
          <cell r="DJ75">
            <v>65.699999999999974</v>
          </cell>
          <cell r="DK75">
            <v>99.300000000000011</v>
          </cell>
          <cell r="DL75">
            <v>165</v>
          </cell>
          <cell r="DN75">
            <v>354.4</v>
          </cell>
          <cell r="DO75">
            <v>295.10000000000002</v>
          </cell>
          <cell r="DP75">
            <v>649.5</v>
          </cell>
          <cell r="DR75" t="str">
            <v xml:space="preserve"> 1Q</v>
          </cell>
          <cell r="DS75">
            <v>28.7</v>
          </cell>
          <cell r="DT75">
            <v>85.7</v>
          </cell>
          <cell r="DU75">
            <v>114.4</v>
          </cell>
          <cell r="DW75">
            <v>33.5</v>
          </cell>
          <cell r="DX75">
            <v>44</v>
          </cell>
          <cell r="DY75">
            <v>77.5</v>
          </cell>
          <cell r="EA75">
            <v>5.2</v>
          </cell>
          <cell r="EB75">
            <v>37.700000000000003</v>
          </cell>
          <cell r="EC75">
            <v>42.900000000000006</v>
          </cell>
          <cell r="EE75">
            <v>4.5999999999999996</v>
          </cell>
          <cell r="EF75">
            <v>34.700000000000003</v>
          </cell>
          <cell r="EG75">
            <v>39.300000000000004</v>
          </cell>
          <cell r="EI75">
            <v>27.8</v>
          </cell>
          <cell r="EJ75">
            <v>3.1</v>
          </cell>
          <cell r="EK75">
            <v>30.900000000000002</v>
          </cell>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A76" t="str">
            <v xml:space="preserve"> 2Q</v>
          </cell>
          <cell r="B76">
            <v>407.4</v>
          </cell>
          <cell r="C76">
            <v>125.4</v>
          </cell>
          <cell r="D76">
            <v>532.79999999999995</v>
          </cell>
          <cell r="F76">
            <v>225.9</v>
          </cell>
          <cell r="G76">
            <v>0.3</v>
          </cell>
          <cell r="H76">
            <v>226.20000000000002</v>
          </cell>
          <cell r="J76">
            <v>64.8</v>
          </cell>
          <cell r="K76">
            <v>54.6</v>
          </cell>
          <cell r="L76">
            <v>119.4</v>
          </cell>
          <cell r="N76">
            <v>5.2</v>
          </cell>
          <cell r="O76">
            <v>18.399999999999999</v>
          </cell>
          <cell r="P76">
            <v>23.599999999999998</v>
          </cell>
          <cell r="R76">
            <v>51.1</v>
          </cell>
          <cell r="S76">
            <v>8.1</v>
          </cell>
          <cell r="T76">
            <v>59.2</v>
          </cell>
          <cell r="V76">
            <v>104.7</v>
          </cell>
          <cell r="W76">
            <v>17</v>
          </cell>
          <cell r="X76">
            <v>121.7</v>
          </cell>
          <cell r="Z76">
            <v>105.6</v>
          </cell>
          <cell r="AA76">
            <v>20.399999999999999</v>
          </cell>
          <cell r="AB76">
            <v>126</v>
          </cell>
          <cell r="AD76">
            <v>28.9</v>
          </cell>
          <cell r="AE76">
            <v>2.5</v>
          </cell>
          <cell r="AF76">
            <v>31.4</v>
          </cell>
          <cell r="AH76" t="str">
            <v xml:space="preserve"> 2Q</v>
          </cell>
          <cell r="AI76">
            <v>0</v>
          </cell>
          <cell r="AJ76">
            <v>21.3</v>
          </cell>
          <cell r="AK76">
            <v>21.3</v>
          </cell>
          <cell r="AM76">
            <v>0.6</v>
          </cell>
          <cell r="AN76">
            <v>2.6</v>
          </cell>
          <cell r="AO76">
            <v>3.2</v>
          </cell>
          <cell r="AQ76">
            <v>41.5</v>
          </cell>
          <cell r="AR76">
            <v>50.2</v>
          </cell>
          <cell r="AS76">
            <v>91.7</v>
          </cell>
          <cell r="AY76">
            <v>31.80000000000004</v>
          </cell>
          <cell r="AZ76">
            <v>150.30000000000001</v>
          </cell>
          <cell r="BA76">
            <v>182.10000000000005</v>
          </cell>
          <cell r="BC76">
            <v>1067.5</v>
          </cell>
          <cell r="BD76">
            <v>471.1</v>
          </cell>
          <cell r="BE76">
            <v>1538.6</v>
          </cell>
          <cell r="BG76">
            <v>1067.5</v>
          </cell>
          <cell r="BH76">
            <v>471.1</v>
          </cell>
          <cell r="BK76">
            <v>0</v>
          </cell>
          <cell r="BL76">
            <v>0</v>
          </cell>
          <cell r="BM76">
            <v>0</v>
          </cell>
          <cell r="BO76">
            <v>1067.5</v>
          </cell>
          <cell r="BP76">
            <v>471.1</v>
          </cell>
          <cell r="BQ76">
            <v>1538.6</v>
          </cell>
          <cell r="BS76" t="str">
            <v xml:space="preserve"> 2Q</v>
          </cell>
          <cell r="BT76">
            <v>62.8</v>
          </cell>
          <cell r="BU76">
            <v>133.19999999999999</v>
          </cell>
          <cell r="BV76">
            <v>196</v>
          </cell>
          <cell r="BX76">
            <v>79.599999999999994</v>
          </cell>
          <cell r="BY76">
            <v>24.3</v>
          </cell>
          <cell r="BZ76">
            <v>103.89999999999999</v>
          </cell>
          <cell r="CB76">
            <v>20.399999999999999</v>
          </cell>
          <cell r="CC76">
            <v>28.7</v>
          </cell>
          <cell r="CD76">
            <v>49.099999999999994</v>
          </cell>
          <cell r="CF76">
            <v>0</v>
          </cell>
          <cell r="CG76">
            <v>0</v>
          </cell>
          <cell r="CH76">
            <v>0</v>
          </cell>
          <cell r="CJ76">
            <v>22.9</v>
          </cell>
          <cell r="CK76">
            <v>6.2</v>
          </cell>
          <cell r="CL76">
            <v>29.099999999999998</v>
          </cell>
          <cell r="CN76">
            <v>37.5</v>
          </cell>
          <cell r="CO76">
            <v>4.5</v>
          </cell>
          <cell r="CP76">
            <v>42</v>
          </cell>
          <cell r="CR76">
            <v>19.399999999999999</v>
          </cell>
          <cell r="CS76">
            <v>1.9</v>
          </cell>
          <cell r="CT76">
            <v>21.299999999999997</v>
          </cell>
          <cell r="CV76" t="str">
            <v xml:space="preserve"> 2Q</v>
          </cell>
          <cell r="CX76">
            <v>20.5</v>
          </cell>
          <cell r="CY76">
            <v>5.8</v>
          </cell>
          <cell r="CZ76">
            <v>26.3</v>
          </cell>
          <cell r="DB76">
            <v>23.1</v>
          </cell>
          <cell r="DC76">
            <v>1.6</v>
          </cell>
          <cell r="DD76">
            <v>24.700000000000003</v>
          </cell>
          <cell r="DF76">
            <v>4.9000000000000004</v>
          </cell>
          <cell r="DG76">
            <v>5.6</v>
          </cell>
          <cell r="DH76">
            <v>10.5</v>
          </cell>
          <cell r="DJ76">
            <v>72.799999999999955</v>
          </cell>
          <cell r="DK76">
            <v>100.09999999999998</v>
          </cell>
          <cell r="DL76">
            <v>172.89999999999992</v>
          </cell>
          <cell r="DN76">
            <v>363.9</v>
          </cell>
          <cell r="DO76">
            <v>311.89999999999998</v>
          </cell>
          <cell r="DP76">
            <v>675.8</v>
          </cell>
          <cell r="DR76" t="str">
            <v xml:space="preserve"> 2Q</v>
          </cell>
          <cell r="DS76">
            <v>25.2</v>
          </cell>
          <cell r="DT76">
            <v>85.7</v>
          </cell>
          <cell r="DU76">
            <v>110.9</v>
          </cell>
          <cell r="DW76">
            <v>38.200000000000003</v>
          </cell>
          <cell r="DX76">
            <v>46.9</v>
          </cell>
          <cell r="DY76">
            <v>85.1</v>
          </cell>
          <cell r="EA76">
            <v>5</v>
          </cell>
          <cell r="EB76">
            <v>45.6</v>
          </cell>
          <cell r="EC76">
            <v>50.6</v>
          </cell>
          <cell r="EE76">
            <v>4.5999999999999996</v>
          </cell>
          <cell r="EF76">
            <v>35</v>
          </cell>
          <cell r="EG76">
            <v>39.6</v>
          </cell>
          <cell r="EI76">
            <v>29.5</v>
          </cell>
          <cell r="EJ76">
            <v>3.4</v>
          </cell>
          <cell r="EK76">
            <v>32.9</v>
          </cell>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A77" t="str">
            <v xml:space="preserve"> 3Q</v>
          </cell>
          <cell r="B77">
            <v>426.9</v>
          </cell>
          <cell r="C77">
            <v>142.1</v>
          </cell>
          <cell r="D77">
            <v>569</v>
          </cell>
          <cell r="F77">
            <v>180.9</v>
          </cell>
          <cell r="G77">
            <v>0.2</v>
          </cell>
          <cell r="H77">
            <v>181.1</v>
          </cell>
          <cell r="J77">
            <v>64</v>
          </cell>
          <cell r="K77">
            <v>56</v>
          </cell>
          <cell r="L77">
            <v>120</v>
          </cell>
          <cell r="N77">
            <v>6.7</v>
          </cell>
          <cell r="O77">
            <v>17.600000000000001</v>
          </cell>
          <cell r="P77">
            <v>24.3</v>
          </cell>
          <cell r="R77">
            <v>56.9</v>
          </cell>
          <cell r="S77">
            <v>8.1999999999999993</v>
          </cell>
          <cell r="T77">
            <v>65.099999999999994</v>
          </cell>
          <cell r="V77">
            <v>112.7</v>
          </cell>
          <cell r="W77">
            <v>19.3</v>
          </cell>
          <cell r="X77">
            <v>132</v>
          </cell>
          <cell r="Z77">
            <v>110</v>
          </cell>
          <cell r="AA77">
            <v>24</v>
          </cell>
          <cell r="AB77">
            <v>133.9</v>
          </cell>
          <cell r="AD77">
            <v>24.2</v>
          </cell>
          <cell r="AE77">
            <v>2.5</v>
          </cell>
          <cell r="AF77">
            <v>26.7</v>
          </cell>
          <cell r="AH77" t="str">
            <v xml:space="preserve"> 3Q</v>
          </cell>
          <cell r="AI77">
            <v>0</v>
          </cell>
          <cell r="AJ77">
            <v>19.5</v>
          </cell>
          <cell r="AK77">
            <v>19.5</v>
          </cell>
          <cell r="AM77">
            <v>0.4</v>
          </cell>
          <cell r="AN77">
            <v>2.2000000000000002</v>
          </cell>
          <cell r="AO77">
            <v>2.6</v>
          </cell>
          <cell r="AQ77">
            <v>39</v>
          </cell>
          <cell r="AR77">
            <v>46.8</v>
          </cell>
          <cell r="AS77">
            <v>85.8</v>
          </cell>
          <cell r="AY77">
            <v>31.100000000000037</v>
          </cell>
          <cell r="AZ77">
            <v>142.59999999999997</v>
          </cell>
          <cell r="BA77">
            <v>173.7</v>
          </cell>
          <cell r="BC77">
            <v>1052.8</v>
          </cell>
          <cell r="BD77">
            <v>481</v>
          </cell>
          <cell r="BE77">
            <v>1533.8</v>
          </cell>
          <cell r="BG77">
            <v>1052.8000000000002</v>
          </cell>
          <cell r="BH77">
            <v>480.99999999999994</v>
          </cell>
          <cell r="BI77">
            <v>1533.8000000000002</v>
          </cell>
          <cell r="BK77">
            <v>0</v>
          </cell>
          <cell r="BL77">
            <v>0</v>
          </cell>
          <cell r="BM77">
            <v>0</v>
          </cell>
          <cell r="BO77">
            <v>1052.8</v>
          </cell>
          <cell r="BP77">
            <v>481</v>
          </cell>
          <cell r="BQ77">
            <v>1533.8</v>
          </cell>
          <cell r="BS77" t="str">
            <v xml:space="preserve"> 3Q</v>
          </cell>
          <cell r="BT77">
            <v>59.7</v>
          </cell>
          <cell r="BU77">
            <v>132.9</v>
          </cell>
          <cell r="BV77">
            <v>192.60000000000002</v>
          </cell>
          <cell r="BX77">
            <v>81</v>
          </cell>
          <cell r="BY77">
            <v>26.6</v>
          </cell>
          <cell r="BZ77">
            <v>107.6</v>
          </cell>
          <cell r="CB77">
            <v>21.1</v>
          </cell>
          <cell r="CC77">
            <v>25.2</v>
          </cell>
          <cell r="CD77">
            <v>46.3</v>
          </cell>
          <cell r="CF77">
            <v>0</v>
          </cell>
          <cell r="CG77">
            <v>0</v>
          </cell>
          <cell r="CH77">
            <v>0</v>
          </cell>
          <cell r="CJ77">
            <v>35.6</v>
          </cell>
          <cell r="CK77">
            <v>6.7</v>
          </cell>
          <cell r="CL77">
            <v>42.300000000000004</v>
          </cell>
          <cell r="CN77">
            <v>41</v>
          </cell>
          <cell r="CO77">
            <v>2.7</v>
          </cell>
          <cell r="CP77">
            <v>43.7</v>
          </cell>
          <cell r="CR77">
            <v>15.9</v>
          </cell>
          <cell r="CS77">
            <v>2</v>
          </cell>
          <cell r="CT77">
            <v>17.899999999999999</v>
          </cell>
          <cell r="CV77" t="str">
            <v xml:space="preserve"> 3Q</v>
          </cell>
          <cell r="CX77">
            <v>19.100000000000001</v>
          </cell>
          <cell r="CY77">
            <v>7.6</v>
          </cell>
          <cell r="CZ77">
            <v>26.700000000000003</v>
          </cell>
          <cell r="DB77">
            <v>20.2</v>
          </cell>
          <cell r="DC77">
            <v>0.9</v>
          </cell>
          <cell r="DD77">
            <v>21.099999999999998</v>
          </cell>
          <cell r="DF77">
            <v>5</v>
          </cell>
          <cell r="DG77">
            <v>8.9</v>
          </cell>
          <cell r="DH77">
            <v>13.9</v>
          </cell>
          <cell r="DJ77">
            <v>79.500000000000043</v>
          </cell>
          <cell r="DK77">
            <v>98.399999999999963</v>
          </cell>
          <cell r="DL77">
            <v>177.9</v>
          </cell>
          <cell r="DN77">
            <v>378.1</v>
          </cell>
          <cell r="DO77">
            <v>311.89999999999998</v>
          </cell>
          <cell r="DP77">
            <v>690</v>
          </cell>
          <cell r="DR77" t="str">
            <v xml:space="preserve"> 3Q</v>
          </cell>
          <cell r="DS77">
            <v>45</v>
          </cell>
          <cell r="DT77">
            <v>88.1</v>
          </cell>
          <cell r="DU77">
            <v>133.1</v>
          </cell>
          <cell r="DW77">
            <v>33.5</v>
          </cell>
          <cell r="DX77">
            <v>43.8</v>
          </cell>
          <cell r="DY77">
            <v>77.3</v>
          </cell>
          <cell r="EA77">
            <v>4.5</v>
          </cell>
          <cell r="EB77">
            <v>42.9</v>
          </cell>
          <cell r="EC77">
            <v>47.4</v>
          </cell>
          <cell r="EE77">
            <v>4.3</v>
          </cell>
          <cell r="EF77">
            <v>34</v>
          </cell>
          <cell r="EG77">
            <v>38.299999999999997</v>
          </cell>
          <cell r="EI77">
            <v>24.4</v>
          </cell>
          <cell r="EJ77">
            <v>3.1</v>
          </cell>
          <cell r="EK77">
            <v>27.5</v>
          </cell>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A78" t="str">
            <v xml:space="preserve"> 4Q</v>
          </cell>
          <cell r="B78">
            <v>520.5</v>
          </cell>
          <cell r="C78">
            <v>184.4</v>
          </cell>
          <cell r="D78">
            <v>704.9</v>
          </cell>
          <cell r="F78">
            <v>201.6</v>
          </cell>
          <cell r="G78">
            <v>1.1000000000000001</v>
          </cell>
          <cell r="H78">
            <v>202.7</v>
          </cell>
          <cell r="J78">
            <v>59.1</v>
          </cell>
          <cell r="K78">
            <v>57.1</v>
          </cell>
          <cell r="L78">
            <v>116.2</v>
          </cell>
          <cell r="N78">
            <v>7.4</v>
          </cell>
          <cell r="O78">
            <v>17.2</v>
          </cell>
          <cell r="P78">
            <v>24.6</v>
          </cell>
          <cell r="R78">
            <v>79.2</v>
          </cell>
          <cell r="S78">
            <v>8.8000000000000007</v>
          </cell>
          <cell r="T78">
            <v>88</v>
          </cell>
          <cell r="V78">
            <v>143.80000000000001</v>
          </cell>
          <cell r="W78">
            <v>20.6</v>
          </cell>
          <cell r="X78">
            <v>164.4</v>
          </cell>
          <cell r="Z78">
            <v>125</v>
          </cell>
          <cell r="AA78">
            <v>33</v>
          </cell>
          <cell r="AB78">
            <v>158.19999999999999</v>
          </cell>
          <cell r="AD78">
            <v>42.7</v>
          </cell>
          <cell r="AE78">
            <v>1.6</v>
          </cell>
          <cell r="AF78">
            <v>44.300000000000004</v>
          </cell>
          <cell r="AH78" t="str">
            <v xml:space="preserve"> 4Q</v>
          </cell>
          <cell r="AI78">
            <v>0.2</v>
          </cell>
          <cell r="AJ78">
            <v>23.4</v>
          </cell>
          <cell r="AK78">
            <v>23.599999999999998</v>
          </cell>
          <cell r="AM78">
            <v>0.2</v>
          </cell>
          <cell r="AN78">
            <v>1.8</v>
          </cell>
          <cell r="AO78">
            <v>2</v>
          </cell>
          <cell r="AQ78">
            <v>41.5</v>
          </cell>
          <cell r="AR78">
            <v>53.4</v>
          </cell>
          <cell r="AS78">
            <v>94.9</v>
          </cell>
          <cell r="AY78">
            <v>27.20000000000006</v>
          </cell>
          <cell r="AZ78">
            <v>174.19999999999996</v>
          </cell>
          <cell r="BA78">
            <v>201.40000000000003</v>
          </cell>
          <cell r="BC78">
            <v>1248.4000000000001</v>
          </cell>
          <cell r="BD78">
            <v>576.6</v>
          </cell>
          <cell r="BE78">
            <v>1825</v>
          </cell>
          <cell r="BG78">
            <v>1248.4000000000003</v>
          </cell>
          <cell r="BH78">
            <v>576.6</v>
          </cell>
          <cell r="BK78">
            <v>0</v>
          </cell>
          <cell r="BL78">
            <v>0</v>
          </cell>
          <cell r="BM78">
            <v>0</v>
          </cell>
          <cell r="BO78">
            <v>1248.4000000000001</v>
          </cell>
          <cell r="BP78">
            <v>576.6</v>
          </cell>
          <cell r="BQ78">
            <v>1825</v>
          </cell>
          <cell r="BS78" t="str">
            <v xml:space="preserve"> 4Q</v>
          </cell>
          <cell r="BT78">
            <v>52.6</v>
          </cell>
          <cell r="BU78">
            <v>136.19999999999999</v>
          </cell>
          <cell r="BV78">
            <v>188.79999999999998</v>
          </cell>
          <cell r="BX78">
            <v>86.7</v>
          </cell>
          <cell r="BY78">
            <v>27</v>
          </cell>
          <cell r="BZ78">
            <v>113.7</v>
          </cell>
          <cell r="CB78">
            <v>20.100000000000001</v>
          </cell>
          <cell r="CC78">
            <v>28.9</v>
          </cell>
          <cell r="CD78">
            <v>49</v>
          </cell>
          <cell r="CF78">
            <v>0</v>
          </cell>
          <cell r="CG78">
            <v>0</v>
          </cell>
          <cell r="CH78">
            <v>0</v>
          </cell>
          <cell r="CJ78">
            <v>47</v>
          </cell>
          <cell r="CK78">
            <v>7.2</v>
          </cell>
          <cell r="CL78">
            <v>54.2</v>
          </cell>
          <cell r="CN78">
            <v>31.4</v>
          </cell>
          <cell r="CO78">
            <v>1.3</v>
          </cell>
          <cell r="CP78">
            <v>32.699999999999996</v>
          </cell>
          <cell r="CR78">
            <v>21</v>
          </cell>
          <cell r="CS78">
            <v>1.8</v>
          </cell>
          <cell r="CT78">
            <v>22.8</v>
          </cell>
          <cell r="CV78" t="str">
            <v xml:space="preserve"> 4Q</v>
          </cell>
          <cell r="CX78">
            <v>27.8</v>
          </cell>
          <cell r="CY78">
            <v>6.3</v>
          </cell>
          <cell r="CZ78">
            <v>34.1</v>
          </cell>
          <cell r="DB78">
            <v>15.1</v>
          </cell>
          <cell r="DC78">
            <v>1.1000000000000001</v>
          </cell>
          <cell r="DD78">
            <v>16.2</v>
          </cell>
          <cell r="DF78">
            <v>5.9</v>
          </cell>
          <cell r="DG78">
            <v>12.5</v>
          </cell>
          <cell r="DH78">
            <v>18.399999999999999</v>
          </cell>
          <cell r="DJ78">
            <v>70.7</v>
          </cell>
          <cell r="DK78">
            <v>106.00000000000004</v>
          </cell>
          <cell r="DL78">
            <v>176.70000000000005</v>
          </cell>
          <cell r="DN78">
            <v>378.3</v>
          </cell>
          <cell r="DO78">
            <v>328.3</v>
          </cell>
          <cell r="DP78">
            <v>706.6</v>
          </cell>
          <cell r="DR78" t="str">
            <v xml:space="preserve"> 4Q</v>
          </cell>
          <cell r="DS78">
            <v>62.9</v>
          </cell>
          <cell r="DT78">
            <v>98.4</v>
          </cell>
          <cell r="DU78">
            <v>161.30000000000001</v>
          </cell>
          <cell r="DW78">
            <v>39.6</v>
          </cell>
          <cell r="DX78">
            <v>45.8</v>
          </cell>
          <cell r="DY78">
            <v>85.4</v>
          </cell>
          <cell r="EA78">
            <v>4.8</v>
          </cell>
          <cell r="EB78">
            <v>43.3</v>
          </cell>
          <cell r="EC78">
            <v>48.099999999999994</v>
          </cell>
          <cell r="EE78">
            <v>4.5999999999999996</v>
          </cell>
          <cell r="EF78">
            <v>29.2</v>
          </cell>
          <cell r="EG78">
            <v>33.799999999999997</v>
          </cell>
          <cell r="EI78">
            <v>29.3</v>
          </cell>
          <cell r="EJ78">
            <v>2.6</v>
          </cell>
          <cell r="EK78">
            <v>31.900000000000002</v>
          </cell>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A80" t="str">
            <v>Year</v>
          </cell>
          <cell r="B80">
            <v>1644.3</v>
          </cell>
          <cell r="C80">
            <v>540.29999999999995</v>
          </cell>
          <cell r="D80">
            <v>2184.6</v>
          </cell>
          <cell r="F80">
            <v>746.5</v>
          </cell>
          <cell r="G80">
            <v>1.6</v>
          </cell>
          <cell r="H80">
            <v>748.09999999999991</v>
          </cell>
          <cell r="J80">
            <v>234.79999999999998</v>
          </cell>
          <cell r="K80">
            <v>219.29999999999998</v>
          </cell>
          <cell r="L80">
            <v>454.09999999999997</v>
          </cell>
          <cell r="N80">
            <v>26.9</v>
          </cell>
          <cell r="O80">
            <v>73.399999999999991</v>
          </cell>
          <cell r="P80">
            <v>100.29999999999998</v>
          </cell>
          <cell r="R80">
            <v>245</v>
          </cell>
          <cell r="S80">
            <v>33.299999999999997</v>
          </cell>
          <cell r="T80">
            <v>278.3</v>
          </cell>
          <cell r="V80">
            <v>442.7</v>
          </cell>
          <cell r="W80">
            <v>71.300000000000011</v>
          </cell>
          <cell r="X80">
            <v>514</v>
          </cell>
          <cell r="Z80">
            <v>433.4</v>
          </cell>
          <cell r="AA80">
            <v>96.6</v>
          </cell>
          <cell r="AB80">
            <v>530.09999999999991</v>
          </cell>
          <cell r="AD80">
            <v>120.5</v>
          </cell>
          <cell r="AE80">
            <v>9.1</v>
          </cell>
          <cell r="AF80">
            <v>129.6</v>
          </cell>
          <cell r="AH80" t="str">
            <v>Year</v>
          </cell>
          <cell r="AI80">
            <v>0.30000000000000004</v>
          </cell>
          <cell r="AJ80">
            <v>84.300000000000011</v>
          </cell>
          <cell r="AK80">
            <v>84.6</v>
          </cell>
          <cell r="AM80">
            <v>0.60000000000000009</v>
          </cell>
          <cell r="AN80">
            <v>11.5</v>
          </cell>
          <cell r="AO80">
            <v>12.100000000000001</v>
          </cell>
          <cell r="AQ80">
            <v>164.7</v>
          </cell>
          <cell r="AR80">
            <v>201.79999999999998</v>
          </cell>
          <cell r="AS80">
            <v>366.5</v>
          </cell>
          <cell r="AY80">
            <v>112.60000000000011</v>
          </cell>
          <cell r="AZ80">
            <v>619.09999999999991</v>
          </cell>
          <cell r="BA80">
            <v>731.7</v>
          </cell>
          <cell r="BC80">
            <v>4172.2999999999993</v>
          </cell>
          <cell r="BD80">
            <v>1961.6</v>
          </cell>
          <cell r="BE80">
            <v>6133.9</v>
          </cell>
          <cell r="BK80">
            <v>0</v>
          </cell>
          <cell r="BL80">
            <v>0</v>
          </cell>
          <cell r="BM80">
            <v>0</v>
          </cell>
          <cell r="BO80">
            <v>4172.2999999999993</v>
          </cell>
          <cell r="BP80">
            <v>1961.6</v>
          </cell>
          <cell r="BQ80">
            <v>6133.9</v>
          </cell>
          <cell r="BS80" t="str">
            <v>Year</v>
          </cell>
          <cell r="BT80">
            <v>226.20000000000002</v>
          </cell>
          <cell r="BU80">
            <v>518.59999999999991</v>
          </cell>
          <cell r="BV80">
            <v>744.8</v>
          </cell>
          <cell r="BX80">
            <v>330.09999999999997</v>
          </cell>
          <cell r="BY80">
            <v>99.9</v>
          </cell>
          <cell r="BZ80">
            <v>429.99999999999994</v>
          </cell>
          <cell r="CB80">
            <v>82.2</v>
          </cell>
          <cell r="CC80">
            <v>110.80000000000001</v>
          </cell>
          <cell r="CD80">
            <v>193</v>
          </cell>
          <cell r="CF80">
            <v>0</v>
          </cell>
          <cell r="CG80">
            <v>0</v>
          </cell>
          <cell r="CH80">
            <v>0</v>
          </cell>
          <cell r="CJ80">
            <v>143.30000000000001</v>
          </cell>
          <cell r="CK80">
            <v>26.2</v>
          </cell>
          <cell r="CL80">
            <v>169.5</v>
          </cell>
          <cell r="CN80">
            <v>146</v>
          </cell>
          <cell r="CO80">
            <v>11.400000000000002</v>
          </cell>
          <cell r="CP80">
            <v>157.4</v>
          </cell>
          <cell r="CR80">
            <v>73</v>
          </cell>
          <cell r="CS80">
            <v>7.8</v>
          </cell>
          <cell r="CT80">
            <v>80.8</v>
          </cell>
          <cell r="CV80" t="str">
            <v>Year</v>
          </cell>
          <cell r="CX80">
            <v>86.7</v>
          </cell>
          <cell r="CY80">
            <v>26.400000000000002</v>
          </cell>
          <cell r="CZ80">
            <v>113.1</v>
          </cell>
          <cell r="DB80">
            <v>77.7</v>
          </cell>
          <cell r="DC80">
            <v>5</v>
          </cell>
          <cell r="DD80">
            <v>82.7</v>
          </cell>
          <cell r="DF80">
            <v>20.8</v>
          </cell>
          <cell r="DG80">
            <v>37.299999999999997</v>
          </cell>
          <cell r="DH80">
            <v>58.1</v>
          </cell>
          <cell r="DJ80">
            <v>288.7</v>
          </cell>
          <cell r="DK80">
            <v>403.8</v>
          </cell>
          <cell r="DL80">
            <v>692.5</v>
          </cell>
          <cell r="DN80">
            <v>1474.7</v>
          </cell>
          <cell r="DO80">
            <v>1247.2</v>
          </cell>
          <cell r="DP80">
            <v>2721.9</v>
          </cell>
          <cell r="DR80" t="str">
            <v>Year</v>
          </cell>
          <cell r="DS80">
            <v>161.80000000000001</v>
          </cell>
          <cell r="DT80">
            <v>357.9</v>
          </cell>
          <cell r="DU80">
            <v>519.70000000000005</v>
          </cell>
          <cell r="DW80">
            <v>144.80000000000001</v>
          </cell>
          <cell r="DX80">
            <v>180.5</v>
          </cell>
          <cell r="DY80">
            <v>325.29999999999995</v>
          </cell>
          <cell r="EA80">
            <v>19.5</v>
          </cell>
          <cell r="EB80">
            <v>169.5</v>
          </cell>
          <cell r="EC80">
            <v>189</v>
          </cell>
          <cell r="EE80">
            <v>18.100000000000001</v>
          </cell>
          <cell r="EF80">
            <v>132.9</v>
          </cell>
          <cell r="EG80">
            <v>151</v>
          </cell>
          <cell r="EI80">
            <v>110.99999999999999</v>
          </cell>
          <cell r="EJ80">
            <v>12.2</v>
          </cell>
          <cell r="EK80">
            <v>123.2</v>
          </cell>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A82" t="str">
            <v xml:space="preserve">1999/98 </v>
          </cell>
          <cell r="AH82" t="str">
            <v xml:space="preserve">1999/98 </v>
          </cell>
          <cell r="BS82" t="str">
            <v xml:space="preserve">1999/98 </v>
          </cell>
          <cell r="CV82" t="str">
            <v xml:space="preserve">1999/98 </v>
          </cell>
          <cell r="DR82" t="str">
            <v xml:space="preserve">1999/98 </v>
          </cell>
          <cell r="EM82" t="str">
            <v xml:space="preserve">1999/98 </v>
          </cell>
        </row>
        <row r="83">
          <cell r="A83" t="str">
            <v xml:space="preserve"> 1Q</v>
          </cell>
          <cell r="B83">
            <v>0.84075993091537127</v>
          </cell>
          <cell r="C83">
            <v>1.4649321266968327</v>
          </cell>
          <cell r="D83">
            <v>0.98676898650436629</v>
          </cell>
          <cell r="F83">
            <v>0.33019551049963791</v>
          </cell>
          <cell r="G83" t="str">
            <v>NM</v>
          </cell>
          <cell r="H83">
            <v>0.33309196234612592</v>
          </cell>
          <cell r="I83" t="e">
            <v>#DIV/0!</v>
          </cell>
          <cell r="J83">
            <v>0.10021321961620466</v>
          </cell>
          <cell r="K83">
            <v>0.25</v>
          </cell>
          <cell r="L83">
            <v>0.17868020304568533</v>
          </cell>
          <cell r="M83" t="e">
            <v>#DIV/0!</v>
          </cell>
          <cell r="N83" t="str">
            <v>NM</v>
          </cell>
          <cell r="O83" t="str">
            <v>NM</v>
          </cell>
          <cell r="P83" t="str">
            <v>NM</v>
          </cell>
          <cell r="R83">
            <v>-5.1903114186850896E-3</v>
          </cell>
          <cell r="S83">
            <v>2.4390243902439046E-2</v>
          </cell>
          <cell r="T83">
            <v>-1.5151515151514694E-3</v>
          </cell>
          <cell r="U83" t="e">
            <v>#DIV/0!</v>
          </cell>
          <cell r="V83">
            <v>0.86012269938650299</v>
          </cell>
          <cell r="W83">
            <v>0.68055555555555536</v>
          </cell>
          <cell r="X83">
            <v>0.83315954118873803</v>
          </cell>
          <cell r="Z83">
            <v>0.20689655172413768</v>
          </cell>
          <cell r="AA83">
            <v>0.77083333333333304</v>
          </cell>
          <cell r="AB83">
            <v>0.30357142857142838</v>
          </cell>
          <cell r="AD83" t="str">
            <v>NM</v>
          </cell>
          <cell r="AE83" t="str">
            <v>NM</v>
          </cell>
          <cell r="AF83" t="str">
            <v>NM</v>
          </cell>
          <cell r="AH83" t="str">
            <v xml:space="preserve"> 1Q</v>
          </cell>
          <cell r="AI83" t="str">
            <v>NM</v>
          </cell>
          <cell r="AJ83" t="str">
            <v>NM</v>
          </cell>
          <cell r="AK83" t="str">
            <v>NM</v>
          </cell>
          <cell r="AM83" t="str">
            <v>NM</v>
          </cell>
          <cell r="AN83" t="str">
            <v>NM</v>
          </cell>
          <cell r="AO83" t="str">
            <v>NM</v>
          </cell>
          <cell r="AQ83">
            <v>-8.1967213114754078E-2</v>
          </cell>
          <cell r="AR83">
            <v>4.8638132295719894E-2</v>
          </cell>
          <cell r="AS83">
            <v>-1.062699256110522E-2</v>
          </cell>
          <cell r="AT83" t="e">
            <v>#DIV/0!</v>
          </cell>
          <cell r="AX83" t="e">
            <v>#DIV/0!</v>
          </cell>
          <cell r="AY83">
            <v>2.3555555555555547</v>
          </cell>
          <cell r="AZ83">
            <v>0.3348684210526327</v>
          </cell>
          <cell r="BA83">
            <v>0.59541547277937013</v>
          </cell>
          <cell r="BC83">
            <v>0.49825783972125426</v>
          </cell>
          <cell r="BD83">
            <v>0.40032340032340041</v>
          </cell>
          <cell r="BE83">
            <v>0.46397088556409227</v>
          </cell>
          <cell r="BK83" t="str">
            <v>NM</v>
          </cell>
          <cell r="BL83" t="str">
            <v>NM</v>
          </cell>
          <cell r="BM83" t="str">
            <v>NM</v>
          </cell>
          <cell r="BO83">
            <v>0.49825783972125426</v>
          </cell>
          <cell r="BP83">
            <v>0.40032340032340041</v>
          </cell>
          <cell r="BQ83">
            <v>0.46397088556409227</v>
          </cell>
          <cell r="BS83" t="str">
            <v xml:space="preserve"> 1Q</v>
          </cell>
          <cell r="BT83">
            <v>3.3268101761252389E-2</v>
          </cell>
          <cell r="BU83">
            <v>0.13585554600171967</v>
          </cell>
          <cell r="BV83">
            <v>0.10454002389486239</v>
          </cell>
          <cell r="BX83">
            <v>0.21980676328502424</v>
          </cell>
          <cell r="BY83">
            <v>0.21818181818181825</v>
          </cell>
          <cell r="BZ83">
            <v>0.21946564885496178</v>
          </cell>
          <cell r="CB83">
            <v>-4.3689320388349606E-2</v>
          </cell>
          <cell r="CC83">
            <v>8.9285714285714191E-2</v>
          </cell>
          <cell r="CD83">
            <v>3.292181069958855E-2</v>
          </cell>
          <cell r="CF83" t="str">
            <v>NM</v>
          </cell>
          <cell r="CG83" t="str">
            <v>NM</v>
          </cell>
          <cell r="CH83" t="str">
            <v>NM</v>
          </cell>
          <cell r="CI83" t="e">
            <v>#DIV/0!</v>
          </cell>
          <cell r="CJ83">
            <v>7.9365079365081304E-3</v>
          </cell>
          <cell r="CK83">
            <v>0</v>
          </cell>
          <cell r="CL83">
            <v>6.8337129840547739E-3</v>
          </cell>
          <cell r="CN83" t="str">
            <v>NM</v>
          </cell>
          <cell r="CO83" t="str">
            <v>NM</v>
          </cell>
          <cell r="CP83" t="str">
            <v>NM</v>
          </cell>
          <cell r="CR83">
            <v>-5.9880239520958112E-2</v>
          </cell>
          <cell r="CS83" t="str">
            <v>NM</v>
          </cell>
          <cell r="CT83">
            <v>-0.16489361702127669</v>
          </cell>
          <cell r="CV83" t="str">
            <v xml:space="preserve"> 1Q</v>
          </cell>
          <cell r="CX83">
            <v>0.41968911917098439</v>
          </cell>
          <cell r="CY83">
            <v>0.14925373134328357</v>
          </cell>
          <cell r="CZ83">
            <v>0.35000000000000009</v>
          </cell>
          <cell r="DB83">
            <v>-4.6632124352331661E-2</v>
          </cell>
          <cell r="DC83">
            <v>-0.14285714285714279</v>
          </cell>
          <cell r="DD83">
            <v>-5.3140096618357613E-2</v>
          </cell>
          <cell r="DF83" t="str">
            <v>NM</v>
          </cell>
          <cell r="DG83" t="str">
            <v>NM</v>
          </cell>
          <cell r="DH83" t="str">
            <v>NM</v>
          </cell>
          <cell r="DJ83">
            <v>0.53424657534246678</v>
          </cell>
          <cell r="DK83">
            <v>0.17019133937562936</v>
          </cell>
          <cell r="DL83">
            <v>0.3151515151515154</v>
          </cell>
          <cell r="DN83">
            <v>0.17155756207674955</v>
          </cell>
          <cell r="DO83">
            <v>8.6411385970857291E-2</v>
          </cell>
          <cell r="DP83">
            <v>0.13287143956889902</v>
          </cell>
          <cell r="DR83" t="str">
            <v xml:space="preserve"> 1Q</v>
          </cell>
          <cell r="DS83">
            <v>1.7421602787456525E-2</v>
          </cell>
          <cell r="DT83">
            <v>4.5507584597432871E-2</v>
          </cell>
          <cell r="DU83">
            <v>3.8461538461538325E-2</v>
          </cell>
          <cell r="DW83">
            <v>0.12537313432835839</v>
          </cell>
          <cell r="DX83">
            <v>-2.954545454545443E-2</v>
          </cell>
          <cell r="DY83">
            <v>3.741935483870984E-2</v>
          </cell>
          <cell r="EA83">
            <v>-9.6153846153846145E-2</v>
          </cell>
          <cell r="EB83">
            <v>0.16445623342175053</v>
          </cell>
          <cell r="EC83">
            <v>0.1328671328671327</v>
          </cell>
          <cell r="EE83">
            <v>0</v>
          </cell>
          <cell r="EF83">
            <v>0</v>
          </cell>
          <cell r="EG83">
            <v>0</v>
          </cell>
          <cell r="EI83">
            <v>0</v>
          </cell>
          <cell r="EJ83">
            <v>-0.12903225806451613</v>
          </cell>
          <cell r="EK83">
            <v>-1.2944983818770295E-2</v>
          </cell>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A84" t="str">
            <v xml:space="preserve"> 2Q</v>
          </cell>
          <cell r="B84">
            <v>0.57461953853706449</v>
          </cell>
          <cell r="C84">
            <v>0.9489633173843699</v>
          </cell>
          <cell r="D84">
            <v>0.66272522522522537</v>
          </cell>
          <cell r="F84">
            <v>-0.24435590969455523</v>
          </cell>
          <cell r="G84">
            <v>1.3333333333333335</v>
          </cell>
          <cell r="H84">
            <v>-0.24226348364279415</v>
          </cell>
          <cell r="I84" t="e">
            <v>#DIV/0!</v>
          </cell>
          <cell r="J84">
            <v>-5.4012345679012363E-2</v>
          </cell>
          <cell r="K84">
            <v>0.19413919413919412</v>
          </cell>
          <cell r="L84">
            <v>5.9463986599664898E-2</v>
          </cell>
          <cell r="M84" t="e">
            <v>#DIV/0!</v>
          </cell>
          <cell r="N84" t="str">
            <v>NM</v>
          </cell>
          <cell r="O84" t="str">
            <v>NM</v>
          </cell>
          <cell r="P84" t="str">
            <v>NM</v>
          </cell>
          <cell r="R84">
            <v>-0.13307240704500989</v>
          </cell>
          <cell r="S84">
            <v>0.18518518518518512</v>
          </cell>
          <cell r="T84">
            <v>-8.9527027027027084E-2</v>
          </cell>
          <cell r="U84" t="e">
            <v>#DIV/0!</v>
          </cell>
          <cell r="V84">
            <v>0.70391595033428844</v>
          </cell>
          <cell r="W84">
            <v>0.62941176470588234</v>
          </cell>
          <cell r="X84">
            <v>0.69350862777321276</v>
          </cell>
          <cell r="Z84">
            <v>6.9128787878788067E-2</v>
          </cell>
          <cell r="AA84">
            <v>0.75000000000000022</v>
          </cell>
          <cell r="AB84">
            <v>0.17936507936507962</v>
          </cell>
          <cell r="AD84" t="str">
            <v>NM</v>
          </cell>
          <cell r="AE84" t="str">
            <v>NM</v>
          </cell>
          <cell r="AF84" t="str">
            <v>NM</v>
          </cell>
          <cell r="AH84" t="str">
            <v xml:space="preserve"> 2Q</v>
          </cell>
          <cell r="AI84" t="str">
            <v>NM</v>
          </cell>
          <cell r="AJ84" t="str">
            <v>NM</v>
          </cell>
          <cell r="AK84" t="str">
            <v>NM</v>
          </cell>
          <cell r="AM84" t="str">
            <v>NM</v>
          </cell>
          <cell r="AN84" t="str">
            <v>NM</v>
          </cell>
          <cell r="AO84" t="str">
            <v>NM</v>
          </cell>
          <cell r="AQ84">
            <v>1.4457831325301207E-2</v>
          </cell>
          <cell r="AR84">
            <v>0.14541832669322696</v>
          </cell>
          <cell r="AS84">
            <v>8.6150490730643403E-2</v>
          </cell>
          <cell r="AT84" t="e">
            <v>#DIV/0!</v>
          </cell>
          <cell r="AX84" t="e">
            <v>#DIV/0!</v>
          </cell>
          <cell r="AY84">
            <v>0.98742138364780474</v>
          </cell>
          <cell r="AZ84">
            <v>0.21357285429141704</v>
          </cell>
          <cell r="BA84">
            <v>0.34870950027457548</v>
          </cell>
          <cell r="BC84">
            <v>0.23128805620608905</v>
          </cell>
          <cell r="BD84">
            <v>0.32286138824028865</v>
          </cell>
          <cell r="BE84">
            <v>0.25932666060054621</v>
          </cell>
          <cell r="BK84" t="str">
            <v>NM</v>
          </cell>
          <cell r="BL84" t="str">
            <v>NM</v>
          </cell>
          <cell r="BM84" t="str">
            <v>NM</v>
          </cell>
          <cell r="BO84">
            <v>0.23128805620608905</v>
          </cell>
          <cell r="BP84">
            <v>0.32286138824028865</v>
          </cell>
          <cell r="BQ84">
            <v>0.25932666060054621</v>
          </cell>
          <cell r="BS84" t="str">
            <v xml:space="preserve"> 2Q</v>
          </cell>
          <cell r="BT84">
            <v>-7.4840764331210119E-2</v>
          </cell>
          <cell r="BU84">
            <v>2.2522522522522515E-2</v>
          </cell>
          <cell r="BV84">
            <v>-8.6734693877551505E-3</v>
          </cell>
          <cell r="BX84">
            <v>4.2713567839196109E-2</v>
          </cell>
          <cell r="BY84">
            <v>0.20987654320987637</v>
          </cell>
          <cell r="BZ84">
            <v>8.1809432146294547E-2</v>
          </cell>
          <cell r="CB84">
            <v>1.9607843137255054E-2</v>
          </cell>
          <cell r="CC84">
            <v>2.4390243902439046E-2</v>
          </cell>
          <cell r="CD84">
            <v>2.2403258655804725E-2</v>
          </cell>
          <cell r="CF84" t="str">
            <v>NM</v>
          </cell>
          <cell r="CG84" t="str">
            <v>NM</v>
          </cell>
          <cell r="CH84" t="str">
            <v>NM</v>
          </cell>
          <cell r="CI84" t="e">
            <v>#DIV/0!</v>
          </cell>
          <cell r="CJ84">
            <v>0.11353711790393017</v>
          </cell>
          <cell r="CK84">
            <v>6.4516129032258007E-2</v>
          </cell>
          <cell r="CL84">
            <v>0.10309278350515472</v>
          </cell>
          <cell r="CN84" t="str">
            <v>NM</v>
          </cell>
          <cell r="CO84" t="str">
            <v>NM</v>
          </cell>
          <cell r="CP84" t="str">
            <v>NM</v>
          </cell>
          <cell r="CR84">
            <v>-0.13402061855670089</v>
          </cell>
          <cell r="CS84">
            <v>0.94736842105263186</v>
          </cell>
          <cell r="CT84">
            <v>-3.7558685446009266E-2</v>
          </cell>
          <cell r="CV84" t="str">
            <v xml:space="preserve"> 2Q</v>
          </cell>
          <cell r="CX84">
            <v>0.14634146341463405</v>
          </cell>
          <cell r="CY84">
            <v>0.31034482758620685</v>
          </cell>
          <cell r="CZ84">
            <v>0.18250950570342206</v>
          </cell>
          <cell r="DB84">
            <v>7.3593073593073655E-2</v>
          </cell>
          <cell r="DC84">
            <v>0.25</v>
          </cell>
          <cell r="DD84">
            <v>8.502024291497956E-2</v>
          </cell>
          <cell r="DF84" t="str">
            <v>NM</v>
          </cell>
          <cell r="DG84" t="str">
            <v>NM</v>
          </cell>
          <cell r="DH84" t="str">
            <v>NM</v>
          </cell>
          <cell r="DJ84">
            <v>0.57554945054945095</v>
          </cell>
          <cell r="DK84">
            <v>0.08</v>
          </cell>
          <cell r="DL84">
            <v>0.25159051474840988</v>
          </cell>
          <cell r="DN84">
            <v>0.12915636163781263</v>
          </cell>
          <cell r="DO84">
            <v>2.4687399807630905E-2</v>
          </cell>
          <cell r="DP84">
            <v>8.0941106836342147E-2</v>
          </cell>
          <cell r="DR84" t="str">
            <v xml:space="preserve"> 2Q</v>
          </cell>
          <cell r="DS84">
            <v>-0.115079365079365</v>
          </cell>
          <cell r="DT84">
            <v>-2.333722287047868E-3</v>
          </cell>
          <cell r="DU84">
            <v>-2.7953110910730494E-2</v>
          </cell>
          <cell r="DW84">
            <v>0.17801047120418834</v>
          </cell>
          <cell r="DX84">
            <v>5.3304904051172608E-2</v>
          </cell>
          <cell r="DY84">
            <v>0.10928319623971805</v>
          </cell>
          <cell r="EA84">
            <v>-5.9999999999999942E-2</v>
          </cell>
          <cell r="EB84">
            <v>-3.5087719298245612E-2</v>
          </cell>
          <cell r="EC84">
            <v>-3.7549407114624511E-2</v>
          </cell>
          <cell r="EE84">
            <v>-6.5217391304347783E-2</v>
          </cell>
          <cell r="EF84">
            <v>-0.16000000000000003</v>
          </cell>
          <cell r="EG84">
            <v>-0.14898989898989912</v>
          </cell>
          <cell r="EI84">
            <v>1.3559322033898313E-2</v>
          </cell>
          <cell r="EJ84">
            <v>-0.11764705882352944</v>
          </cell>
          <cell r="EK84">
            <v>0</v>
          </cell>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A85" t="str">
            <v xml:space="preserve"> 3Q</v>
          </cell>
          <cell r="B85">
            <v>0.71023658936519096</v>
          </cell>
          <cell r="C85">
            <v>0.76917663617171028</v>
          </cell>
          <cell r="D85">
            <v>0.72495606326889273</v>
          </cell>
          <cell r="F85">
            <v>-0.26368159203980113</v>
          </cell>
          <cell r="G85">
            <v>2.4999999999999996</v>
          </cell>
          <cell r="H85">
            <v>-0.26062948647156281</v>
          </cell>
          <cell r="J85">
            <v>0.13749999999999996</v>
          </cell>
          <cell r="K85">
            <v>0.10714285714285721</v>
          </cell>
          <cell r="L85">
            <v>0.12333333333333352</v>
          </cell>
          <cell r="N85" t="str">
            <v>NM</v>
          </cell>
          <cell r="O85" t="str">
            <v>NM</v>
          </cell>
          <cell r="P85" t="str">
            <v>NM</v>
          </cell>
          <cell r="R85">
            <v>-0.14411247803163441</v>
          </cell>
          <cell r="S85">
            <v>0.14634146341463428</v>
          </cell>
          <cell r="T85">
            <v>-0.10752688172043001</v>
          </cell>
          <cell r="V85">
            <v>0.83939662821650396</v>
          </cell>
          <cell r="W85">
            <v>0.52849740932642475</v>
          </cell>
          <cell r="X85">
            <v>0.79393939393939394</v>
          </cell>
          <cell r="Z85">
            <v>-0.17999999999999994</v>
          </cell>
          <cell r="AA85">
            <v>-9.1666666666666674E-2</v>
          </cell>
          <cell r="AB85">
            <v>-0.16355489171023152</v>
          </cell>
          <cell r="AD85" t="str">
            <v>NM</v>
          </cell>
          <cell r="AE85" t="str">
            <v>NM</v>
          </cell>
          <cell r="AF85" t="str">
            <v>NM</v>
          </cell>
          <cell r="AH85" t="str">
            <v xml:space="preserve"> 3Q</v>
          </cell>
          <cell r="AI85" t="str">
            <v>NM</v>
          </cell>
          <cell r="AJ85" t="str">
            <v>NM</v>
          </cell>
          <cell r="AK85" t="str">
            <v>NM</v>
          </cell>
          <cell r="AM85" t="str">
            <v>NM</v>
          </cell>
          <cell r="AN85" t="str">
            <v>NM</v>
          </cell>
          <cell r="AO85" t="str">
            <v>NM</v>
          </cell>
          <cell r="AQ85">
            <v>9.2307692307692424E-2</v>
          </cell>
          <cell r="AR85">
            <v>0.17735042735042739</v>
          </cell>
          <cell r="AS85">
            <v>0.13869463869463883</v>
          </cell>
          <cell r="AY85">
            <v>1.4598070739549844</v>
          </cell>
          <cell r="AZ85">
            <v>0.14656381486676073</v>
          </cell>
          <cell r="BA85">
            <v>0.3816925734024188</v>
          </cell>
          <cell r="BC85">
            <v>0.33111702127659592</v>
          </cell>
          <cell r="BD85">
            <v>0.23367983367983358</v>
          </cell>
          <cell r="BE85">
            <v>0.30056069891772075</v>
          </cell>
          <cell r="BK85" t="str">
            <v>NM</v>
          </cell>
          <cell r="BL85" t="str">
            <v>NM</v>
          </cell>
          <cell r="BM85" t="str">
            <v>NM</v>
          </cell>
          <cell r="BO85">
            <v>0.33111702127659592</v>
          </cell>
          <cell r="BP85">
            <v>0.23367983367983358</v>
          </cell>
          <cell r="BQ85">
            <v>0.30056069891772075</v>
          </cell>
          <cell r="BS85" t="str">
            <v xml:space="preserve"> 3Q</v>
          </cell>
          <cell r="BT85">
            <v>0.19932998324958118</v>
          </cell>
          <cell r="BU85">
            <v>5.5680963130173122E-2</v>
          </cell>
          <cell r="BV85">
            <v>0.10020768431983385</v>
          </cell>
          <cell r="BX85">
            <v>2.9629629629629672E-2</v>
          </cell>
          <cell r="BY85">
            <v>0.20300751879699241</v>
          </cell>
          <cell r="BZ85">
            <v>7.2490706319702669E-2</v>
          </cell>
          <cell r="CB85">
            <v>3.3175355450236976E-2</v>
          </cell>
          <cell r="CC85">
            <v>-7.0000000000000007E-2</v>
          </cell>
          <cell r="CD85">
            <v>0.1187904967602591</v>
          </cell>
          <cell r="CF85" t="str">
            <v>NM</v>
          </cell>
          <cell r="CG85" t="str">
            <v>NM</v>
          </cell>
          <cell r="CH85" t="str">
            <v>NM</v>
          </cell>
          <cell r="CJ85">
            <v>-1.966292134831471E-2</v>
          </cell>
          <cell r="CK85">
            <v>1.4925373134328401E-2</v>
          </cell>
          <cell r="CL85">
            <v>-1.418439716312081E-2</v>
          </cell>
          <cell r="CN85" t="str">
            <v>NM</v>
          </cell>
          <cell r="CO85" t="str">
            <v>NM</v>
          </cell>
          <cell r="CP85" t="str">
            <v>NM</v>
          </cell>
          <cell r="CR85">
            <v>0.11949685534591192</v>
          </cell>
          <cell r="CS85">
            <v>-5.0000000000000044E-2</v>
          </cell>
          <cell r="CT85">
            <v>0.1005586592178771</v>
          </cell>
          <cell r="CV85" t="str">
            <v xml:space="preserve"> 3Q</v>
          </cell>
          <cell r="CX85">
            <v>9.4240837696334845E-2</v>
          </cell>
          <cell r="CY85">
            <v>-5.2631578947368363E-2</v>
          </cell>
          <cell r="CZ85">
            <v>5.2434456928838857E-2</v>
          </cell>
          <cell r="DB85">
            <v>4.9504950495049549E-2</v>
          </cell>
          <cell r="DC85">
            <v>-0.22222222222222232</v>
          </cell>
          <cell r="DD85">
            <v>3.7914691943127909E-2</v>
          </cell>
          <cell r="DF85" t="str">
            <v>NM</v>
          </cell>
          <cell r="DG85" t="str">
            <v>NM</v>
          </cell>
          <cell r="DH85" t="str">
            <v>NM</v>
          </cell>
          <cell r="DJ85">
            <v>0.52704402515723237</v>
          </cell>
          <cell r="DK85">
            <v>0</v>
          </cell>
          <cell r="DL85">
            <v>0.32040472175379442</v>
          </cell>
          <cell r="DN85">
            <v>0.13038878603544024</v>
          </cell>
          <cell r="DO85">
            <v>7.0535428021801794E-2</v>
          </cell>
          <cell r="DP85">
            <v>0.10333333333333328</v>
          </cell>
          <cell r="DR85" t="str">
            <v xml:space="preserve"> 3Q</v>
          </cell>
          <cell r="DS85">
            <v>-0.10888888888888881</v>
          </cell>
          <cell r="DT85">
            <v>1.8161180476730987E-2</v>
          </cell>
          <cell r="DU85">
            <v>-2.4793388429751984E-2</v>
          </cell>
          <cell r="DW85">
            <v>2.9850746268658135E-3</v>
          </cell>
          <cell r="DX85">
            <v>-2.5114155251141468E-2</v>
          </cell>
          <cell r="DY85">
            <v>-1.2936610608020538E-2</v>
          </cell>
          <cell r="EA85">
            <v>-6.6666666666666652E-2</v>
          </cell>
          <cell r="EB85">
            <v>-1.6317016317016209E-2</v>
          </cell>
          <cell r="EC85">
            <v>-2.1097046413501963E-2</v>
          </cell>
          <cell r="EE85">
            <v>0.13953488372093026</v>
          </cell>
          <cell r="EF85">
            <v>-0.11764705882352944</v>
          </cell>
          <cell r="EG85">
            <v>-8.877284595300261E-2</v>
          </cell>
          <cell r="EI85">
            <v>0.15163934426229519</v>
          </cell>
          <cell r="EJ85">
            <v>-0.16129032258064513</v>
          </cell>
          <cell r="EK85">
            <v>0.11636363636363645</v>
          </cell>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A86" t="str">
            <v xml:space="preserve"> 4Q</v>
          </cell>
          <cell r="B86">
            <v>0.5536983669548512</v>
          </cell>
          <cell r="C86">
            <v>0.65672451193058556</v>
          </cell>
          <cell r="D86">
            <v>0.5806497375514259</v>
          </cell>
          <cell r="F86">
            <v>-0.33134920634920628</v>
          </cell>
          <cell r="G86">
            <v>-0.36363636363636376</v>
          </cell>
          <cell r="H86">
            <v>-0.33152442032560425</v>
          </cell>
          <cell r="J86">
            <v>0.2554991539763114</v>
          </cell>
          <cell r="K86">
            <v>8.4063047285463988E-2</v>
          </cell>
          <cell r="L86">
            <v>0.17125645438898451</v>
          </cell>
          <cell r="N86" t="str">
            <v>NM</v>
          </cell>
          <cell r="O86" t="str">
            <v>NM</v>
          </cell>
          <cell r="P86" t="str">
            <v>NM</v>
          </cell>
          <cell r="R86">
            <v>-0.35606060606060608</v>
          </cell>
          <cell r="S86">
            <v>0.19318181818181812</v>
          </cell>
          <cell r="T86">
            <v>-0.30113636363636365</v>
          </cell>
          <cell r="V86">
            <v>0.79763560500695396</v>
          </cell>
          <cell r="W86">
            <v>0.72815533980582514</v>
          </cell>
          <cell r="X86">
            <v>0.78892944038929458</v>
          </cell>
          <cell r="Z86">
            <v>-0.14400000000000002</v>
          </cell>
          <cell r="AA86">
            <v>-0.51515151515151514</v>
          </cell>
          <cell r="AB86">
            <v>-0.22250316055625785</v>
          </cell>
          <cell r="AD86" t="str">
            <v>NM</v>
          </cell>
          <cell r="AE86" t="str">
            <v>NM</v>
          </cell>
          <cell r="AF86" t="str">
            <v>NM</v>
          </cell>
          <cell r="AH86" t="str">
            <v xml:space="preserve"> 4Q</v>
          </cell>
          <cell r="AI86" t="str">
            <v>NM</v>
          </cell>
          <cell r="AJ86" t="str">
            <v>NM</v>
          </cell>
          <cell r="AK86" t="str">
            <v>NM</v>
          </cell>
          <cell r="AM86" t="str">
            <v>NM</v>
          </cell>
          <cell r="AN86" t="str">
            <v>NM</v>
          </cell>
          <cell r="AO86" t="str">
            <v>NM</v>
          </cell>
          <cell r="AQ86">
            <v>4.8192771084337283E-2</v>
          </cell>
          <cell r="AR86">
            <v>7.6779026217228541E-2</v>
          </cell>
          <cell r="AS86">
            <v>6.427818756585868E-2</v>
          </cell>
          <cell r="AY86">
            <v>0</v>
          </cell>
          <cell r="AZ86">
            <v>0.05</v>
          </cell>
          <cell r="BA86">
            <v>0.35203574975173768</v>
          </cell>
          <cell r="BC86">
            <v>0.25496635693687919</v>
          </cell>
          <cell r="BD86">
            <v>0.16718695802982997</v>
          </cell>
          <cell r="BE86">
            <v>0.22723287671232861</v>
          </cell>
          <cell r="BK86" t="str">
            <v>NM</v>
          </cell>
          <cell r="BL86" t="str">
            <v>NM</v>
          </cell>
          <cell r="BM86" t="str">
            <v>NM</v>
          </cell>
          <cell r="BO86">
            <v>0.25496635693687919</v>
          </cell>
          <cell r="BP86">
            <v>0.16718695802982997</v>
          </cell>
          <cell r="BQ86">
            <v>0.22723287671232861</v>
          </cell>
          <cell r="BS86" t="str">
            <v xml:space="preserve"> 4Q</v>
          </cell>
          <cell r="BT86">
            <v>7.4144486692015121E-2</v>
          </cell>
          <cell r="BU86">
            <v>6.0939794419970772E-2</v>
          </cell>
          <cell r="BV86">
            <v>6.4618644067796716E-2</v>
          </cell>
          <cell r="BX86">
            <v>0.15340253748558252</v>
          </cell>
          <cell r="BY86">
            <v>0.15555555555555545</v>
          </cell>
          <cell r="BZ86">
            <v>0.15391380826737011</v>
          </cell>
          <cell r="CB86">
            <v>1.990049751243772E-2</v>
          </cell>
          <cell r="CC86">
            <v>4.844290657439454E-2</v>
          </cell>
          <cell r="CD86">
            <v>3.6734693877551017E-2</v>
          </cell>
          <cell r="CF86" t="str">
            <v>NM</v>
          </cell>
          <cell r="CG86" t="str">
            <v>NM</v>
          </cell>
          <cell r="CH86" t="str">
            <v>NM</v>
          </cell>
          <cell r="CJ86">
            <v>-6.382978723404209E-3</v>
          </cell>
          <cell r="CK86">
            <v>-5.555555555555558E-2</v>
          </cell>
          <cell r="CL86">
            <v>-1.291512915129156E-2</v>
          </cell>
          <cell r="CN86" t="str">
            <v>NM</v>
          </cell>
          <cell r="CO86" t="str">
            <v>NM</v>
          </cell>
          <cell r="CP86" t="str">
            <v>NM</v>
          </cell>
          <cell r="CR86">
            <v>-0.19999999999999996</v>
          </cell>
          <cell r="CS86">
            <v>0.11111111111111116</v>
          </cell>
          <cell r="CT86">
            <v>-0.17543859649122806</v>
          </cell>
          <cell r="CV86" t="str">
            <v xml:space="preserve"> 4Q</v>
          </cell>
          <cell r="CX86">
            <v>-0.03</v>
          </cell>
          <cell r="CY86">
            <v>0.11</v>
          </cell>
          <cell r="CZ86">
            <v>8.5043988269794646E-2</v>
          </cell>
          <cell r="DB86">
            <v>0.1258278145695364</v>
          </cell>
          <cell r="DC86">
            <v>-0.18181818181818188</v>
          </cell>
          <cell r="DD86">
            <v>0.10493827160493829</v>
          </cell>
          <cell r="DF86" t="str">
            <v>NM</v>
          </cell>
          <cell r="DG86" t="str">
            <v>NM</v>
          </cell>
          <cell r="DH86" t="str">
            <v>NM</v>
          </cell>
          <cell r="DJ86">
            <v>0.4214992927864214</v>
          </cell>
          <cell r="DK86">
            <v>0.02</v>
          </cell>
          <cell r="DL86">
            <v>0.21788341822297652</v>
          </cell>
          <cell r="DN86">
            <v>0.13322759714512289</v>
          </cell>
          <cell r="DO86">
            <v>3.4419738044471515E-2</v>
          </cell>
          <cell r="DP86">
            <v>8.7319558448910151E-2</v>
          </cell>
          <cell r="DR86" t="str">
            <v xml:space="preserve"> 4Q</v>
          </cell>
          <cell r="DS86">
            <v>0.03</v>
          </cell>
          <cell r="DT86">
            <v>0.06</v>
          </cell>
          <cell r="DU86">
            <v>8.4314941103533547E-2</v>
          </cell>
          <cell r="DW86">
            <v>9.59595959595958E-2</v>
          </cell>
          <cell r="DX86">
            <v>4.366812227074357E-3</v>
          </cell>
          <cell r="DY86">
            <v>4.6838407494145251E-2</v>
          </cell>
          <cell r="EA86">
            <v>-4.1666666666666741E-2</v>
          </cell>
          <cell r="EB86">
            <v>2.5404157043879882E-2</v>
          </cell>
          <cell r="EC86">
            <v>1.8711018711018879E-2</v>
          </cell>
          <cell r="EE86">
            <v>-0.17391304347826086</v>
          </cell>
          <cell r="EF86">
            <v>-0.10273972602739723</v>
          </cell>
          <cell r="EG86">
            <v>-0.11242603550295849</v>
          </cell>
          <cell r="EI86">
            <v>1.7064846416382284E-2</v>
          </cell>
          <cell r="EJ86">
            <v>7.6923076923076872E-2</v>
          </cell>
          <cell r="EK86">
            <v>2.1943573667711602E-2</v>
          </cell>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A88" t="str">
            <v>Year</v>
          </cell>
          <cell r="B88">
            <v>0.65006385696040869</v>
          </cell>
          <cell r="C88">
            <v>0.88635942994632644</v>
          </cell>
          <cell r="D88">
            <v>0.70850498947175677</v>
          </cell>
          <cell r="F88">
            <v>-0.16624246483590088</v>
          </cell>
          <cell r="G88">
            <v>0.5625</v>
          </cell>
          <cell r="H88">
            <v>-0.16468386579334304</v>
          </cell>
          <cell r="J88">
            <v>0.10689948892674606</v>
          </cell>
          <cell r="K88">
            <v>0.15640674874601013</v>
          </cell>
          <cell r="L88">
            <v>0.13080819202818761</v>
          </cell>
          <cell r="N88" t="str">
            <v>NM</v>
          </cell>
          <cell r="O88" t="str">
            <v>NM</v>
          </cell>
          <cell r="P88" t="str">
            <v>NM</v>
          </cell>
          <cell r="R88">
            <v>-0.17755102040816328</v>
          </cell>
          <cell r="S88">
            <v>0.13813813813813813</v>
          </cell>
          <cell r="T88">
            <v>-0.13977721882860228</v>
          </cell>
          <cell r="V88">
            <v>0.79760560198780217</v>
          </cell>
          <cell r="W88">
            <v>0.64095371669004186</v>
          </cell>
          <cell r="X88">
            <v>0.77587548638132309</v>
          </cell>
          <cell r="Z88">
            <v>-2.6072911859713832E-2</v>
          </cell>
          <cell r="AA88">
            <v>0.11283643892339557</v>
          </cell>
          <cell r="AB88">
            <v>-9.4321826070531412E-4</v>
          </cell>
          <cell r="AD88" t="str">
            <v>NM</v>
          </cell>
          <cell r="AE88" t="str">
            <v>NM</v>
          </cell>
          <cell r="AF88" t="str">
            <v>NM</v>
          </cell>
          <cell r="AH88" t="str">
            <v>Year</v>
          </cell>
          <cell r="AI88" t="str">
            <v>NM</v>
          </cell>
          <cell r="AJ88" t="str">
            <v>NM</v>
          </cell>
          <cell r="AK88" t="str">
            <v>NM</v>
          </cell>
          <cell r="AM88" t="str">
            <v>NM</v>
          </cell>
          <cell r="AN88" t="str">
            <v>NM</v>
          </cell>
          <cell r="AO88" t="str">
            <v>NM</v>
          </cell>
          <cell r="AQ88">
            <v>1.6393442622950838E-2</v>
          </cell>
          <cell r="AR88">
            <v>0.11000991080277522</v>
          </cell>
          <cell r="AS88">
            <v>6.79399727148704E-2</v>
          </cell>
          <cell r="AY88">
            <v>1.6838365896980458</v>
          </cell>
          <cell r="AZ88">
            <v>0.18575351316427113</v>
          </cell>
          <cell r="BA88">
            <v>0.41629082957496299</v>
          </cell>
          <cell r="BC88">
            <v>0.31498214414112136</v>
          </cell>
          <cell r="BD88">
            <v>0.27232871125611768</v>
          </cell>
          <cell r="BE88">
            <v>0.30134172386246938</v>
          </cell>
          <cell r="BK88" t="str">
            <v>NM</v>
          </cell>
          <cell r="BL88" t="str">
            <v>NM</v>
          </cell>
          <cell r="BM88" t="str">
            <v>NM</v>
          </cell>
          <cell r="BO88">
            <v>0.31498214414112136</v>
          </cell>
          <cell r="BP88">
            <v>0.27232871125611768</v>
          </cell>
          <cell r="BQ88">
            <v>0.30134172386246938</v>
          </cell>
          <cell r="BS88" t="str">
            <v>Year</v>
          </cell>
          <cell r="BT88">
            <v>5.6587091069849604E-2</v>
          </cell>
          <cell r="BU88">
            <v>6.6525260316236068E-2</v>
          </cell>
          <cell r="BV88">
            <v>6.3506981740064417E-2</v>
          </cell>
          <cell r="BX88">
            <v>0.11299606179945476</v>
          </cell>
          <cell r="BY88">
            <v>0.19519519519519513</v>
          </cell>
          <cell r="BZ88">
            <v>0.13209302325581418</v>
          </cell>
          <cell r="CB88">
            <v>7.2992700729925808E-3</v>
          </cell>
          <cell r="CC88">
            <v>8.4837545126353664E-2</v>
          </cell>
          <cell r="CD88">
            <v>5.1813471502590636E-2</v>
          </cell>
          <cell r="CF88" t="str">
            <v>NM</v>
          </cell>
          <cell r="CG88" t="str">
            <v>NM</v>
          </cell>
          <cell r="CH88" t="str">
            <v>NM</v>
          </cell>
          <cell r="CJ88">
            <v>1.3258897418004123E-2</v>
          </cell>
          <cell r="CK88">
            <v>3.8167938931297218E-3</v>
          </cell>
          <cell r="CL88">
            <v>1.1799410029498469E-2</v>
          </cell>
          <cell r="CN88" t="str">
            <v>NM</v>
          </cell>
          <cell r="CO88" t="str">
            <v>NM</v>
          </cell>
          <cell r="CP88" t="str">
            <v>NM</v>
          </cell>
          <cell r="CR88">
            <v>-8.0821917808219235E-2</v>
          </cell>
          <cell r="CS88">
            <v>-2.5641025641025661E-2</v>
          </cell>
          <cell r="CT88">
            <v>-7.5495049504950451E-2</v>
          </cell>
          <cell r="CV88" t="str">
            <v>Year</v>
          </cell>
          <cell r="CX88">
            <v>0.16724336793540928</v>
          </cell>
          <cell r="CY88">
            <v>0.14015151515151514</v>
          </cell>
          <cell r="CZ88">
            <v>0.16091954022988531</v>
          </cell>
          <cell r="DB88">
            <v>4.7619047619047672E-2</v>
          </cell>
          <cell r="DC88">
            <v>-3.9999999999999813E-2</v>
          </cell>
          <cell r="DD88">
            <v>4.2321644498185984E-2</v>
          </cell>
          <cell r="DF88" t="str">
            <v>NM</v>
          </cell>
          <cell r="DG88" t="str">
            <v>NM</v>
          </cell>
          <cell r="DH88" t="str">
            <v>NM</v>
          </cell>
          <cell r="DJ88">
            <v>0.55000000000000004</v>
          </cell>
          <cell r="DK88">
            <v>0.10475482912332845</v>
          </cell>
          <cell r="DL88">
            <v>0.27581227436823097</v>
          </cell>
          <cell r="DN88">
            <v>0.14070658439004546</v>
          </cell>
          <cell r="DO88">
            <v>5.3319435535599702E-2</v>
          </cell>
          <cell r="DP88">
            <v>0.10066497667070773</v>
          </cell>
          <cell r="DR88" t="str">
            <v>Year</v>
          </cell>
          <cell r="DS88">
            <v>5.006180469715682E-2</v>
          </cell>
          <cell r="DT88">
            <v>9.7792679519419501E-3</v>
          </cell>
          <cell r="DU88">
            <v>2.2320569559360903E-2</v>
          </cell>
          <cell r="DW88">
            <v>0.1029005524861879</v>
          </cell>
          <cell r="DX88">
            <v>1.6620498614958734E-3</v>
          </cell>
          <cell r="DY88">
            <v>4.6726098985552023E-2</v>
          </cell>
          <cell r="EA88">
            <v>-6.6666666666666541E-2</v>
          </cell>
          <cell r="EB88">
            <v>2.9498525073746507E-2</v>
          </cell>
          <cell r="EC88">
            <v>1.9576719576719581E-2</v>
          </cell>
          <cell r="EE88">
            <v>-2.7624309392265345E-2</v>
          </cell>
          <cell r="EF88">
            <v>-9.4808126410835247E-2</v>
          </cell>
          <cell r="EG88">
            <v>-8.6754966887417129E-2</v>
          </cell>
          <cell r="EI88">
            <v>4.1441441441441684E-2</v>
          </cell>
          <cell r="EJ88">
            <v>-9.0163934426229386E-2</v>
          </cell>
          <cell r="EK88">
            <v>2.8409090909090828E-2</v>
          </cell>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A90" t="str">
            <v>1999</v>
          </cell>
          <cell r="E90">
            <v>0</v>
          </cell>
          <cell r="I90">
            <v>0</v>
          </cell>
          <cell r="M90">
            <v>0</v>
          </cell>
          <cell r="Q90">
            <v>0</v>
          </cell>
          <cell r="U90">
            <v>0</v>
          </cell>
          <cell r="Y90">
            <v>0</v>
          </cell>
          <cell r="AH90" t="str">
            <v>1999</v>
          </cell>
          <cell r="AL90">
            <v>0</v>
          </cell>
          <cell r="AP90">
            <v>0</v>
          </cell>
          <cell r="AT90">
            <v>0</v>
          </cell>
          <cell r="AX90">
            <v>0</v>
          </cell>
          <cell r="BB90">
            <v>0</v>
          </cell>
          <cell r="BJ90">
            <v>0</v>
          </cell>
          <cell r="BS90" t="str">
            <v>1999</v>
          </cell>
          <cell r="BW90">
            <v>0</v>
          </cell>
          <cell r="CA90">
            <v>0</v>
          </cell>
          <cell r="CI90">
            <v>0</v>
          </cell>
          <cell r="CM90">
            <v>0</v>
          </cell>
          <cell r="CQ90">
            <v>0</v>
          </cell>
          <cell r="CV90" t="str">
            <v>1999</v>
          </cell>
          <cell r="CW90">
            <v>0</v>
          </cell>
          <cell r="DA90">
            <v>0</v>
          </cell>
          <cell r="DE90">
            <v>0</v>
          </cell>
          <cell r="DI90">
            <v>0</v>
          </cell>
          <cell r="DM90">
            <v>0</v>
          </cell>
          <cell r="DR90" t="str">
            <v>1999</v>
          </cell>
          <cell r="DV90">
            <v>0</v>
          </cell>
          <cell r="DZ90">
            <v>0</v>
          </cell>
          <cell r="ED90">
            <v>0</v>
          </cell>
          <cell r="EH90">
            <v>0</v>
          </cell>
          <cell r="EM90" t="str">
            <v>1999</v>
          </cell>
          <cell r="EQ90">
            <v>0</v>
          </cell>
          <cell r="EU90">
            <v>0</v>
          </cell>
          <cell r="EY90">
            <v>0</v>
          </cell>
          <cell r="FC90">
            <v>0</v>
          </cell>
        </row>
        <row r="91">
          <cell r="A91" t="str">
            <v xml:space="preserve"> 1Q</v>
          </cell>
          <cell r="B91">
            <v>532.9</v>
          </cell>
          <cell r="C91">
            <v>217.9</v>
          </cell>
          <cell r="D91">
            <v>750.8</v>
          </cell>
          <cell r="F91">
            <v>183.7</v>
          </cell>
          <cell r="G91">
            <v>0.4</v>
          </cell>
          <cell r="H91">
            <v>184.1</v>
          </cell>
          <cell r="J91">
            <v>51.6</v>
          </cell>
          <cell r="K91">
            <v>64.5</v>
          </cell>
          <cell r="L91">
            <v>116.1</v>
          </cell>
          <cell r="N91" t="str">
            <v>NM</v>
          </cell>
          <cell r="O91" t="str">
            <v>NM</v>
          </cell>
          <cell r="P91" t="str">
            <v>NM</v>
          </cell>
          <cell r="R91">
            <v>57.5</v>
          </cell>
          <cell r="S91">
            <v>8.4</v>
          </cell>
          <cell r="T91">
            <v>65.900000000000006</v>
          </cell>
          <cell r="V91">
            <v>151.6</v>
          </cell>
          <cell r="W91">
            <v>24.2</v>
          </cell>
          <cell r="X91">
            <v>175.79999999999998</v>
          </cell>
          <cell r="Z91">
            <v>112</v>
          </cell>
          <cell r="AA91">
            <v>34</v>
          </cell>
          <cell r="AB91">
            <v>146</v>
          </cell>
          <cell r="AD91" t="str">
            <v>NM</v>
          </cell>
          <cell r="AE91" t="str">
            <v>NM</v>
          </cell>
          <cell r="AF91" t="str">
            <v>NM</v>
          </cell>
          <cell r="AH91" t="str">
            <v xml:space="preserve"> 1Q</v>
          </cell>
          <cell r="AI91" t="str">
            <v>NM</v>
          </cell>
          <cell r="AJ91" t="str">
            <v>NM</v>
          </cell>
          <cell r="AK91" t="str">
            <v>NM</v>
          </cell>
          <cell r="AM91" t="str">
            <v>NM</v>
          </cell>
          <cell r="AN91" t="str">
            <v>NM</v>
          </cell>
          <cell r="AO91" t="str">
            <v>NM</v>
          </cell>
          <cell r="AQ91">
            <v>39.200000000000003</v>
          </cell>
          <cell r="AR91">
            <v>53.9</v>
          </cell>
          <cell r="AS91">
            <v>93.1</v>
          </cell>
          <cell r="AW91">
            <v>0</v>
          </cell>
          <cell r="AY91">
            <v>75.499999999999886</v>
          </cell>
          <cell r="AZ91">
            <v>202.90000000000012</v>
          </cell>
          <cell r="BA91">
            <v>278.39999999999998</v>
          </cell>
          <cell r="BC91">
            <v>1204</v>
          </cell>
          <cell r="BD91">
            <v>606.20000000000005</v>
          </cell>
          <cell r="BE91">
            <v>1810.2</v>
          </cell>
          <cell r="BK91">
            <v>0</v>
          </cell>
          <cell r="BL91">
            <v>0</v>
          </cell>
          <cell r="BM91">
            <v>0</v>
          </cell>
          <cell r="BO91">
            <v>1204</v>
          </cell>
          <cell r="BP91">
            <v>606.20000000000005</v>
          </cell>
          <cell r="BQ91">
            <v>1810.2</v>
          </cell>
          <cell r="BS91" t="str">
            <v xml:space="preserve"> 1Q</v>
          </cell>
          <cell r="BT91">
            <v>52.8</v>
          </cell>
          <cell r="BU91">
            <v>132.1</v>
          </cell>
          <cell r="BV91">
            <v>184.89999999999998</v>
          </cell>
          <cell r="BX91">
            <v>101</v>
          </cell>
          <cell r="BY91">
            <v>26.8</v>
          </cell>
          <cell r="BZ91">
            <v>127.8</v>
          </cell>
          <cell r="CB91">
            <v>19.7</v>
          </cell>
          <cell r="CC91">
            <v>30.5</v>
          </cell>
          <cell r="CD91">
            <v>50.2</v>
          </cell>
          <cell r="CF91">
            <v>41.3</v>
          </cell>
          <cell r="CG91">
            <v>0</v>
          </cell>
          <cell r="CH91">
            <v>41.3</v>
          </cell>
          <cell r="CJ91">
            <v>38.1</v>
          </cell>
          <cell r="CK91">
            <v>6.1</v>
          </cell>
          <cell r="CL91">
            <v>44.2</v>
          </cell>
          <cell r="CN91" t="str">
            <v>NM</v>
          </cell>
          <cell r="CO91" t="str">
            <v>NM</v>
          </cell>
          <cell r="CP91" t="str">
            <v>NM</v>
          </cell>
          <cell r="CR91">
            <v>15.7</v>
          </cell>
          <cell r="CS91">
            <v>0</v>
          </cell>
          <cell r="CT91">
            <v>15.7</v>
          </cell>
          <cell r="CV91" t="str">
            <v xml:space="preserve"> 1Q</v>
          </cell>
          <cell r="CX91">
            <v>27.4</v>
          </cell>
          <cell r="CY91">
            <v>7.7</v>
          </cell>
          <cell r="CZ91">
            <v>35.1</v>
          </cell>
          <cell r="DB91">
            <v>18.399999999999999</v>
          </cell>
          <cell r="DC91">
            <v>1.2</v>
          </cell>
          <cell r="DD91">
            <v>19.599999999999998</v>
          </cell>
          <cell r="DF91" t="str">
            <v>NM</v>
          </cell>
          <cell r="DG91" t="str">
            <v>NM</v>
          </cell>
          <cell r="DH91" t="str">
            <v>NM</v>
          </cell>
          <cell r="DJ91">
            <v>100.80000000000003</v>
          </cell>
          <cell r="DK91">
            <v>116.20000000000002</v>
          </cell>
          <cell r="DL91">
            <v>217.00000000000006</v>
          </cell>
          <cell r="DN91">
            <v>415.2</v>
          </cell>
          <cell r="DO91">
            <v>320.60000000000002</v>
          </cell>
          <cell r="DP91">
            <v>735.8</v>
          </cell>
          <cell r="DR91" t="str">
            <v xml:space="preserve"> 1Q</v>
          </cell>
          <cell r="DS91">
            <v>29.2</v>
          </cell>
          <cell r="DT91">
            <v>89.6</v>
          </cell>
          <cell r="DU91">
            <v>118.8</v>
          </cell>
          <cell r="DW91">
            <v>37.700000000000003</v>
          </cell>
          <cell r="DX91">
            <v>42.7</v>
          </cell>
          <cell r="DY91">
            <v>80.400000000000006</v>
          </cell>
          <cell r="EA91">
            <v>4.7</v>
          </cell>
          <cell r="EB91">
            <v>43.9</v>
          </cell>
          <cell r="EC91">
            <v>48.6</v>
          </cell>
          <cell r="EE91">
            <v>4.5999999999999996</v>
          </cell>
          <cell r="EF91">
            <v>34.700000000000003</v>
          </cell>
          <cell r="EG91">
            <v>39.300000000000004</v>
          </cell>
          <cell r="EI91">
            <v>27.8</v>
          </cell>
          <cell r="EJ91">
            <v>2.7</v>
          </cell>
          <cell r="EK91">
            <v>30.5</v>
          </cell>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A92" t="str">
            <v xml:space="preserve"> 2Q</v>
          </cell>
          <cell r="B92">
            <v>641.5</v>
          </cell>
          <cell r="C92">
            <v>244.4</v>
          </cell>
          <cell r="D92">
            <v>885.9</v>
          </cell>
          <cell r="F92">
            <v>170.7</v>
          </cell>
          <cell r="G92">
            <v>0.7</v>
          </cell>
          <cell r="H92">
            <v>171.39999999999998</v>
          </cell>
          <cell r="J92">
            <v>61.3</v>
          </cell>
          <cell r="K92">
            <v>65.2</v>
          </cell>
          <cell r="L92">
            <v>126.5</v>
          </cell>
          <cell r="N92" t="str">
            <v>NM</v>
          </cell>
          <cell r="O92" t="str">
            <v>NM</v>
          </cell>
          <cell r="P92" t="str">
            <v>NM</v>
          </cell>
          <cell r="R92">
            <v>44.3</v>
          </cell>
          <cell r="S92">
            <v>9.6</v>
          </cell>
          <cell r="T92">
            <v>53.9</v>
          </cell>
          <cell r="V92">
            <v>178.4</v>
          </cell>
          <cell r="W92">
            <v>27.7</v>
          </cell>
          <cell r="X92">
            <v>206.1</v>
          </cell>
          <cell r="Z92">
            <v>112.9</v>
          </cell>
          <cell r="AA92">
            <v>35.700000000000003</v>
          </cell>
          <cell r="AB92">
            <v>148.60000000000002</v>
          </cell>
          <cell r="AD92" t="str">
            <v>NM</v>
          </cell>
          <cell r="AE92" t="str">
            <v>NM</v>
          </cell>
          <cell r="AF92" t="str">
            <v>NM</v>
          </cell>
          <cell r="AH92" t="str">
            <v xml:space="preserve"> 2Q</v>
          </cell>
          <cell r="AI92" t="str">
            <v>NM</v>
          </cell>
          <cell r="AJ92" t="str">
            <v>NM</v>
          </cell>
          <cell r="AK92" t="str">
            <v>NM</v>
          </cell>
          <cell r="AM92" t="str">
            <v>NM</v>
          </cell>
          <cell r="AN92" t="str">
            <v>NM</v>
          </cell>
          <cell r="AO92" t="str">
            <v>NM</v>
          </cell>
          <cell r="AQ92">
            <v>42.1</v>
          </cell>
          <cell r="AR92">
            <v>57.5</v>
          </cell>
          <cell r="AS92">
            <v>99.6</v>
          </cell>
          <cell r="AW92">
            <v>0</v>
          </cell>
          <cell r="AY92">
            <v>63.200000000000273</v>
          </cell>
          <cell r="AZ92">
            <v>182.4</v>
          </cell>
          <cell r="BA92">
            <v>245.60000000000028</v>
          </cell>
          <cell r="BC92">
            <v>1314.4</v>
          </cell>
          <cell r="BD92">
            <v>623.20000000000005</v>
          </cell>
          <cell r="BE92">
            <v>1937.6000000000001</v>
          </cell>
          <cell r="BK92">
            <v>0</v>
          </cell>
          <cell r="BL92">
            <v>0</v>
          </cell>
          <cell r="BM92">
            <v>0</v>
          </cell>
          <cell r="BO92">
            <v>1314.4</v>
          </cell>
          <cell r="BP92">
            <v>623.20000000000005</v>
          </cell>
          <cell r="BQ92">
            <v>1937.6000000000001</v>
          </cell>
          <cell r="BS92" t="str">
            <v xml:space="preserve"> 2Q</v>
          </cell>
          <cell r="BT92">
            <v>58.1</v>
          </cell>
          <cell r="BU92">
            <v>136.19999999999999</v>
          </cell>
          <cell r="BV92">
            <v>194.29999999999998</v>
          </cell>
          <cell r="BX92">
            <v>83</v>
          </cell>
          <cell r="BY92">
            <v>29.4</v>
          </cell>
          <cell r="BZ92">
            <v>112.4</v>
          </cell>
          <cell r="CB92">
            <v>20.8</v>
          </cell>
          <cell r="CC92">
            <v>29.4</v>
          </cell>
          <cell r="CD92">
            <v>50.2</v>
          </cell>
          <cell r="CF92">
            <v>43.7</v>
          </cell>
          <cell r="CG92">
            <v>3</v>
          </cell>
          <cell r="CH92">
            <v>46.7</v>
          </cell>
          <cell r="CJ92">
            <v>25.5</v>
          </cell>
          <cell r="CK92">
            <v>6.6</v>
          </cell>
          <cell r="CL92">
            <v>32.1</v>
          </cell>
          <cell r="CN92" t="str">
            <v>NM</v>
          </cell>
          <cell r="CO92" t="str">
            <v>NM</v>
          </cell>
          <cell r="CP92" t="str">
            <v>NM</v>
          </cell>
          <cell r="CR92">
            <v>16.8</v>
          </cell>
          <cell r="CS92">
            <v>3.7</v>
          </cell>
          <cell r="CT92">
            <v>20.5</v>
          </cell>
          <cell r="CV92" t="str">
            <v xml:space="preserve"> 2Q</v>
          </cell>
          <cell r="CX92">
            <v>23.5</v>
          </cell>
          <cell r="CY92">
            <v>7.6</v>
          </cell>
          <cell r="CZ92">
            <v>31.1</v>
          </cell>
          <cell r="DB92">
            <v>24.8</v>
          </cell>
          <cell r="DC92">
            <v>2</v>
          </cell>
          <cell r="DD92">
            <v>26.8</v>
          </cell>
          <cell r="DF92" t="str">
            <v>NM</v>
          </cell>
          <cell r="DG92" t="str">
            <v>NM</v>
          </cell>
          <cell r="DH92" t="str">
            <v>NM</v>
          </cell>
          <cell r="DJ92">
            <v>114.69999999999996</v>
          </cell>
          <cell r="DK92">
            <v>101.70000000000002</v>
          </cell>
          <cell r="DL92">
            <v>216.39999999999998</v>
          </cell>
          <cell r="DN92">
            <v>410.9</v>
          </cell>
          <cell r="DO92">
            <v>319.60000000000002</v>
          </cell>
          <cell r="DP92">
            <v>730.5</v>
          </cell>
          <cell r="DR92" t="str">
            <v xml:space="preserve"> 2Q</v>
          </cell>
          <cell r="DS92">
            <v>22.3</v>
          </cell>
          <cell r="DT92">
            <v>85.5</v>
          </cell>
          <cell r="DU92">
            <v>107.8</v>
          </cell>
          <cell r="DW92">
            <v>45</v>
          </cell>
          <cell r="DX92">
            <v>49.4</v>
          </cell>
          <cell r="DY92">
            <v>94.4</v>
          </cell>
          <cell r="EA92">
            <v>4.7</v>
          </cell>
          <cell r="EB92">
            <v>44</v>
          </cell>
          <cell r="EC92">
            <v>48.7</v>
          </cell>
          <cell r="EE92">
            <v>4.3</v>
          </cell>
          <cell r="EF92">
            <v>29.4</v>
          </cell>
          <cell r="EG92">
            <v>33.699999999999996</v>
          </cell>
          <cell r="EI92">
            <v>29.9</v>
          </cell>
          <cell r="EJ92">
            <v>3</v>
          </cell>
          <cell r="EK92">
            <v>32.9</v>
          </cell>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A93" t="str">
            <v xml:space="preserve"> 3Q</v>
          </cell>
          <cell r="B93">
            <v>730.1</v>
          </cell>
          <cell r="C93">
            <v>251.4</v>
          </cell>
          <cell r="D93">
            <v>981.5</v>
          </cell>
          <cell r="F93">
            <v>133.19999999999999</v>
          </cell>
          <cell r="G93">
            <v>0.7</v>
          </cell>
          <cell r="H93">
            <v>133.89999999999998</v>
          </cell>
          <cell r="J93">
            <v>72.8</v>
          </cell>
          <cell r="K93">
            <v>62</v>
          </cell>
          <cell r="L93">
            <v>134.80000000000001</v>
          </cell>
          <cell r="N93" t="str">
            <v>NM</v>
          </cell>
          <cell r="O93" t="str">
            <v>NM</v>
          </cell>
          <cell r="P93" t="str">
            <v>NM</v>
          </cell>
          <cell r="R93">
            <v>48.7</v>
          </cell>
          <cell r="S93">
            <v>9.4</v>
          </cell>
          <cell r="T93">
            <v>58.1</v>
          </cell>
          <cell r="V93">
            <v>207.3</v>
          </cell>
          <cell r="W93">
            <v>29.5</v>
          </cell>
          <cell r="X93">
            <v>236.8</v>
          </cell>
          <cell r="Z93">
            <v>90.2</v>
          </cell>
          <cell r="AA93">
            <v>21.8</v>
          </cell>
          <cell r="AB93">
            <v>112</v>
          </cell>
          <cell r="AD93" t="str">
            <v>NM</v>
          </cell>
          <cell r="AE93" t="str">
            <v>NM</v>
          </cell>
          <cell r="AF93" t="str">
            <v>NM</v>
          </cell>
          <cell r="AH93" t="str">
            <v xml:space="preserve"> 3Q</v>
          </cell>
          <cell r="AI93" t="str">
            <v>NM</v>
          </cell>
          <cell r="AJ93" t="str">
            <v>NM</v>
          </cell>
          <cell r="AK93" t="str">
            <v>NM</v>
          </cell>
          <cell r="AM93" t="str">
            <v>NM</v>
          </cell>
          <cell r="AN93" t="str">
            <v>NM</v>
          </cell>
          <cell r="AO93" t="str">
            <v>NM</v>
          </cell>
          <cell r="AQ93">
            <v>42.6</v>
          </cell>
          <cell r="AR93">
            <v>55.1</v>
          </cell>
          <cell r="AS93">
            <v>97.7</v>
          </cell>
          <cell r="AW93">
            <v>0</v>
          </cell>
          <cell r="AY93">
            <v>76.500000000000114</v>
          </cell>
          <cell r="AZ93">
            <v>163.50000000000003</v>
          </cell>
          <cell r="BA93">
            <v>240.00000000000014</v>
          </cell>
          <cell r="BC93">
            <v>1401.4</v>
          </cell>
          <cell r="BD93">
            <v>593.4</v>
          </cell>
          <cell r="BE93">
            <v>1994.8000000000002</v>
          </cell>
          <cell r="BK93">
            <v>0</v>
          </cell>
          <cell r="BL93">
            <v>0</v>
          </cell>
          <cell r="BM93">
            <v>0</v>
          </cell>
          <cell r="BO93">
            <v>1401.4</v>
          </cell>
          <cell r="BP93">
            <v>593.4</v>
          </cell>
          <cell r="BQ93">
            <v>1994.8000000000002</v>
          </cell>
          <cell r="BS93" t="str">
            <v xml:space="preserve"> 3Q</v>
          </cell>
          <cell r="BT93">
            <v>71.599999999999994</v>
          </cell>
          <cell r="BU93">
            <v>140.30000000000001</v>
          </cell>
          <cell r="BV93">
            <v>211.9</v>
          </cell>
          <cell r="BX93">
            <v>83.4</v>
          </cell>
          <cell r="BY93">
            <v>32</v>
          </cell>
          <cell r="BZ93">
            <v>115.4</v>
          </cell>
          <cell r="CB93">
            <v>21.8</v>
          </cell>
          <cell r="CC93">
            <v>30</v>
          </cell>
          <cell r="CD93">
            <v>51.8</v>
          </cell>
          <cell r="CF93">
            <v>34.4</v>
          </cell>
          <cell r="CG93">
            <v>1.5</v>
          </cell>
          <cell r="CH93">
            <v>35.9</v>
          </cell>
          <cell r="CJ93">
            <v>34.9</v>
          </cell>
          <cell r="CK93">
            <v>6.8</v>
          </cell>
          <cell r="CL93">
            <v>41.699999999999996</v>
          </cell>
          <cell r="CN93" t="str">
            <v>NM</v>
          </cell>
          <cell r="CO93" t="str">
            <v>NM</v>
          </cell>
          <cell r="CP93" t="str">
            <v>NM</v>
          </cell>
          <cell r="CR93">
            <v>17.8</v>
          </cell>
          <cell r="CS93">
            <v>1.9</v>
          </cell>
          <cell r="CT93">
            <v>19.7</v>
          </cell>
          <cell r="CV93" t="str">
            <v xml:space="preserve"> 3Q</v>
          </cell>
          <cell r="CX93">
            <v>20.9</v>
          </cell>
          <cell r="CY93">
            <v>7.2</v>
          </cell>
          <cell r="CZ93">
            <v>28.099999999999998</v>
          </cell>
          <cell r="DB93">
            <v>21.2</v>
          </cell>
          <cell r="DC93">
            <v>0.7</v>
          </cell>
          <cell r="DD93">
            <v>21.9</v>
          </cell>
          <cell r="DF93" t="str">
            <v>NM</v>
          </cell>
          <cell r="DG93" t="str">
            <v>NM</v>
          </cell>
          <cell r="DH93" t="str">
            <v>NM</v>
          </cell>
          <cell r="DJ93">
            <v>121.40000000000003</v>
          </cell>
          <cell r="DK93">
            <v>113.5</v>
          </cell>
          <cell r="DL93">
            <v>234.90000000000003</v>
          </cell>
          <cell r="DN93">
            <v>427.4</v>
          </cell>
          <cell r="DO93">
            <v>333.9</v>
          </cell>
          <cell r="DP93">
            <v>761.3</v>
          </cell>
          <cell r="DR93" t="str">
            <v xml:space="preserve"> 3Q</v>
          </cell>
          <cell r="DS93">
            <v>40.1</v>
          </cell>
          <cell r="DT93">
            <v>89.7</v>
          </cell>
          <cell r="DU93">
            <v>129.80000000000001</v>
          </cell>
          <cell r="DW93">
            <v>33.6</v>
          </cell>
          <cell r="DX93">
            <v>42.7</v>
          </cell>
          <cell r="DY93">
            <v>76.300000000000011</v>
          </cell>
          <cell r="EA93">
            <v>4.2</v>
          </cell>
          <cell r="EB93">
            <v>42.2</v>
          </cell>
          <cell r="EC93">
            <v>46.400000000000006</v>
          </cell>
          <cell r="EE93">
            <v>4.9000000000000004</v>
          </cell>
          <cell r="EF93">
            <v>30</v>
          </cell>
          <cell r="EG93">
            <v>34.9</v>
          </cell>
          <cell r="EI93">
            <v>28.1</v>
          </cell>
          <cell r="EJ93">
            <v>2.6</v>
          </cell>
          <cell r="EK93">
            <v>30.700000000000003</v>
          </cell>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A94" t="str">
            <v xml:space="preserve"> 4Q</v>
          </cell>
          <cell r="B94">
            <v>808.7</v>
          </cell>
          <cell r="C94">
            <v>305.5</v>
          </cell>
          <cell r="D94">
            <v>1114.2</v>
          </cell>
          <cell r="F94">
            <v>134.80000000000001</v>
          </cell>
          <cell r="G94">
            <v>0.7</v>
          </cell>
          <cell r="H94">
            <v>135.5</v>
          </cell>
          <cell r="J94">
            <v>74.2</v>
          </cell>
          <cell r="K94">
            <v>61.9</v>
          </cell>
          <cell r="L94">
            <v>136.1</v>
          </cell>
          <cell r="N94" t="str">
            <v>NM</v>
          </cell>
          <cell r="O94" t="str">
            <v>NM</v>
          </cell>
          <cell r="P94" t="str">
            <v>NM</v>
          </cell>
          <cell r="R94">
            <v>51</v>
          </cell>
          <cell r="S94">
            <v>10.5</v>
          </cell>
          <cell r="T94">
            <v>61.5</v>
          </cell>
          <cell r="V94">
            <v>258.5</v>
          </cell>
          <cell r="W94">
            <v>35.6</v>
          </cell>
          <cell r="X94">
            <v>294.10000000000002</v>
          </cell>
          <cell r="Z94">
            <v>107</v>
          </cell>
          <cell r="AA94">
            <v>16</v>
          </cell>
          <cell r="AB94">
            <v>123</v>
          </cell>
          <cell r="AD94" t="str">
            <v>NM</v>
          </cell>
          <cell r="AE94" t="str">
            <v>NM</v>
          </cell>
          <cell r="AF94" t="str">
            <v>NM</v>
          </cell>
          <cell r="AH94" t="str">
            <v xml:space="preserve"> 4Q</v>
          </cell>
          <cell r="AI94" t="str">
            <v>NM</v>
          </cell>
          <cell r="AJ94" t="str">
            <v>NM</v>
          </cell>
          <cell r="AK94" t="str">
            <v>NM</v>
          </cell>
          <cell r="AM94" t="str">
            <v>NM</v>
          </cell>
          <cell r="AN94" t="str">
            <v>NM</v>
          </cell>
          <cell r="AO94" t="str">
            <v>NM</v>
          </cell>
          <cell r="AQ94">
            <v>43.5</v>
          </cell>
          <cell r="AR94">
            <v>57.5</v>
          </cell>
          <cell r="AS94">
            <v>101</v>
          </cell>
          <cell r="AU94">
            <v>2</v>
          </cell>
          <cell r="AV94">
            <v>0</v>
          </cell>
          <cell r="AW94">
            <v>2</v>
          </cell>
          <cell r="AY94">
            <v>87</v>
          </cell>
          <cell r="AZ94">
            <v>185.3</v>
          </cell>
          <cell r="BA94">
            <v>272.3</v>
          </cell>
          <cell r="BC94">
            <v>1566.7</v>
          </cell>
          <cell r="BD94">
            <v>673</v>
          </cell>
          <cell r="BE94">
            <v>2239.6999999999998</v>
          </cell>
          <cell r="BK94">
            <v>0</v>
          </cell>
          <cell r="BL94">
            <v>0</v>
          </cell>
          <cell r="BM94">
            <v>0</v>
          </cell>
          <cell r="BO94">
            <v>1566.7</v>
          </cell>
          <cell r="BP94">
            <v>673</v>
          </cell>
          <cell r="BQ94">
            <v>2239.6999999999998</v>
          </cell>
          <cell r="BS94" t="str">
            <v xml:space="preserve"> 4Q</v>
          </cell>
          <cell r="BT94">
            <v>56.5</v>
          </cell>
          <cell r="BU94">
            <v>144.5</v>
          </cell>
          <cell r="BV94">
            <v>201</v>
          </cell>
          <cell r="BX94">
            <v>100</v>
          </cell>
          <cell r="BY94">
            <v>31.2</v>
          </cell>
          <cell r="BZ94">
            <v>131.19999999999999</v>
          </cell>
          <cell r="CB94">
            <v>20.5</v>
          </cell>
          <cell r="CC94">
            <v>30.3</v>
          </cell>
          <cell r="CD94">
            <v>50.8</v>
          </cell>
          <cell r="CF94">
            <v>41.3</v>
          </cell>
          <cell r="CG94">
            <v>1.6</v>
          </cell>
          <cell r="CH94">
            <v>42.9</v>
          </cell>
          <cell r="CJ94">
            <v>46.7</v>
          </cell>
          <cell r="CK94">
            <v>6.8</v>
          </cell>
          <cell r="CL94">
            <v>53.5</v>
          </cell>
          <cell r="CN94" t="str">
            <v>NM</v>
          </cell>
          <cell r="CO94" t="str">
            <v>NM</v>
          </cell>
          <cell r="CP94" t="str">
            <v>NM</v>
          </cell>
          <cell r="CR94">
            <v>16.8</v>
          </cell>
          <cell r="CS94">
            <v>2</v>
          </cell>
          <cell r="CT94">
            <v>18.8</v>
          </cell>
          <cell r="CV94" t="str">
            <v xml:space="preserve"> 4Q</v>
          </cell>
          <cell r="CX94">
            <v>29.4</v>
          </cell>
          <cell r="CY94">
            <v>7.6</v>
          </cell>
          <cell r="CZ94">
            <v>37</v>
          </cell>
          <cell r="DB94">
            <v>17</v>
          </cell>
          <cell r="DC94">
            <v>0.9</v>
          </cell>
          <cell r="DD94">
            <v>17.899999999999999</v>
          </cell>
          <cell r="DF94" t="str">
            <v>NM</v>
          </cell>
          <cell r="DG94" t="str">
            <v>NM</v>
          </cell>
          <cell r="DH94" t="str">
            <v>NM</v>
          </cell>
          <cell r="DJ94">
            <v>100.5</v>
          </cell>
          <cell r="DK94">
            <v>114.69999999999999</v>
          </cell>
          <cell r="DL94">
            <v>215.2</v>
          </cell>
          <cell r="DN94">
            <v>428.7</v>
          </cell>
          <cell r="DO94">
            <v>339.6</v>
          </cell>
          <cell r="DP94">
            <v>768.3</v>
          </cell>
          <cell r="DR94" t="str">
            <v xml:space="preserve"> 4Q</v>
          </cell>
          <cell r="DS94">
            <v>78.3</v>
          </cell>
          <cell r="DT94">
            <v>96.6</v>
          </cell>
          <cell r="DU94">
            <v>174.89999999999998</v>
          </cell>
          <cell r="DW94">
            <v>43.4</v>
          </cell>
          <cell r="DX94">
            <v>46</v>
          </cell>
          <cell r="DY94">
            <v>89.4</v>
          </cell>
          <cell r="EA94">
            <v>4.5999999999999996</v>
          </cell>
          <cell r="EB94">
            <v>44.4</v>
          </cell>
          <cell r="EC94">
            <v>49</v>
          </cell>
          <cell r="EE94">
            <v>3.8</v>
          </cell>
          <cell r="EF94">
            <v>26.2</v>
          </cell>
          <cell r="EG94">
            <v>30</v>
          </cell>
          <cell r="EI94">
            <v>29.8</v>
          </cell>
          <cell r="EJ94">
            <v>2.8</v>
          </cell>
          <cell r="EK94">
            <v>32.6</v>
          </cell>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A96" t="str">
            <v>Year</v>
          </cell>
          <cell r="B96">
            <v>2713.2</v>
          </cell>
          <cell r="C96">
            <v>1019.2</v>
          </cell>
          <cell r="D96">
            <v>3732.3999999999996</v>
          </cell>
          <cell r="F96">
            <v>622.4</v>
          </cell>
          <cell r="G96">
            <v>2.5</v>
          </cell>
          <cell r="H96">
            <v>624.9</v>
          </cell>
          <cell r="J96">
            <v>259.89999999999998</v>
          </cell>
          <cell r="K96">
            <v>253.6</v>
          </cell>
          <cell r="L96">
            <v>513.5</v>
          </cell>
          <cell r="N96" t="str">
            <v>NM</v>
          </cell>
          <cell r="O96" t="str">
            <v>NM</v>
          </cell>
          <cell r="P96" t="str">
            <v>NM</v>
          </cell>
          <cell r="R96">
            <v>201.5</v>
          </cell>
          <cell r="S96">
            <v>37.9</v>
          </cell>
          <cell r="T96">
            <v>239.4</v>
          </cell>
          <cell r="V96">
            <v>795.8</v>
          </cell>
          <cell r="W96">
            <v>117</v>
          </cell>
          <cell r="X96">
            <v>912.80000000000007</v>
          </cell>
          <cell r="Z96">
            <v>422.1</v>
          </cell>
          <cell r="AA96">
            <v>107.5</v>
          </cell>
          <cell r="AB96">
            <v>529.6</v>
          </cell>
          <cell r="AD96" t="str">
            <v>NM</v>
          </cell>
          <cell r="AE96" t="str">
            <v>NM</v>
          </cell>
          <cell r="AF96" t="str">
            <v>NM</v>
          </cell>
          <cell r="AH96" t="str">
            <v>Year</v>
          </cell>
          <cell r="AI96" t="str">
            <v>NM</v>
          </cell>
          <cell r="AJ96" t="str">
            <v>NM</v>
          </cell>
          <cell r="AK96" t="str">
            <v>NM</v>
          </cell>
          <cell r="AM96" t="str">
            <v>NM</v>
          </cell>
          <cell r="AN96" t="str">
            <v>NM</v>
          </cell>
          <cell r="AO96" t="str">
            <v>NM</v>
          </cell>
          <cell r="AQ96">
            <v>167.4</v>
          </cell>
          <cell r="AR96">
            <v>224</v>
          </cell>
          <cell r="AS96">
            <v>391.4</v>
          </cell>
          <cell r="AU96">
            <v>2</v>
          </cell>
          <cell r="AV96">
            <v>0</v>
          </cell>
          <cell r="AW96">
            <v>2</v>
          </cell>
          <cell r="AY96">
            <v>302.20000000000027</v>
          </cell>
          <cell r="AZ96">
            <v>734.10000000000014</v>
          </cell>
          <cell r="BA96">
            <v>1036.3000000000004</v>
          </cell>
          <cell r="BC96">
            <v>5486.5</v>
          </cell>
          <cell r="BD96">
            <v>2495.8000000000002</v>
          </cell>
          <cell r="BE96">
            <v>7982.3</v>
          </cell>
          <cell r="BK96">
            <v>0</v>
          </cell>
          <cell r="BL96">
            <v>0</v>
          </cell>
          <cell r="BM96">
            <v>0</v>
          </cell>
          <cell r="BO96">
            <v>5486.5</v>
          </cell>
          <cell r="BP96">
            <v>2495.8000000000002</v>
          </cell>
          <cell r="BQ96">
            <v>7982.3</v>
          </cell>
          <cell r="BS96" t="str">
            <v>Year</v>
          </cell>
          <cell r="BT96">
            <v>239</v>
          </cell>
          <cell r="BU96">
            <v>553.09999999999991</v>
          </cell>
          <cell r="BV96">
            <v>792.09999999999991</v>
          </cell>
          <cell r="BX96">
            <v>367.4</v>
          </cell>
          <cell r="BY96">
            <v>119.4</v>
          </cell>
          <cell r="BZ96">
            <v>486.8</v>
          </cell>
          <cell r="CB96">
            <v>82.8</v>
          </cell>
          <cell r="CC96">
            <v>120.2</v>
          </cell>
          <cell r="CD96">
            <v>203</v>
          </cell>
          <cell r="CF96">
            <v>160.69999999999999</v>
          </cell>
          <cell r="CG96">
            <v>6.1</v>
          </cell>
          <cell r="CH96">
            <v>166.8</v>
          </cell>
          <cell r="CJ96">
            <v>145.19999999999999</v>
          </cell>
          <cell r="CK96">
            <v>26.3</v>
          </cell>
          <cell r="CL96">
            <v>171.5</v>
          </cell>
          <cell r="CN96" t="str">
            <v>NM</v>
          </cell>
          <cell r="CO96" t="str">
            <v>NM</v>
          </cell>
          <cell r="CP96" t="str">
            <v>NM</v>
          </cell>
          <cell r="CR96">
            <v>67.099999999999994</v>
          </cell>
          <cell r="CS96">
            <v>7.6</v>
          </cell>
          <cell r="CT96">
            <v>74.7</v>
          </cell>
          <cell r="CV96" t="str">
            <v>Year</v>
          </cell>
          <cell r="CX96">
            <v>101.19999999999999</v>
          </cell>
          <cell r="CY96">
            <v>30.1</v>
          </cell>
          <cell r="CZ96">
            <v>131.30000000000001</v>
          </cell>
          <cell r="DB96">
            <v>81.400000000000006</v>
          </cell>
          <cell r="DC96">
            <v>4.8000000000000007</v>
          </cell>
          <cell r="DD96">
            <v>86.199999999999989</v>
          </cell>
          <cell r="DF96" t="str">
            <v>NM</v>
          </cell>
          <cell r="DG96" t="str">
            <v>NM</v>
          </cell>
          <cell r="DH96" t="str">
            <v>NM</v>
          </cell>
          <cell r="DJ96">
            <v>437.40000000000003</v>
          </cell>
          <cell r="DK96">
            <v>446.1</v>
          </cell>
          <cell r="DL96">
            <v>883.5</v>
          </cell>
          <cell r="DN96">
            <v>1682.2</v>
          </cell>
          <cell r="DO96">
            <v>1313.7</v>
          </cell>
          <cell r="DP96">
            <v>2995.8999999999996</v>
          </cell>
          <cell r="DR96" t="str">
            <v>Year</v>
          </cell>
          <cell r="DS96">
            <v>169.89999999999998</v>
          </cell>
          <cell r="DT96">
            <v>361.4</v>
          </cell>
          <cell r="DU96">
            <v>531.29999999999995</v>
          </cell>
          <cell r="DW96">
            <v>159.70000000000002</v>
          </cell>
          <cell r="DX96">
            <v>180.8</v>
          </cell>
          <cell r="DY96">
            <v>340.5</v>
          </cell>
          <cell r="EA96">
            <v>18.200000000000003</v>
          </cell>
          <cell r="EB96">
            <v>174.50000000000003</v>
          </cell>
          <cell r="EC96">
            <v>192.70000000000002</v>
          </cell>
          <cell r="EE96">
            <v>17.599999999999998</v>
          </cell>
          <cell r="EF96">
            <v>120.3</v>
          </cell>
          <cell r="EG96">
            <v>137.9</v>
          </cell>
          <cell r="EI96">
            <v>115.60000000000001</v>
          </cell>
          <cell r="EJ96">
            <v>11.100000000000001</v>
          </cell>
          <cell r="EK96">
            <v>126.69999999999999</v>
          </cell>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A98" t="str">
            <v>2000E/99</v>
          </cell>
          <cell r="AH98" t="str">
            <v>2000E/99</v>
          </cell>
          <cell r="BS98" t="str">
            <v>2000E/99</v>
          </cell>
          <cell r="CV98" t="str">
            <v>2000E/99</v>
          </cell>
          <cell r="DR98" t="str">
            <v>2000E/99</v>
          </cell>
          <cell r="EM98" t="str">
            <v>2000E/99</v>
          </cell>
        </row>
        <row r="99">
          <cell r="A99" t="str">
            <v xml:space="preserve"> 1QA</v>
          </cell>
          <cell r="B99">
            <v>0.49502720960780655</v>
          </cell>
          <cell r="C99">
            <v>0.37723726480036723</v>
          </cell>
          <cell r="D99">
            <v>0.46084176877996841</v>
          </cell>
          <cell r="F99">
            <v>-0.43984757757212845</v>
          </cell>
          <cell r="G99">
            <v>0.25</v>
          </cell>
          <cell r="H99">
            <v>-0.43834872351982612</v>
          </cell>
          <cell r="J99">
            <v>0.35852713178294549</v>
          </cell>
          <cell r="K99">
            <v>-7.906976744186045E-2</v>
          </cell>
          <cell r="L99">
            <v>0.1154177433247201</v>
          </cell>
          <cell r="R99">
            <v>-0.14086956521739136</v>
          </cell>
          <cell r="S99">
            <v>4.7619047619047672E-2</v>
          </cell>
          <cell r="T99">
            <v>-0.11684370257966614</v>
          </cell>
          <cell r="V99">
            <v>0.74736147757255922</v>
          </cell>
          <cell r="W99">
            <v>0.49173553719008267</v>
          </cell>
          <cell r="X99">
            <v>0.71217292377701957</v>
          </cell>
          <cell r="Z99">
            <v>-9.1071428571428581E-2</v>
          </cell>
          <cell r="AA99">
            <v>-0.7382352941176471</v>
          </cell>
          <cell r="AB99">
            <v>-0.24178082191780825</v>
          </cell>
          <cell r="AH99" t="str">
            <v xml:space="preserve"> 1QA</v>
          </cell>
          <cell r="AQ99">
            <v>8.1632653061224358E-2</v>
          </cell>
          <cell r="AR99">
            <v>8.7198515769944418E-2</v>
          </cell>
          <cell r="AS99">
            <v>8.4854994629430802E-2</v>
          </cell>
          <cell r="AY99">
            <v>0.14304635761589513</v>
          </cell>
          <cell r="AZ99">
            <v>-0.15130606209955666</v>
          </cell>
          <cell r="BA99">
            <v>-7.147988505747116E-2</v>
          </cell>
          <cell r="BC99">
            <v>0.25789036544850497</v>
          </cell>
          <cell r="BD99">
            <v>6.3345430550973303E-2</v>
          </cell>
          <cell r="BE99">
            <v>0.19274113357640021</v>
          </cell>
          <cell r="BK99" t="str">
            <v>NA</v>
          </cell>
          <cell r="BL99" t="str">
            <v>NA</v>
          </cell>
          <cell r="BM99" t="str">
            <v>NA</v>
          </cell>
          <cell r="BO99">
            <v>0.25789036544850497</v>
          </cell>
          <cell r="BP99">
            <v>6.3345430550973303E-2</v>
          </cell>
          <cell r="BQ99">
            <v>0.19274113357640021</v>
          </cell>
          <cell r="BS99" t="str">
            <v xml:space="preserve"> 1QA</v>
          </cell>
          <cell r="BT99">
            <v>-2.6515151515151492E-2</v>
          </cell>
          <cell r="BU99">
            <v>1.2112036336108911E-2</v>
          </cell>
          <cell r="BV99">
            <v>1.0816657652785722E-3</v>
          </cell>
          <cell r="BX99">
            <v>-5.0495049504950429E-2</v>
          </cell>
          <cell r="BY99">
            <v>0.22761194029850729</v>
          </cell>
          <cell r="BZ99">
            <v>7.8247261345854024E-3</v>
          </cell>
          <cell r="CB99">
            <v>5.0761421319796884E-2</v>
          </cell>
          <cell r="CC99">
            <v>0</v>
          </cell>
          <cell r="CD99">
            <v>1.9920318725099584E-2</v>
          </cell>
          <cell r="CF99">
            <v>-0.26876513317191275</v>
          </cell>
          <cell r="CG99" t="str">
            <v>NA</v>
          </cell>
          <cell r="CH99">
            <v>-0.23002421307506049</v>
          </cell>
          <cell r="CJ99">
            <v>8.9238845144356871E-2</v>
          </cell>
          <cell r="CK99">
            <v>-3.2786885245901565E-2</v>
          </cell>
          <cell r="CL99">
            <v>7.2398190045248834E-2</v>
          </cell>
          <cell r="CR99">
            <v>0.11464968152866239</v>
          </cell>
          <cell r="CS99" t="str">
            <v>NA</v>
          </cell>
          <cell r="CT99">
            <v>0.22929936305732501</v>
          </cell>
          <cell r="CV99" t="str">
            <v xml:space="preserve"> 1QA</v>
          </cell>
          <cell r="CX99">
            <v>-5.4744525547445244E-2</v>
          </cell>
          <cell r="CY99">
            <v>1.298701298701288E-2</v>
          </cell>
          <cell r="CZ99">
            <v>-3.9886039886040003E-2</v>
          </cell>
          <cell r="DB99">
            <v>0.17391304347826098</v>
          </cell>
          <cell r="DC99">
            <v>0</v>
          </cell>
          <cell r="DD99">
            <v>0.16326530612244916</v>
          </cell>
          <cell r="DJ99">
            <v>9.5238095238095344E-2</v>
          </cell>
          <cell r="DK99">
            <v>8.6058519793459354E-3</v>
          </cell>
          <cell r="DL99">
            <v>4.8847926267280961E-2</v>
          </cell>
          <cell r="DN99">
            <v>-2.4084778420030428E-4</v>
          </cell>
          <cell r="DO99">
            <v>3.7429819089207728E-2</v>
          </cell>
          <cell r="DP99">
            <v>1.6172873063332593E-2</v>
          </cell>
          <cell r="DR99" t="str">
            <v xml:space="preserve"> 1QA</v>
          </cell>
          <cell r="DS99">
            <v>0.12671232876712324</v>
          </cell>
          <cell r="DT99">
            <v>0.11160714285714279</v>
          </cell>
          <cell r="DU99">
            <v>0.11531986531986527</v>
          </cell>
          <cell r="DW99">
            <v>0.15649867374005311</v>
          </cell>
          <cell r="DX99">
            <v>0.13348946135831374</v>
          </cell>
          <cell r="DY99">
            <v>0.14427860696517403</v>
          </cell>
          <cell r="EA99">
            <v>-0.21276595744680848</v>
          </cell>
          <cell r="EB99">
            <v>2.0501138952163878E-2</v>
          </cell>
          <cell r="EC99">
            <v>-2.057613168724326E-3</v>
          </cell>
          <cell r="EE99">
            <v>0.13043478260869579</v>
          </cell>
          <cell r="EF99">
            <v>-0.12103746397694537</v>
          </cell>
          <cell r="EG99">
            <v>-9.1603053435114545E-2</v>
          </cell>
          <cell r="EI99">
            <v>-0.37410071942446055</v>
          </cell>
          <cell r="EJ99">
            <v>-0.18518518518518512</v>
          </cell>
          <cell r="EK99">
            <v>-0.35737704918032798</v>
          </cell>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A100" t="str">
            <v xml:space="preserve"> 2QE</v>
          </cell>
          <cell r="B100">
            <v>0.35</v>
          </cell>
          <cell r="C100">
            <v>0.53</v>
          </cell>
          <cell r="D100">
            <v>0.39965797494073829</v>
          </cell>
          <cell r="F100" t="str">
            <v>NM</v>
          </cell>
          <cell r="G100">
            <v>0</v>
          </cell>
          <cell r="H100">
            <v>-1</v>
          </cell>
          <cell r="J100">
            <v>0.15</v>
          </cell>
          <cell r="K100">
            <v>0.04</v>
          </cell>
          <cell r="L100">
            <v>9.3304347826086875E-2</v>
          </cell>
          <cell r="R100">
            <v>-0.2</v>
          </cell>
          <cell r="S100">
            <v>0.03</v>
          </cell>
          <cell r="T100">
            <v>-0.15903525046382194</v>
          </cell>
          <cell r="V100">
            <v>0.53</v>
          </cell>
          <cell r="W100">
            <v>0.4</v>
          </cell>
          <cell r="X100">
            <v>0.51252789907811724</v>
          </cell>
          <cell r="Z100">
            <v>0.05</v>
          </cell>
          <cell r="AA100">
            <v>0.15</v>
          </cell>
          <cell r="AB100">
            <v>7.4024226110363411E-2</v>
          </cell>
          <cell r="AH100" t="str">
            <v xml:space="preserve"> 2QE</v>
          </cell>
          <cell r="AQ100">
            <v>0.05</v>
          </cell>
          <cell r="AR100">
            <v>0.03</v>
          </cell>
          <cell r="AS100">
            <v>3.84538152610443E-2</v>
          </cell>
          <cell r="AY100">
            <v>0.12</v>
          </cell>
          <cell r="AZ100">
            <v>3.5000000000000003E-2</v>
          </cell>
          <cell r="BA100">
            <v>5.6872964169381257E-2</v>
          </cell>
          <cell r="BC100">
            <v>0.12480675593426671</v>
          </cell>
          <cell r="BD100">
            <v>0.25075738125802305</v>
          </cell>
          <cell r="BE100">
            <v>0.1653168868703554</v>
          </cell>
          <cell r="BK100" t="str">
            <v>NA</v>
          </cell>
          <cell r="BL100" t="str">
            <v>NA</v>
          </cell>
          <cell r="BM100" t="str">
            <v>NA</v>
          </cell>
          <cell r="BO100">
            <v>0.12480675593426671</v>
          </cell>
          <cell r="BP100">
            <v>0.25075738125802305</v>
          </cell>
          <cell r="BQ100">
            <v>0.1653168868703554</v>
          </cell>
          <cell r="BS100" t="str">
            <v xml:space="preserve"> 2QE</v>
          </cell>
          <cell r="BT100">
            <v>0.05</v>
          </cell>
          <cell r="BU100">
            <v>0.06</v>
          </cell>
          <cell r="BV100">
            <v>5.7009778692743263E-2</v>
          </cell>
          <cell r="BX100">
            <v>0.08</v>
          </cell>
          <cell r="BY100">
            <v>0.1</v>
          </cell>
          <cell r="BZ100">
            <v>8.5231316725978612E-2</v>
          </cell>
          <cell r="CB100">
            <v>0.05</v>
          </cell>
          <cell r="CC100">
            <v>0.05</v>
          </cell>
          <cell r="CD100">
            <v>5.0000000000000044E-2</v>
          </cell>
          <cell r="CF100">
            <v>0.05</v>
          </cell>
          <cell r="CG100">
            <v>0.06</v>
          </cell>
          <cell r="CH100">
            <v>5.0642398286937951E-2</v>
          </cell>
          <cell r="CJ100">
            <v>0.02</v>
          </cell>
          <cell r="CK100">
            <v>0</v>
          </cell>
          <cell r="CL100">
            <v>1.5887850467289688E-2</v>
          </cell>
          <cell r="CR100">
            <v>-0.03</v>
          </cell>
          <cell r="CS100">
            <v>0</v>
          </cell>
          <cell r="CT100">
            <v>-2.4585365853658558E-2</v>
          </cell>
          <cell r="CV100" t="str">
            <v xml:space="preserve"> 2QE</v>
          </cell>
          <cell r="CX100">
            <v>0.15</v>
          </cell>
          <cell r="CY100">
            <v>0.05</v>
          </cell>
          <cell r="CZ100">
            <v>0.12556270096463007</v>
          </cell>
          <cell r="DB100">
            <v>0.06</v>
          </cell>
          <cell r="DC100">
            <v>0</v>
          </cell>
          <cell r="DD100">
            <v>5.5522388059701555E-2</v>
          </cell>
          <cell r="DJ100">
            <v>0.06</v>
          </cell>
          <cell r="DK100">
            <v>0.05</v>
          </cell>
          <cell r="DL100">
            <v>5.5300369685767237E-2</v>
          </cell>
          <cell r="DN100">
            <v>6.0041372596738807E-2</v>
          </cell>
          <cell r="DO100">
            <v>5.7030663329161291E-2</v>
          </cell>
          <cell r="DP100">
            <v>5.8724161533196373E-2</v>
          </cell>
          <cell r="DR100" t="str">
            <v xml:space="preserve"> 2QE</v>
          </cell>
          <cell r="DS100">
            <v>0.05</v>
          </cell>
          <cell r="DT100">
            <v>0.06</v>
          </cell>
          <cell r="DU100">
            <v>5.7931354359926024E-2</v>
          </cell>
          <cell r="DW100">
            <v>7.0000000000000007E-2</v>
          </cell>
          <cell r="DX100">
            <v>0.05</v>
          </cell>
          <cell r="DY100">
            <v>5.953389830508482E-2</v>
          </cell>
          <cell r="EA100">
            <v>-0.01</v>
          </cell>
          <cell r="EB100">
            <v>0.03</v>
          </cell>
          <cell r="EC100">
            <v>2.6139630390143553E-2</v>
          </cell>
          <cell r="EE100">
            <v>0.05</v>
          </cell>
          <cell r="EF100">
            <v>0.08</v>
          </cell>
          <cell r="EG100">
            <v>7.6172106824925923E-2</v>
          </cell>
          <cell r="EI100">
            <v>-0.1</v>
          </cell>
          <cell r="EJ100">
            <v>-0.03</v>
          </cell>
          <cell r="EK100">
            <v>-9.3617021276595658E-2</v>
          </cell>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A101" t="str">
            <v xml:space="preserve"> 3QE</v>
          </cell>
          <cell r="B101">
            <v>0.28000000000000003</v>
          </cell>
          <cell r="C101">
            <v>0.65</v>
          </cell>
          <cell r="D101">
            <v>0.37477126846663267</v>
          </cell>
          <cell r="F101" t="str">
            <v>NM</v>
          </cell>
          <cell r="G101">
            <v>0</v>
          </cell>
          <cell r="H101">
            <v>-1</v>
          </cell>
          <cell r="J101">
            <v>7.0000000000000007E-2</v>
          </cell>
          <cell r="K101">
            <v>0.08</v>
          </cell>
          <cell r="L101">
            <v>7.459940652818986E-2</v>
          </cell>
          <cell r="R101">
            <v>-0.2</v>
          </cell>
          <cell r="S101">
            <v>0.02</v>
          </cell>
          <cell r="T101">
            <v>-0.164406196213425</v>
          </cell>
          <cell r="V101">
            <v>0.5</v>
          </cell>
          <cell r="W101">
            <v>0.4</v>
          </cell>
          <cell r="X101">
            <v>0.48754222972972983</v>
          </cell>
          <cell r="Z101">
            <v>0.05</v>
          </cell>
          <cell r="AA101">
            <v>0.15</v>
          </cell>
          <cell r="AB101">
            <v>6.9464285714285756E-2</v>
          </cell>
          <cell r="AH101" t="str">
            <v xml:space="preserve"> 3QE</v>
          </cell>
          <cell r="AQ101">
            <v>0.05</v>
          </cell>
          <cell r="AR101">
            <v>0.03</v>
          </cell>
          <cell r="AS101">
            <v>3.8720573183213869E-2</v>
          </cell>
          <cell r="AY101">
            <v>0.12</v>
          </cell>
          <cell r="AZ101">
            <v>0.03</v>
          </cell>
          <cell r="BA101">
            <v>5.8687500000000004E-2</v>
          </cell>
          <cell r="BC101">
            <v>0.13276295133437999</v>
          </cell>
          <cell r="BD101">
            <v>0.31932254802831173</v>
          </cell>
          <cell r="BE101">
            <v>0.18825947463404846</v>
          </cell>
          <cell r="BK101" t="str">
            <v>NA</v>
          </cell>
          <cell r="BL101" t="str">
            <v>NA</v>
          </cell>
          <cell r="BM101" t="str">
            <v>NA</v>
          </cell>
          <cell r="BO101">
            <v>0.13847152847152855</v>
          </cell>
          <cell r="BP101">
            <v>0.31932254802831173</v>
          </cell>
          <cell r="BQ101">
            <v>0.19226990174453573</v>
          </cell>
          <cell r="BS101" t="str">
            <v xml:space="preserve"> 3QE</v>
          </cell>
          <cell r="BT101">
            <v>0.05</v>
          </cell>
          <cell r="BU101">
            <v>0.06</v>
          </cell>
          <cell r="BV101">
            <v>5.6621047663992563E-2</v>
          </cell>
          <cell r="BX101">
            <v>0.08</v>
          </cell>
          <cell r="BY101">
            <v>0.1</v>
          </cell>
          <cell r="BZ101">
            <v>8.5545927209705441E-2</v>
          </cell>
          <cell r="CB101">
            <v>0.04</v>
          </cell>
          <cell r="CC101">
            <v>0.05</v>
          </cell>
          <cell r="CD101">
            <v>4.5791505791505704E-2</v>
          </cell>
          <cell r="CF101">
            <v>0.05</v>
          </cell>
          <cell r="CG101">
            <v>0.06</v>
          </cell>
          <cell r="CH101">
            <v>5.0417827298050222E-2</v>
          </cell>
          <cell r="CJ101">
            <v>0.02</v>
          </cell>
          <cell r="CK101">
            <v>0</v>
          </cell>
          <cell r="CL101">
            <v>1.6738609112709746E-2</v>
          </cell>
          <cell r="CR101">
            <v>-0.02</v>
          </cell>
          <cell r="CS101">
            <v>0</v>
          </cell>
          <cell r="CT101">
            <v>-1.8071065989847757E-2</v>
          </cell>
          <cell r="CV101" t="str">
            <v xml:space="preserve"> 3QE</v>
          </cell>
          <cell r="CX101">
            <v>0.1</v>
          </cell>
          <cell r="CY101">
            <v>0.05</v>
          </cell>
          <cell r="CZ101">
            <v>8.7188612099644347E-2</v>
          </cell>
          <cell r="DB101">
            <v>7.0000000000000007E-2</v>
          </cell>
          <cell r="DC101">
            <v>0</v>
          </cell>
          <cell r="DD101">
            <v>6.7762557077625685E-2</v>
          </cell>
          <cell r="DJ101">
            <v>0.06</v>
          </cell>
          <cell r="DK101">
            <v>0.05</v>
          </cell>
          <cell r="DL101">
            <v>5.5168156662409595E-2</v>
          </cell>
          <cell r="DN101">
            <v>5.6256434253626697E-2</v>
          </cell>
          <cell r="DO101">
            <v>5.7631027253668865E-2</v>
          </cell>
          <cell r="DP101">
            <v>5.6859319584920742E-2</v>
          </cell>
          <cell r="DR101" t="str">
            <v xml:space="preserve"> 3QE</v>
          </cell>
          <cell r="DS101">
            <v>0.05</v>
          </cell>
          <cell r="DT101">
            <v>0.06</v>
          </cell>
          <cell r="DU101">
            <v>5.6910631741140305E-2</v>
          </cell>
          <cell r="DW101">
            <v>0.13</v>
          </cell>
          <cell r="DX101">
            <v>0.05</v>
          </cell>
          <cell r="DY101">
            <v>8.5229357798164873E-2</v>
          </cell>
          <cell r="EA101">
            <v>-0.01</v>
          </cell>
          <cell r="EB101">
            <v>0.03</v>
          </cell>
          <cell r="EC101">
            <v>2.6379310344827545E-2</v>
          </cell>
          <cell r="EE101">
            <v>0.05</v>
          </cell>
          <cell r="EF101">
            <v>0.08</v>
          </cell>
          <cell r="EG101">
            <v>7.578796561604606E-2</v>
          </cell>
          <cell r="EI101">
            <v>0.05</v>
          </cell>
          <cell r="EJ101">
            <v>-0.03</v>
          </cell>
          <cell r="EK101">
            <v>4.3224755700325579E-2</v>
          </cell>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A102" t="str">
            <v xml:space="preserve"> 4QE</v>
          </cell>
          <cell r="B102">
            <v>0.21697910226289108</v>
          </cell>
          <cell r="C102">
            <v>0.60693289689034469</v>
          </cell>
          <cell r="D102">
            <v>0.32389965894812445</v>
          </cell>
          <cell r="F102" t="str">
            <v>NM</v>
          </cell>
          <cell r="G102">
            <v>0</v>
          </cell>
          <cell r="H102">
            <v>-1</v>
          </cell>
          <cell r="J102">
            <v>4.8450134770889886E-2</v>
          </cell>
          <cell r="K102">
            <v>0.12400646203554122</v>
          </cell>
          <cell r="L102">
            <v>8.2814107274063575E-2</v>
          </cell>
          <cell r="R102">
            <v>-0.26666666666666661</v>
          </cell>
          <cell r="S102">
            <v>2.4857142857142467E-2</v>
          </cell>
          <cell r="T102">
            <v>-0.21689430894308936</v>
          </cell>
          <cell r="V102">
            <v>0.33422823984526029</v>
          </cell>
          <cell r="W102">
            <v>0.40567134831460705</v>
          </cell>
          <cell r="X102">
            <v>0.34287623257395361</v>
          </cell>
          <cell r="Z102">
            <v>0.1976635514018692</v>
          </cell>
          <cell r="AA102">
            <v>2.0374999999999992</v>
          </cell>
          <cell r="AB102">
            <v>0.43699186991869921</v>
          </cell>
          <cell r="AH102" t="str">
            <v xml:space="preserve"> 4QE</v>
          </cell>
          <cell r="AQ102">
            <v>2.149425287356288E-2</v>
          </cell>
          <cell r="AR102">
            <v>-2.3617391304347701E-2</v>
          </cell>
          <cell r="AS102">
            <v>-4.1881188118811918E-3</v>
          </cell>
          <cell r="AY102">
            <v>0.37788505747126333</v>
          </cell>
          <cell r="AZ102">
            <v>0.30283864004317373</v>
          </cell>
          <cell r="BA102">
            <v>0.32681601175174446</v>
          </cell>
          <cell r="BC102">
            <v>0.10852428671730396</v>
          </cell>
          <cell r="BD102">
            <v>0.43752585438335867</v>
          </cell>
          <cell r="BE102">
            <v>0.20738487297405928</v>
          </cell>
          <cell r="BK102" t="str">
            <v>NA</v>
          </cell>
          <cell r="BL102" t="str">
            <v>NA</v>
          </cell>
          <cell r="BM102" t="str">
            <v>NA</v>
          </cell>
          <cell r="BO102">
            <v>0.13533222697389413</v>
          </cell>
          <cell r="BP102">
            <v>0.43752585438335867</v>
          </cell>
          <cell r="BQ102">
            <v>0.22613738447113496</v>
          </cell>
          <cell r="BS102" t="str">
            <v xml:space="preserve"> 4QE</v>
          </cell>
          <cell r="BT102">
            <v>0.12150442477876156</v>
          </cell>
          <cell r="BU102">
            <v>0.10377854671280229</v>
          </cell>
          <cell r="BV102">
            <v>0.10876119402985052</v>
          </cell>
          <cell r="BX102">
            <v>0.21179999999999932</v>
          </cell>
          <cell r="BY102">
            <v>-4.7884615384615303E-2</v>
          </cell>
          <cell r="BZ102">
            <v>0.15004573170731672</v>
          </cell>
          <cell r="CB102">
            <v>1.9512195121950571E-2</v>
          </cell>
          <cell r="CC102">
            <v>0.14000000000000012</v>
          </cell>
          <cell r="CD102">
            <v>9.1377952755905545E-2</v>
          </cell>
          <cell r="CF102">
            <v>0.36876513317191284</v>
          </cell>
          <cell r="CG102">
            <v>-0.94000000000000039</v>
          </cell>
          <cell r="CH102">
            <v>0.3199533799533798</v>
          </cell>
          <cell r="CJ102">
            <v>-3.648822269807328E-2</v>
          </cell>
          <cell r="CK102">
            <v>2.9411764705882248E-2</v>
          </cell>
          <cell r="CL102">
            <v>-2.8112149532710684E-2</v>
          </cell>
          <cell r="CR102">
            <v>-0.15580357142857137</v>
          </cell>
          <cell r="CS102">
            <v>-0.90000000000000013</v>
          </cell>
          <cell r="CT102">
            <v>-0.23497340425531921</v>
          </cell>
          <cell r="CV102" t="str">
            <v xml:space="preserve"> 4QE</v>
          </cell>
          <cell r="CX102">
            <v>0.20425170068027176</v>
          </cell>
          <cell r="CY102">
            <v>8.7500000000000355E-2</v>
          </cell>
          <cell r="CZ102">
            <v>0.18027027027026987</v>
          </cell>
          <cell r="DB102">
            <v>-7.57647058823534E-2</v>
          </cell>
          <cell r="DC102">
            <v>0</v>
          </cell>
          <cell r="DD102">
            <v>-7.1955307262570045E-2</v>
          </cell>
          <cell r="DJ102">
            <v>2.4656716417910562E-2</v>
          </cell>
          <cell r="DK102">
            <v>9.1935483870967838E-2</v>
          </cell>
          <cell r="DL102">
            <v>6.0515799256505742E-2</v>
          </cell>
          <cell r="DN102">
            <v>0.1085805924889196</v>
          </cell>
          <cell r="DO102">
            <v>7.6118963486454305E-2</v>
          </cell>
          <cell r="DP102">
            <v>9.4232070805674528E-2</v>
          </cell>
          <cell r="DR102" t="str">
            <v xml:space="preserve"> 4QE</v>
          </cell>
          <cell r="DS102">
            <v>2.1392081736908874E-2</v>
          </cell>
          <cell r="DT102">
            <v>1.2132505175983743E-2</v>
          </cell>
          <cell r="DU102">
            <v>1.6277873070326132E-2</v>
          </cell>
          <cell r="DW102">
            <v>2.2004608294931227E-2</v>
          </cell>
          <cell r="DX102">
            <v>-2.7500000000000302E-2</v>
          </cell>
          <cell r="DY102">
            <v>-3.4675615212528266E-3</v>
          </cell>
          <cell r="EA102">
            <v>0.19717391304347931</v>
          </cell>
          <cell r="EB102">
            <v>4.4397700331911372E-2</v>
          </cell>
          <cell r="EC102">
            <v>5.8739957035446322E-2</v>
          </cell>
          <cell r="EE102">
            <v>-4.7368421052632392E-2</v>
          </cell>
          <cell r="EF102">
            <v>0.34625954198473297</v>
          </cell>
          <cell r="EG102">
            <v>0.2964</v>
          </cell>
          <cell r="EI102">
            <v>-0.17969798657718072</v>
          </cell>
          <cell r="EJ102">
            <v>7.1428571428633347E-4</v>
          </cell>
          <cell r="EK102">
            <v>-0.16420245398772959</v>
          </cell>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3">
          <cell r="CS103">
            <v>0</v>
          </cell>
        </row>
        <row r="104">
          <cell r="A104" t="str">
            <v>Year</v>
          </cell>
          <cell r="B104">
            <v>0.32</v>
          </cell>
          <cell r="C104">
            <v>0.55000000000000004</v>
          </cell>
          <cell r="D104">
            <v>0.38280570142535653</v>
          </cell>
          <cell r="F104" t="str">
            <v>NM</v>
          </cell>
          <cell r="G104">
            <v>0</v>
          </cell>
          <cell r="H104">
            <v>-0.83453352536405823</v>
          </cell>
          <cell r="J104">
            <v>0.14000000000000001</v>
          </cell>
          <cell r="K104">
            <v>0.04</v>
          </cell>
          <cell r="L104">
            <v>9.0613437195715685E-2</v>
          </cell>
          <cell r="R104">
            <v>-0.2</v>
          </cell>
          <cell r="S104">
            <v>0.03</v>
          </cell>
          <cell r="T104">
            <v>-0.16358813700918962</v>
          </cell>
          <cell r="V104">
            <v>0.5</v>
          </cell>
          <cell r="W104">
            <v>0.42070000000000002</v>
          </cell>
          <cell r="X104">
            <v>0.48983556091148084</v>
          </cell>
          <cell r="Z104">
            <v>0.05</v>
          </cell>
          <cell r="AA104">
            <v>0.15</v>
          </cell>
          <cell r="AB104">
            <v>7.0298338368580016E-2</v>
          </cell>
          <cell r="AH104" t="str">
            <v>Year</v>
          </cell>
          <cell r="AQ104">
            <v>0.05</v>
          </cell>
          <cell r="AR104">
            <v>0.03</v>
          </cell>
          <cell r="AS104">
            <v>3.8553909044455992E-2</v>
          </cell>
          <cell r="AY104">
            <v>0.2</v>
          </cell>
          <cell r="AZ104">
            <v>0.05</v>
          </cell>
          <cell r="BA104">
            <v>9.3742159606291731E-2</v>
          </cell>
          <cell r="BC104">
            <v>0.15139433154105553</v>
          </cell>
          <cell r="BD104">
            <v>0.2719019552848787</v>
          </cell>
          <cell r="BE104">
            <v>0.18907306164889826</v>
          </cell>
          <cell r="BK104" t="str">
            <v>NA</v>
          </cell>
          <cell r="BL104" t="str">
            <v>NA</v>
          </cell>
          <cell r="BM104" t="str">
            <v>NA</v>
          </cell>
          <cell r="BO104">
            <v>0.1605076095871687</v>
          </cell>
          <cell r="BP104">
            <v>0.2719019552848787</v>
          </cell>
          <cell r="BQ104">
            <v>0.19533692043646589</v>
          </cell>
          <cell r="BS104" t="str">
            <v>Year</v>
          </cell>
          <cell r="BT104">
            <v>0.05</v>
          </cell>
          <cell r="BU104">
            <v>0.06</v>
          </cell>
          <cell r="BV104">
            <v>5.6982704204014745E-2</v>
          </cell>
          <cell r="BX104">
            <v>0.08</v>
          </cell>
          <cell r="BY104">
            <v>0.09</v>
          </cell>
          <cell r="BZ104">
            <v>8.2452752670501228E-2</v>
          </cell>
          <cell r="CB104">
            <v>0.04</v>
          </cell>
          <cell r="CC104">
            <v>0.06</v>
          </cell>
          <cell r="CD104">
            <v>5.1842364532019625E-2</v>
          </cell>
          <cell r="CF104">
            <v>0.05</v>
          </cell>
          <cell r="CG104">
            <v>0.06</v>
          </cell>
          <cell r="CH104">
            <v>5.0365707434052664E-2</v>
          </cell>
          <cell r="CJ104">
            <v>0.02</v>
          </cell>
          <cell r="CK104">
            <v>0</v>
          </cell>
          <cell r="CL104">
            <v>1.6932944606413924E-2</v>
          </cell>
          <cell r="CR104">
            <v>-2.5000000000000001E-2</v>
          </cell>
          <cell r="CS104">
            <v>0</v>
          </cell>
          <cell r="CT104">
            <v>-2.2456492637215608E-2</v>
          </cell>
          <cell r="CV104" t="str">
            <v>Year</v>
          </cell>
          <cell r="CX104">
            <v>0.1</v>
          </cell>
          <cell r="CY104">
            <v>0.05</v>
          </cell>
          <cell r="CZ104">
            <v>8.8537699923838531E-2</v>
          </cell>
          <cell r="DB104">
            <v>0.06</v>
          </cell>
          <cell r="DC104">
            <v>0</v>
          </cell>
          <cell r="DD104">
            <v>5.6658932714617416E-2</v>
          </cell>
          <cell r="DJ104">
            <v>0.06</v>
          </cell>
          <cell r="DK104">
            <v>0.05</v>
          </cell>
          <cell r="DL104">
            <v>5.495076400679122E-2</v>
          </cell>
          <cell r="DN104">
            <v>5.6570859588633837E-2</v>
          </cell>
          <cell r="DO104">
            <v>5.7334246783892873E-2</v>
          </cell>
          <cell r="DP104">
            <v>5.6905604325912185E-2</v>
          </cell>
          <cell r="DR104" t="str">
            <v>Year</v>
          </cell>
          <cell r="DS104">
            <v>0.05</v>
          </cell>
          <cell r="DT104">
            <v>0.06</v>
          </cell>
          <cell r="DU104">
            <v>5.6802183323922728E-2</v>
          </cell>
          <cell r="DW104">
            <v>0.09</v>
          </cell>
          <cell r="DX104">
            <v>0.05</v>
          </cell>
          <cell r="DY104">
            <v>1.5743524229074879E-2</v>
          </cell>
          <cell r="EA104">
            <v>-0.01</v>
          </cell>
          <cell r="EB104">
            <v>3.127368421052612E-2</v>
          </cell>
          <cell r="EC104">
            <v>2.737549504274428E-2</v>
          </cell>
          <cell r="EE104">
            <v>0.05</v>
          </cell>
          <cell r="EF104">
            <v>0.08</v>
          </cell>
          <cell r="EG104">
            <v>7.617113850616386E-2</v>
          </cell>
          <cell r="EI104">
            <v>-0.15</v>
          </cell>
          <cell r="EJ104">
            <v>-0.06</v>
          </cell>
          <cell r="EK104">
            <v>-0.14211523283346483</v>
          </cell>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A106" t="str">
            <v>2000E</v>
          </cell>
          <cell r="AH106" t="str">
            <v>2000E</v>
          </cell>
          <cell r="BS106" t="str">
            <v>2000E</v>
          </cell>
          <cell r="CV106" t="str">
            <v>2000E</v>
          </cell>
          <cell r="DR106" t="str">
            <v>2000E</v>
          </cell>
          <cell r="EM106" t="str">
            <v>2000E</v>
          </cell>
        </row>
        <row r="107">
          <cell r="A107" t="str">
            <v xml:space="preserve"> 1QA</v>
          </cell>
          <cell r="B107">
            <v>796.7</v>
          </cell>
          <cell r="C107">
            <v>300.10000000000002</v>
          </cell>
          <cell r="D107">
            <v>1096.8000000000002</v>
          </cell>
          <cell r="F107">
            <v>102.9</v>
          </cell>
          <cell r="G107">
            <v>0.5</v>
          </cell>
          <cell r="H107">
            <v>103.4</v>
          </cell>
          <cell r="J107">
            <v>70.099999999999994</v>
          </cell>
          <cell r="K107">
            <v>59.4</v>
          </cell>
          <cell r="L107">
            <v>129.5</v>
          </cell>
          <cell r="R107">
            <v>49.4</v>
          </cell>
          <cell r="S107">
            <v>8.8000000000000007</v>
          </cell>
          <cell r="T107">
            <v>58.2</v>
          </cell>
          <cell r="V107">
            <v>264.89999999999998</v>
          </cell>
          <cell r="W107">
            <v>36.1</v>
          </cell>
          <cell r="X107">
            <v>301</v>
          </cell>
          <cell r="Z107">
            <v>101.8</v>
          </cell>
          <cell r="AA107">
            <v>8.9</v>
          </cell>
          <cell r="AB107">
            <v>110.7</v>
          </cell>
          <cell r="AH107" t="str">
            <v xml:space="preserve"> 1QA</v>
          </cell>
          <cell r="AQ107">
            <v>42.4</v>
          </cell>
          <cell r="AR107">
            <v>58.6</v>
          </cell>
          <cell r="AS107">
            <v>101</v>
          </cell>
          <cell r="AY107">
            <v>86.299999999999955</v>
          </cell>
          <cell r="AZ107">
            <v>172.20000000000005</v>
          </cell>
          <cell r="BA107">
            <v>258.5</v>
          </cell>
          <cell r="BC107">
            <v>1514.5</v>
          </cell>
          <cell r="BD107">
            <v>644.6</v>
          </cell>
          <cell r="BE107">
            <v>2159.1</v>
          </cell>
          <cell r="BK107">
            <v>0</v>
          </cell>
          <cell r="BL107">
            <v>0</v>
          </cell>
          <cell r="BM107">
            <v>0</v>
          </cell>
          <cell r="BO107">
            <v>1514.5</v>
          </cell>
          <cell r="BP107">
            <v>644.6</v>
          </cell>
          <cell r="BQ107">
            <v>2159.1</v>
          </cell>
          <cell r="BS107" t="str">
            <v xml:space="preserve"> 1QA</v>
          </cell>
          <cell r="BT107">
            <v>51.4</v>
          </cell>
          <cell r="BU107">
            <v>133.69999999999999</v>
          </cell>
          <cell r="BV107">
            <v>185.1</v>
          </cell>
          <cell r="BX107">
            <v>95.9</v>
          </cell>
          <cell r="BY107">
            <v>32.9</v>
          </cell>
          <cell r="BZ107">
            <v>128.80000000000001</v>
          </cell>
          <cell r="CB107">
            <v>20.7</v>
          </cell>
          <cell r="CC107">
            <v>30.5</v>
          </cell>
          <cell r="CD107">
            <v>51.2</v>
          </cell>
          <cell r="CF107">
            <v>30.2</v>
          </cell>
          <cell r="CG107">
            <v>1.6</v>
          </cell>
          <cell r="CH107">
            <v>31.8</v>
          </cell>
          <cell r="CJ107">
            <v>41.5</v>
          </cell>
          <cell r="CK107">
            <v>5.9</v>
          </cell>
          <cell r="CL107">
            <v>47.4</v>
          </cell>
          <cell r="CR107">
            <v>17.5</v>
          </cell>
          <cell r="CS107">
            <v>1.8</v>
          </cell>
          <cell r="CT107">
            <v>19.3</v>
          </cell>
          <cell r="CV107" t="str">
            <v xml:space="preserve"> 1QA</v>
          </cell>
          <cell r="CX107">
            <v>25.9</v>
          </cell>
          <cell r="CY107">
            <v>7.8</v>
          </cell>
          <cell r="CZ107">
            <v>33.699999999999996</v>
          </cell>
          <cell r="DB107">
            <v>21.6</v>
          </cell>
          <cell r="DC107">
            <v>1.2</v>
          </cell>
          <cell r="DD107">
            <v>22.8</v>
          </cell>
          <cell r="DJ107">
            <v>110.40000000000003</v>
          </cell>
          <cell r="DK107">
            <v>117.20000000000002</v>
          </cell>
          <cell r="DL107">
            <v>227.60000000000005</v>
          </cell>
          <cell r="DN107">
            <v>415.1</v>
          </cell>
          <cell r="DO107">
            <v>332.6</v>
          </cell>
          <cell r="DP107">
            <v>747.7</v>
          </cell>
          <cell r="DR107" t="str">
            <v xml:space="preserve"> 1QA</v>
          </cell>
          <cell r="DS107">
            <v>32.9</v>
          </cell>
          <cell r="DT107">
            <v>99.6</v>
          </cell>
          <cell r="DU107">
            <v>132.5</v>
          </cell>
          <cell r="DW107">
            <v>43.6</v>
          </cell>
          <cell r="DX107">
            <v>48.4</v>
          </cell>
          <cell r="DY107">
            <v>92</v>
          </cell>
          <cell r="EA107">
            <v>3.7</v>
          </cell>
          <cell r="EB107">
            <v>44.8</v>
          </cell>
          <cell r="EC107">
            <v>48.5</v>
          </cell>
          <cell r="EE107">
            <v>5.2</v>
          </cell>
          <cell r="EF107">
            <v>30.5</v>
          </cell>
          <cell r="EG107">
            <v>35.700000000000003</v>
          </cell>
          <cell r="EI107">
            <v>17.399999999999999</v>
          </cell>
          <cell r="EJ107">
            <v>2.2000000000000002</v>
          </cell>
          <cell r="EK107">
            <v>19.599999999999998</v>
          </cell>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A108" t="str">
            <v xml:space="preserve"> 2QE</v>
          </cell>
          <cell r="B108">
            <v>866.02500000000009</v>
          </cell>
          <cell r="C108">
            <v>373.93200000000002</v>
          </cell>
          <cell r="D108">
            <v>1239.9570000000001</v>
          </cell>
          <cell r="F108">
            <v>0</v>
          </cell>
          <cell r="G108">
            <v>0</v>
          </cell>
          <cell r="H108">
            <v>0</v>
          </cell>
          <cell r="J108">
            <v>70.49499999999999</v>
          </cell>
          <cell r="K108">
            <v>67.808000000000007</v>
          </cell>
          <cell r="L108">
            <v>138.303</v>
          </cell>
          <cell r="R108">
            <v>35.44</v>
          </cell>
          <cell r="S108">
            <v>9.8879999999999999</v>
          </cell>
          <cell r="T108">
            <v>45.327999999999996</v>
          </cell>
          <cell r="V108">
            <v>272.952</v>
          </cell>
          <cell r="W108">
            <v>38.779999999999994</v>
          </cell>
          <cell r="X108">
            <v>311.73199999999997</v>
          </cell>
          <cell r="Z108">
            <v>118.54500000000002</v>
          </cell>
          <cell r="AA108">
            <v>41.055</v>
          </cell>
          <cell r="AB108">
            <v>159.60000000000002</v>
          </cell>
          <cell r="AH108" t="str">
            <v xml:space="preserve"> 2QE</v>
          </cell>
          <cell r="AQ108">
            <v>44.205000000000005</v>
          </cell>
          <cell r="AR108">
            <v>59.225000000000001</v>
          </cell>
          <cell r="AS108">
            <v>103.43</v>
          </cell>
          <cell r="AY108">
            <v>70.784000000000319</v>
          </cell>
          <cell r="AZ108">
            <v>188.78399999999999</v>
          </cell>
          <cell r="BA108">
            <v>259.56800000000032</v>
          </cell>
          <cell r="BC108">
            <v>1478.4460000000004</v>
          </cell>
          <cell r="BD108">
            <v>779.47199999999998</v>
          </cell>
          <cell r="BE108">
            <v>2257.9180000000006</v>
          </cell>
          <cell r="BK108">
            <v>0</v>
          </cell>
          <cell r="BL108">
            <v>0</v>
          </cell>
          <cell r="BM108">
            <v>0</v>
          </cell>
          <cell r="BO108">
            <v>1478.4460000000004</v>
          </cell>
          <cell r="BP108">
            <v>779.47199999999998</v>
          </cell>
          <cell r="BQ108">
            <v>2257.9180000000006</v>
          </cell>
          <cell r="BS108" t="str">
            <v xml:space="preserve"> 2QE</v>
          </cell>
          <cell r="BT108">
            <v>61.005000000000003</v>
          </cell>
          <cell r="BU108">
            <v>144.37199999999999</v>
          </cell>
          <cell r="BV108">
            <v>205.37699999999998</v>
          </cell>
          <cell r="BX108">
            <v>89.64</v>
          </cell>
          <cell r="BY108">
            <v>32.340000000000003</v>
          </cell>
          <cell r="BZ108">
            <v>121.98</v>
          </cell>
          <cell r="CB108">
            <v>21.840000000000003</v>
          </cell>
          <cell r="CC108">
            <v>30.87</v>
          </cell>
          <cell r="CD108">
            <v>52.710000000000008</v>
          </cell>
          <cell r="CF108">
            <v>45.885000000000005</v>
          </cell>
          <cell r="CG108">
            <v>3.18</v>
          </cell>
          <cell r="CH108">
            <v>49.065000000000005</v>
          </cell>
          <cell r="CJ108">
            <v>26.01</v>
          </cell>
          <cell r="CK108">
            <v>6.6</v>
          </cell>
          <cell r="CL108">
            <v>32.61</v>
          </cell>
          <cell r="CR108">
            <v>16.295999999999999</v>
          </cell>
          <cell r="CS108">
            <v>3.7</v>
          </cell>
          <cell r="CT108">
            <v>19.995999999999999</v>
          </cell>
          <cell r="CV108" t="str">
            <v xml:space="preserve"> 2QE</v>
          </cell>
          <cell r="CX108">
            <v>27.024999999999999</v>
          </cell>
          <cell r="CY108">
            <v>7.9799999999999995</v>
          </cell>
          <cell r="CZ108">
            <v>35.004999999999995</v>
          </cell>
          <cell r="DB108">
            <v>26.288000000000004</v>
          </cell>
          <cell r="DC108">
            <v>2</v>
          </cell>
          <cell r="DD108">
            <v>28.288000000000004</v>
          </cell>
          <cell r="DJ108">
            <v>121.58199999999997</v>
          </cell>
          <cell r="DK108">
            <v>106.78500000000003</v>
          </cell>
          <cell r="DL108">
            <v>228.36699999999999</v>
          </cell>
          <cell r="DN108">
            <v>435.57099999999991</v>
          </cell>
          <cell r="DO108">
            <v>337.827</v>
          </cell>
          <cell r="DP108">
            <v>773.39799999999991</v>
          </cell>
          <cell r="DR108" t="str">
            <v xml:space="preserve"> 2QE</v>
          </cell>
          <cell r="DS108">
            <v>23.415000000000003</v>
          </cell>
          <cell r="DT108">
            <v>90.63000000000001</v>
          </cell>
          <cell r="DU108">
            <v>114.04500000000002</v>
          </cell>
          <cell r="DW108">
            <v>48.150000000000006</v>
          </cell>
          <cell r="DX108">
            <v>51.87</v>
          </cell>
          <cell r="DY108">
            <v>100.02000000000001</v>
          </cell>
          <cell r="EA108">
            <v>4.6530000000000005</v>
          </cell>
          <cell r="EB108">
            <v>45.32</v>
          </cell>
          <cell r="EC108">
            <v>49.972999999999999</v>
          </cell>
          <cell r="EE108">
            <v>4.5149999999999997</v>
          </cell>
          <cell r="EF108">
            <v>31.751999999999999</v>
          </cell>
          <cell r="EG108">
            <v>36.266999999999996</v>
          </cell>
          <cell r="EI108">
            <v>26.91</v>
          </cell>
          <cell r="EJ108">
            <v>2.91</v>
          </cell>
          <cell r="EK108">
            <v>29.82</v>
          </cell>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A109" t="str">
            <v xml:space="preserve"> 3QE</v>
          </cell>
          <cell r="B109">
            <v>934.52800000000002</v>
          </cell>
          <cell r="C109">
            <v>414.81</v>
          </cell>
          <cell r="D109">
            <v>1349.338</v>
          </cell>
          <cell r="F109">
            <v>0</v>
          </cell>
          <cell r="G109">
            <v>0</v>
          </cell>
          <cell r="H109">
            <v>0</v>
          </cell>
          <cell r="J109">
            <v>77.896000000000001</v>
          </cell>
          <cell r="K109">
            <v>66.960000000000008</v>
          </cell>
          <cell r="L109">
            <v>144.85599999999999</v>
          </cell>
          <cell r="R109">
            <v>38.960000000000008</v>
          </cell>
          <cell r="S109">
            <v>9.588000000000001</v>
          </cell>
          <cell r="T109">
            <v>48.548000000000009</v>
          </cell>
          <cell r="V109">
            <v>310.95000000000005</v>
          </cell>
          <cell r="W109">
            <v>41.3</v>
          </cell>
          <cell r="X109">
            <v>352.25000000000006</v>
          </cell>
          <cell r="Z109">
            <v>94.710000000000008</v>
          </cell>
          <cell r="AA109">
            <v>25.07</v>
          </cell>
          <cell r="AB109">
            <v>119.78</v>
          </cell>
          <cell r="AH109" t="str">
            <v xml:space="preserve"> 3QE</v>
          </cell>
          <cell r="AQ109">
            <v>44.730000000000004</v>
          </cell>
          <cell r="AR109">
            <v>56.753</v>
          </cell>
          <cell r="AS109">
            <v>101.483</v>
          </cell>
          <cell r="AY109">
            <v>85.680000000000135</v>
          </cell>
          <cell r="AZ109">
            <v>168.40500000000003</v>
          </cell>
          <cell r="BA109">
            <v>254.08500000000015</v>
          </cell>
          <cell r="BC109">
            <v>1587.4540000000002</v>
          </cell>
          <cell r="BD109">
            <v>782.88600000000019</v>
          </cell>
          <cell r="BE109">
            <v>2370.34</v>
          </cell>
          <cell r="BK109">
            <v>8</v>
          </cell>
          <cell r="BL109">
            <v>0</v>
          </cell>
          <cell r="BM109">
            <v>8</v>
          </cell>
          <cell r="BO109">
            <v>1595.4540000000002</v>
          </cell>
          <cell r="BP109">
            <v>782.88600000000019</v>
          </cell>
          <cell r="BQ109">
            <v>2378.34</v>
          </cell>
          <cell r="BS109" t="str">
            <v xml:space="preserve"> 3QE</v>
          </cell>
          <cell r="BT109">
            <v>75.179999999999993</v>
          </cell>
          <cell r="BU109">
            <v>148.71800000000002</v>
          </cell>
          <cell r="BV109">
            <v>223.89800000000002</v>
          </cell>
          <cell r="BX109">
            <v>90.072000000000017</v>
          </cell>
          <cell r="BY109">
            <v>35.200000000000003</v>
          </cell>
          <cell r="BZ109">
            <v>125.27200000000002</v>
          </cell>
          <cell r="CB109">
            <v>22.672000000000001</v>
          </cell>
          <cell r="CC109">
            <v>31.5</v>
          </cell>
          <cell r="CD109">
            <v>54.171999999999997</v>
          </cell>
          <cell r="CF109">
            <v>36.119999999999997</v>
          </cell>
          <cell r="CG109">
            <v>1.59</v>
          </cell>
          <cell r="CH109">
            <v>37.71</v>
          </cell>
          <cell r="CJ109">
            <v>35.597999999999999</v>
          </cell>
          <cell r="CK109">
            <v>6.8</v>
          </cell>
          <cell r="CL109">
            <v>42.397999999999996</v>
          </cell>
          <cell r="CR109">
            <v>17.443999999999999</v>
          </cell>
          <cell r="CS109">
            <v>1.9</v>
          </cell>
          <cell r="CT109">
            <v>19.343999999999998</v>
          </cell>
          <cell r="CV109" t="str">
            <v xml:space="preserve"> 3QE</v>
          </cell>
          <cell r="CX109">
            <v>22.990000000000002</v>
          </cell>
          <cell r="CY109">
            <v>7.5600000000000005</v>
          </cell>
          <cell r="CZ109">
            <v>30.550000000000004</v>
          </cell>
          <cell r="DB109">
            <v>22.684000000000001</v>
          </cell>
          <cell r="DC109">
            <v>0.7</v>
          </cell>
          <cell r="DD109">
            <v>23.384</v>
          </cell>
          <cell r="DJ109">
            <v>128.68400000000005</v>
          </cell>
          <cell r="DK109">
            <v>119.17500000000001</v>
          </cell>
          <cell r="DL109">
            <v>247.85900000000007</v>
          </cell>
          <cell r="DN109">
            <v>451.44400000000007</v>
          </cell>
          <cell r="DO109">
            <v>353.14300000000003</v>
          </cell>
          <cell r="DP109">
            <v>804.5870000000001</v>
          </cell>
          <cell r="DR109" t="str">
            <v xml:space="preserve"> 3QE</v>
          </cell>
          <cell r="DS109">
            <v>42.105000000000004</v>
          </cell>
          <cell r="DT109">
            <v>95.082000000000008</v>
          </cell>
          <cell r="DU109">
            <v>137.18700000000001</v>
          </cell>
          <cell r="DW109">
            <v>37.967999999999996</v>
          </cell>
          <cell r="DX109">
            <v>44.835000000000008</v>
          </cell>
          <cell r="DY109">
            <v>82.802999999999997</v>
          </cell>
          <cell r="EA109">
            <v>4.1580000000000004</v>
          </cell>
          <cell r="EB109">
            <v>43.466000000000001</v>
          </cell>
          <cell r="EC109">
            <v>47.624000000000002</v>
          </cell>
          <cell r="EE109">
            <v>5.1450000000000005</v>
          </cell>
          <cell r="EF109">
            <v>32.400000000000006</v>
          </cell>
          <cell r="EG109">
            <v>37.545000000000009</v>
          </cell>
          <cell r="EI109">
            <v>29.505000000000003</v>
          </cell>
          <cell r="EJ109">
            <v>2.5219999999999998</v>
          </cell>
          <cell r="EK109">
            <v>32.027000000000001</v>
          </cell>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A110" t="str">
            <v xml:space="preserve"> 4QE</v>
          </cell>
          <cell r="B110">
            <v>984.17100000000005</v>
          </cell>
          <cell r="C110">
            <v>490.91800000000029</v>
          </cell>
          <cell r="D110">
            <v>1475.0890000000004</v>
          </cell>
          <cell r="F110">
            <v>0</v>
          </cell>
          <cell r="G110">
            <v>0</v>
          </cell>
          <cell r="H110">
            <v>0</v>
          </cell>
          <cell r="J110">
            <v>77.79500000000003</v>
          </cell>
          <cell r="K110">
            <v>69.575999999999993</v>
          </cell>
          <cell r="L110">
            <v>147.37100000000004</v>
          </cell>
          <cell r="R110">
            <v>37.400000000000006</v>
          </cell>
          <cell r="S110">
            <v>10.760999999999996</v>
          </cell>
          <cell r="T110">
            <v>48.161000000000001</v>
          </cell>
          <cell r="V110">
            <v>344.8979999999998</v>
          </cell>
          <cell r="W110">
            <v>50.041900000000012</v>
          </cell>
          <cell r="X110">
            <v>394.9398999999998</v>
          </cell>
          <cell r="Z110">
            <v>128.15</v>
          </cell>
          <cell r="AA110">
            <v>48.599999999999987</v>
          </cell>
          <cell r="AB110">
            <v>176.75</v>
          </cell>
          <cell r="AH110" t="str">
            <v xml:space="preserve"> 4QE</v>
          </cell>
          <cell r="AQ110">
            <v>44.434999999999988</v>
          </cell>
          <cell r="AR110">
            <v>56.14200000000001</v>
          </cell>
          <cell r="AS110">
            <v>100.577</v>
          </cell>
          <cell r="AY110">
            <v>119.87599999999991</v>
          </cell>
          <cell r="AZ110">
            <v>241.41600000000011</v>
          </cell>
          <cell r="BA110">
            <v>361.29200000000003</v>
          </cell>
          <cell r="BC110">
            <v>1736.7250000000001</v>
          </cell>
          <cell r="BD110">
            <v>967.45490000000041</v>
          </cell>
          <cell r="BE110">
            <v>2704.1799000000005</v>
          </cell>
          <cell r="BK110">
            <v>42</v>
          </cell>
          <cell r="BL110">
            <v>0</v>
          </cell>
          <cell r="BM110">
            <v>42</v>
          </cell>
          <cell r="BO110">
            <v>1778.7250000000001</v>
          </cell>
          <cell r="BP110">
            <v>967.45490000000041</v>
          </cell>
          <cell r="BQ110">
            <v>2746.1799000000005</v>
          </cell>
          <cell r="BS110" t="str">
            <v xml:space="preserve"> 4QE</v>
          </cell>
          <cell r="BT110">
            <v>63.365000000000023</v>
          </cell>
          <cell r="BU110">
            <v>159.49599999999992</v>
          </cell>
          <cell r="BV110">
            <v>222.86099999999993</v>
          </cell>
          <cell r="BX110">
            <v>121.17999999999994</v>
          </cell>
          <cell r="BY110">
            <v>29.706000000000003</v>
          </cell>
          <cell r="BZ110">
            <v>150.88599999999994</v>
          </cell>
          <cell r="CB110">
            <v>20.899999999999988</v>
          </cell>
          <cell r="CC110">
            <v>34.542000000000002</v>
          </cell>
          <cell r="CD110">
            <v>55.441999999999993</v>
          </cell>
          <cell r="CF110">
            <v>56.529999999999994</v>
          </cell>
          <cell r="CG110">
            <v>9.5999999999999419E-2</v>
          </cell>
          <cell r="CH110">
            <v>56.625999999999991</v>
          </cell>
          <cell r="CJ110">
            <v>44.995999999999981</v>
          </cell>
          <cell r="CK110">
            <v>6.9999999999999991</v>
          </cell>
          <cell r="CL110">
            <v>51.995999999999981</v>
          </cell>
          <cell r="CR110">
            <v>14.182500000000001</v>
          </cell>
          <cell r="CS110">
            <v>0.19999999999999973</v>
          </cell>
          <cell r="CT110">
            <v>14.3825</v>
          </cell>
          <cell r="CV110" t="str">
            <v xml:space="preserve"> 4QE</v>
          </cell>
          <cell r="CX110">
            <v>35.404999999999987</v>
          </cell>
          <cell r="CY110">
            <v>8.2650000000000023</v>
          </cell>
          <cell r="CZ110">
            <v>43.669999999999987</v>
          </cell>
          <cell r="DB110">
            <v>15.711999999999993</v>
          </cell>
          <cell r="DC110">
            <v>0.90000000000000058</v>
          </cell>
          <cell r="DD110">
            <v>16.611999999999995</v>
          </cell>
          <cell r="DJ110">
            <v>102.97800000000001</v>
          </cell>
          <cell r="DK110">
            <v>125.245</v>
          </cell>
          <cell r="DL110">
            <v>228.22300000000001</v>
          </cell>
          <cell r="DN110">
            <v>475.24849999999986</v>
          </cell>
          <cell r="DO110">
            <v>365.44999999999993</v>
          </cell>
          <cell r="DP110">
            <v>840.69849999999974</v>
          </cell>
          <cell r="DR110" t="str">
            <v xml:space="preserve"> 4QE</v>
          </cell>
          <cell r="DS110">
            <v>79.974999999999966</v>
          </cell>
          <cell r="DT110">
            <v>97.772000000000034</v>
          </cell>
          <cell r="DU110">
            <v>177.74700000000001</v>
          </cell>
          <cell r="DW110">
            <v>44.355000000000011</v>
          </cell>
          <cell r="DX110">
            <v>44.734999999999985</v>
          </cell>
          <cell r="DY110">
            <v>89.09</v>
          </cell>
          <cell r="EA110">
            <v>5.5070000000000041</v>
          </cell>
          <cell r="EB110">
            <v>46.371257894736864</v>
          </cell>
          <cell r="EC110">
            <v>51.878257894736869</v>
          </cell>
          <cell r="EE110">
            <v>3.6199999999999966</v>
          </cell>
          <cell r="EF110">
            <v>35.272000000000006</v>
          </cell>
          <cell r="EG110">
            <v>38.892000000000003</v>
          </cell>
          <cell r="EI110">
            <v>24.445000000000014</v>
          </cell>
          <cell r="EJ110">
            <v>2.8020000000000018</v>
          </cell>
          <cell r="EK110">
            <v>27.247000000000018</v>
          </cell>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1">
          <cell r="CY111" t="str">
            <v xml:space="preserve"> </v>
          </cell>
        </row>
        <row r="112">
          <cell r="A112" t="str">
            <v>Year</v>
          </cell>
          <cell r="B112">
            <v>3581.424</v>
          </cell>
          <cell r="C112">
            <v>1579.7600000000002</v>
          </cell>
          <cell r="D112">
            <v>5161.1840000000002</v>
          </cell>
          <cell r="F112">
            <v>102.9</v>
          </cell>
          <cell r="G112">
            <v>0.5</v>
          </cell>
          <cell r="H112">
            <v>103.4</v>
          </cell>
          <cell r="J112">
            <v>296.286</v>
          </cell>
          <cell r="K112">
            <v>263.74400000000003</v>
          </cell>
          <cell r="L112">
            <v>560.03</v>
          </cell>
          <cell r="R112">
            <v>161.20000000000002</v>
          </cell>
          <cell r="S112">
            <v>39.036999999999999</v>
          </cell>
          <cell r="T112">
            <v>200.23700000000002</v>
          </cell>
          <cell r="V112">
            <v>1193.6999999999998</v>
          </cell>
          <cell r="W112">
            <v>166.22190000000001</v>
          </cell>
          <cell r="X112">
            <v>1359.9218999999998</v>
          </cell>
          <cell r="Z112">
            <v>443.20500000000004</v>
          </cell>
          <cell r="AA112">
            <v>123.62499999999999</v>
          </cell>
          <cell r="AB112">
            <v>566.83000000000004</v>
          </cell>
          <cell r="AH112" t="str">
            <v>Year</v>
          </cell>
          <cell r="AQ112">
            <v>175.77</v>
          </cell>
          <cell r="AR112">
            <v>230.72</v>
          </cell>
          <cell r="AS112">
            <v>406.49</v>
          </cell>
          <cell r="AY112">
            <v>362.64000000000033</v>
          </cell>
          <cell r="AZ112">
            <v>770.80500000000018</v>
          </cell>
          <cell r="BA112">
            <v>1133.4450000000006</v>
          </cell>
          <cell r="BC112">
            <v>6317.1250000000009</v>
          </cell>
          <cell r="BD112">
            <v>3174.4129000000007</v>
          </cell>
          <cell r="BE112">
            <v>9491.5379000000012</v>
          </cell>
          <cell r="BK112">
            <v>50</v>
          </cell>
          <cell r="BL112">
            <v>0</v>
          </cell>
          <cell r="BM112">
            <v>50</v>
          </cell>
          <cell r="BO112">
            <v>6367.1250000000009</v>
          </cell>
          <cell r="BP112">
            <v>3174.4129000000007</v>
          </cell>
          <cell r="BQ112">
            <v>9541.5379000000012</v>
          </cell>
          <cell r="BS112" t="str">
            <v>Year</v>
          </cell>
          <cell r="BT112">
            <v>250.95000000000002</v>
          </cell>
          <cell r="BU112">
            <v>586.28599999999994</v>
          </cell>
          <cell r="BV112">
            <v>837.23599999999999</v>
          </cell>
          <cell r="BX112">
            <v>396.79199999999997</v>
          </cell>
          <cell r="BY112">
            <v>130.14600000000002</v>
          </cell>
          <cell r="BZ112">
            <v>526.93799999999999</v>
          </cell>
          <cell r="CB112">
            <v>86.111999999999995</v>
          </cell>
          <cell r="CC112">
            <v>127.41200000000001</v>
          </cell>
          <cell r="CD112">
            <v>213.524</v>
          </cell>
          <cell r="CF112">
            <v>168.73499999999999</v>
          </cell>
          <cell r="CG112">
            <v>6.4660000000000002</v>
          </cell>
          <cell r="CH112">
            <v>175.20099999999999</v>
          </cell>
          <cell r="CJ112">
            <v>148.10399999999998</v>
          </cell>
          <cell r="CK112">
            <v>26.3</v>
          </cell>
          <cell r="CL112">
            <v>174.404</v>
          </cell>
          <cell r="CR112">
            <v>65.422499999999999</v>
          </cell>
          <cell r="CS112">
            <v>7.6</v>
          </cell>
          <cell r="CT112">
            <v>73.022499999999994</v>
          </cell>
          <cell r="CV112" t="str">
            <v>Year</v>
          </cell>
          <cell r="CX112">
            <v>111.32</v>
          </cell>
          <cell r="CY112">
            <v>31.605000000000004</v>
          </cell>
          <cell r="CZ112">
            <v>142.92500000000001</v>
          </cell>
          <cell r="DB112">
            <v>86.284000000000006</v>
          </cell>
          <cell r="DC112">
            <v>4.8000000000000007</v>
          </cell>
          <cell r="DD112">
            <v>91.084000000000003</v>
          </cell>
          <cell r="DJ112">
            <v>463.64400000000006</v>
          </cell>
          <cell r="DK112">
            <v>468.40500000000003</v>
          </cell>
          <cell r="DL112">
            <v>932.04900000000009</v>
          </cell>
          <cell r="DN112">
            <v>1777.3634999999999</v>
          </cell>
          <cell r="DO112">
            <v>1389.02</v>
          </cell>
          <cell r="DP112">
            <v>3166.3834999999999</v>
          </cell>
          <cell r="DR112" t="str">
            <v>Year</v>
          </cell>
          <cell r="DS112">
            <v>178.39499999999998</v>
          </cell>
          <cell r="DT112">
            <v>383.084</v>
          </cell>
          <cell r="DU112">
            <v>561.47900000000004</v>
          </cell>
          <cell r="DW112">
            <v>174.07300000000001</v>
          </cell>
          <cell r="DX112">
            <v>189.84</v>
          </cell>
          <cell r="DY112">
            <v>345.86067000000003</v>
          </cell>
          <cell r="EA112">
            <v>18.018000000000004</v>
          </cell>
          <cell r="EB112">
            <v>179.95725789473684</v>
          </cell>
          <cell r="EC112">
            <v>197.97525789473684</v>
          </cell>
          <cell r="EE112">
            <v>18.479999999999997</v>
          </cell>
          <cell r="EF112">
            <v>129.92400000000001</v>
          </cell>
          <cell r="EG112">
            <v>148.404</v>
          </cell>
          <cell r="EI112">
            <v>98.26</v>
          </cell>
          <cell r="EJ112">
            <v>10.434000000000001</v>
          </cell>
          <cell r="EK112">
            <v>108.694</v>
          </cell>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3">
          <cell r="X113" t="str">
            <v>adjusted for Neurontin patent</v>
          </cell>
        </row>
        <row r="114">
          <cell r="A114" t="str">
            <v>% Change</v>
          </cell>
          <cell r="AH114" t="str">
            <v>% Change</v>
          </cell>
          <cell r="BS114" t="str">
            <v>% Change</v>
          </cell>
          <cell r="CV114" t="str">
            <v>% Change</v>
          </cell>
          <cell r="DR114" t="str">
            <v>% Change</v>
          </cell>
          <cell r="EM114" t="str">
            <v>% Change</v>
          </cell>
        </row>
        <row r="115">
          <cell r="A115" t="str">
            <v xml:space="preserve">2001E/00E </v>
          </cell>
          <cell r="B115">
            <v>0.22</v>
          </cell>
          <cell r="C115">
            <v>0.38</v>
          </cell>
          <cell r="D115">
            <v>0.2689735688555186</v>
          </cell>
          <cell r="F115">
            <v>0</v>
          </cell>
          <cell r="G115">
            <v>0</v>
          </cell>
          <cell r="H115">
            <v>0</v>
          </cell>
          <cell r="J115">
            <v>0.02</v>
          </cell>
          <cell r="K115">
            <v>0.04</v>
          </cell>
          <cell r="L115">
            <v>2.941892398621504E-2</v>
          </cell>
          <cell r="R115">
            <v>-0.15</v>
          </cell>
          <cell r="S115">
            <v>2.9399999999999999E-2</v>
          </cell>
          <cell r="T115">
            <v>-0.11502525607155523</v>
          </cell>
          <cell r="V115">
            <v>0.2</v>
          </cell>
          <cell r="W115">
            <v>0.12</v>
          </cell>
          <cell r="X115">
            <v>0.19022167964204417</v>
          </cell>
          <cell r="Z115">
            <v>0.05</v>
          </cell>
          <cell r="AA115">
            <v>0.1</v>
          </cell>
          <cell r="AB115">
            <v>6.0904945045251679E-2</v>
          </cell>
          <cell r="AH115" t="str">
            <v xml:space="preserve">2001E/00E </v>
          </cell>
          <cell r="AQ115">
            <v>0</v>
          </cell>
          <cell r="AR115">
            <v>0</v>
          </cell>
          <cell r="AS115">
            <v>0</v>
          </cell>
          <cell r="AY115">
            <v>0.05</v>
          </cell>
          <cell r="AZ115">
            <v>0.03</v>
          </cell>
          <cell r="BA115">
            <v>3.6398898932016976E-2</v>
          </cell>
          <cell r="BC115">
            <v>0.14971862199972286</v>
          </cell>
          <cell r="BD115">
            <v>0.21009854319833443</v>
          </cell>
          <cell r="BE115">
            <v>0.16991248339218035</v>
          </cell>
          <cell r="BK115">
            <v>0.60000000000000009</v>
          </cell>
          <cell r="BL115" t="str">
            <v>NM</v>
          </cell>
          <cell r="BM115">
            <v>0.60000000000000009</v>
          </cell>
          <cell r="BO115">
            <v>0.16503386536309539</v>
          </cell>
          <cell r="BP115">
            <v>0.21009854319833443</v>
          </cell>
          <cell r="BQ115">
            <v>0.18002661560459776</v>
          </cell>
          <cell r="BS115" t="str">
            <v xml:space="preserve">2001E/00E </v>
          </cell>
          <cell r="BT115">
            <v>4.9999999999999822E-2</v>
          </cell>
          <cell r="BU115">
            <v>0.05</v>
          </cell>
          <cell r="BV115">
            <v>4.9999999999999822E-2</v>
          </cell>
          <cell r="BX115">
            <v>0.05</v>
          </cell>
          <cell r="BY115">
            <v>0.05</v>
          </cell>
          <cell r="BZ115">
            <v>5.0000000000000044E-2</v>
          </cell>
          <cell r="CB115">
            <v>0</v>
          </cell>
          <cell r="CC115">
            <v>0.02</v>
          </cell>
          <cell r="CD115">
            <v>1.193420880088425E-2</v>
          </cell>
          <cell r="CF115">
            <v>0.05</v>
          </cell>
          <cell r="CG115">
            <v>0.08</v>
          </cell>
          <cell r="CH115">
            <v>5.1107185461270133E-2</v>
          </cell>
          <cell r="CJ115">
            <v>0.05</v>
          </cell>
          <cell r="CK115">
            <v>0.03</v>
          </cell>
          <cell r="CL115">
            <v>4.6984014128116369E-2</v>
          </cell>
          <cell r="CR115">
            <v>-0.01</v>
          </cell>
          <cell r="CS115">
            <v>-0.01</v>
          </cell>
          <cell r="CT115">
            <v>-9.9999999999998979E-3</v>
          </cell>
          <cell r="CV115" t="str">
            <v xml:space="preserve">2001E/00E </v>
          </cell>
          <cell r="CX115">
            <v>0.03</v>
          </cell>
          <cell r="CY115">
            <v>0.02</v>
          </cell>
          <cell r="CZ115">
            <v>2.7788700367325614E-2</v>
          </cell>
          <cell r="DB115">
            <v>0.02</v>
          </cell>
          <cell r="DC115">
            <v>8.3333333333333259E-2</v>
          </cell>
          <cell r="DD115">
            <v>2.3337578498968004E-2</v>
          </cell>
          <cell r="DJ115">
            <v>0.02</v>
          </cell>
          <cell r="DK115">
            <v>5.6822349641185044E-2</v>
          </cell>
          <cell r="DL115">
            <v>3.8505220952631536E-2</v>
          </cell>
          <cell r="DN115">
            <v>3.4834171513030254E-2</v>
          </cell>
          <cell r="DO115">
            <v>4.8414056445320819E-2</v>
          </cell>
          <cell r="DP115">
            <v>4.0791356348237384E-2</v>
          </cell>
          <cell r="DR115" t="str">
            <v xml:space="preserve">2001E/00E </v>
          </cell>
          <cell r="DS115">
            <v>0.03</v>
          </cell>
          <cell r="DT115">
            <v>0.04</v>
          </cell>
          <cell r="DU115">
            <v>3.6822766301143783E-2</v>
          </cell>
          <cell r="DW115">
            <v>0.02</v>
          </cell>
          <cell r="DX115">
            <v>0</v>
          </cell>
          <cell r="DY115">
            <v>8.7115959151990996E-3</v>
          </cell>
          <cell r="EA115">
            <v>0</v>
          </cell>
          <cell r="EB115">
            <v>0.02</v>
          </cell>
          <cell r="EC115">
            <v>1.8179772544144823E-2</v>
          </cell>
          <cell r="EE115">
            <v>0.02</v>
          </cell>
          <cell r="EF115">
            <v>0.05</v>
          </cell>
          <cell r="EG115">
            <v>4.6264251637422094E-2</v>
          </cell>
          <cell r="EI115">
            <v>0.03</v>
          </cell>
          <cell r="EJ115">
            <v>0.02</v>
          </cell>
          <cell r="EK115">
            <v>2.9040057408872721E-2</v>
          </cell>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A116" t="str">
            <v xml:space="preserve">2002E/01E </v>
          </cell>
          <cell r="B116">
            <v>0.15</v>
          </cell>
          <cell r="C116">
            <v>0.25</v>
          </cell>
          <cell r="D116">
            <v>0.18328651137783769</v>
          </cell>
          <cell r="F116">
            <v>0</v>
          </cell>
          <cell r="G116">
            <v>0</v>
          </cell>
          <cell r="H116">
            <v>0</v>
          </cell>
          <cell r="J116">
            <v>-0.3</v>
          </cell>
          <cell r="K116">
            <v>0.04</v>
          </cell>
          <cell r="L116">
            <v>-0.13823245114686511</v>
          </cell>
          <cell r="R116">
            <v>-0.1</v>
          </cell>
          <cell r="S116">
            <v>2.86E-2</v>
          </cell>
          <cell r="T116">
            <v>-7.0837391971748986E-2</v>
          </cell>
          <cell r="V116">
            <v>0.1</v>
          </cell>
          <cell r="W116">
            <v>0.1</v>
          </cell>
          <cell r="X116">
            <v>0.10000000000000009</v>
          </cell>
          <cell r="Z116">
            <v>0.05</v>
          </cell>
          <cell r="AA116">
            <v>0.05</v>
          </cell>
          <cell r="AB116">
            <v>5.0000000000000044E-2</v>
          </cell>
          <cell r="AH116" t="str">
            <v xml:space="preserve">2002E/01E </v>
          </cell>
          <cell r="AQ116">
            <v>0</v>
          </cell>
          <cell r="AR116">
            <v>0</v>
          </cell>
          <cell r="AS116">
            <v>0</v>
          </cell>
          <cell r="AY116">
            <v>0.05</v>
          </cell>
          <cell r="AZ116">
            <v>0.03</v>
          </cell>
          <cell r="BA116">
            <v>3.6482874388945818E-2</v>
          </cell>
          <cell r="BC116">
            <v>0.10141738017425173</v>
          </cell>
          <cell r="BD116">
            <v>0.15785386696061798</v>
          </cell>
          <cell r="BE116">
            <v>0.12094072221053564</v>
          </cell>
          <cell r="BI116">
            <v>4.333333333333333</v>
          </cell>
          <cell r="BK116">
            <v>0.75</v>
          </cell>
          <cell r="BL116" t="str">
            <v>NM</v>
          </cell>
          <cell r="BM116">
            <v>1.1875</v>
          </cell>
          <cell r="BO116">
            <v>0.13771872100874694</v>
          </cell>
          <cell r="BP116">
            <v>0.19299773949188781</v>
          </cell>
          <cell r="BQ116">
            <v>0.15657839989734668</v>
          </cell>
          <cell r="BS116" t="str">
            <v xml:space="preserve">2002E/01E </v>
          </cell>
          <cell r="BT116">
            <v>4.9999999999999822E-2</v>
          </cell>
          <cell r="BU116">
            <v>0.05</v>
          </cell>
          <cell r="BV116">
            <v>5.0000000000000044E-2</v>
          </cell>
          <cell r="BX116">
            <v>0.05</v>
          </cell>
          <cell r="BY116">
            <v>0.05</v>
          </cell>
          <cell r="BZ116">
            <v>4.9999999999999822E-2</v>
          </cell>
          <cell r="CB116">
            <v>0</v>
          </cell>
          <cell r="CC116">
            <v>0</v>
          </cell>
          <cell r="CD116">
            <v>0</v>
          </cell>
          <cell r="CF116">
            <v>0.05</v>
          </cell>
          <cell r="CG116">
            <v>0.08</v>
          </cell>
          <cell r="CH116">
            <v>5.1137619754399344E-2</v>
          </cell>
          <cell r="CJ116">
            <v>0.05</v>
          </cell>
          <cell r="CK116">
            <v>0.03</v>
          </cell>
          <cell r="CL116">
            <v>4.7032938988445627E-2</v>
          </cell>
          <cell r="CR116">
            <v>-0.01</v>
          </cell>
          <cell r="CS116">
            <v>-0.01</v>
          </cell>
          <cell r="CT116">
            <v>-9.9999999999998979E-3</v>
          </cell>
          <cell r="CV116" t="str">
            <v xml:space="preserve">2002E/01E </v>
          </cell>
          <cell r="CX116">
            <v>0.03</v>
          </cell>
          <cell r="CY116">
            <v>0.02</v>
          </cell>
          <cell r="CZ116">
            <v>2.7805457848950832E-2</v>
          </cell>
          <cell r="DB116">
            <v>0.02</v>
          </cell>
          <cell r="DC116">
            <v>7.6923076923076872E-2</v>
          </cell>
          <cell r="DD116">
            <v>2.3175635835247954E-2</v>
          </cell>
          <cell r="DJ116">
            <v>0.02</v>
          </cell>
          <cell r="DK116">
            <v>5.4193406331214167E-2</v>
          </cell>
          <cell r="DL116">
            <v>3.748712641404417E-2</v>
          </cell>
          <cell r="DN116">
            <v>3.5150310177537225E-2</v>
          </cell>
          <cell r="DO116">
            <v>4.5857203101053123E-2</v>
          </cell>
          <cell r="DP116">
            <v>3.9881578764186409E-2</v>
          </cell>
          <cell r="DR116" t="str">
            <v xml:space="preserve">2002E/01E </v>
          </cell>
          <cell r="DS116">
            <v>0.03</v>
          </cell>
          <cell r="DT116">
            <v>0.03</v>
          </cell>
          <cell r="DU116">
            <v>3.0000000000000027E-2</v>
          </cell>
          <cell r="DW116">
            <v>0.02</v>
          </cell>
          <cell r="DX116">
            <v>0</v>
          </cell>
          <cell r="DY116">
            <v>8.8090866303969229E-3</v>
          </cell>
          <cell r="EA116">
            <v>0</v>
          </cell>
          <cell r="EB116">
            <v>0.02</v>
          </cell>
          <cell r="EC116">
            <v>1.8212273014119207E-2</v>
          </cell>
          <cell r="EE116">
            <v>0</v>
          </cell>
          <cell r="EF116">
            <v>0.05</v>
          </cell>
          <cell r="EG116">
            <v>4.3930049500933155E-2</v>
          </cell>
          <cell r="EI116">
            <v>0.03</v>
          </cell>
          <cell r="EJ116">
            <v>0.02</v>
          </cell>
          <cell r="EK116">
            <v>2.9048490449035125E-2</v>
          </cell>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A117" t="str">
            <v xml:space="preserve">2003E/02E </v>
          </cell>
          <cell r="B117">
            <v>0.12</v>
          </cell>
          <cell r="C117">
            <v>0.17</v>
          </cell>
          <cell r="D117">
            <v>0.13758159956283444</v>
          </cell>
          <cell r="F117">
            <v>0</v>
          </cell>
          <cell r="G117">
            <v>0</v>
          </cell>
          <cell r="H117">
            <v>0</v>
          </cell>
          <cell r="J117">
            <v>-0.25</v>
          </cell>
          <cell r="K117">
            <v>0.04</v>
          </cell>
          <cell r="L117">
            <v>-8.3484874474713089E-2</v>
          </cell>
          <cell r="R117">
            <v>0</v>
          </cell>
          <cell r="S117">
            <v>2.7799999999999998E-2</v>
          </cell>
          <cell r="T117">
            <v>6.9788679923825647E-3</v>
          </cell>
          <cell r="V117">
            <v>-0.5</v>
          </cell>
          <cell r="W117">
            <v>0.1</v>
          </cell>
          <cell r="X117">
            <v>-0.43098941784396672</v>
          </cell>
          <cell r="Z117">
            <v>0.05</v>
          </cell>
          <cell r="AA117">
            <v>0.05</v>
          </cell>
          <cell r="AB117">
            <v>5.0000000000000044E-2</v>
          </cell>
          <cell r="AH117" t="str">
            <v xml:space="preserve">2003E/02E </v>
          </cell>
          <cell r="AQ117">
            <v>0</v>
          </cell>
          <cell r="AR117">
            <v>0</v>
          </cell>
          <cell r="AS117">
            <v>0</v>
          </cell>
          <cell r="AY117">
            <v>0.05</v>
          </cell>
          <cell r="AZ117">
            <v>0.03</v>
          </cell>
          <cell r="BA117">
            <v>3.6567419758291475E-2</v>
          </cell>
          <cell r="BC117">
            <v>-2.4168791529670441E-2</v>
          </cell>
          <cell r="BD117">
            <v>0.11870667493274145</v>
          </cell>
          <cell r="BE117">
            <v>2.6884407103494601E-2</v>
          </cell>
          <cell r="BI117">
            <v>0.5</v>
          </cell>
          <cell r="BK117">
            <v>0.28571428571428581</v>
          </cell>
          <cell r="BL117" t="str">
            <v>NM</v>
          </cell>
          <cell r="BM117">
            <v>0.28571428571428581</v>
          </cell>
          <cell r="BO117">
            <v>-3.9555659332002335E-4</v>
          </cell>
          <cell r="BP117">
            <v>0.12830240698770345</v>
          </cell>
          <cell r="BQ117">
            <v>4.4895263989399359E-2</v>
          </cell>
          <cell r="BS117" t="str">
            <v xml:space="preserve">2003E/02E </v>
          </cell>
          <cell r="BT117">
            <v>0.05</v>
          </cell>
          <cell r="BU117">
            <v>0.05</v>
          </cell>
          <cell r="BV117">
            <v>4.9999999999999822E-2</v>
          </cell>
          <cell r="BX117">
            <v>0.05</v>
          </cell>
          <cell r="BY117">
            <v>0.05</v>
          </cell>
          <cell r="BZ117">
            <v>5.0000000000000044E-2</v>
          </cell>
          <cell r="CB117">
            <v>0</v>
          </cell>
          <cell r="CC117">
            <v>0</v>
          </cell>
          <cell r="CD117">
            <v>0</v>
          </cell>
          <cell r="CF117">
            <v>0.05</v>
          </cell>
          <cell r="CG117">
            <v>0.08</v>
          </cell>
          <cell r="CH117">
            <v>5.1168856781130589E-2</v>
          </cell>
          <cell r="CJ117">
            <v>0.05</v>
          </cell>
          <cell r="CK117">
            <v>0.03</v>
          </cell>
          <cell r="CL117">
            <v>4.7081206590450231E-2</v>
          </cell>
          <cell r="CR117">
            <v>-0.01</v>
          </cell>
          <cell r="CS117">
            <v>-0.01</v>
          </cell>
          <cell r="CT117">
            <v>-1.0000000000000009E-2</v>
          </cell>
          <cell r="CV117" t="str">
            <v xml:space="preserve">2003E/02E </v>
          </cell>
          <cell r="CX117">
            <v>0.03</v>
          </cell>
          <cell r="CY117">
            <v>0.02</v>
          </cell>
          <cell r="CZ117">
            <v>2.7822123849434721E-2</v>
          </cell>
          <cell r="DB117">
            <v>0.02</v>
          </cell>
          <cell r="DC117">
            <v>0</v>
          </cell>
          <cell r="DD117">
            <v>1.8825624950812525E-2</v>
          </cell>
          <cell r="DJ117">
            <v>0.02</v>
          </cell>
          <cell r="DK117">
            <v>6.1452842630641769E-2</v>
          </cell>
          <cell r="DL117">
            <v>4.154110506960107E-2</v>
          </cell>
          <cell r="DN117">
            <v>3.5462065005614329E-2</v>
          </cell>
          <cell r="DO117">
            <v>4.8314874419276066E-2</v>
          </cell>
          <cell r="DP117">
            <v>4.1174229668364593E-2</v>
          </cell>
          <cell r="DR117" t="str">
            <v xml:space="preserve">2003E/02E </v>
          </cell>
          <cell r="DS117">
            <v>0.03</v>
          </cell>
          <cell r="DT117">
            <v>0.03</v>
          </cell>
          <cell r="DU117">
            <v>3.0000000000000027E-2</v>
          </cell>
          <cell r="DW117">
            <v>0.02</v>
          </cell>
          <cell r="DX117">
            <v>0</v>
          </cell>
          <cell r="DY117">
            <v>8.9068075239262523E-3</v>
          </cell>
          <cell r="EA117">
            <v>0</v>
          </cell>
          <cell r="EB117">
            <v>0.02</v>
          </cell>
          <cell r="EC117">
            <v>1.8244249226549991E-2</v>
          </cell>
          <cell r="EE117">
            <v>0</v>
          </cell>
          <cell r="EF117">
            <v>0.05</v>
          </cell>
          <cell r="EG117">
            <v>4.418548158282376E-2</v>
          </cell>
          <cell r="EI117">
            <v>0.03</v>
          </cell>
          <cell r="EJ117">
            <v>0.02</v>
          </cell>
          <cell r="EK117">
            <v>2.9056857134535319E-2</v>
          </cell>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A118" t="str">
            <v xml:space="preserve">2004E/03E </v>
          </cell>
          <cell r="B118">
            <v>0.09</v>
          </cell>
          <cell r="C118">
            <v>0.12</v>
          </cell>
          <cell r="D118">
            <v>0.10084958028316637</v>
          </cell>
          <cell r="F118">
            <v>0</v>
          </cell>
          <cell r="G118">
            <v>0</v>
          </cell>
          <cell r="H118">
            <v>0</v>
          </cell>
          <cell r="J118">
            <v>-0.15</v>
          </cell>
          <cell r="K118">
            <v>0.04</v>
          </cell>
          <cell r="L118">
            <v>-2.6205031174608817E-2</v>
          </cell>
          <cell r="R118">
            <v>0</v>
          </cell>
          <cell r="S118">
            <v>0.02</v>
          </cell>
          <cell r="T118">
            <v>5.1245819189627007E-3</v>
          </cell>
          <cell r="V118">
            <v>-0.5</v>
          </cell>
          <cell r="W118">
            <v>0.05</v>
          </cell>
          <cell r="X118">
            <v>-0.37770759890439931</v>
          </cell>
          <cell r="Z118">
            <v>0.05</v>
          </cell>
          <cell r="AA118">
            <v>0.05</v>
          </cell>
          <cell r="AB118">
            <v>4.9999999999999822E-2</v>
          </cell>
          <cell r="AH118" t="str">
            <v xml:space="preserve">2004E/03E </v>
          </cell>
          <cell r="AQ118">
            <v>0</v>
          </cell>
          <cell r="AR118">
            <v>0</v>
          </cell>
          <cell r="AS118">
            <v>0</v>
          </cell>
          <cell r="AY118">
            <v>0.05</v>
          </cell>
          <cell r="AZ118">
            <v>0.03</v>
          </cell>
          <cell r="BA118">
            <v>3.6652525069536201E-2</v>
          </cell>
          <cell r="BC118">
            <v>1.7347409355073395E-2</v>
          </cell>
          <cell r="BD118">
            <v>8.8298475708957991E-2</v>
          </cell>
          <cell r="BE118">
            <v>4.4967105277444519E-2</v>
          </cell>
          <cell r="BI118">
            <v>0.33333333333333326</v>
          </cell>
          <cell r="BK118">
            <v>0.25</v>
          </cell>
          <cell r="BL118" t="str">
            <v>NM</v>
          </cell>
          <cell r="BM118">
            <v>0.22222222222222232</v>
          </cell>
          <cell r="BO118">
            <v>3.9166702407601894E-2</v>
          </cell>
          <cell r="BP118">
            <v>9.5605378407290997E-2</v>
          </cell>
          <cell r="BQ118">
            <v>6.0613778135774066E-2</v>
          </cell>
          <cell r="BS118" t="str">
            <v xml:space="preserve">2004E/03E </v>
          </cell>
          <cell r="BT118">
            <v>0.05</v>
          </cell>
          <cell r="BU118">
            <v>0.05</v>
          </cell>
          <cell r="BV118">
            <v>5.0000000000000044E-2</v>
          </cell>
          <cell r="BX118">
            <v>0.05</v>
          </cell>
          <cell r="BY118">
            <v>0.05</v>
          </cell>
          <cell r="BZ118">
            <v>5.0000000000000044E-2</v>
          </cell>
          <cell r="CB118">
            <v>0</v>
          </cell>
          <cell r="CC118">
            <v>0</v>
          </cell>
          <cell r="CD118">
            <v>0</v>
          </cell>
          <cell r="CF118">
            <v>0.05</v>
          </cell>
          <cell r="CG118">
            <v>0.05</v>
          </cell>
          <cell r="CH118">
            <v>4.9999999999999822E-2</v>
          </cell>
          <cell r="CJ118">
            <v>0.05</v>
          </cell>
          <cell r="CK118">
            <v>0.03</v>
          </cell>
          <cell r="CL118">
            <v>4.7128821343641825E-2</v>
          </cell>
          <cell r="CR118">
            <v>-0.01</v>
          </cell>
          <cell r="CS118">
            <v>-0.01</v>
          </cell>
          <cell r="CT118">
            <v>-1.000000000000012E-2</v>
          </cell>
          <cell r="CV118" t="str">
            <v xml:space="preserve">2004E/03E </v>
          </cell>
          <cell r="CX118">
            <v>0.03</v>
          </cell>
          <cell r="CY118">
            <v>0.02</v>
          </cell>
          <cell r="CZ118">
            <v>2.7838698329184952E-2</v>
          </cell>
          <cell r="DB118">
            <v>0.02</v>
          </cell>
          <cell r="DC118">
            <v>0</v>
          </cell>
          <cell r="DD118">
            <v>1.8847324782153896E-2</v>
          </cell>
          <cell r="DJ118">
            <v>0.02</v>
          </cell>
          <cell r="DK118">
            <v>2.900318283582437E-2</v>
          </cell>
          <cell r="DL118">
            <v>2.4767975568278811E-2</v>
          </cell>
          <cell r="DN118">
            <v>3.5769396156146716E-2</v>
          </cell>
          <cell r="DO118">
            <v>3.7203133933188637E-2</v>
          </cell>
          <cell r="DP118">
            <v>3.64109612349377E-2</v>
          </cell>
          <cell r="DR118" t="str">
            <v xml:space="preserve">2004E/03E </v>
          </cell>
          <cell r="DS118">
            <v>0.03</v>
          </cell>
          <cell r="DT118">
            <v>0.03</v>
          </cell>
          <cell r="DU118">
            <v>3.0000000000000027E-2</v>
          </cell>
          <cell r="DW118">
            <v>0.02</v>
          </cell>
          <cell r="DX118">
            <v>0</v>
          </cell>
          <cell r="DY118">
            <v>9.0047401867585641E-3</v>
          </cell>
          <cell r="EA118">
            <v>0</v>
          </cell>
          <cell r="EB118">
            <v>0.02</v>
          </cell>
          <cell r="EC118">
            <v>1.8275707645996064E-2</v>
          </cell>
          <cell r="EE118">
            <v>0</v>
          </cell>
          <cell r="EF118">
            <v>0.05</v>
          </cell>
          <cell r="EG118">
            <v>4.4431527233684376E-2</v>
          </cell>
          <cell r="EI118">
            <v>0.03</v>
          </cell>
          <cell r="EJ118">
            <v>0.02</v>
          </cell>
          <cell r="EK118">
            <v>2.9065157851964951E-2</v>
          </cell>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A119" t="str">
            <v xml:space="preserve">2005E/04E </v>
          </cell>
          <cell r="B119">
            <v>7.0000000000000007E-2</v>
          </cell>
          <cell r="C119">
            <v>0.1</v>
          </cell>
          <cell r="D119">
            <v>8.1038319980120121E-2</v>
          </cell>
          <cell r="F119">
            <v>0</v>
          </cell>
          <cell r="G119">
            <v>0</v>
          </cell>
          <cell r="H119">
            <v>0</v>
          </cell>
          <cell r="J119">
            <v>-0.1</v>
          </cell>
          <cell r="K119">
            <v>0.04</v>
          </cell>
          <cell r="L119">
            <v>-2.5810952969608225E-3</v>
          </cell>
          <cell r="R119">
            <v>0</v>
          </cell>
          <cell r="S119">
            <v>0.02</v>
          </cell>
          <cell r="T119">
            <v>5.2004235607912008E-3</v>
          </cell>
          <cell r="V119">
            <v>-0.5</v>
          </cell>
          <cell r="W119">
            <v>0.05</v>
          </cell>
          <cell r="X119">
            <v>-0.29365484630005323</v>
          </cell>
          <cell r="Z119">
            <v>0.05</v>
          </cell>
          <cell r="AA119">
            <v>0.05</v>
          </cell>
          <cell r="AB119">
            <v>5.0000000000000044E-2</v>
          </cell>
          <cell r="AH119" t="str">
            <v xml:space="preserve">2005E/04E </v>
          </cell>
          <cell r="AQ119">
            <v>0</v>
          </cell>
          <cell r="AR119">
            <v>0</v>
          </cell>
          <cell r="AS119">
            <v>0</v>
          </cell>
          <cell r="AY119">
            <v>0.05</v>
          </cell>
          <cell r="AZ119">
            <v>0.03</v>
          </cell>
          <cell r="BA119">
            <v>3.6738180011228305E-2</v>
          </cell>
          <cell r="BC119">
            <v>3.3736707653501341E-2</v>
          </cell>
          <cell r="BD119">
            <v>7.6828075667515705E-2</v>
          </cell>
          <cell r="BE119">
            <v>5.1206818040480773E-2</v>
          </cell>
          <cell r="BI119">
            <v>0.25</v>
          </cell>
          <cell r="BK119">
            <v>0.11111111111111116</v>
          </cell>
          <cell r="BL119" t="str">
            <v>NM</v>
          </cell>
          <cell r="BM119">
            <v>0.18181818181818188</v>
          </cell>
          <cell r="BO119">
            <v>5.0524007373062618E-2</v>
          </cell>
          <cell r="BP119">
            <v>8.6676712484369256E-2</v>
          </cell>
          <cell r="BQ119">
            <v>6.4715528821518875E-2</v>
          </cell>
          <cell r="BS119" t="str">
            <v xml:space="preserve">2005E/04E </v>
          </cell>
          <cell r="BT119">
            <v>0.05</v>
          </cell>
          <cell r="BU119">
            <v>0.05</v>
          </cell>
          <cell r="BV119">
            <v>4.9999999999999822E-2</v>
          </cell>
          <cell r="BX119">
            <v>0.05</v>
          </cell>
          <cell r="BY119">
            <v>0.05</v>
          </cell>
          <cell r="BZ119">
            <v>5.0000000000000044E-2</v>
          </cell>
          <cell r="CB119">
            <v>0</v>
          </cell>
          <cell r="CC119">
            <v>0</v>
          </cell>
          <cell r="CD119">
            <v>0</v>
          </cell>
          <cell r="CF119">
            <v>0.05</v>
          </cell>
          <cell r="CG119">
            <v>0.05</v>
          </cell>
          <cell r="CH119">
            <v>5.0000000000000044E-2</v>
          </cell>
          <cell r="CJ119">
            <v>0.05</v>
          </cell>
          <cell r="CK119">
            <v>0.03</v>
          </cell>
          <cell r="CL119">
            <v>4.7175787777234524E-2</v>
          </cell>
          <cell r="CR119">
            <v>-0.01</v>
          </cell>
          <cell r="CS119">
            <v>-0.01</v>
          </cell>
          <cell r="CT119">
            <v>-1.0000000000000009E-2</v>
          </cell>
          <cell r="CV119" t="str">
            <v xml:space="preserve">2005E/04E </v>
          </cell>
          <cell r="CX119">
            <v>0.03</v>
          </cell>
          <cell r="CY119">
            <v>0.02</v>
          </cell>
          <cell r="CZ119">
            <v>2.7855181257705919E-2</v>
          </cell>
          <cell r="DB119">
            <v>0.02</v>
          </cell>
          <cell r="DC119">
            <v>0</v>
          </cell>
          <cell r="DD119">
            <v>1.8868647745536649E-2</v>
          </cell>
          <cell r="DJ119">
            <v>0.02</v>
          </cell>
          <cell r="DK119">
            <v>2.8557690215637255E-2</v>
          </cell>
          <cell r="DL119">
            <v>2.4550778375363791E-2</v>
          </cell>
          <cell r="DN119">
            <v>3.6072268787588513E-2</v>
          </cell>
          <cell r="DO119">
            <v>3.7285224588814003E-2</v>
          </cell>
          <cell r="DP119">
            <v>3.6615453810835419E-2</v>
          </cell>
          <cell r="DR119" t="str">
            <v xml:space="preserve">2005E/04E </v>
          </cell>
          <cell r="DS119">
            <v>0.03</v>
          </cell>
          <cell r="DT119">
            <v>0.03</v>
          </cell>
          <cell r="DU119">
            <v>3.0000000000000027E-2</v>
          </cell>
          <cell r="DW119">
            <v>0.02</v>
          </cell>
          <cell r="DX119">
            <v>0</v>
          </cell>
          <cell r="DY119">
            <v>9.1028660467875611E-3</v>
          </cell>
          <cell r="EA119">
            <v>0</v>
          </cell>
          <cell r="EB119">
            <v>0.02</v>
          </cell>
          <cell r="EC119">
            <v>1.8306654729110416E-2</v>
          </cell>
          <cell r="EE119">
            <v>0</v>
          </cell>
          <cell r="EF119">
            <v>0.05</v>
          </cell>
          <cell r="EG119">
            <v>4.4668417583042075E-2</v>
          </cell>
          <cell r="EI119">
            <v>0.03</v>
          </cell>
          <cell r="EJ119">
            <v>0.02</v>
          </cell>
          <cell r="EK119">
            <v>2.9073392988072655E-2</v>
          </cell>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A121" t="str">
            <v>2001E</v>
          </cell>
          <cell r="B121">
            <v>4369.3372799999997</v>
          </cell>
          <cell r="C121">
            <v>2180.0688000000005</v>
          </cell>
          <cell r="D121">
            <v>6549.4060800000007</v>
          </cell>
          <cell r="F121">
            <v>0</v>
          </cell>
          <cell r="G121">
            <v>0</v>
          </cell>
          <cell r="H121">
            <v>0</v>
          </cell>
          <cell r="J121">
            <v>302.21172000000001</v>
          </cell>
          <cell r="K121">
            <v>274.29376000000002</v>
          </cell>
          <cell r="L121">
            <v>576.50548000000003</v>
          </cell>
          <cell r="R121">
            <v>137.02000000000001</v>
          </cell>
          <cell r="S121">
            <v>40.184687799999999</v>
          </cell>
          <cell r="T121">
            <v>177.20468780000002</v>
          </cell>
          <cell r="V121">
            <v>1432.4399999999998</v>
          </cell>
          <cell r="W121">
            <v>186.16852800000001</v>
          </cell>
          <cell r="X121">
            <v>1618.6085279999998</v>
          </cell>
          <cell r="Z121">
            <v>465.36525000000006</v>
          </cell>
          <cell r="AA121">
            <v>135.98749999999998</v>
          </cell>
          <cell r="AB121">
            <v>601.35275000000001</v>
          </cell>
          <cell r="AH121" t="str">
            <v>2001E</v>
          </cell>
          <cell r="AQ121">
            <v>175.77</v>
          </cell>
          <cell r="AR121">
            <v>230.72</v>
          </cell>
          <cell r="AS121">
            <v>406.49</v>
          </cell>
          <cell r="AY121">
            <v>380.77200000000033</v>
          </cell>
          <cell r="AZ121">
            <v>793.92915000000016</v>
          </cell>
          <cell r="BA121">
            <v>1174.7011500000006</v>
          </cell>
          <cell r="BC121">
            <v>7262.9162500000002</v>
          </cell>
          <cell r="BD121">
            <v>3841.3524258000007</v>
          </cell>
          <cell r="BE121">
            <v>11104.268675800002</v>
          </cell>
          <cell r="BG121">
            <v>75</v>
          </cell>
          <cell r="BH121">
            <v>0</v>
          </cell>
          <cell r="BI121">
            <v>75</v>
          </cell>
          <cell r="BK121">
            <v>80</v>
          </cell>
          <cell r="BL121">
            <v>0</v>
          </cell>
          <cell r="BM121">
            <v>80</v>
          </cell>
          <cell r="BO121">
            <v>7417.9162500000002</v>
          </cell>
          <cell r="BP121">
            <v>3841.3524258000007</v>
          </cell>
          <cell r="BQ121">
            <v>11259.268675800002</v>
          </cell>
          <cell r="BS121" t="str">
            <v>2001E</v>
          </cell>
          <cell r="BT121">
            <v>263.49749999999995</v>
          </cell>
          <cell r="BU121">
            <v>615.60029999999995</v>
          </cell>
          <cell r="BV121">
            <v>879.09779999999989</v>
          </cell>
          <cell r="BX121">
            <v>416.63159999999999</v>
          </cell>
          <cell r="BY121">
            <v>136.6533</v>
          </cell>
          <cell r="BZ121">
            <v>553.28489999999999</v>
          </cell>
          <cell r="CB121">
            <v>86.111999999999995</v>
          </cell>
          <cell r="CC121">
            <v>129.96024</v>
          </cell>
          <cell r="CD121">
            <v>216.07223999999999</v>
          </cell>
          <cell r="CF121">
            <v>177.17174999999997</v>
          </cell>
          <cell r="CG121">
            <v>6.9832800000000006</v>
          </cell>
          <cell r="CH121">
            <v>184.15502999999998</v>
          </cell>
          <cell r="CJ121">
            <v>155.50919999999999</v>
          </cell>
          <cell r="CK121">
            <v>27.089000000000002</v>
          </cell>
          <cell r="CL121">
            <v>182.59819999999999</v>
          </cell>
          <cell r="CR121">
            <v>64.768275000000003</v>
          </cell>
          <cell r="CS121">
            <v>7.524</v>
          </cell>
          <cell r="CT121">
            <v>72.292275000000004</v>
          </cell>
          <cell r="CV121" t="str">
            <v>2001E</v>
          </cell>
          <cell r="CX121">
            <v>114.6596</v>
          </cell>
          <cell r="CY121">
            <v>32.237100000000005</v>
          </cell>
          <cell r="CZ121">
            <v>146.89670000000001</v>
          </cell>
          <cell r="DB121">
            <v>88.009680000000003</v>
          </cell>
          <cell r="DC121">
            <v>5.2</v>
          </cell>
          <cell r="DD121">
            <v>93.209680000000006</v>
          </cell>
          <cell r="DJ121">
            <v>472.91688000000005</v>
          </cell>
          <cell r="DK121">
            <v>495.02087268367933</v>
          </cell>
          <cell r="DL121">
            <v>967.93775268367938</v>
          </cell>
          <cell r="DN121">
            <v>1839.2764849999996</v>
          </cell>
          <cell r="DO121">
            <v>1456.2680926836795</v>
          </cell>
          <cell r="DP121">
            <v>3295.5445776836791</v>
          </cell>
          <cell r="DR121" t="str">
            <v>2001E</v>
          </cell>
          <cell r="DS121">
            <v>183.74684999999999</v>
          </cell>
          <cell r="DT121">
            <v>398.40735999999998</v>
          </cell>
          <cell r="DU121">
            <v>582.15420999999992</v>
          </cell>
          <cell r="DW121">
            <v>177.55446000000001</v>
          </cell>
          <cell r="DX121">
            <v>189.84</v>
          </cell>
          <cell r="DY121">
            <v>348.87366840000004</v>
          </cell>
          <cell r="EA121">
            <v>18.018000000000004</v>
          </cell>
          <cell r="EB121">
            <v>183.55640305263157</v>
          </cell>
          <cell r="EC121">
            <v>201.57440305263157</v>
          </cell>
          <cell r="EE121">
            <v>18.849599999999995</v>
          </cell>
          <cell r="EF121">
            <v>136.42019999999999</v>
          </cell>
          <cell r="EG121">
            <v>155.26979999999998</v>
          </cell>
          <cell r="EI121">
            <v>101.20780000000001</v>
          </cell>
          <cell r="EJ121">
            <v>10.64268</v>
          </cell>
          <cell r="EK121">
            <v>111.85048</v>
          </cell>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A122" t="str">
            <v>2002E</v>
          </cell>
          <cell r="B122">
            <v>5024.7378719999997</v>
          </cell>
          <cell r="C122">
            <v>2725.0860000000007</v>
          </cell>
          <cell r="D122">
            <v>7749.8238720000008</v>
          </cell>
          <cell r="F122">
            <v>0</v>
          </cell>
          <cell r="G122">
            <v>0</v>
          </cell>
          <cell r="H122">
            <v>0</v>
          </cell>
          <cell r="J122">
            <v>211.548204</v>
          </cell>
          <cell r="K122">
            <v>285.26551040000004</v>
          </cell>
          <cell r="L122">
            <v>496.81371440000004</v>
          </cell>
          <cell r="R122">
            <v>123.31800000000001</v>
          </cell>
          <cell r="S122">
            <v>41.333969871080001</v>
          </cell>
          <cell r="T122">
            <v>164.65196987108001</v>
          </cell>
          <cell r="V122">
            <v>1575.6839999999997</v>
          </cell>
          <cell r="W122">
            <v>204.78538080000001</v>
          </cell>
          <cell r="X122">
            <v>1780.4693807999997</v>
          </cell>
          <cell r="Z122">
            <v>488.63351250000005</v>
          </cell>
          <cell r="AA122">
            <v>142.78687499999998</v>
          </cell>
          <cell r="AB122">
            <v>631.42038750000006</v>
          </cell>
          <cell r="AH122" t="str">
            <v>2002E</v>
          </cell>
          <cell r="AQ122">
            <v>175.77</v>
          </cell>
          <cell r="AR122">
            <v>230.72</v>
          </cell>
          <cell r="AS122">
            <v>406.49</v>
          </cell>
          <cell r="AY122">
            <v>399.81060000000036</v>
          </cell>
          <cell r="AZ122">
            <v>817.74702450000018</v>
          </cell>
          <cell r="BA122">
            <v>1217.5576245000007</v>
          </cell>
          <cell r="BC122">
            <v>7999.5021885000006</v>
          </cell>
          <cell r="BD122">
            <v>4447.7247605710809</v>
          </cell>
          <cell r="BE122">
            <v>12447.226949071082</v>
          </cell>
          <cell r="BG122">
            <v>300</v>
          </cell>
          <cell r="BH122">
            <v>100</v>
          </cell>
          <cell r="BI122">
            <v>400</v>
          </cell>
          <cell r="BK122">
            <v>140</v>
          </cell>
          <cell r="BL122">
            <v>35</v>
          </cell>
          <cell r="BM122">
            <v>175</v>
          </cell>
          <cell r="BO122">
            <v>8439.5021885000006</v>
          </cell>
          <cell r="BP122">
            <v>4582.7247605710809</v>
          </cell>
          <cell r="BQ122">
            <v>13022.226949071082</v>
          </cell>
          <cell r="BS122" t="str">
            <v>2002E</v>
          </cell>
          <cell r="BT122">
            <v>276.67237499999987</v>
          </cell>
          <cell r="BU122">
            <v>646.380315</v>
          </cell>
          <cell r="BV122">
            <v>923.05268999999987</v>
          </cell>
          <cell r="BX122">
            <v>437.46317999999997</v>
          </cell>
          <cell r="BY122">
            <v>143.48596499999999</v>
          </cell>
          <cell r="BZ122">
            <v>580.94914499999993</v>
          </cell>
          <cell r="CB122">
            <v>86.111999999999995</v>
          </cell>
          <cell r="CC122">
            <v>129.96024</v>
          </cell>
          <cell r="CD122">
            <v>216.07223999999999</v>
          </cell>
          <cell r="CF122">
            <v>186.03033749999997</v>
          </cell>
          <cell r="CG122">
            <v>7.5419424000000008</v>
          </cell>
          <cell r="CH122">
            <v>193.57227989999998</v>
          </cell>
          <cell r="CJ122">
            <v>163.28466</v>
          </cell>
          <cell r="CK122">
            <v>27.901670000000003</v>
          </cell>
          <cell r="CL122">
            <v>191.18633</v>
          </cell>
          <cell r="CR122">
            <v>64.120592250000001</v>
          </cell>
          <cell r="CS122">
            <v>7.44876</v>
          </cell>
          <cell r="CT122">
            <v>71.569352250000009</v>
          </cell>
          <cell r="CV122" t="str">
            <v>2002E</v>
          </cell>
          <cell r="CX122">
            <v>118.09938799999999</v>
          </cell>
          <cell r="CY122">
            <v>32.881842000000006</v>
          </cell>
          <cell r="CZ122">
            <v>150.98122999999998</v>
          </cell>
          <cell r="DB122">
            <v>89.769873599999997</v>
          </cell>
          <cell r="DC122">
            <v>5.6</v>
          </cell>
          <cell r="DD122">
            <v>95.369873599999991</v>
          </cell>
          <cell r="DJ122">
            <v>482.37521760000004</v>
          </cell>
          <cell r="DK122">
            <v>521.8477399794582</v>
          </cell>
          <cell r="DL122">
            <v>1004.2229575794582</v>
          </cell>
          <cell r="DN122">
            <v>1903.92762395</v>
          </cell>
          <cell r="DO122">
            <v>1523.0484743794582</v>
          </cell>
          <cell r="DP122">
            <v>3426.9760983294582</v>
          </cell>
          <cell r="DR122" t="str">
            <v>2002E</v>
          </cell>
          <cell r="DS122">
            <v>189.25925549999999</v>
          </cell>
          <cell r="DT122">
            <v>410.3595808</v>
          </cell>
          <cell r="DU122">
            <v>599.6188363</v>
          </cell>
          <cell r="DW122">
            <v>181.10554920000001</v>
          </cell>
          <cell r="DX122">
            <v>189.84</v>
          </cell>
          <cell r="DY122">
            <v>351.94692676800003</v>
          </cell>
          <cell r="EA122">
            <v>18.018000000000004</v>
          </cell>
          <cell r="EB122">
            <v>187.22753111368419</v>
          </cell>
          <cell r="EC122">
            <v>205.24553111368419</v>
          </cell>
          <cell r="EE122">
            <v>18.849599999999995</v>
          </cell>
          <cell r="EF122">
            <v>143.24121</v>
          </cell>
          <cell r="EG122">
            <v>162.09080999999998</v>
          </cell>
          <cell r="EI122">
            <v>104.244034</v>
          </cell>
          <cell r="EJ122">
            <v>10.855533600000001</v>
          </cell>
          <cell r="EK122">
            <v>115.0995676</v>
          </cell>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A123" t="str">
            <v>2003E</v>
          </cell>
          <cell r="B123">
            <v>5627.7064166399996</v>
          </cell>
          <cell r="C123">
            <v>3188.3506200000011</v>
          </cell>
          <cell r="D123">
            <v>8816.0570366400007</v>
          </cell>
          <cell r="F123">
            <v>0</v>
          </cell>
          <cell r="G123">
            <v>0</v>
          </cell>
          <cell r="H123">
            <v>0</v>
          </cell>
          <cell r="J123">
            <v>158.66115300000001</v>
          </cell>
          <cell r="K123">
            <v>296.67613081600007</v>
          </cell>
          <cell r="L123">
            <v>455.33728381600008</v>
          </cell>
          <cell r="R123">
            <v>123.31800000000001</v>
          </cell>
          <cell r="S123">
            <v>42.483054233496027</v>
          </cell>
          <cell r="T123">
            <v>165.80105423349605</v>
          </cell>
          <cell r="V123">
            <v>787.84199999999987</v>
          </cell>
          <cell r="W123">
            <v>225.26391888000001</v>
          </cell>
          <cell r="X123">
            <v>1013.1059188799999</v>
          </cell>
          <cell r="Z123">
            <v>513.06518812500008</v>
          </cell>
          <cell r="AA123">
            <v>149.92621874999998</v>
          </cell>
          <cell r="AB123">
            <v>662.99140687500005</v>
          </cell>
          <cell r="AH123" t="str">
            <v>2003E</v>
          </cell>
          <cell r="AQ123">
            <v>175.77</v>
          </cell>
          <cell r="AR123">
            <v>230.72</v>
          </cell>
          <cell r="AS123">
            <v>406.49</v>
          </cell>
          <cell r="AY123">
            <v>419.8011300000004</v>
          </cell>
          <cell r="AZ123">
            <v>842.27943523500016</v>
          </cell>
          <cell r="BA123">
            <v>1262.0805652350004</v>
          </cell>
          <cell r="BC123">
            <v>7806.1638877650012</v>
          </cell>
          <cell r="BD123">
            <v>4975.6993779144977</v>
          </cell>
          <cell r="BE123">
            <v>12781.863265679498</v>
          </cell>
          <cell r="BG123">
            <v>450</v>
          </cell>
          <cell r="BH123">
            <v>150</v>
          </cell>
          <cell r="BI123">
            <v>600</v>
          </cell>
          <cell r="BK123">
            <v>180</v>
          </cell>
          <cell r="BL123">
            <v>45</v>
          </cell>
          <cell r="BM123">
            <v>225</v>
          </cell>
          <cell r="BO123">
            <v>8436.1638877650003</v>
          </cell>
          <cell r="BP123">
            <v>5170.6993779144977</v>
          </cell>
          <cell r="BQ123">
            <v>13606.863265679498</v>
          </cell>
          <cell r="BS123" t="str">
            <v>2003E</v>
          </cell>
          <cell r="BT123">
            <v>290.50599374999985</v>
          </cell>
          <cell r="BU123">
            <v>678.69933074999994</v>
          </cell>
          <cell r="BV123">
            <v>969.20532449999973</v>
          </cell>
          <cell r="BX123">
            <v>459.33633899999995</v>
          </cell>
          <cell r="BY123">
            <v>150.66026324999999</v>
          </cell>
          <cell r="BZ123">
            <v>609.99660224999991</v>
          </cell>
          <cell r="CB123">
            <v>86.111999999999995</v>
          </cell>
          <cell r="CC123">
            <v>129.96024</v>
          </cell>
          <cell r="CD123">
            <v>216.07223999999999</v>
          </cell>
          <cell r="CF123">
            <v>195.33185437499998</v>
          </cell>
          <cell r="CG123">
            <v>8.1452977920000009</v>
          </cell>
          <cell r="CH123">
            <v>203.47715216699999</v>
          </cell>
          <cell r="CJ123">
            <v>171.448893</v>
          </cell>
          <cell r="CK123">
            <v>28.738720100000002</v>
          </cell>
          <cell r="CL123">
            <v>200.18761309999999</v>
          </cell>
          <cell r="CR123">
            <v>63.479386327500002</v>
          </cell>
          <cell r="CS123">
            <v>7.3742723999999997</v>
          </cell>
          <cell r="CT123">
            <v>70.853658727500004</v>
          </cell>
          <cell r="CV123" t="str">
            <v>2003E</v>
          </cell>
          <cell r="CX123">
            <v>121.64236963999998</v>
          </cell>
          <cell r="CY123">
            <v>33.539478840000008</v>
          </cell>
          <cell r="CZ123">
            <v>155.18184847999999</v>
          </cell>
          <cell r="DB123">
            <v>91.565271072000002</v>
          </cell>
          <cell r="DC123">
            <v>5.6</v>
          </cell>
          <cell r="DD123">
            <v>97.165271071999996</v>
          </cell>
          <cell r="DJ123">
            <v>492.02272195200004</v>
          </cell>
          <cell r="DK123">
            <v>553.9167670215719</v>
          </cell>
          <cell r="DL123">
            <v>1045.939488973572</v>
          </cell>
          <cell r="DN123">
            <v>1971.4448291164997</v>
          </cell>
          <cell r="DO123">
            <v>1596.6343701535716</v>
          </cell>
          <cell r="DP123">
            <v>3568.0791992700715</v>
          </cell>
          <cell r="DR123" t="str">
            <v>2003E</v>
          </cell>
          <cell r="DS123">
            <v>194.937033165</v>
          </cell>
          <cell r="DT123">
            <v>422.67036822400001</v>
          </cell>
          <cell r="DU123">
            <v>617.60740138899996</v>
          </cell>
          <cell r="DW123">
            <v>184.727660184</v>
          </cell>
          <cell r="DX123">
            <v>189.84</v>
          </cell>
          <cell r="DY123">
            <v>355.08165030335999</v>
          </cell>
          <cell r="EA123">
            <v>18.018000000000004</v>
          </cell>
          <cell r="EB123">
            <v>190.97208173595789</v>
          </cell>
          <cell r="EC123">
            <v>208.99008173595789</v>
          </cell>
          <cell r="EE123">
            <v>18.849599999999995</v>
          </cell>
          <cell r="EF123">
            <v>150.40327049999999</v>
          </cell>
          <cell r="EG123">
            <v>169.25287049999997</v>
          </cell>
          <cell r="EI123">
            <v>107.37135502</v>
          </cell>
          <cell r="EJ123">
            <v>11.072644272000002</v>
          </cell>
          <cell r="EK123">
            <v>118.443999292</v>
          </cell>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A124" t="str">
            <v>2004E</v>
          </cell>
          <cell r="B124">
            <v>6134.1999941375998</v>
          </cell>
          <cell r="C124">
            <v>3570.9526944000013</v>
          </cell>
          <cell r="D124">
            <v>9705.1526885376006</v>
          </cell>
          <cell r="F124">
            <v>0</v>
          </cell>
          <cell r="G124">
            <v>0</v>
          </cell>
          <cell r="H124">
            <v>0</v>
          </cell>
          <cell r="J124">
            <v>134.86198005</v>
          </cell>
          <cell r="K124">
            <v>308.54317604864008</v>
          </cell>
          <cell r="L124">
            <v>443.40515609864008</v>
          </cell>
          <cell r="R124">
            <v>123.31800000000001</v>
          </cell>
          <cell r="S124">
            <v>43.332715318165945</v>
          </cell>
          <cell r="T124">
            <v>166.65071531816596</v>
          </cell>
          <cell r="V124">
            <v>393.92099999999994</v>
          </cell>
          <cell r="W124">
            <v>236.52711482399999</v>
          </cell>
          <cell r="X124">
            <v>630.44811482399996</v>
          </cell>
          <cell r="Z124">
            <v>538.71844753125004</v>
          </cell>
          <cell r="AA124">
            <v>157.42252968749997</v>
          </cell>
          <cell r="AB124">
            <v>696.14097721874998</v>
          </cell>
          <cell r="AH124" t="str">
            <v>2004E</v>
          </cell>
          <cell r="AQ124">
            <v>175.77</v>
          </cell>
          <cell r="AR124">
            <v>230.72</v>
          </cell>
          <cell r="AS124">
            <v>406.49</v>
          </cell>
          <cell r="AY124">
            <v>440.79118650000044</v>
          </cell>
          <cell r="AZ124">
            <v>867.54781829205024</v>
          </cell>
          <cell r="BA124">
            <v>1308.3390047920507</v>
          </cell>
          <cell r="BC124">
            <v>7941.580608218851</v>
          </cell>
          <cell r="BD124">
            <v>5415.0460485703579</v>
          </cell>
          <cell r="BE124">
            <v>13356.626656789209</v>
          </cell>
          <cell r="BG124">
            <v>600</v>
          </cell>
          <cell r="BH124">
            <v>200</v>
          </cell>
          <cell r="BI124">
            <v>800</v>
          </cell>
          <cell r="BK124">
            <v>225</v>
          </cell>
          <cell r="BL124">
            <v>50</v>
          </cell>
          <cell r="BM124">
            <v>275</v>
          </cell>
          <cell r="BO124">
            <v>8766.5806082188501</v>
          </cell>
          <cell r="BP124">
            <v>5665.0460485703579</v>
          </cell>
          <cell r="BQ124">
            <v>14431.626656789209</v>
          </cell>
          <cell r="BS124" t="str">
            <v>2004E</v>
          </cell>
          <cell r="BT124">
            <v>305.03129343749981</v>
          </cell>
          <cell r="BU124">
            <v>712.63429728749998</v>
          </cell>
          <cell r="BV124">
            <v>1017.6655907249998</v>
          </cell>
          <cell r="BX124">
            <v>482.30315594999996</v>
          </cell>
          <cell r="BY124">
            <v>158.19327641249998</v>
          </cell>
          <cell r="BZ124">
            <v>640.49643236249995</v>
          </cell>
          <cell r="CB124">
            <v>86.111999999999995</v>
          </cell>
          <cell r="CC124">
            <v>129.96024</v>
          </cell>
          <cell r="CD124">
            <v>216.07223999999999</v>
          </cell>
          <cell r="CF124">
            <v>205.09844709374997</v>
          </cell>
          <cell r="CG124">
            <v>8.5525626816000013</v>
          </cell>
          <cell r="CH124">
            <v>213.65100977534996</v>
          </cell>
          <cell r="CJ124">
            <v>180.02133764999999</v>
          </cell>
          <cell r="CK124">
            <v>29.600881703000002</v>
          </cell>
          <cell r="CL124">
            <v>209.62221935299999</v>
          </cell>
          <cell r="CR124">
            <v>62.844592464225002</v>
          </cell>
          <cell r="CS124">
            <v>7.300529676</v>
          </cell>
          <cell r="CT124">
            <v>70.145122140224998</v>
          </cell>
          <cell r="CV124" t="str">
            <v>2004E</v>
          </cell>
          <cell r="CX124">
            <v>125.29164072919998</v>
          </cell>
          <cell r="CY124">
            <v>34.210268416800005</v>
          </cell>
          <cell r="CZ124">
            <v>159.501909146</v>
          </cell>
          <cell r="DB124">
            <v>93.396576493440008</v>
          </cell>
          <cell r="DC124">
            <v>5.6</v>
          </cell>
          <cell r="DD124">
            <v>98.996576493440003</v>
          </cell>
          <cell r="DJ124">
            <v>501.86317639104004</v>
          </cell>
          <cell r="DK124">
            <v>569.98211629132732</v>
          </cell>
          <cell r="DL124">
            <v>1071.8452926823675</v>
          </cell>
          <cell r="DN124">
            <v>2041.9622202091548</v>
          </cell>
          <cell r="DO124">
            <v>1656.0341724687273</v>
          </cell>
          <cell r="DP124">
            <v>3697.9963926778819</v>
          </cell>
          <cell r="DR124" t="str">
            <v>2004E</v>
          </cell>
          <cell r="DS124">
            <v>200.78514415994999</v>
          </cell>
          <cell r="DT124">
            <v>435.35047927072003</v>
          </cell>
          <cell r="DU124">
            <v>636.13562343066997</v>
          </cell>
          <cell r="DW124">
            <v>188.42221338767999</v>
          </cell>
          <cell r="DX124">
            <v>189.84</v>
          </cell>
          <cell r="DY124">
            <v>358.2790683094272</v>
          </cell>
          <cell r="EA124">
            <v>18.018000000000004</v>
          </cell>
          <cell r="EB124">
            <v>194.79152337067706</v>
          </cell>
          <cell r="EC124">
            <v>212.80952337067706</v>
          </cell>
          <cell r="EE124">
            <v>18.849599999999995</v>
          </cell>
          <cell r="EF124">
            <v>157.92343402499998</v>
          </cell>
          <cell r="EG124">
            <v>176.77303402499996</v>
          </cell>
          <cell r="EI124">
            <v>110.5924956706</v>
          </cell>
          <cell r="EJ124">
            <v>11.294097157440001</v>
          </cell>
          <cell r="EK124">
            <v>121.88659282804001</v>
          </cell>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A125" t="str">
            <v>2005E</v>
          </cell>
          <cell r="B125">
            <v>6563.5939937272315</v>
          </cell>
          <cell r="C125">
            <v>3928.0479638400016</v>
          </cell>
          <cell r="D125">
            <v>10491.641957567233</v>
          </cell>
          <cell r="F125">
            <v>0</v>
          </cell>
          <cell r="G125">
            <v>0</v>
          </cell>
          <cell r="H125">
            <v>0</v>
          </cell>
          <cell r="J125">
            <v>121.37578204499999</v>
          </cell>
          <cell r="K125">
            <v>320.88490309058568</v>
          </cell>
          <cell r="L125">
            <v>442.26068513558567</v>
          </cell>
          <cell r="R125">
            <v>123.31800000000001</v>
          </cell>
          <cell r="S125">
            <v>44.199369624529261</v>
          </cell>
          <cell r="T125">
            <v>167.51736962452927</v>
          </cell>
          <cell r="V125">
            <v>196.96049999999997</v>
          </cell>
          <cell r="W125">
            <v>248.35347056519998</v>
          </cell>
          <cell r="X125">
            <v>445.31397056519995</v>
          </cell>
          <cell r="Z125">
            <v>565.65436990781257</v>
          </cell>
          <cell r="AA125">
            <v>165.29365617187497</v>
          </cell>
          <cell r="AB125">
            <v>730.94802607968757</v>
          </cell>
          <cell r="AH125" t="str">
            <v>2005E</v>
          </cell>
          <cell r="AQ125">
            <v>175.77</v>
          </cell>
          <cell r="AR125">
            <v>230.72</v>
          </cell>
          <cell r="AS125">
            <v>406.49</v>
          </cell>
          <cell r="AY125">
            <v>462.83074582500046</v>
          </cell>
          <cell r="AZ125">
            <v>893.57425284081182</v>
          </cell>
          <cell r="BA125">
            <v>1356.4049986658124</v>
          </cell>
          <cell r="BC125">
            <v>8209.5033915050462</v>
          </cell>
          <cell r="BD125">
            <v>5831.0736161330033</v>
          </cell>
          <cell r="BE125">
            <v>14040.57700763805</v>
          </cell>
          <cell r="BG125">
            <v>750</v>
          </cell>
          <cell r="BH125">
            <v>250</v>
          </cell>
          <cell r="BI125">
            <v>1000</v>
          </cell>
          <cell r="BK125">
            <v>250</v>
          </cell>
          <cell r="BL125">
            <v>75</v>
          </cell>
          <cell r="BM125">
            <v>325</v>
          </cell>
          <cell r="BO125">
            <v>9209.5033915050462</v>
          </cell>
          <cell r="BP125">
            <v>6156.0736161330033</v>
          </cell>
          <cell r="BQ125">
            <v>15365.57700763805</v>
          </cell>
          <cell r="BS125" t="str">
            <v>2005E</v>
          </cell>
          <cell r="BT125">
            <v>320.28285810937479</v>
          </cell>
          <cell r="BU125">
            <v>748.26601215187497</v>
          </cell>
          <cell r="BV125">
            <v>1068.5488702612497</v>
          </cell>
          <cell r="BX125">
            <v>506.41831374749995</v>
          </cell>
          <cell r="BY125">
            <v>166.10294023312497</v>
          </cell>
          <cell r="BZ125">
            <v>672.52125398062492</v>
          </cell>
          <cell r="CB125">
            <v>86.111999999999995</v>
          </cell>
          <cell r="CC125">
            <v>129.96024</v>
          </cell>
          <cell r="CD125">
            <v>216.07223999999999</v>
          </cell>
          <cell r="CF125">
            <v>215.35336944843746</v>
          </cell>
          <cell r="CG125">
            <v>8.9801908156800021</v>
          </cell>
          <cell r="CH125">
            <v>224.33356026411747</v>
          </cell>
          <cell r="CJ125">
            <v>189.02240453249999</v>
          </cell>
          <cell r="CK125">
            <v>30.488908154090002</v>
          </cell>
          <cell r="CL125">
            <v>219.51131268659</v>
          </cell>
          <cell r="CR125">
            <v>62.216146539582752</v>
          </cell>
          <cell r="CS125">
            <v>7.2275243792400001</v>
          </cell>
          <cell r="CT125">
            <v>69.443670918822747</v>
          </cell>
          <cell r="CV125" t="str">
            <v>2005E</v>
          </cell>
          <cell r="CX125">
            <v>129.05038995107597</v>
          </cell>
          <cell r="CY125">
            <v>34.894473785136007</v>
          </cell>
          <cell r="CZ125">
            <v>163.94486373621197</v>
          </cell>
          <cell r="DB125">
            <v>95.264508023308807</v>
          </cell>
          <cell r="DC125">
            <v>5.6</v>
          </cell>
          <cell r="DD125">
            <v>100.8645080233088</v>
          </cell>
          <cell r="DJ125">
            <v>511.90043991886085</v>
          </cell>
          <cell r="DK125">
            <v>586.2594889968284</v>
          </cell>
          <cell r="DL125">
            <v>1098.1599289156893</v>
          </cell>
          <cell r="DN125">
            <v>2115.6204302706406</v>
          </cell>
          <cell r="DO125">
            <v>1717.7797785159744</v>
          </cell>
          <cell r="DP125">
            <v>3833.4002087866147</v>
          </cell>
          <cell r="DR125" t="str">
            <v>2005E</v>
          </cell>
          <cell r="DS125">
            <v>206.8086984847485</v>
          </cell>
          <cell r="DT125">
            <v>448.41099364884161</v>
          </cell>
          <cell r="DU125">
            <v>655.21969213359012</v>
          </cell>
          <cell r="DW125">
            <v>192.1906576554336</v>
          </cell>
          <cell r="DX125">
            <v>189.84</v>
          </cell>
          <cell r="DY125">
            <v>361.54043467561576</v>
          </cell>
          <cell r="EA125">
            <v>18.018000000000004</v>
          </cell>
          <cell r="EB125">
            <v>198.68735383809059</v>
          </cell>
          <cell r="EC125">
            <v>216.70535383809059</v>
          </cell>
          <cell r="EE125">
            <v>18.849599999999995</v>
          </cell>
          <cell r="EF125">
            <v>165.81960572624999</v>
          </cell>
          <cell r="EG125">
            <v>184.66920572624997</v>
          </cell>
          <cell r="EI125">
            <v>113.910270540718</v>
          </cell>
          <cell r="EJ125">
            <v>11.519979100588801</v>
          </cell>
          <cell r="EK125">
            <v>125.4302496413068</v>
          </cell>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A127" t="str">
            <v>E = Morgan Stanley Dean Witter Research Estimates             NM = Not Meaningful             A = Actual</v>
          </cell>
          <cell r="AH127" t="str">
            <v>E = Morgan Stanley Dean Witter Research Estimates             NM = Not Meaningful             A = Actual</v>
          </cell>
          <cell r="BS127" t="str">
            <v>E = Morgan Stanley Dean Witter Research Estimates       A = Actual          NM = Not Meaningful</v>
          </cell>
          <cell r="CV127" t="str">
            <v>E = Morgan Stanley Dean Witter Research Estimates             NM = Not Meaningful             A = Actual</v>
          </cell>
          <cell r="DR127" t="str">
            <v>E = Morgan Stanley Dean Witter Research Estimates             NM = Not Meaningful             A = Actual</v>
          </cell>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iQ_Measure_Validations_Errors"/>
      <sheetName val="iQ_US_CoreIndustrials"/>
      <sheetName val="CF"/>
      <sheetName val="BS"/>
      <sheetName val="Soliris"/>
      <sheetName val="Penetration Sensitivity"/>
      <sheetName val="Revenue"/>
      <sheetName val="NPV"/>
      <sheetName val="Charts"/>
      <sheetName val="NPV Sensitivity"/>
      <sheetName val="Pricing Scenario Valuation"/>
      <sheetName val="Scenario Valuation"/>
      <sheetName val="DCF Analysis"/>
      <sheetName val="Valuation"/>
      <sheetName val="Quarterly Model"/>
      <sheetName val="Revenue Summary"/>
      <sheetName val="Op expenses"/>
      <sheetName val="PNH, autoimmune"/>
      <sheetName val="PNH data"/>
      <sheetName val="Cardiovascular"/>
      <sheetName val="R&amp;D funding"/>
      <sheetName val="Shares"/>
      <sheetName val="Tax"/>
      <sheetName val="Products"/>
      <sheetName val="Management"/>
      <sheetName val="PRIMO-CABG"/>
      <sheetName val="Pexelizumab data"/>
      <sheetName val="Background"/>
      <sheetName val="Cardio data"/>
      <sheetName val="RA data"/>
      <sheetName val="P_L"/>
      <sheetName val="BalanceSheet"/>
      <sheetName val="E&amp;P"/>
      <sheetName val="AHC"/>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refreshError="1"/>
      <sheetData sheetId="33" refreshError="1"/>
      <sheetData sheetId="3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graphicalBrkdown"/>
      <sheetName val="iQ_Measure_Validations_Errors"/>
      <sheetName val="iQ_US_CoreIndustrials"/>
      <sheetName val="Model"/>
      <sheetName val="Sensitivity"/>
      <sheetName val="Balance Sheet (2)"/>
      <sheetName val="Cash Flows (2)"/>
      <sheetName val="Model for comment"/>
      <sheetName val="Balance Sheet"/>
      <sheetName val="Well Stats"/>
      <sheetName val="cmp"/>
      <sheetName val="Sheet1"/>
      <sheetName val="Print"/>
      <sheetName val="Module1"/>
      <sheetName val="Module2"/>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c1"/>
    </sheetNames>
    <sheetDataSet>
      <sheetData sheetId="0" refreshError="1">
        <row r="1">
          <cell r="A1" t="str">
            <v>Exhibit 12</v>
          </cell>
        </row>
        <row r="2">
          <cell r="A2" t="str">
            <v>U.S. Androgen Market</v>
          </cell>
        </row>
        <row r="3">
          <cell r="A3" t="str">
            <v xml:space="preserve">($ Million) </v>
          </cell>
        </row>
        <row r="4">
          <cell r="B4">
            <v>1997</v>
          </cell>
          <cell r="C4">
            <v>1998</v>
          </cell>
          <cell r="D4">
            <v>1999</v>
          </cell>
          <cell r="E4" t="str">
            <v>2000E</v>
          </cell>
          <cell r="F4" t="str">
            <v>2001E</v>
          </cell>
          <cell r="G4" t="str">
            <v>2002E</v>
          </cell>
          <cell r="H4" t="str">
            <v>2003E</v>
          </cell>
          <cell r="I4" t="str">
            <v>2004E</v>
          </cell>
          <cell r="J4" t="str">
            <v>2005E</v>
          </cell>
        </row>
        <row r="6">
          <cell r="A6" t="str">
            <v xml:space="preserve">Patient Population </v>
          </cell>
          <cell r="B6">
            <v>5000000</v>
          </cell>
          <cell r="C6">
            <v>5000000</v>
          </cell>
          <cell r="D6">
            <v>5000000</v>
          </cell>
          <cell r="E6">
            <v>5000000</v>
          </cell>
          <cell r="F6">
            <v>5000000</v>
          </cell>
          <cell r="G6">
            <v>5000000</v>
          </cell>
          <cell r="H6">
            <v>5000000</v>
          </cell>
          <cell r="I6">
            <v>5000000</v>
          </cell>
          <cell r="J6">
            <v>5000000</v>
          </cell>
        </row>
        <row r="7">
          <cell r="A7" t="str">
            <v xml:space="preserve">  % Treated</v>
          </cell>
          <cell r="B7">
            <v>0.03</v>
          </cell>
          <cell r="C7">
            <v>0.05</v>
          </cell>
          <cell r="D7">
            <v>7.0000000000000007E-2</v>
          </cell>
          <cell r="E7">
            <v>8.5300000000000001E-2</v>
          </cell>
          <cell r="F7">
            <v>9.1700000000000004E-2</v>
          </cell>
          <cell r="G7">
            <v>9.5799999999999996E-2</v>
          </cell>
          <cell r="H7">
            <v>0.1</v>
          </cell>
          <cell r="I7">
            <v>0.1</v>
          </cell>
          <cell r="J7">
            <v>0.1</v>
          </cell>
        </row>
        <row r="8">
          <cell r="A8" t="str">
            <v xml:space="preserve">  Patients Treated</v>
          </cell>
          <cell r="B8">
            <v>150000</v>
          </cell>
          <cell r="C8">
            <v>250000</v>
          </cell>
          <cell r="D8">
            <v>350000.00000000006</v>
          </cell>
          <cell r="E8">
            <v>426500</v>
          </cell>
          <cell r="F8">
            <v>458500</v>
          </cell>
          <cell r="G8">
            <v>479000</v>
          </cell>
          <cell r="H8">
            <v>500000</v>
          </cell>
          <cell r="I8">
            <v>500000</v>
          </cell>
          <cell r="J8">
            <v>500000</v>
          </cell>
        </row>
        <row r="10">
          <cell r="A10" t="str">
            <v>% of Population Treated</v>
          </cell>
          <cell r="B10">
            <v>0.03</v>
          </cell>
          <cell r="C10">
            <v>0.05</v>
          </cell>
          <cell r="D10">
            <v>7.0000000000000007E-2</v>
          </cell>
          <cell r="E10">
            <v>8.5300000000000001E-2</v>
          </cell>
          <cell r="F10">
            <v>9.1700000000000004E-2</v>
          </cell>
          <cell r="G10">
            <v>9.5799999999999996E-2</v>
          </cell>
          <cell r="H10">
            <v>0.1</v>
          </cell>
          <cell r="I10">
            <v>0.1</v>
          </cell>
          <cell r="J10">
            <v>0.1</v>
          </cell>
        </row>
        <row r="12">
          <cell r="A12" t="str">
            <v>Rx Per Person Per Year</v>
          </cell>
          <cell r="B12">
            <v>1.6466666666666667</v>
          </cell>
          <cell r="C12">
            <v>1.0720000000000001</v>
          </cell>
          <cell r="D12">
            <v>1.0720000000000001</v>
          </cell>
          <cell r="E12">
            <v>1.0720000000000001</v>
          </cell>
          <cell r="F12">
            <v>1.0720000000000001</v>
          </cell>
          <cell r="G12">
            <v>1.0720000000000001</v>
          </cell>
          <cell r="H12">
            <v>1.0720000000000001</v>
          </cell>
          <cell r="I12">
            <v>1.0720000000000001</v>
          </cell>
          <cell r="J12">
            <v>1.0720000000000001</v>
          </cell>
        </row>
        <row r="14">
          <cell r="A14" t="str">
            <v>Testoderm - Alza</v>
          </cell>
        </row>
        <row r="15">
          <cell r="A15" t="str">
            <v xml:space="preserve">  Sales</v>
          </cell>
          <cell r="B15">
            <v>5.4839999999999982</v>
          </cell>
          <cell r="C15">
            <v>7.2289999999999992</v>
          </cell>
          <cell r="D15">
            <v>17.483999999999998</v>
          </cell>
          <cell r="E15">
            <v>26.393325117037719</v>
          </cell>
          <cell r="F15">
            <v>31.484185089853447</v>
          </cell>
          <cell r="G15">
            <v>35.822775934485414</v>
          </cell>
          <cell r="H15">
            <v>40.010824895510851</v>
          </cell>
          <cell r="I15">
            <v>42.811582638196612</v>
          </cell>
          <cell r="J15">
            <v>45.808393422870381</v>
          </cell>
        </row>
        <row r="16">
          <cell r="A16" t="str">
            <v xml:space="preserve">  TRx</v>
          </cell>
          <cell r="B16">
            <v>72</v>
          </cell>
          <cell r="C16">
            <v>84</v>
          </cell>
          <cell r="D16">
            <v>175</v>
          </cell>
          <cell r="E16">
            <v>246.89232000000004</v>
          </cell>
          <cell r="F16">
            <v>275.24672000000004</v>
          </cell>
          <cell r="G16">
            <v>292.68815999999998</v>
          </cell>
          <cell r="H16">
            <v>305.52</v>
          </cell>
          <cell r="I16">
            <v>305.52</v>
          </cell>
          <cell r="J16">
            <v>305.52</v>
          </cell>
        </row>
        <row r="17">
          <cell r="A17" t="str">
            <v xml:space="preserve">  Price</v>
          </cell>
          <cell r="B17">
            <v>76.166666666666643</v>
          </cell>
          <cell r="C17">
            <v>86.059523809523796</v>
          </cell>
          <cell r="D17">
            <v>99.908571428571435</v>
          </cell>
          <cell r="E17">
            <v>106.90217142857144</v>
          </cell>
          <cell r="F17">
            <v>114.38532342857144</v>
          </cell>
          <cell r="G17">
            <v>122.39229606857145</v>
          </cell>
          <cell r="H17">
            <v>130.95975679337147</v>
          </cell>
          <cell r="I17">
            <v>140.12693976890748</v>
          </cell>
          <cell r="J17">
            <v>149.93582555273102</v>
          </cell>
        </row>
        <row r="18">
          <cell r="A18" t="str">
            <v xml:space="preserve">  Price from Redbook - </v>
          </cell>
        </row>
        <row r="20">
          <cell r="A20" t="str">
            <v>Androderm - Watson</v>
          </cell>
        </row>
        <row r="21">
          <cell r="A21" t="str">
            <v xml:space="preserve">  Sales</v>
          </cell>
          <cell r="B21">
            <v>16.524000000000001</v>
          </cell>
          <cell r="C21">
            <v>18.571000000000002</v>
          </cell>
          <cell r="D21">
            <v>19.523</v>
          </cell>
          <cell r="E21">
            <v>22.811072336888888</v>
          </cell>
          <cell r="F21">
            <v>24.629191191733334</v>
          </cell>
          <cell r="G21">
            <v>26.402886067460006</v>
          </cell>
          <cell r="H21">
            <v>28.938445063500005</v>
          </cell>
          <cell r="I21">
            <v>30.385367316675005</v>
          </cell>
          <cell r="J21">
            <v>31.904635682508758</v>
          </cell>
        </row>
        <row r="22">
          <cell r="A22" t="str">
            <v xml:space="preserve">  TRx</v>
          </cell>
          <cell r="B22">
            <v>175</v>
          </cell>
          <cell r="C22">
            <v>184</v>
          </cell>
          <cell r="D22">
            <v>189</v>
          </cell>
          <cell r="E22">
            <v>210.31567999999999</v>
          </cell>
          <cell r="F22">
            <v>216.26527999999999</v>
          </cell>
          <cell r="G22">
            <v>220.79984000000005</v>
          </cell>
          <cell r="H22">
            <v>230.48000000000002</v>
          </cell>
          <cell r="I22">
            <v>230.48000000000002</v>
          </cell>
          <cell r="J22">
            <v>230.48000000000002</v>
          </cell>
        </row>
        <row r="23">
          <cell r="A23" t="str">
            <v xml:space="preserve">  Price</v>
          </cell>
          <cell r="B23">
            <v>94.42285714285714</v>
          </cell>
          <cell r="C23">
            <v>100.92934782608695</v>
          </cell>
          <cell r="D23">
            <v>103.29629629629629</v>
          </cell>
          <cell r="E23">
            <v>108.46111111111111</v>
          </cell>
          <cell r="F23">
            <v>113.88416666666667</v>
          </cell>
          <cell r="G23">
            <v>119.57837500000001</v>
          </cell>
          <cell r="H23">
            <v>125.55729375000001</v>
          </cell>
          <cell r="I23">
            <v>131.83515843750001</v>
          </cell>
          <cell r="J23">
            <v>138.42691635937501</v>
          </cell>
        </row>
        <row r="24">
          <cell r="A24" t="str">
            <v xml:space="preserve">  Price from Redbook - </v>
          </cell>
        </row>
        <row r="26">
          <cell r="A26" t="str">
            <v>Total</v>
          </cell>
        </row>
        <row r="27">
          <cell r="A27" t="str">
            <v xml:space="preserve">  Sales</v>
          </cell>
          <cell r="B27">
            <v>22.007999999999999</v>
          </cell>
          <cell r="C27">
            <v>25.8</v>
          </cell>
          <cell r="D27">
            <v>37.006999999999998</v>
          </cell>
          <cell r="E27">
            <v>49.204397453926603</v>
          </cell>
          <cell r="F27">
            <v>56.113376281586781</v>
          </cell>
          <cell r="G27">
            <v>62.225662001945423</v>
          </cell>
          <cell r="H27">
            <v>68.949269959010849</v>
          </cell>
          <cell r="I27">
            <v>73.196949954871613</v>
          </cell>
          <cell r="J27">
            <v>77.713029105379135</v>
          </cell>
        </row>
        <row r="28">
          <cell r="A28" t="str">
            <v xml:space="preserve">  TRx</v>
          </cell>
          <cell r="B28">
            <v>247</v>
          </cell>
          <cell r="C28">
            <v>268</v>
          </cell>
          <cell r="D28">
            <v>364</v>
          </cell>
          <cell r="E28">
            <v>457.20800000000003</v>
          </cell>
          <cell r="F28">
            <v>491.51200000000006</v>
          </cell>
          <cell r="G28">
            <v>513.48800000000006</v>
          </cell>
          <cell r="H28">
            <v>536</v>
          </cell>
          <cell r="I28">
            <v>536</v>
          </cell>
          <cell r="J28">
            <v>536</v>
          </cell>
        </row>
        <row r="29">
          <cell r="A29" t="str">
            <v xml:space="preserve">  Price</v>
          </cell>
          <cell r="B29">
            <v>89.10121457489879</v>
          </cell>
          <cell r="C29">
            <v>96.268656716417908</v>
          </cell>
          <cell r="D29">
            <v>101.66758241758242</v>
          </cell>
          <cell r="E29">
            <v>107.61928368253969</v>
          </cell>
          <cell r="F29">
            <v>114.16481445333334</v>
          </cell>
          <cell r="G29">
            <v>121.18231000908573</v>
          </cell>
          <cell r="H29">
            <v>128.63669768472175</v>
          </cell>
          <cell r="I29">
            <v>136.56147379640225</v>
          </cell>
          <cell r="J29">
            <v>144.98699459958792</v>
          </cell>
        </row>
        <row r="31">
          <cell r="A31" t="str">
            <v>Total Rxs</v>
          </cell>
        </row>
        <row r="32">
          <cell r="A32" t="str">
            <v>Testoderm/TTS</v>
          </cell>
          <cell r="B32">
            <v>72</v>
          </cell>
          <cell r="C32">
            <v>84</v>
          </cell>
          <cell r="D32">
            <v>175</v>
          </cell>
          <cell r="E32">
            <v>246.89232000000004</v>
          </cell>
          <cell r="F32">
            <v>275.24672000000004</v>
          </cell>
          <cell r="G32">
            <v>292.68815999999998</v>
          </cell>
          <cell r="H32">
            <v>305.52</v>
          </cell>
          <cell r="I32">
            <v>305.52</v>
          </cell>
          <cell r="J32">
            <v>305.52</v>
          </cell>
        </row>
        <row r="33">
          <cell r="A33" t="str">
            <v>Androderm</v>
          </cell>
          <cell r="B33">
            <v>175</v>
          </cell>
          <cell r="C33">
            <v>184</v>
          </cell>
          <cell r="D33">
            <v>189</v>
          </cell>
          <cell r="E33">
            <v>210.31567999999999</v>
          </cell>
          <cell r="F33">
            <v>216.26527999999999</v>
          </cell>
          <cell r="G33">
            <v>220.79984000000005</v>
          </cell>
          <cell r="H33">
            <v>230.48000000000002</v>
          </cell>
          <cell r="I33">
            <v>230.48000000000002</v>
          </cell>
          <cell r="J33">
            <v>230.48000000000002</v>
          </cell>
        </row>
        <row r="34">
          <cell r="A34" t="str">
            <v xml:space="preserve">  Total</v>
          </cell>
          <cell r="B34">
            <v>247</v>
          </cell>
          <cell r="C34">
            <v>268</v>
          </cell>
          <cell r="D34">
            <v>364</v>
          </cell>
          <cell r="E34">
            <v>457.20800000000003</v>
          </cell>
          <cell r="F34">
            <v>491.51200000000006</v>
          </cell>
          <cell r="G34">
            <v>513.48800000000006</v>
          </cell>
          <cell r="H34">
            <v>536</v>
          </cell>
          <cell r="I34">
            <v>536</v>
          </cell>
          <cell r="J34">
            <v>536</v>
          </cell>
        </row>
        <row r="35">
          <cell r="A35" t="str">
            <v xml:space="preserve">    % Growth</v>
          </cell>
          <cell r="C35">
            <v>8.5020242914979782E-2</v>
          </cell>
          <cell r="D35">
            <v>0.35820895522388052</v>
          </cell>
          <cell r="E35">
            <v>0.25606593406593414</v>
          </cell>
          <cell r="F35">
            <v>7.5029308323564026E-2</v>
          </cell>
          <cell r="G35">
            <v>4.4711014176663122E-2</v>
          </cell>
          <cell r="H35">
            <v>4.3841336116910101E-2</v>
          </cell>
          <cell r="I35">
            <v>0</v>
          </cell>
          <cell r="J35">
            <v>0</v>
          </cell>
        </row>
        <row r="37">
          <cell r="A37" t="str">
            <v>% of Total Rx</v>
          </cell>
        </row>
        <row r="38">
          <cell r="A38" t="str">
            <v>Testoderm/TTS</v>
          </cell>
          <cell r="B38">
            <v>0.291497975708502</v>
          </cell>
          <cell r="C38">
            <v>0.31343283582089554</v>
          </cell>
          <cell r="D38">
            <v>0.48076923076923078</v>
          </cell>
          <cell r="E38">
            <v>0.54</v>
          </cell>
          <cell r="F38">
            <v>0.56000000000000005</v>
          </cell>
          <cell r="G38">
            <v>0.56999999999999995</v>
          </cell>
          <cell r="H38">
            <v>0.56999999999999995</v>
          </cell>
          <cell r="I38">
            <v>0.56999999999999995</v>
          </cell>
          <cell r="J38">
            <v>0.56999999999999995</v>
          </cell>
        </row>
        <row r="39">
          <cell r="A39" t="str">
            <v>Androderm</v>
          </cell>
          <cell r="B39">
            <v>0.708502024291498</v>
          </cell>
          <cell r="C39">
            <v>0.68656716417910446</v>
          </cell>
          <cell r="D39">
            <v>0.51923076923076927</v>
          </cell>
          <cell r="E39">
            <v>0.45999999999999996</v>
          </cell>
          <cell r="F39">
            <v>0.43999999999999995</v>
          </cell>
          <cell r="G39">
            <v>0.43000000000000005</v>
          </cell>
          <cell r="H39">
            <v>0.43000000000000005</v>
          </cell>
          <cell r="I39">
            <v>0.43000000000000005</v>
          </cell>
          <cell r="J39">
            <v>0.43000000000000005</v>
          </cell>
        </row>
        <row r="40">
          <cell r="A40" t="str">
            <v xml:space="preserve">  Total</v>
          </cell>
          <cell r="B40">
            <v>1</v>
          </cell>
          <cell r="C40">
            <v>1</v>
          </cell>
          <cell r="D40">
            <v>1</v>
          </cell>
          <cell r="E40">
            <v>1</v>
          </cell>
          <cell r="F40">
            <v>1</v>
          </cell>
          <cell r="G40">
            <v>1</v>
          </cell>
          <cell r="H40">
            <v>1</v>
          </cell>
          <cell r="I40">
            <v>1</v>
          </cell>
          <cell r="J40">
            <v>1</v>
          </cell>
        </row>
        <row r="42">
          <cell r="A42" t="str">
            <v>Total Sales - ($millions)</v>
          </cell>
        </row>
        <row r="43">
          <cell r="A43" t="str">
            <v>Testoderm/TTS</v>
          </cell>
          <cell r="B43">
            <v>6.3</v>
          </cell>
          <cell r="C43">
            <v>10</v>
          </cell>
          <cell r="D43">
            <v>20.8</v>
          </cell>
          <cell r="E43">
            <v>26.393325117037719</v>
          </cell>
          <cell r="F43">
            <v>31.484185089853447</v>
          </cell>
          <cell r="G43">
            <v>35.822775934485414</v>
          </cell>
          <cell r="H43">
            <v>40.010824895510851</v>
          </cell>
          <cell r="I43">
            <v>42.811582638196612</v>
          </cell>
          <cell r="J43">
            <v>45.808393422870381</v>
          </cell>
        </row>
        <row r="44">
          <cell r="A44" t="str">
            <v>Androderm</v>
          </cell>
          <cell r="B44">
            <v>16.524000000000001</v>
          </cell>
          <cell r="C44">
            <v>18.571000000000002</v>
          </cell>
          <cell r="D44">
            <v>19.523</v>
          </cell>
          <cell r="E44">
            <v>22.811072336888888</v>
          </cell>
          <cell r="F44">
            <v>24.629191191733334</v>
          </cell>
          <cell r="G44">
            <v>26.402886067460006</v>
          </cell>
          <cell r="H44">
            <v>28.938445063500005</v>
          </cell>
          <cell r="I44">
            <v>30.385367316675005</v>
          </cell>
          <cell r="J44">
            <v>31.904635682508758</v>
          </cell>
        </row>
        <row r="45">
          <cell r="A45" t="str">
            <v xml:space="preserve">  Total</v>
          </cell>
          <cell r="B45">
            <v>22.824000000000002</v>
          </cell>
          <cell r="C45">
            <v>28.571000000000002</v>
          </cell>
          <cell r="D45">
            <v>40.323</v>
          </cell>
          <cell r="E45">
            <v>49.204397453926603</v>
          </cell>
          <cell r="F45">
            <v>56.113376281586781</v>
          </cell>
          <cell r="G45">
            <v>62.225662001945423</v>
          </cell>
          <cell r="H45">
            <v>68.949269959010849</v>
          </cell>
          <cell r="I45">
            <v>73.196949954871613</v>
          </cell>
          <cell r="J45">
            <v>77.713029105379135</v>
          </cell>
        </row>
        <row r="46">
          <cell r="A46" t="str">
            <v xml:space="preserve">    % Growth</v>
          </cell>
          <cell r="C46">
            <v>0.25179635471433581</v>
          </cell>
          <cell r="D46">
            <v>0.41132616989254833</v>
          </cell>
          <cell r="E46">
            <v>0.22025636619117139</v>
          </cell>
          <cell r="F46">
            <v>0.1404138488664457</v>
          </cell>
          <cell r="G46">
            <v>0.10892742738711925</v>
          </cell>
          <cell r="H46">
            <v>0.10805201167414213</v>
          </cell>
          <cell r="I46">
            <v>6.1605873396280098E-2</v>
          </cell>
          <cell r="J46">
            <v>6.1697641135209036E-2</v>
          </cell>
        </row>
        <row r="48">
          <cell r="A48" t="str">
            <v>% of Total Sales</v>
          </cell>
        </row>
        <row r="49">
          <cell r="A49" t="str">
            <v>Testoderm/TTS</v>
          </cell>
          <cell r="B49">
            <v>0.27602523659305989</v>
          </cell>
          <cell r="C49">
            <v>0.35000525007875116</v>
          </cell>
          <cell r="D49">
            <v>0.51583463531979268</v>
          </cell>
          <cell r="E49">
            <v>0.53640175437066517</v>
          </cell>
          <cell r="F49">
            <v>0.56108163821510715</v>
          </cell>
          <cell r="G49">
            <v>0.5756913591914129</v>
          </cell>
          <cell r="H49">
            <v>0.58029366981400377</v>
          </cell>
          <cell r="I49">
            <v>0.58488205676044414</v>
          </cell>
          <cell r="J49">
            <v>0.58945577016119188</v>
          </cell>
        </row>
        <row r="50">
          <cell r="A50" t="str">
            <v>Androderm</v>
          </cell>
          <cell r="B50">
            <v>0.72397476340694</v>
          </cell>
          <cell r="C50">
            <v>0.64999474992124884</v>
          </cell>
          <cell r="D50">
            <v>0.48416536468020732</v>
          </cell>
          <cell r="E50">
            <v>0.46359824562933494</v>
          </cell>
          <cell r="F50">
            <v>0.43891836178489285</v>
          </cell>
          <cell r="G50">
            <v>0.4243086408085871</v>
          </cell>
          <cell r="H50">
            <v>0.41970633018599635</v>
          </cell>
          <cell r="I50">
            <v>0.41511794323955586</v>
          </cell>
          <cell r="J50">
            <v>0.41054422983880812</v>
          </cell>
        </row>
        <row r="51">
          <cell r="A51" t="str">
            <v xml:space="preserve">  Total</v>
          </cell>
          <cell r="B51">
            <v>1</v>
          </cell>
          <cell r="C51">
            <v>1</v>
          </cell>
          <cell r="D51">
            <v>1</v>
          </cell>
          <cell r="E51">
            <v>1</v>
          </cell>
          <cell r="F51">
            <v>1</v>
          </cell>
          <cell r="G51">
            <v>1</v>
          </cell>
          <cell r="H51">
            <v>1</v>
          </cell>
          <cell r="I51">
            <v>1</v>
          </cell>
          <cell r="J51">
            <v>1</v>
          </cell>
        </row>
        <row r="53">
          <cell r="A53" t="str">
            <v xml:space="preserve">Source: IMS America, Company Reports, and Morgan Stanley Dean Witter Research Estimates </v>
          </cell>
        </row>
      </sheetData>
      <sheetData sheetId="1" refreshError="1"/>
      <sheetData sheetId="2" refreshError="1"/>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ndout"/>
      <sheetName val="Chart Data"/>
      <sheetName val="QTRINC"/>
      <sheetName val="MARGIN"/>
      <sheetName val="QTR-SALES"/>
      <sheetName val="ANN-SALES"/>
      <sheetName val="CASHFLOW"/>
      <sheetName val="FEES-R&amp;D"/>
      <sheetName val="NEWPRODS"/>
      <sheetName val="IS-COMPS"/>
      <sheetName val="BALANCE-SHEET"/>
      <sheetName val="QTRINC-SEQ"/>
      <sheetName val="TESTODERM"/>
      <sheetName val="MARGIN-SEQ"/>
      <sheetName val="mStartup"/>
      <sheetName val="NY UPLOAD"/>
      <sheetName val="NY UPLOAD shadow"/>
    </sheetNames>
    <sheetDataSet>
      <sheetData sheetId="0" refreshError="1"/>
      <sheetData sheetId="1" refreshError="1"/>
      <sheetData sheetId="2" refreshError="1">
        <row r="4">
          <cell r="I4" t="str">
            <v xml:space="preserve">Sales </v>
          </cell>
          <cell r="K4" t="str">
            <v>R&amp;D</v>
          </cell>
          <cell r="R4" t="str">
            <v>Non-</v>
          </cell>
          <cell r="W4" t="str">
            <v>AT</v>
          </cell>
          <cell r="X4" t="str">
            <v>Adj.</v>
          </cell>
        </row>
        <row r="5">
          <cell r="B5" t="str">
            <v xml:space="preserve">               Revenues</v>
          </cell>
          <cell r="E5" t="str">
            <v>Contract</v>
          </cell>
          <cell r="I5" t="str">
            <v>Gross</v>
          </cell>
          <cell r="K5" t="str">
            <v>Cresc./</v>
          </cell>
          <cell r="L5" t="str">
            <v xml:space="preserve">Ex- </v>
          </cell>
          <cell r="M5" t="str">
            <v xml:space="preserve">In- </v>
          </cell>
          <cell r="O5" t="str">
            <v xml:space="preserve"> Oper.</v>
          </cell>
          <cell r="P5" t="str">
            <v>Int.</v>
          </cell>
          <cell r="Q5" t="str">
            <v>Int.</v>
          </cell>
          <cell r="R5" t="str">
            <v>Oper.</v>
          </cell>
          <cell r="S5" t="str">
            <v>Pretax</v>
          </cell>
          <cell r="T5" t="str">
            <v xml:space="preserve">    Tax</v>
          </cell>
          <cell r="V5" t="str">
            <v xml:space="preserve">   Net</v>
          </cell>
          <cell r="W5" t="str">
            <v>Conv.</v>
          </cell>
          <cell r="X5" t="str">
            <v xml:space="preserve">   Net</v>
          </cell>
          <cell r="Y5" t="str">
            <v xml:space="preserve">Avg. </v>
          </cell>
          <cell r="Z5" t="str">
            <v>EPS</v>
          </cell>
        </row>
        <row r="6">
          <cell r="B6" t="str">
            <v>Alza</v>
          </cell>
          <cell r="C6" t="str">
            <v>Fees</v>
          </cell>
          <cell r="D6" t="str">
            <v>R&amp;D</v>
          </cell>
          <cell r="E6" t="str">
            <v>Mfg.</v>
          </cell>
          <cell r="F6" t="str">
            <v>Other</v>
          </cell>
          <cell r="G6" t="str">
            <v>Total</v>
          </cell>
          <cell r="H6" t="str">
            <v>COGS</v>
          </cell>
          <cell r="I6" t="str">
            <v>Profit(g)</v>
          </cell>
          <cell r="J6" t="str">
            <v>SG&amp;A</v>
          </cell>
          <cell r="K6" t="str">
            <v>TDC</v>
          </cell>
          <cell r="L6" t="str">
            <v>ternal</v>
          </cell>
          <cell r="M6" t="str">
            <v>ternal</v>
          </cell>
          <cell r="N6" t="str">
            <v>Total</v>
          </cell>
          <cell r="O6" t="str">
            <v>Inc.</v>
          </cell>
          <cell r="P6" t="str">
            <v>Inc.</v>
          </cell>
          <cell r="Q6" t="str">
            <v>Exp.</v>
          </cell>
          <cell r="R6" t="str">
            <v>Items</v>
          </cell>
          <cell r="S6" t="str">
            <v>Inc.</v>
          </cell>
          <cell r="T6" t="str">
            <v xml:space="preserve">   Rate</v>
          </cell>
          <cell r="U6" t="str">
            <v>Tax</v>
          </cell>
          <cell r="V6" t="str">
            <v>Inc.</v>
          </cell>
          <cell r="W6" t="str">
            <v>Int.</v>
          </cell>
          <cell r="X6" t="str">
            <v>Inc.</v>
          </cell>
          <cell r="Y6" t="str">
            <v xml:space="preserve">Shs. </v>
          </cell>
          <cell r="Z6" t="str">
            <v>Oper.</v>
          </cell>
          <cell r="AA6" t="str">
            <v>Rep.</v>
          </cell>
        </row>
        <row r="8">
          <cell r="A8" t="str">
            <v>1995 (a)</v>
          </cell>
        </row>
        <row r="9">
          <cell r="A9" t="str">
            <v xml:space="preserve"> 1Q</v>
          </cell>
          <cell r="B9">
            <v>3.5</v>
          </cell>
          <cell r="C9">
            <v>33.962000000000003</v>
          </cell>
          <cell r="D9">
            <v>21.7</v>
          </cell>
          <cell r="E9">
            <v>15.326000000000001</v>
          </cell>
          <cell r="F9">
            <v>70.988</v>
          </cell>
          <cell r="G9">
            <v>74.488</v>
          </cell>
          <cell r="H9">
            <v>16.422000000000001</v>
          </cell>
          <cell r="I9">
            <v>2.4039999999999999</v>
          </cell>
          <cell r="J9">
            <v>8.5020000000000007</v>
          </cell>
          <cell r="K9">
            <v>14.1</v>
          </cell>
          <cell r="L9">
            <v>7.6</v>
          </cell>
          <cell r="M9">
            <v>0.54200000000000159</v>
          </cell>
          <cell r="N9">
            <v>22.242000000000001</v>
          </cell>
          <cell r="O9">
            <v>27.321999999999999</v>
          </cell>
          <cell r="P9">
            <v>5.7519999999999998</v>
          </cell>
          <cell r="Q9">
            <v>5.5949999999999998</v>
          </cell>
          <cell r="R9">
            <v>0.15700000000000003</v>
          </cell>
          <cell r="S9">
            <v>27.478999999999999</v>
          </cell>
          <cell r="T9">
            <v>0.37999927217147644</v>
          </cell>
          <cell r="U9">
            <v>10.442</v>
          </cell>
          <cell r="V9">
            <v>17.036999999999999</v>
          </cell>
          <cell r="W9">
            <v>0</v>
          </cell>
          <cell r="X9">
            <v>17.036999999999999</v>
          </cell>
          <cell r="Y9">
            <v>164.77799999999999</v>
          </cell>
          <cell r="Z9">
            <v>0.10339365692021993</v>
          </cell>
          <cell r="AA9">
            <v>0.1</v>
          </cell>
        </row>
        <row r="10">
          <cell r="A10" t="str">
            <v xml:space="preserve"> 2Q</v>
          </cell>
          <cell r="B10">
            <v>3.2</v>
          </cell>
          <cell r="C10">
            <v>34.229999999999997</v>
          </cell>
          <cell r="D10">
            <v>23.484999999999999</v>
          </cell>
          <cell r="E10">
            <v>15.98</v>
          </cell>
          <cell r="F10">
            <v>73.694999999999993</v>
          </cell>
          <cell r="G10">
            <v>76.894999999999996</v>
          </cell>
          <cell r="H10">
            <v>16.738</v>
          </cell>
          <cell r="I10">
            <v>2.4420000000000002</v>
          </cell>
          <cell r="J10">
            <v>8.3979999999999997</v>
          </cell>
          <cell r="K10">
            <v>14.5</v>
          </cell>
          <cell r="L10">
            <v>8.9849999999999994</v>
          </cell>
          <cell r="M10">
            <v>0.65899999999999892</v>
          </cell>
          <cell r="N10">
            <v>24.143999999999998</v>
          </cell>
          <cell r="O10">
            <v>27.615000000000002</v>
          </cell>
          <cell r="P10">
            <v>6.11</v>
          </cell>
          <cell r="Q10">
            <v>5.58</v>
          </cell>
          <cell r="R10">
            <v>0.53000000000000025</v>
          </cell>
          <cell r="S10">
            <v>28.145000000000003</v>
          </cell>
          <cell r="T10">
            <v>0.37999644697104279</v>
          </cell>
          <cell r="U10">
            <v>10.695</v>
          </cell>
          <cell r="V10">
            <v>17.450000000000003</v>
          </cell>
          <cell r="W10">
            <v>0</v>
          </cell>
          <cell r="X10">
            <v>17.450000000000003</v>
          </cell>
          <cell r="Y10">
            <v>164.82599999999999</v>
          </cell>
          <cell r="Z10">
            <v>0.10586921966194655</v>
          </cell>
          <cell r="AA10">
            <v>0.11</v>
          </cell>
        </row>
        <row r="11">
          <cell r="A11" t="str">
            <v xml:space="preserve"> 3Q</v>
          </cell>
          <cell r="B11">
            <v>3.2</v>
          </cell>
          <cell r="C11">
            <v>35.506</v>
          </cell>
          <cell r="D11">
            <v>27.524999999999999</v>
          </cell>
          <cell r="E11">
            <v>13.177</v>
          </cell>
          <cell r="F11">
            <v>76.207999999999998</v>
          </cell>
          <cell r="G11">
            <v>79.408000000000001</v>
          </cell>
          <cell r="H11">
            <v>15.422000000000001</v>
          </cell>
          <cell r="I11">
            <v>0.95499999999999829</v>
          </cell>
          <cell r="J11">
            <v>7.8620000000000001</v>
          </cell>
          <cell r="K11">
            <v>18.399999999999999</v>
          </cell>
          <cell r="L11">
            <v>9.125</v>
          </cell>
          <cell r="M11">
            <v>-1.3780000000000001</v>
          </cell>
          <cell r="N11">
            <v>26.146999999999998</v>
          </cell>
          <cell r="O11">
            <v>29.977000000000004</v>
          </cell>
          <cell r="P11">
            <v>6.19</v>
          </cell>
          <cell r="Q11">
            <v>6.774</v>
          </cell>
          <cell r="R11">
            <v>-0.58399999999999963</v>
          </cell>
          <cell r="S11">
            <v>29.393000000000004</v>
          </cell>
          <cell r="T11">
            <v>0.38002245432585985</v>
          </cell>
          <cell r="U11">
            <v>11.17</v>
          </cell>
          <cell r="V11">
            <v>18.223000000000006</v>
          </cell>
          <cell r="W11">
            <v>0</v>
          </cell>
          <cell r="X11">
            <v>18.223000000000006</v>
          </cell>
          <cell r="Y11">
            <v>165.68600000000001</v>
          </cell>
          <cell r="Z11">
            <v>0.10998515263812275</v>
          </cell>
          <cell r="AA11">
            <v>0.11</v>
          </cell>
        </row>
        <row r="12">
          <cell r="A12" t="str">
            <v xml:space="preserve"> 4Q</v>
          </cell>
          <cell r="B12">
            <v>3.7</v>
          </cell>
          <cell r="C12">
            <v>41.758999999999986</v>
          </cell>
          <cell r="D12">
            <v>31.261999999999993</v>
          </cell>
          <cell r="E12">
            <v>18.795000000000002</v>
          </cell>
          <cell r="F12">
            <v>91.815999999999988</v>
          </cell>
          <cell r="G12">
            <v>95.515999999999991</v>
          </cell>
          <cell r="H12">
            <v>16.812999999999999</v>
          </cell>
          <cell r="I12">
            <v>5.6820000000000022</v>
          </cell>
          <cell r="J12">
            <v>16.323</v>
          </cell>
          <cell r="K12">
            <v>23.1</v>
          </cell>
          <cell r="L12">
            <v>8.1619999999999919</v>
          </cell>
          <cell r="M12">
            <v>-0.37699999999999179</v>
          </cell>
          <cell r="N12">
            <v>30.885000000000002</v>
          </cell>
          <cell r="O12">
            <v>31.494999999999987</v>
          </cell>
          <cell r="P12">
            <v>6.2649999999999997</v>
          </cell>
          <cell r="Q12">
            <v>5.99</v>
          </cell>
          <cell r="R12">
            <v>0.27499999999999947</v>
          </cell>
          <cell r="S12">
            <v>31.769999999999985</v>
          </cell>
          <cell r="T12">
            <v>0.37998111425873476</v>
          </cell>
          <cell r="U12">
            <v>12.071999999999997</v>
          </cell>
          <cell r="V12">
            <v>19.697999999999986</v>
          </cell>
          <cell r="W12">
            <v>0</v>
          </cell>
          <cell r="X12">
            <v>19.697999999999986</v>
          </cell>
          <cell r="Y12">
            <v>165.58</v>
          </cell>
          <cell r="Z12">
            <v>0.11896364295204725</v>
          </cell>
          <cell r="AA12">
            <v>0.12</v>
          </cell>
        </row>
        <row r="14">
          <cell r="A14" t="str">
            <v>1995 (a)</v>
          </cell>
          <cell r="B14">
            <v>13.600000000000001</v>
          </cell>
          <cell r="C14">
            <v>145.45699999999999</v>
          </cell>
          <cell r="D14">
            <v>103.97200000000001</v>
          </cell>
          <cell r="E14">
            <v>63.278000000000006</v>
          </cell>
          <cell r="F14">
            <v>312.70699999999999</v>
          </cell>
          <cell r="G14">
            <v>326.30700000000002</v>
          </cell>
          <cell r="H14">
            <v>65.394999999999996</v>
          </cell>
          <cell r="I14">
            <v>11.483000000000001</v>
          </cell>
          <cell r="J14">
            <v>41.085000000000001</v>
          </cell>
          <cell r="K14">
            <v>70.099999999999994</v>
          </cell>
          <cell r="L14">
            <v>33.871999999999993</v>
          </cell>
          <cell r="M14">
            <v>-0.55399999999999139</v>
          </cell>
          <cell r="N14">
            <v>103.41799999999999</v>
          </cell>
          <cell r="O14">
            <v>116.40899999999999</v>
          </cell>
          <cell r="P14">
            <v>24.317</v>
          </cell>
          <cell r="Q14">
            <v>23.939</v>
          </cell>
          <cell r="R14">
            <v>0.37800000000000011</v>
          </cell>
          <cell r="S14">
            <v>116.78699999999999</v>
          </cell>
          <cell r="T14">
            <v>0.37999948624418817</v>
          </cell>
          <cell r="U14">
            <v>44.378999999999998</v>
          </cell>
          <cell r="V14">
            <v>72.407999999999987</v>
          </cell>
          <cell r="W14">
            <v>0</v>
          </cell>
          <cell r="X14">
            <v>72.407999999999987</v>
          </cell>
          <cell r="Y14">
            <v>165.2175</v>
          </cell>
          <cell r="Z14">
            <v>0.43821167217233647</v>
          </cell>
          <cell r="AA14">
            <v>0.44</v>
          </cell>
        </row>
        <row r="16">
          <cell r="A16" t="str">
            <v>1996 (b)</v>
          </cell>
        </row>
        <row r="17">
          <cell r="A17" t="str">
            <v xml:space="preserve"> 1Q</v>
          </cell>
          <cell r="B17">
            <v>6</v>
          </cell>
          <cell r="C17">
            <v>37.5</v>
          </cell>
          <cell r="D17">
            <v>30.3</v>
          </cell>
          <cell r="E17">
            <v>14.7</v>
          </cell>
          <cell r="F17">
            <v>82.5</v>
          </cell>
          <cell r="G17">
            <v>88.5</v>
          </cell>
          <cell r="H17">
            <v>16</v>
          </cell>
          <cell r="I17">
            <v>4.6999999999999993</v>
          </cell>
          <cell r="J17">
            <v>10.199999999999999</v>
          </cell>
          <cell r="K17">
            <v>22.9</v>
          </cell>
          <cell r="L17">
            <v>7.4000000000000021</v>
          </cell>
          <cell r="M17">
            <v>1</v>
          </cell>
          <cell r="N17">
            <v>31.3</v>
          </cell>
          <cell r="O17">
            <v>30.999999999999996</v>
          </cell>
          <cell r="P17">
            <v>8.2999999999999989</v>
          </cell>
          <cell r="Q17">
            <v>6.4</v>
          </cell>
          <cell r="R17">
            <v>1.8999999999999986</v>
          </cell>
          <cell r="S17">
            <v>32.899999999999991</v>
          </cell>
          <cell r="T17">
            <v>0.37993920972644385</v>
          </cell>
          <cell r="U17">
            <v>12.5</v>
          </cell>
          <cell r="V17">
            <v>20.399999999999991</v>
          </cell>
          <cell r="W17">
            <v>0</v>
          </cell>
          <cell r="X17">
            <v>20.399999999999991</v>
          </cell>
          <cell r="Y17">
            <v>169.2</v>
          </cell>
          <cell r="Z17">
            <v>0.12</v>
          </cell>
          <cell r="AA17">
            <v>0.12</v>
          </cell>
        </row>
        <row r="18">
          <cell r="A18" t="str">
            <v xml:space="preserve"> 2Q (c)</v>
          </cell>
          <cell r="B18">
            <v>3.8</v>
          </cell>
          <cell r="C18">
            <v>49.1</v>
          </cell>
          <cell r="D18">
            <v>35.1</v>
          </cell>
          <cell r="E18">
            <v>29.8</v>
          </cell>
          <cell r="F18">
            <v>114</v>
          </cell>
          <cell r="G18">
            <v>117.8</v>
          </cell>
          <cell r="H18">
            <v>29.6</v>
          </cell>
          <cell r="I18">
            <v>4</v>
          </cell>
          <cell r="J18">
            <v>11.9</v>
          </cell>
          <cell r="K18">
            <v>26.5</v>
          </cell>
          <cell r="L18">
            <v>8.6000000000000014</v>
          </cell>
          <cell r="M18">
            <v>3.1000000000000014</v>
          </cell>
          <cell r="N18">
            <v>38.200000000000003</v>
          </cell>
          <cell r="O18">
            <v>38.09999999999998</v>
          </cell>
          <cell r="P18">
            <v>10.199999999999999</v>
          </cell>
          <cell r="Q18">
            <v>10.9</v>
          </cell>
          <cell r="R18">
            <v>-0.70000000000000107</v>
          </cell>
          <cell r="S18">
            <v>37.399999999999977</v>
          </cell>
          <cell r="T18">
            <v>0.37967914438502692</v>
          </cell>
          <cell r="U18">
            <v>14.2</v>
          </cell>
          <cell r="V18">
            <v>23.199999999999978</v>
          </cell>
          <cell r="W18">
            <v>3</v>
          </cell>
          <cell r="X18">
            <v>26.199999999999978</v>
          </cell>
          <cell r="Y18">
            <v>194.8</v>
          </cell>
          <cell r="Z18">
            <v>0.13500000000000001</v>
          </cell>
          <cell r="AA18">
            <v>0.13500000000000001</v>
          </cell>
        </row>
        <row r="19">
          <cell r="A19" t="str">
            <v xml:space="preserve"> 3Q</v>
          </cell>
          <cell r="B19">
            <v>5.7</v>
          </cell>
          <cell r="C19">
            <v>39.5</v>
          </cell>
          <cell r="D19">
            <v>29.4</v>
          </cell>
          <cell r="E19">
            <v>23.8</v>
          </cell>
          <cell r="F19">
            <v>92.7</v>
          </cell>
          <cell r="G19">
            <v>98.4</v>
          </cell>
          <cell r="H19">
            <v>21.4</v>
          </cell>
          <cell r="I19">
            <v>8.1000000000000014</v>
          </cell>
          <cell r="J19">
            <v>11.6</v>
          </cell>
          <cell r="K19">
            <v>22.4</v>
          </cell>
          <cell r="L19">
            <v>7</v>
          </cell>
          <cell r="M19">
            <v>2.3000000000000007</v>
          </cell>
          <cell r="N19">
            <v>31.7</v>
          </cell>
          <cell r="O19">
            <v>33.700000000000003</v>
          </cell>
          <cell r="P19">
            <v>16.5</v>
          </cell>
          <cell r="Q19">
            <v>12.9</v>
          </cell>
          <cell r="R19">
            <v>3.5999999999999996</v>
          </cell>
          <cell r="S19">
            <v>37.300000000000004</v>
          </cell>
          <cell r="T19">
            <v>0.38069705093833772</v>
          </cell>
          <cell r="U19">
            <v>14.2</v>
          </cell>
          <cell r="V19">
            <v>23.100000000000005</v>
          </cell>
          <cell r="W19">
            <v>3.1</v>
          </cell>
          <cell r="X19">
            <v>26.200000000000006</v>
          </cell>
          <cell r="Y19">
            <v>194.6</v>
          </cell>
          <cell r="Z19">
            <v>0.13500000000000001</v>
          </cell>
          <cell r="AA19">
            <v>0.13500000000000001</v>
          </cell>
        </row>
        <row r="20">
          <cell r="A20" t="str">
            <v xml:space="preserve"> 4Q</v>
          </cell>
          <cell r="B20">
            <v>7.6</v>
          </cell>
          <cell r="C20">
            <v>47.2</v>
          </cell>
          <cell r="D20">
            <v>36.4</v>
          </cell>
          <cell r="E20">
            <v>17.2</v>
          </cell>
          <cell r="F20">
            <v>100.8</v>
          </cell>
          <cell r="G20">
            <v>108.39999999999999</v>
          </cell>
          <cell r="H20">
            <v>18.2</v>
          </cell>
          <cell r="I20">
            <v>6.5999999999999979</v>
          </cell>
          <cell r="J20">
            <v>13.4</v>
          </cell>
          <cell r="K20">
            <v>26.8</v>
          </cell>
          <cell r="L20">
            <v>9.5999999999999979</v>
          </cell>
          <cell r="M20">
            <v>4</v>
          </cell>
          <cell r="N20">
            <v>40.4</v>
          </cell>
          <cell r="O20">
            <v>36.399999999999984</v>
          </cell>
          <cell r="P20">
            <v>17.899999999999999</v>
          </cell>
          <cell r="Q20">
            <v>12.8</v>
          </cell>
          <cell r="R20">
            <v>5.0999999999999979</v>
          </cell>
          <cell r="S20">
            <v>41.499999999999986</v>
          </cell>
          <cell r="T20">
            <v>0.38072289156626521</v>
          </cell>
          <cell r="U20">
            <v>15.8</v>
          </cell>
          <cell r="V20">
            <v>25.699999999999985</v>
          </cell>
          <cell r="W20">
            <v>3.1</v>
          </cell>
          <cell r="X20">
            <v>28.799999999999986</v>
          </cell>
          <cell r="Y20">
            <v>195</v>
          </cell>
          <cell r="Z20">
            <v>0.15</v>
          </cell>
          <cell r="AA20">
            <v>0.15</v>
          </cell>
        </row>
        <row r="22">
          <cell r="A22" t="str">
            <v>1996 (b,c)</v>
          </cell>
          <cell r="B22">
            <v>23.1</v>
          </cell>
          <cell r="C22">
            <v>173.3</v>
          </cell>
          <cell r="D22">
            <v>131.20000000000002</v>
          </cell>
          <cell r="E22">
            <v>85.5</v>
          </cell>
          <cell r="F22">
            <v>390</v>
          </cell>
          <cell r="G22">
            <v>413.1</v>
          </cell>
          <cell r="H22">
            <v>85.2</v>
          </cell>
          <cell r="I22">
            <v>23.4</v>
          </cell>
          <cell r="J22">
            <v>47.1</v>
          </cell>
          <cell r="K22">
            <v>98.6</v>
          </cell>
          <cell r="L22">
            <v>32.6</v>
          </cell>
          <cell r="M22">
            <v>10.400000000000002</v>
          </cell>
          <cell r="N22">
            <v>141.6</v>
          </cell>
          <cell r="O22">
            <v>139.19999999999996</v>
          </cell>
          <cell r="P22">
            <v>52.9</v>
          </cell>
          <cell r="Q22">
            <v>43</v>
          </cell>
          <cell r="R22">
            <v>9.899999999999995</v>
          </cell>
          <cell r="S22">
            <v>149.09999999999997</v>
          </cell>
          <cell r="T22">
            <v>0.38028169014084517</v>
          </cell>
          <cell r="U22">
            <v>56.7</v>
          </cell>
          <cell r="V22">
            <v>92.399999999999963</v>
          </cell>
          <cell r="W22">
            <v>9.1999999999999993</v>
          </cell>
          <cell r="X22">
            <v>101.59999999999997</v>
          </cell>
          <cell r="Y22">
            <v>188.4</v>
          </cell>
          <cell r="Z22">
            <v>0.54</v>
          </cell>
          <cell r="AA22">
            <v>0.54</v>
          </cell>
        </row>
        <row r="24">
          <cell r="A24" t="str">
            <v>1997</v>
          </cell>
        </row>
        <row r="25">
          <cell r="A25" t="str">
            <v xml:space="preserve"> 1Q</v>
          </cell>
          <cell r="B25">
            <v>6.9</v>
          </cell>
          <cell r="C25">
            <v>44.2</v>
          </cell>
          <cell r="D25">
            <v>33.799999999999997</v>
          </cell>
          <cell r="E25">
            <v>20.6</v>
          </cell>
          <cell r="F25">
            <v>98.6</v>
          </cell>
          <cell r="G25">
            <v>105.5</v>
          </cell>
          <cell r="H25">
            <v>19.7</v>
          </cell>
          <cell r="I25">
            <v>7.8000000000000007</v>
          </cell>
          <cell r="J25">
            <v>11.6</v>
          </cell>
          <cell r="K25">
            <v>23.4</v>
          </cell>
          <cell r="L25">
            <v>10.399999999999999</v>
          </cell>
          <cell r="M25">
            <v>1.2000000000000028</v>
          </cell>
          <cell r="N25">
            <v>35</v>
          </cell>
          <cell r="O25">
            <v>39.200000000000003</v>
          </cell>
          <cell r="P25">
            <v>16.899999999999999</v>
          </cell>
          <cell r="Q25">
            <v>13.7</v>
          </cell>
          <cell r="R25">
            <v>3.1999999999999993</v>
          </cell>
          <cell r="S25">
            <v>42.400000000000006</v>
          </cell>
          <cell r="T25">
            <v>0.37971698113207547</v>
          </cell>
          <cell r="U25">
            <v>16.100000000000001</v>
          </cell>
          <cell r="V25">
            <v>26.300000000000004</v>
          </cell>
          <cell r="W25">
            <v>3.2</v>
          </cell>
          <cell r="X25">
            <v>29.500000000000004</v>
          </cell>
          <cell r="Y25">
            <v>195.6</v>
          </cell>
          <cell r="Z25">
            <v>0.15081799591002049</v>
          </cell>
          <cell r="AA25">
            <v>0.15</v>
          </cell>
        </row>
        <row r="26">
          <cell r="A26" t="str">
            <v xml:space="preserve"> 2Q</v>
          </cell>
          <cell r="B26">
            <v>8.5</v>
          </cell>
          <cell r="C26">
            <v>45.7</v>
          </cell>
          <cell r="D26">
            <v>36.1</v>
          </cell>
          <cell r="E26">
            <v>27.9</v>
          </cell>
          <cell r="F26">
            <v>109.70000000000002</v>
          </cell>
          <cell r="G26">
            <v>118.20000000000002</v>
          </cell>
          <cell r="H26">
            <v>23.1</v>
          </cell>
          <cell r="I26">
            <v>13.299999999999997</v>
          </cell>
          <cell r="J26">
            <v>12.6</v>
          </cell>
          <cell r="K26">
            <v>25.9</v>
          </cell>
          <cell r="L26">
            <v>10.200000000000003</v>
          </cell>
          <cell r="M26">
            <v>3.5</v>
          </cell>
          <cell r="N26">
            <v>39.6</v>
          </cell>
          <cell r="O26">
            <v>42.900000000000027</v>
          </cell>
          <cell r="P26">
            <v>13.5</v>
          </cell>
          <cell r="Q26">
            <v>13.7</v>
          </cell>
          <cell r="R26">
            <v>-0.19999999999999929</v>
          </cell>
          <cell r="S26">
            <v>42.700000000000031</v>
          </cell>
          <cell r="T26">
            <v>0.38173302107728313</v>
          </cell>
          <cell r="U26">
            <v>16.3</v>
          </cell>
          <cell r="V26">
            <v>26.400000000000031</v>
          </cell>
          <cell r="W26">
            <v>3.2</v>
          </cell>
          <cell r="X26">
            <v>29.60000000000003</v>
          </cell>
          <cell r="Y26">
            <v>196</v>
          </cell>
          <cell r="Z26">
            <v>0.15102040816326545</v>
          </cell>
          <cell r="AA26">
            <v>0.15</v>
          </cell>
        </row>
        <row r="27">
          <cell r="A27" t="str">
            <v xml:space="preserve"> 3Q (d)</v>
          </cell>
          <cell r="B27">
            <v>14.1</v>
          </cell>
          <cell r="C27">
            <v>41.9</v>
          </cell>
          <cell r="D27">
            <v>36.1</v>
          </cell>
          <cell r="E27">
            <v>22.4</v>
          </cell>
          <cell r="F27">
            <v>100.4</v>
          </cell>
          <cell r="G27">
            <v>114.5</v>
          </cell>
          <cell r="H27">
            <v>22</v>
          </cell>
          <cell r="I27">
            <v>14.5</v>
          </cell>
          <cell r="J27">
            <v>11</v>
          </cell>
          <cell r="K27">
            <v>26.6</v>
          </cell>
          <cell r="L27">
            <v>9.5</v>
          </cell>
          <cell r="M27">
            <v>5.7999999999999972</v>
          </cell>
          <cell r="N27">
            <v>41.9</v>
          </cell>
          <cell r="O27">
            <v>39.6</v>
          </cell>
          <cell r="P27">
            <v>17.8</v>
          </cell>
          <cell r="Q27">
            <v>13.8</v>
          </cell>
          <cell r="R27">
            <v>4</v>
          </cell>
          <cell r="S27">
            <v>43.6</v>
          </cell>
          <cell r="T27">
            <v>0.38073394495412843</v>
          </cell>
          <cell r="U27">
            <v>16.600000000000001</v>
          </cell>
          <cell r="V27">
            <v>27</v>
          </cell>
          <cell r="W27">
            <v>3.2</v>
          </cell>
          <cell r="X27">
            <v>30.2</v>
          </cell>
          <cell r="Y27">
            <v>196.8</v>
          </cell>
          <cell r="Z27">
            <v>0.15345528455284552</v>
          </cell>
          <cell r="AA27">
            <v>-1.915</v>
          </cell>
        </row>
        <row r="28">
          <cell r="A28" t="str">
            <v xml:space="preserve"> 4Q</v>
          </cell>
          <cell r="B28">
            <v>23.4</v>
          </cell>
          <cell r="C28">
            <v>51.6</v>
          </cell>
          <cell r="D28">
            <v>29</v>
          </cell>
          <cell r="E28">
            <v>22.2</v>
          </cell>
          <cell r="F28">
            <v>102.8</v>
          </cell>
          <cell r="G28">
            <v>126.19999999999999</v>
          </cell>
          <cell r="H28">
            <v>27.9</v>
          </cell>
          <cell r="I28">
            <v>17.699999999999996</v>
          </cell>
          <cell r="J28">
            <v>16.300000000000004</v>
          </cell>
          <cell r="K28">
            <v>21.6</v>
          </cell>
          <cell r="L28">
            <v>7.3999999999999986</v>
          </cell>
          <cell r="M28">
            <v>9.8999999999999986</v>
          </cell>
          <cell r="N28">
            <v>38.9</v>
          </cell>
          <cell r="O28">
            <v>43.099999999999973</v>
          </cell>
          <cell r="P28">
            <v>7.3</v>
          </cell>
          <cell r="Q28">
            <v>13.7</v>
          </cell>
          <cell r="R28">
            <v>-6.3999999999999995</v>
          </cell>
          <cell r="S28">
            <v>36.699999999999974</v>
          </cell>
          <cell r="T28">
            <v>0.24250681198910096</v>
          </cell>
          <cell r="U28">
            <v>8.8999999999999986</v>
          </cell>
          <cell r="V28">
            <v>27.799999999999976</v>
          </cell>
          <cell r="W28">
            <v>3.2</v>
          </cell>
          <cell r="X28">
            <v>30.999999999999975</v>
          </cell>
          <cell r="Y28">
            <v>196.6</v>
          </cell>
          <cell r="Z28">
            <v>0.15768056968463873</v>
          </cell>
          <cell r="AA28">
            <v>0.15</v>
          </cell>
        </row>
        <row r="30">
          <cell r="A30" t="str">
            <v>1997 (d)</v>
          </cell>
          <cell r="B30">
            <v>52.9</v>
          </cell>
          <cell r="C30">
            <v>183.4</v>
          </cell>
          <cell r="D30">
            <v>135</v>
          </cell>
          <cell r="E30">
            <v>93.100000000000009</v>
          </cell>
          <cell r="F30">
            <v>411.50000000000006</v>
          </cell>
          <cell r="G30">
            <v>464.40000000000003</v>
          </cell>
          <cell r="H30">
            <v>92.699999999999989</v>
          </cell>
          <cell r="I30">
            <v>53.29999999999999</v>
          </cell>
          <cell r="J30">
            <v>51.500000000000007</v>
          </cell>
          <cell r="K30">
            <v>97.5</v>
          </cell>
          <cell r="L30">
            <v>37.5</v>
          </cell>
          <cell r="M30">
            <v>20.399999999999999</v>
          </cell>
          <cell r="N30">
            <v>155.4</v>
          </cell>
          <cell r="O30">
            <v>164.79999999999998</v>
          </cell>
          <cell r="P30">
            <v>55.5</v>
          </cell>
          <cell r="Q30">
            <v>54.900000000000006</v>
          </cell>
          <cell r="R30">
            <v>0.60000000000000053</v>
          </cell>
          <cell r="S30">
            <v>165.40000000000003</v>
          </cell>
          <cell r="T30">
            <v>0.35006045949214021</v>
          </cell>
          <cell r="U30">
            <v>57.900000000000006</v>
          </cell>
          <cell r="V30">
            <v>107.5</v>
          </cell>
          <cell r="W30">
            <v>12.8</v>
          </cell>
          <cell r="X30">
            <v>120.30000000000001</v>
          </cell>
          <cell r="Y30">
            <v>196.25000000000003</v>
          </cell>
          <cell r="Z30">
            <v>0.61297425831077024</v>
          </cell>
          <cell r="AA30">
            <v>-1.4650000000000001</v>
          </cell>
        </row>
        <row r="32">
          <cell r="A32" t="str">
            <v>1998 (e)</v>
          </cell>
        </row>
        <row r="33">
          <cell r="A33" t="str">
            <v xml:space="preserve"> 1Q</v>
          </cell>
          <cell r="B33">
            <v>41.8</v>
          </cell>
          <cell r="C33">
            <v>50.4</v>
          </cell>
          <cell r="D33">
            <v>26.3</v>
          </cell>
          <cell r="E33">
            <v>25</v>
          </cell>
          <cell r="F33">
            <v>101.7</v>
          </cell>
          <cell r="G33">
            <v>143.5</v>
          </cell>
          <cell r="H33">
            <v>31.3</v>
          </cell>
          <cell r="I33">
            <v>35.5</v>
          </cell>
          <cell r="J33">
            <v>24.4</v>
          </cell>
          <cell r="K33">
            <v>19.940000000000001</v>
          </cell>
          <cell r="L33">
            <v>6.3599999999999994</v>
          </cell>
          <cell r="M33">
            <v>13.900000000000002</v>
          </cell>
          <cell r="N33">
            <v>40.200000000000003</v>
          </cell>
          <cell r="O33">
            <v>47.600000000000009</v>
          </cell>
          <cell r="P33">
            <v>6.9</v>
          </cell>
          <cell r="Q33">
            <v>14.2</v>
          </cell>
          <cell r="R33">
            <v>-7.2999999999999989</v>
          </cell>
          <cell r="S33">
            <v>40.300000000000011</v>
          </cell>
          <cell r="T33">
            <v>0.3424317617866004</v>
          </cell>
          <cell r="U33">
            <v>13.8</v>
          </cell>
          <cell r="V33">
            <v>26.500000000000011</v>
          </cell>
          <cell r="W33">
            <v>0</v>
          </cell>
          <cell r="X33">
            <v>26.500000000000011</v>
          </cell>
          <cell r="Y33">
            <v>200.2</v>
          </cell>
          <cell r="Z33">
            <v>0.13500000000000001</v>
          </cell>
          <cell r="AA33">
            <v>0.13500000000000001</v>
          </cell>
        </row>
        <row r="34">
          <cell r="A34" t="str">
            <v xml:space="preserve"> 2Q</v>
          </cell>
          <cell r="B34">
            <v>41.8</v>
          </cell>
          <cell r="C34">
            <v>53.4</v>
          </cell>
          <cell r="D34">
            <v>32.6</v>
          </cell>
          <cell r="E34">
            <v>30.5</v>
          </cell>
          <cell r="F34">
            <v>116.5</v>
          </cell>
          <cell r="G34">
            <v>158.30000000000001</v>
          </cell>
          <cell r="H34">
            <v>35.200000000000003</v>
          </cell>
          <cell r="I34">
            <v>37.099999999999994</v>
          </cell>
          <cell r="J34">
            <v>25.2</v>
          </cell>
          <cell r="K34">
            <v>24.94</v>
          </cell>
          <cell r="L34">
            <v>7.66</v>
          </cell>
          <cell r="M34">
            <v>12.199999999999996</v>
          </cell>
          <cell r="N34">
            <v>44.8</v>
          </cell>
          <cell r="O34">
            <v>53.100000000000009</v>
          </cell>
          <cell r="P34">
            <v>6.5</v>
          </cell>
          <cell r="Q34">
            <v>14.3</v>
          </cell>
          <cell r="R34">
            <v>-7.8000000000000007</v>
          </cell>
          <cell r="S34">
            <v>45.300000000000011</v>
          </cell>
          <cell r="T34">
            <v>0.35099337748344361</v>
          </cell>
          <cell r="U34">
            <v>15.899999999999999</v>
          </cell>
          <cell r="V34">
            <v>29.400000000000013</v>
          </cell>
          <cell r="W34">
            <v>3.5</v>
          </cell>
          <cell r="X34">
            <v>32.900000000000013</v>
          </cell>
          <cell r="Y34">
            <v>227.2</v>
          </cell>
          <cell r="Z34">
            <v>0.14499999999999999</v>
          </cell>
          <cell r="AA34">
            <v>0.14499999999999999</v>
          </cell>
        </row>
        <row r="35">
          <cell r="A35" t="str">
            <v xml:space="preserve"> 3Q</v>
          </cell>
          <cell r="B35">
            <v>43.9</v>
          </cell>
          <cell r="C35">
            <v>65.3</v>
          </cell>
          <cell r="D35">
            <v>32.799999999999997</v>
          </cell>
          <cell r="E35">
            <v>30.8</v>
          </cell>
          <cell r="F35">
            <v>128.9</v>
          </cell>
          <cell r="G35">
            <v>172.8</v>
          </cell>
          <cell r="H35">
            <v>32.6</v>
          </cell>
          <cell r="I35">
            <v>42.1</v>
          </cell>
          <cell r="J35">
            <v>38</v>
          </cell>
          <cell r="K35">
            <v>24.7</v>
          </cell>
          <cell r="L35">
            <v>8.0999999999999979</v>
          </cell>
          <cell r="M35">
            <v>18.900000000000006</v>
          </cell>
          <cell r="N35">
            <v>51.7</v>
          </cell>
          <cell r="O35">
            <v>50.500000000000014</v>
          </cell>
          <cell r="P35">
            <v>6.3</v>
          </cell>
          <cell r="Q35">
            <v>14.2</v>
          </cell>
          <cell r="R35">
            <v>-7.8999999999999995</v>
          </cell>
          <cell r="S35">
            <v>42.600000000000016</v>
          </cell>
          <cell r="T35">
            <v>0.34976525821596233</v>
          </cell>
          <cell r="U35">
            <v>14.9</v>
          </cell>
          <cell r="V35">
            <v>27.700000000000017</v>
          </cell>
          <cell r="W35">
            <v>0</v>
          </cell>
          <cell r="X35">
            <v>27.700000000000017</v>
          </cell>
          <cell r="Y35">
            <v>202.4</v>
          </cell>
          <cell r="Z35">
            <v>0.13500000000000001</v>
          </cell>
          <cell r="AA35">
            <v>0.13500000000000001</v>
          </cell>
        </row>
        <row r="36">
          <cell r="A36" t="str">
            <v xml:space="preserve"> 4Q</v>
          </cell>
          <cell r="B36">
            <v>48.3</v>
          </cell>
          <cell r="C36">
            <v>64</v>
          </cell>
          <cell r="D36">
            <v>32.700000000000003</v>
          </cell>
          <cell r="E36">
            <v>27.3</v>
          </cell>
          <cell r="F36">
            <v>124</v>
          </cell>
          <cell r="G36">
            <v>172.3</v>
          </cell>
          <cell r="H36">
            <v>26.6</v>
          </cell>
          <cell r="I36">
            <v>48.999999999999993</v>
          </cell>
          <cell r="J36">
            <v>46.7</v>
          </cell>
          <cell r="K36">
            <v>25.2</v>
          </cell>
          <cell r="L36">
            <v>7.5000000000000036</v>
          </cell>
          <cell r="M36">
            <v>21</v>
          </cell>
          <cell r="N36">
            <v>53.7</v>
          </cell>
          <cell r="O36">
            <v>45.300000000000011</v>
          </cell>
          <cell r="P36">
            <v>6.7</v>
          </cell>
          <cell r="Q36">
            <v>14</v>
          </cell>
          <cell r="R36">
            <v>-7.3</v>
          </cell>
          <cell r="S36">
            <v>38.000000000000014</v>
          </cell>
          <cell r="T36">
            <v>0.34999999999999987</v>
          </cell>
          <cell r="U36">
            <v>13.3</v>
          </cell>
          <cell r="V36">
            <v>24.700000000000014</v>
          </cell>
          <cell r="W36">
            <v>0</v>
          </cell>
          <cell r="X36">
            <v>24.700000000000014</v>
          </cell>
          <cell r="Y36">
            <v>205.8</v>
          </cell>
          <cell r="Z36">
            <v>0.12</v>
          </cell>
          <cell r="AA36">
            <v>0.12</v>
          </cell>
        </row>
        <row r="38">
          <cell r="A38" t="str">
            <v>Year</v>
          </cell>
          <cell r="B38">
            <v>175.8</v>
          </cell>
          <cell r="C38">
            <v>233.1</v>
          </cell>
          <cell r="D38">
            <v>124.4</v>
          </cell>
          <cell r="E38">
            <v>113.6</v>
          </cell>
          <cell r="F38">
            <v>471.1</v>
          </cell>
          <cell r="G38">
            <v>646.90000000000009</v>
          </cell>
          <cell r="H38">
            <v>125.69999999999999</v>
          </cell>
          <cell r="I38">
            <v>163.69999999999999</v>
          </cell>
          <cell r="J38">
            <v>134.30000000000001</v>
          </cell>
          <cell r="K38">
            <v>94.78</v>
          </cell>
          <cell r="L38">
            <v>29.62</v>
          </cell>
          <cell r="M38">
            <v>66</v>
          </cell>
          <cell r="N38">
            <v>190.39999999999998</v>
          </cell>
          <cell r="O38">
            <v>196.50000000000006</v>
          </cell>
          <cell r="P38">
            <v>26.4</v>
          </cell>
          <cell r="Q38">
            <v>56.7</v>
          </cell>
          <cell r="R38">
            <v>-30.3</v>
          </cell>
          <cell r="S38">
            <v>166.20000000000005</v>
          </cell>
          <cell r="T38">
            <v>0.34837545126353786</v>
          </cell>
          <cell r="U38">
            <v>57.900000000000006</v>
          </cell>
          <cell r="V38">
            <v>108.30000000000005</v>
          </cell>
          <cell r="W38">
            <v>3.5</v>
          </cell>
          <cell r="X38">
            <v>111.80000000000005</v>
          </cell>
          <cell r="Y38">
            <v>203</v>
          </cell>
          <cell r="Z38">
            <v>0.53500000000000003</v>
          </cell>
          <cell r="AA38">
            <v>0.53500000000000003</v>
          </cell>
        </row>
        <row r="40">
          <cell r="A40" t="str">
            <v>1999</v>
          </cell>
        </row>
        <row r="41">
          <cell r="A41" t="str">
            <v xml:space="preserve"> 1Q (f)</v>
          </cell>
          <cell r="B41">
            <v>67.900000000000006</v>
          </cell>
          <cell r="C41">
            <v>58.9</v>
          </cell>
          <cell r="D41">
            <v>30.4</v>
          </cell>
          <cell r="E41">
            <v>28.3</v>
          </cell>
          <cell r="F41">
            <v>117.6</v>
          </cell>
          <cell r="G41">
            <v>185.5</v>
          </cell>
          <cell r="H41">
            <v>34.299999999999997</v>
          </cell>
          <cell r="I41">
            <v>61.900000000000006</v>
          </cell>
          <cell r="J41">
            <v>55.2</v>
          </cell>
          <cell r="K41">
            <v>23.3</v>
          </cell>
          <cell r="L41">
            <v>7.0999999999999979</v>
          </cell>
          <cell r="M41">
            <v>13.700000000000003</v>
          </cell>
          <cell r="N41">
            <v>44.1</v>
          </cell>
          <cell r="O41">
            <v>51.899999999999984</v>
          </cell>
          <cell r="P41">
            <v>5</v>
          </cell>
          <cell r="Q41">
            <v>14.9</v>
          </cell>
          <cell r="R41">
            <v>-9.9</v>
          </cell>
          <cell r="S41">
            <v>41.999999999999986</v>
          </cell>
          <cell r="T41">
            <v>0.32380952380952394</v>
          </cell>
          <cell r="U41">
            <v>13.600000000000001</v>
          </cell>
          <cell r="V41">
            <v>28.399999999999984</v>
          </cell>
          <cell r="W41">
            <v>0</v>
          </cell>
          <cell r="X41">
            <v>28.399999999999984</v>
          </cell>
          <cell r="Y41">
            <v>206.4</v>
          </cell>
          <cell r="Z41">
            <v>0.14000000000000001</v>
          </cell>
          <cell r="AA41">
            <v>0.02</v>
          </cell>
        </row>
        <row r="42">
          <cell r="A42" t="str">
            <v xml:space="preserve"> 2Q</v>
          </cell>
          <cell r="B42">
            <v>68.8</v>
          </cell>
          <cell r="C42">
            <v>54.8</v>
          </cell>
          <cell r="D42">
            <v>37.200000000000003</v>
          </cell>
          <cell r="E42">
            <v>34.4</v>
          </cell>
          <cell r="F42">
            <v>126.4</v>
          </cell>
          <cell r="G42">
            <v>195.2</v>
          </cell>
          <cell r="H42">
            <v>40.299999999999997</v>
          </cell>
          <cell r="I42">
            <v>62.899999999999991</v>
          </cell>
          <cell r="J42">
            <v>60.4</v>
          </cell>
          <cell r="K42">
            <v>28.5</v>
          </cell>
          <cell r="L42">
            <v>8.7000000000000028</v>
          </cell>
          <cell r="M42">
            <v>10.599999999999994</v>
          </cell>
          <cell r="N42">
            <v>47.8</v>
          </cell>
          <cell r="O42">
            <v>46.699999999999974</v>
          </cell>
          <cell r="P42">
            <v>18.399999999999999</v>
          </cell>
          <cell r="Q42">
            <v>14.8</v>
          </cell>
          <cell r="R42">
            <v>3.5999999999999979</v>
          </cell>
          <cell r="S42">
            <v>50.299999999999969</v>
          </cell>
          <cell r="T42">
            <v>0.32007952286282326</v>
          </cell>
          <cell r="U42">
            <v>16.100000000000001</v>
          </cell>
          <cell r="V42">
            <v>34.199999999999967</v>
          </cell>
          <cell r="W42">
            <v>3.8</v>
          </cell>
          <cell r="X42">
            <v>37.999999999999964</v>
          </cell>
          <cell r="Y42">
            <v>229.8</v>
          </cell>
          <cell r="Z42">
            <v>0.16500000000000001</v>
          </cell>
          <cell r="AA42">
            <v>0.16500000000000001</v>
          </cell>
        </row>
        <row r="43">
          <cell r="A43" t="str">
            <v xml:space="preserve"> 3Q</v>
          </cell>
          <cell r="B43">
            <v>106.3</v>
          </cell>
          <cell r="C43">
            <v>58</v>
          </cell>
          <cell r="D43">
            <v>27.2</v>
          </cell>
          <cell r="E43">
            <v>30.6</v>
          </cell>
          <cell r="F43">
            <v>115.80000000000001</v>
          </cell>
          <cell r="G43">
            <v>222.10000000000002</v>
          </cell>
          <cell r="H43">
            <v>45.2</v>
          </cell>
          <cell r="I43">
            <v>91.7</v>
          </cell>
          <cell r="J43">
            <v>65.900000000000006</v>
          </cell>
          <cell r="K43">
            <v>21</v>
          </cell>
          <cell r="L43">
            <v>6.1999999999999993</v>
          </cell>
          <cell r="M43">
            <v>14.099999999999998</v>
          </cell>
          <cell r="N43">
            <v>41.3</v>
          </cell>
          <cell r="O43">
            <v>69.700000000000031</v>
          </cell>
          <cell r="P43">
            <v>7.3</v>
          </cell>
          <cell r="Q43">
            <v>14.1</v>
          </cell>
          <cell r="R43">
            <v>-6.8</v>
          </cell>
          <cell r="S43">
            <v>62.900000000000034</v>
          </cell>
          <cell r="T43">
            <v>0.31955484896661351</v>
          </cell>
          <cell r="U43">
            <v>20.100000000000001</v>
          </cell>
          <cell r="V43">
            <v>42.800000000000033</v>
          </cell>
          <cell r="W43">
            <v>8.4</v>
          </cell>
          <cell r="X43">
            <v>51.200000000000031</v>
          </cell>
          <cell r="Y43">
            <v>258.8</v>
          </cell>
          <cell r="Z43">
            <v>0.2</v>
          </cell>
          <cell r="AA43">
            <v>0.2</v>
          </cell>
        </row>
        <row r="44">
          <cell r="A44" t="str">
            <v xml:space="preserve"> 4Q (g)</v>
          </cell>
          <cell r="B44">
            <v>80.400000000000006</v>
          </cell>
          <cell r="C44">
            <v>55.4</v>
          </cell>
          <cell r="D44">
            <v>26</v>
          </cell>
          <cell r="E44">
            <v>31.3</v>
          </cell>
          <cell r="F44">
            <v>112.7</v>
          </cell>
          <cell r="G44">
            <v>193.10000000000002</v>
          </cell>
          <cell r="H44">
            <v>38.6</v>
          </cell>
          <cell r="I44">
            <v>73.099999999999994</v>
          </cell>
          <cell r="J44">
            <v>72.2</v>
          </cell>
          <cell r="K44">
            <v>18</v>
          </cell>
          <cell r="L44">
            <v>8</v>
          </cell>
          <cell r="M44">
            <v>24.4</v>
          </cell>
          <cell r="N44">
            <v>50.4</v>
          </cell>
          <cell r="O44">
            <v>31.900000000000027</v>
          </cell>
          <cell r="P44">
            <v>10.9</v>
          </cell>
          <cell r="Q44">
            <v>14.3</v>
          </cell>
          <cell r="R44">
            <v>-3.4000000000000004</v>
          </cell>
          <cell r="S44">
            <v>28.500000000000028</v>
          </cell>
          <cell r="T44">
            <v>4.2105263157894694E-2</v>
          </cell>
          <cell r="U44">
            <v>1.2</v>
          </cell>
          <cell r="V44">
            <v>27.300000000000029</v>
          </cell>
          <cell r="W44">
            <v>0</v>
          </cell>
          <cell r="X44">
            <v>27.300000000000029</v>
          </cell>
          <cell r="Y44">
            <v>207.8</v>
          </cell>
          <cell r="Z44">
            <v>0.13137632338787308</v>
          </cell>
          <cell r="AA44">
            <v>0.1</v>
          </cell>
        </row>
        <row r="46">
          <cell r="A46" t="str">
            <v>Year</v>
          </cell>
          <cell r="B46">
            <v>323.39999999999998</v>
          </cell>
          <cell r="C46">
            <v>227.1</v>
          </cell>
          <cell r="D46">
            <v>120.8</v>
          </cell>
          <cell r="E46">
            <v>124.60000000000001</v>
          </cell>
          <cell r="F46">
            <v>472.5</v>
          </cell>
          <cell r="G46">
            <v>795.9</v>
          </cell>
          <cell r="H46">
            <v>158.4</v>
          </cell>
          <cell r="I46">
            <v>289.60000000000002</v>
          </cell>
          <cell r="J46">
            <v>253.7</v>
          </cell>
          <cell r="K46">
            <v>90.8</v>
          </cell>
          <cell r="L46">
            <v>30</v>
          </cell>
          <cell r="M46">
            <v>62.79999999999999</v>
          </cell>
          <cell r="N46">
            <v>183.6</v>
          </cell>
          <cell r="O46">
            <v>200.20000000000005</v>
          </cell>
          <cell r="P46">
            <v>41.6</v>
          </cell>
          <cell r="Q46">
            <v>58.100000000000009</v>
          </cell>
          <cell r="R46">
            <v>-16.5</v>
          </cell>
          <cell r="S46">
            <v>183.70000000000002</v>
          </cell>
          <cell r="T46">
            <v>0.27762656505171479</v>
          </cell>
          <cell r="U46">
            <v>51.000000000000007</v>
          </cell>
          <cell r="V46">
            <v>132.70000000000002</v>
          </cell>
          <cell r="W46">
            <v>15.6</v>
          </cell>
          <cell r="X46">
            <v>148.30000000000001</v>
          </cell>
          <cell r="Y46">
            <v>231.4</v>
          </cell>
          <cell r="Z46">
            <v>0.64088159031979264</v>
          </cell>
          <cell r="AA46">
            <v>0.48499999999999999</v>
          </cell>
        </row>
        <row r="48">
          <cell r="A48" t="str">
            <v>2000E</v>
          </cell>
        </row>
        <row r="49">
          <cell r="A49" t="str">
            <v xml:space="preserve"> 1QA</v>
          </cell>
          <cell r="B49">
            <v>79.8</v>
          </cell>
          <cell r="C49">
            <v>67.099999999999994</v>
          </cell>
          <cell r="D49">
            <v>25.4</v>
          </cell>
          <cell r="E49">
            <v>29</v>
          </cell>
          <cell r="F49">
            <v>121.5</v>
          </cell>
          <cell r="G49">
            <v>201.3</v>
          </cell>
          <cell r="H49">
            <v>34.700000000000003</v>
          </cell>
          <cell r="I49">
            <v>74.099999999999994</v>
          </cell>
          <cell r="J49">
            <v>67.2</v>
          </cell>
          <cell r="K49">
            <v>20</v>
          </cell>
          <cell r="L49">
            <v>5.3999999999999986</v>
          </cell>
          <cell r="M49">
            <v>19.399999999999999</v>
          </cell>
          <cell r="N49">
            <v>44.8</v>
          </cell>
          <cell r="O49">
            <v>54.600000000000023</v>
          </cell>
          <cell r="P49">
            <v>5.4</v>
          </cell>
          <cell r="Q49">
            <v>15.4</v>
          </cell>
          <cell r="R49">
            <v>-10</v>
          </cell>
          <cell r="S49">
            <v>44.600000000000023</v>
          </cell>
          <cell r="T49">
            <v>0.30941704035874423</v>
          </cell>
          <cell r="U49">
            <v>13.8</v>
          </cell>
          <cell r="V49">
            <v>30.800000000000022</v>
          </cell>
          <cell r="W49">
            <v>0</v>
          </cell>
          <cell r="X49">
            <v>30.800000000000022</v>
          </cell>
          <cell r="Y49">
            <v>207.4</v>
          </cell>
          <cell r="Z49">
            <v>0.15</v>
          </cell>
          <cell r="AA49">
            <v>0.15</v>
          </cell>
        </row>
        <row r="50">
          <cell r="A50" t="str">
            <v xml:space="preserve"> 2QA</v>
          </cell>
          <cell r="B50">
            <v>100</v>
          </cell>
          <cell r="C50">
            <v>72.2</v>
          </cell>
          <cell r="D50">
            <v>32</v>
          </cell>
          <cell r="E50">
            <v>34.6</v>
          </cell>
          <cell r="F50">
            <v>138.80000000000001</v>
          </cell>
          <cell r="G50">
            <v>238.8</v>
          </cell>
          <cell r="H50">
            <v>42</v>
          </cell>
          <cell r="I50">
            <v>92.6</v>
          </cell>
          <cell r="J50">
            <v>85.6</v>
          </cell>
          <cell r="K50">
            <v>23</v>
          </cell>
          <cell r="L50">
            <v>9</v>
          </cell>
          <cell r="M50">
            <v>15.899999999999999</v>
          </cell>
          <cell r="N50">
            <v>47.9</v>
          </cell>
          <cell r="O50">
            <v>63.300000000000018</v>
          </cell>
          <cell r="P50">
            <v>7.2</v>
          </cell>
          <cell r="Q50">
            <v>15.3</v>
          </cell>
          <cell r="R50">
            <v>-8.1000000000000014</v>
          </cell>
          <cell r="S50">
            <v>55.200000000000017</v>
          </cell>
          <cell r="T50">
            <v>0.31159420289855067</v>
          </cell>
          <cell r="U50">
            <v>17.200000000000003</v>
          </cell>
          <cell r="V50">
            <v>38.000000000000014</v>
          </cell>
          <cell r="W50">
            <v>8.3254076086956523</v>
          </cell>
          <cell r="X50">
            <v>46.32540760869567</v>
          </cell>
          <cell r="Y50">
            <v>260.8</v>
          </cell>
          <cell r="Z50">
            <v>0.18</v>
          </cell>
          <cell r="AA50">
            <v>0.22</v>
          </cell>
        </row>
        <row r="51">
          <cell r="A51" t="str">
            <v xml:space="preserve"> 3QA</v>
          </cell>
          <cell r="B51">
            <v>135.69999999999999</v>
          </cell>
          <cell r="C51">
            <v>71.599999999999994</v>
          </cell>
          <cell r="D51">
            <v>35.1</v>
          </cell>
          <cell r="E51">
            <v>29.1</v>
          </cell>
          <cell r="F51">
            <v>135.79999999999998</v>
          </cell>
          <cell r="G51">
            <v>271.5</v>
          </cell>
          <cell r="H51">
            <v>48.6</v>
          </cell>
          <cell r="I51">
            <v>116.19999999999999</v>
          </cell>
          <cell r="J51">
            <v>93.3</v>
          </cell>
          <cell r="K51">
            <v>24.9</v>
          </cell>
          <cell r="L51">
            <v>10.200000000000003</v>
          </cell>
          <cell r="M51">
            <v>16.399999999999999</v>
          </cell>
          <cell r="N51">
            <v>51.5</v>
          </cell>
          <cell r="O51">
            <v>78.100000000000023</v>
          </cell>
          <cell r="P51">
            <v>18.100000000000001</v>
          </cell>
          <cell r="Q51">
            <v>13.5</v>
          </cell>
          <cell r="R51">
            <v>4.6000000000000014</v>
          </cell>
          <cell r="S51">
            <v>82.700000000000017</v>
          </cell>
          <cell r="T51">
            <v>0.30955259975816196</v>
          </cell>
          <cell r="U51">
            <v>25.6</v>
          </cell>
          <cell r="V51">
            <v>57.100000000000016</v>
          </cell>
          <cell r="W51">
            <v>7.6420444377267245</v>
          </cell>
          <cell r="X51">
            <v>64.742044437726747</v>
          </cell>
          <cell r="Y51">
            <v>277.2</v>
          </cell>
          <cell r="Z51">
            <v>0.23</v>
          </cell>
          <cell r="AA51">
            <v>0.23</v>
          </cell>
        </row>
        <row r="52">
          <cell r="A52" t="str">
            <v xml:space="preserve"> 4Q</v>
          </cell>
          <cell r="B52">
            <v>147.04999999999998</v>
          </cell>
          <cell r="C52">
            <v>71.37178918124998</v>
          </cell>
          <cell r="D52">
            <v>10</v>
          </cell>
          <cell r="E52">
            <v>33</v>
          </cell>
          <cell r="F52">
            <v>114.37178918124998</v>
          </cell>
          <cell r="G52">
            <v>261.42178918124995</v>
          </cell>
          <cell r="H52">
            <v>46.728415492957751</v>
          </cell>
          <cell r="I52">
            <v>133.32158450704225</v>
          </cell>
          <cell r="J52">
            <v>87.85</v>
          </cell>
          <cell r="K52">
            <v>0</v>
          </cell>
          <cell r="L52">
            <v>10</v>
          </cell>
          <cell r="M52">
            <v>35</v>
          </cell>
          <cell r="N52">
            <v>45</v>
          </cell>
          <cell r="O52">
            <v>81.843373688292189</v>
          </cell>
          <cell r="P52">
            <v>17.7</v>
          </cell>
          <cell r="Q52">
            <v>13.749000000000001</v>
          </cell>
          <cell r="R52">
            <v>3.9509999999999987</v>
          </cell>
          <cell r="S52">
            <v>85.794373688292183</v>
          </cell>
          <cell r="T52">
            <v>0.31</v>
          </cell>
          <cell r="U52">
            <v>26.596255843370578</v>
          </cell>
          <cell r="V52">
            <v>59.198117844921605</v>
          </cell>
          <cell r="W52">
            <v>7.274497499999999</v>
          </cell>
          <cell r="X52">
            <v>66.472615344921607</v>
          </cell>
          <cell r="Y52">
            <v>277.8</v>
          </cell>
          <cell r="Z52">
            <v>0.23928227265990498</v>
          </cell>
          <cell r="AA52">
            <v>0.23928227265990498</v>
          </cell>
        </row>
        <row r="54">
          <cell r="A54" t="str">
            <v>Year</v>
          </cell>
          <cell r="B54">
            <v>462.54999999999995</v>
          </cell>
          <cell r="C54">
            <v>282.27178918124997</v>
          </cell>
          <cell r="D54">
            <v>102.5</v>
          </cell>
          <cell r="E54">
            <v>125.7</v>
          </cell>
          <cell r="F54">
            <v>510.47178918125002</v>
          </cell>
          <cell r="G54">
            <v>973.02178918124991</v>
          </cell>
          <cell r="H54">
            <v>172.02841549295778</v>
          </cell>
          <cell r="I54">
            <v>416.22158450704222</v>
          </cell>
          <cell r="J54">
            <v>333.95000000000005</v>
          </cell>
          <cell r="K54">
            <v>67.900000000000006</v>
          </cell>
          <cell r="L54">
            <v>34.6</v>
          </cell>
          <cell r="M54">
            <v>86.699999999999989</v>
          </cell>
          <cell r="N54">
            <v>189.2</v>
          </cell>
          <cell r="O54">
            <v>277.84337368829222</v>
          </cell>
          <cell r="P54">
            <v>48.400000000000006</v>
          </cell>
          <cell r="Q54">
            <v>57.949000000000005</v>
          </cell>
          <cell r="R54">
            <v>-9.5490000000000013</v>
          </cell>
          <cell r="S54">
            <v>268.29437368829224</v>
          </cell>
          <cell r="T54">
            <v>0.31009318123096025</v>
          </cell>
          <cell r="U54">
            <v>83.196255843370579</v>
          </cell>
          <cell r="V54">
            <v>185.09811784492166</v>
          </cell>
          <cell r="W54">
            <v>23.241949546422376</v>
          </cell>
          <cell r="X54">
            <v>208.34006739134406</v>
          </cell>
          <cell r="Y54">
            <v>255.8</v>
          </cell>
          <cell r="Z54">
            <v>0.79928227265990492</v>
          </cell>
          <cell r="AA54">
            <v>0.83928227265990496</v>
          </cell>
        </row>
        <row r="56">
          <cell r="A56" t="str">
            <v>2001E</v>
          </cell>
          <cell r="B56">
            <v>629.49850000000004</v>
          </cell>
          <cell r="C56">
            <v>313.39161170174998</v>
          </cell>
          <cell r="D56">
            <v>37.022000000000006</v>
          </cell>
          <cell r="E56">
            <v>150</v>
          </cell>
          <cell r="F56">
            <v>500.41361170174997</v>
          </cell>
          <cell r="G56">
            <v>1129.9121117017501</v>
          </cell>
          <cell r="H56">
            <v>200.87665250000001</v>
          </cell>
          <cell r="I56">
            <v>578.62184750000006</v>
          </cell>
          <cell r="J56">
            <v>388.68000000000006</v>
          </cell>
          <cell r="K56">
            <v>0</v>
          </cell>
          <cell r="L56">
            <v>37.022000000000006</v>
          </cell>
          <cell r="M56">
            <v>155.06305898929753</v>
          </cell>
          <cell r="N56">
            <v>192.08505898929752</v>
          </cell>
          <cell r="O56">
            <v>348.2704002124525</v>
          </cell>
          <cell r="P56">
            <v>62</v>
          </cell>
          <cell r="Q56">
            <v>55.518625000000007</v>
          </cell>
          <cell r="R56">
            <v>6.4813749999999928</v>
          </cell>
          <cell r="S56">
            <v>354.75177521245251</v>
          </cell>
          <cell r="T56">
            <v>0.31</v>
          </cell>
          <cell r="U56">
            <v>109.97305031586028</v>
          </cell>
          <cell r="V56">
            <v>244.77872489659222</v>
          </cell>
          <cell r="W56">
            <v>29.286359999999995</v>
          </cell>
          <cell r="X56">
            <v>274.06508489659223</v>
          </cell>
          <cell r="Y56">
            <v>282.8</v>
          </cell>
          <cell r="Z56">
            <v>0.96911274715909557</v>
          </cell>
          <cell r="AA56">
            <v>0.96911274715909557</v>
          </cell>
        </row>
        <row r="57">
          <cell r="A57" t="str">
            <v>2002E</v>
          </cell>
          <cell r="B57">
            <v>749.14550499999996</v>
          </cell>
          <cell r="C57">
            <v>355.62063268624695</v>
          </cell>
          <cell r="D57">
            <v>39.613540000000008</v>
          </cell>
          <cell r="E57">
            <v>168.00000000000003</v>
          </cell>
          <cell r="F57">
            <v>563.23417268624701</v>
          </cell>
          <cell r="G57">
            <v>1312.3796776862469</v>
          </cell>
          <cell r="H57">
            <v>227.34815607500002</v>
          </cell>
          <cell r="I57">
            <v>689.79734892499994</v>
          </cell>
          <cell r="J57">
            <v>439.14160000000004</v>
          </cell>
          <cell r="K57">
            <v>0</v>
          </cell>
          <cell r="L57">
            <v>39.613540000000008</v>
          </cell>
          <cell r="M57">
            <v>176.92910681823074</v>
          </cell>
          <cell r="N57">
            <v>216.54264681823074</v>
          </cell>
          <cell r="O57">
            <v>429.34727479301591</v>
          </cell>
          <cell r="P57">
            <v>70</v>
          </cell>
          <cell r="Q57">
            <v>56.673625000000001</v>
          </cell>
          <cell r="R57">
            <v>13.326374999999999</v>
          </cell>
          <cell r="S57">
            <v>442.6736497930159</v>
          </cell>
          <cell r="T57">
            <v>0.31</v>
          </cell>
          <cell r="U57">
            <v>137.22883143583493</v>
          </cell>
          <cell r="V57">
            <v>305.44481835718096</v>
          </cell>
          <cell r="W57">
            <v>30.083309999999994</v>
          </cell>
          <cell r="X57">
            <v>335.52812835718095</v>
          </cell>
          <cell r="Y57">
            <v>283.60000000000002</v>
          </cell>
          <cell r="Z57">
            <v>1.1831034145175632</v>
          </cell>
          <cell r="AA57">
            <v>1.1831034145175632</v>
          </cell>
        </row>
        <row r="58">
          <cell r="A58" t="str">
            <v>2003E</v>
          </cell>
          <cell r="B58">
            <v>891.47431174999997</v>
          </cell>
          <cell r="C58">
            <v>395.89894337545786</v>
          </cell>
          <cell r="D58">
            <v>42.386487800000012</v>
          </cell>
          <cell r="E58">
            <v>184.80000000000004</v>
          </cell>
          <cell r="F58">
            <v>623.08543117545787</v>
          </cell>
          <cell r="G58">
            <v>1514.5597429254578</v>
          </cell>
          <cell r="H58">
            <v>262.70983027625005</v>
          </cell>
          <cell r="I58">
            <v>813.56448147374988</v>
          </cell>
          <cell r="J58">
            <v>489.36881600000015</v>
          </cell>
          <cell r="K58">
            <v>0</v>
          </cell>
          <cell r="L58">
            <v>42.386487800000012</v>
          </cell>
          <cell r="M58">
            <v>199.94307106807327</v>
          </cell>
          <cell r="N58">
            <v>242.32955886807326</v>
          </cell>
          <cell r="O58">
            <v>520.15153778113449</v>
          </cell>
          <cell r="P58">
            <v>90</v>
          </cell>
          <cell r="Q58">
            <v>57.828625000000002</v>
          </cell>
          <cell r="R58">
            <v>32.171374999999998</v>
          </cell>
          <cell r="S58">
            <v>552.32291278113451</v>
          </cell>
          <cell r="T58">
            <v>0.31</v>
          </cell>
          <cell r="U58">
            <v>171.22010296215169</v>
          </cell>
          <cell r="V58">
            <v>381.10280981898279</v>
          </cell>
          <cell r="W58">
            <v>30.880259999999996</v>
          </cell>
          <cell r="X58">
            <v>411.98306981898281</v>
          </cell>
          <cell r="Y58">
            <v>284.40000000000003</v>
          </cell>
          <cell r="Z58">
            <v>1.4486043242580267</v>
          </cell>
          <cell r="AA58">
            <v>1.4486043242580267</v>
          </cell>
        </row>
        <row r="59">
          <cell r="A59" t="str">
            <v>2004E</v>
          </cell>
          <cell r="B59">
            <v>1055.9133003625002</v>
          </cell>
          <cell r="C59">
            <v>437.78694837234127</v>
          </cell>
          <cell r="D59">
            <v>45.353541946000014</v>
          </cell>
          <cell r="E59">
            <v>199.58400000000006</v>
          </cell>
          <cell r="F59">
            <v>682.7244903183414</v>
          </cell>
          <cell r="G59">
            <v>1738.6377906808416</v>
          </cell>
          <cell r="H59">
            <v>298.19956731168759</v>
          </cell>
          <cell r="I59">
            <v>957.29773305081267</v>
          </cell>
          <cell r="J59">
            <v>538.97771511106089</v>
          </cell>
          <cell r="K59">
            <v>0</v>
          </cell>
          <cell r="L59">
            <v>45.353541946000014</v>
          </cell>
          <cell r="M59">
            <v>224.13531560953044</v>
          </cell>
          <cell r="N59">
            <v>269.48885755553044</v>
          </cell>
          <cell r="O59">
            <v>631.97165070256267</v>
          </cell>
          <cell r="P59">
            <v>115</v>
          </cell>
          <cell r="Q59">
            <v>58.983624999999996</v>
          </cell>
          <cell r="R59">
            <v>56.016375000000004</v>
          </cell>
          <cell r="S59">
            <v>687.98802570256271</v>
          </cell>
          <cell r="T59">
            <v>0.31</v>
          </cell>
          <cell r="U59">
            <v>213.27628796779445</v>
          </cell>
          <cell r="V59">
            <v>474.71173773476823</v>
          </cell>
          <cell r="W59">
            <v>31.677209999999995</v>
          </cell>
          <cell r="X59">
            <v>506.38894773476824</v>
          </cell>
          <cell r="Y59">
            <v>285.20000000000005</v>
          </cell>
          <cell r="Z59">
            <v>1.7755573202481352</v>
          </cell>
          <cell r="AA59">
            <v>1.7755573202481352</v>
          </cell>
        </row>
        <row r="60">
          <cell r="A60" t="str">
            <v>2005E</v>
          </cell>
          <cell r="B60">
            <v>1236.408128684375</v>
          </cell>
          <cell r="C60">
            <v>461.52606448515519</v>
          </cell>
          <cell r="D60">
            <v>48.528289882220015</v>
          </cell>
          <cell r="E60">
            <v>215.55072000000007</v>
          </cell>
          <cell r="F60">
            <v>725.60507436737521</v>
          </cell>
          <cell r="G60">
            <v>1962.0132030517502</v>
          </cell>
          <cell r="H60">
            <v>338.55585705371573</v>
          </cell>
          <cell r="I60">
            <v>1113.4029916306592</v>
          </cell>
          <cell r="J60">
            <v>608.22409294604256</v>
          </cell>
          <cell r="K60">
            <v>0</v>
          </cell>
          <cell r="L60">
            <v>48.528289882220015</v>
          </cell>
          <cell r="M60">
            <v>245.7736905755425</v>
          </cell>
          <cell r="N60">
            <v>294.30198045776251</v>
          </cell>
          <cell r="O60">
            <v>720.93127259422943</v>
          </cell>
          <cell r="P60">
            <v>145</v>
          </cell>
          <cell r="Q60">
            <v>60.138624999999998</v>
          </cell>
          <cell r="R60">
            <v>84.86137500000001</v>
          </cell>
          <cell r="S60">
            <v>805.79264759422949</v>
          </cell>
          <cell r="T60">
            <v>0.31</v>
          </cell>
          <cell r="U60">
            <v>249.79572075421115</v>
          </cell>
          <cell r="V60">
            <v>555.99692684001832</v>
          </cell>
          <cell r="W60">
            <v>32.474159999999991</v>
          </cell>
          <cell r="X60">
            <v>588.4710868400183</v>
          </cell>
          <cell r="Y60">
            <v>286.00000000000006</v>
          </cell>
          <cell r="Z60">
            <v>2.0575912127273361</v>
          </cell>
          <cell r="AA60">
            <v>2.0575912127273361</v>
          </cell>
        </row>
        <row r="62">
          <cell r="A62" t="str">
            <v>CAGR</v>
          </cell>
        </row>
        <row r="63">
          <cell r="A63" t="str">
            <v>1999-2003</v>
          </cell>
          <cell r="B63">
            <v>28.85230871200082</v>
          </cell>
          <cell r="C63" t="e">
            <v>#DIV/0!</v>
          </cell>
          <cell r="D63" t="e">
            <v>#DIV/0!</v>
          </cell>
          <cell r="E63" t="e">
            <v>#DIV/0!</v>
          </cell>
          <cell r="G63">
            <v>17.451069583945245</v>
          </cell>
          <cell r="O63">
            <v>26.959865426590035</v>
          </cell>
          <cell r="S63">
            <v>31.68035113103269</v>
          </cell>
          <cell r="V63">
            <v>30.179562296772367</v>
          </cell>
          <cell r="X63">
            <v>29.102470972824811</v>
          </cell>
          <cell r="Z63">
            <v>22.614828553341269</v>
          </cell>
          <cell r="AA63">
            <v>31.462537155125879</v>
          </cell>
        </row>
        <row r="64">
          <cell r="A64" t="str">
            <v>2000-2005</v>
          </cell>
          <cell r="B64">
            <v>21.730844038082786</v>
          </cell>
          <cell r="G64">
            <v>15.057748677570926</v>
          </cell>
          <cell r="O64">
            <v>21.009304324561718</v>
          </cell>
          <cell r="S64">
            <v>24.601235030063041</v>
          </cell>
          <cell r="V64">
            <v>24.604600664068244</v>
          </cell>
          <cell r="X64">
            <v>23.080844057889195</v>
          </cell>
          <cell r="Z64">
            <v>20.818039203367089</v>
          </cell>
          <cell r="AA64">
            <v>19.64380306276967</v>
          </cell>
        </row>
        <row r="66">
          <cell r="A66" t="str">
            <v>% Change</v>
          </cell>
        </row>
        <row r="67">
          <cell r="A67" t="str">
            <v>Table 2</v>
          </cell>
        </row>
        <row r="68">
          <cell r="A68" t="str">
            <v>Alza</v>
          </cell>
        </row>
        <row r="69">
          <cell r="A69" t="str">
            <v>Quarterly Income Statement Analysis 1995-2004E % Change</v>
          </cell>
        </row>
        <row r="71">
          <cell r="I71" t="str">
            <v>Sales</v>
          </cell>
          <cell r="K71" t="str">
            <v>R&amp;D</v>
          </cell>
          <cell r="R71" t="str">
            <v>Non-</v>
          </cell>
          <cell r="W71" t="str">
            <v>AT</v>
          </cell>
          <cell r="X71" t="str">
            <v>Adj.</v>
          </cell>
          <cell r="Z71" t="str">
            <v>EPS</v>
          </cell>
        </row>
        <row r="72">
          <cell r="B72" t="str">
            <v xml:space="preserve">               Revenues</v>
          </cell>
          <cell r="E72" t="str">
            <v>Contract</v>
          </cell>
          <cell r="I72" t="str">
            <v xml:space="preserve">  Gross</v>
          </cell>
          <cell r="K72" t="str">
            <v>Cresc./</v>
          </cell>
          <cell r="L72" t="str">
            <v>Exter-</v>
          </cell>
          <cell r="M72" t="str">
            <v>Inter-</v>
          </cell>
          <cell r="O72" t="str">
            <v xml:space="preserve"> Oper.</v>
          </cell>
          <cell r="P72" t="str">
            <v>Int.</v>
          </cell>
          <cell r="Q72" t="str">
            <v>Int.</v>
          </cell>
          <cell r="R72" t="str">
            <v>Oper.</v>
          </cell>
          <cell r="S72" t="str">
            <v>Pretax</v>
          </cell>
          <cell r="T72" t="str">
            <v xml:space="preserve">    Tax</v>
          </cell>
          <cell r="V72" t="str">
            <v xml:space="preserve">   Net</v>
          </cell>
          <cell r="W72" t="str">
            <v>Conv.</v>
          </cell>
          <cell r="X72" t="str">
            <v xml:space="preserve">   Net</v>
          </cell>
          <cell r="Y72" t="str">
            <v xml:space="preserve">Avg. </v>
          </cell>
        </row>
        <row r="73">
          <cell r="B73" t="str">
            <v>Alza</v>
          </cell>
          <cell r="C73" t="str">
            <v>Fees</v>
          </cell>
          <cell r="D73" t="str">
            <v>R&amp;D</v>
          </cell>
          <cell r="E73" t="str">
            <v>Manuf.</v>
          </cell>
          <cell r="F73" t="str">
            <v>Other</v>
          </cell>
          <cell r="G73" t="str">
            <v>Total</v>
          </cell>
          <cell r="H73" t="str">
            <v>COGS</v>
          </cell>
          <cell r="I73" t="str">
            <v>Profit</v>
          </cell>
          <cell r="J73" t="str">
            <v>SG&amp;A</v>
          </cell>
          <cell r="K73" t="str">
            <v>TDC</v>
          </cell>
          <cell r="L73" t="str">
            <v>nal</v>
          </cell>
          <cell r="M73" t="str">
            <v>nal</v>
          </cell>
          <cell r="N73" t="str">
            <v>Total</v>
          </cell>
          <cell r="O73" t="str">
            <v>Inc.</v>
          </cell>
          <cell r="P73" t="str">
            <v>Inc.</v>
          </cell>
          <cell r="Q73" t="str">
            <v>Exp.</v>
          </cell>
          <cell r="R73" t="str">
            <v>Items</v>
          </cell>
          <cell r="S73" t="str">
            <v>Inc.</v>
          </cell>
          <cell r="T73" t="str">
            <v xml:space="preserve">   Rate</v>
          </cell>
          <cell r="U73" t="str">
            <v>Tax</v>
          </cell>
          <cell r="V73" t="str">
            <v>Inc.</v>
          </cell>
          <cell r="W73" t="str">
            <v>Int.</v>
          </cell>
          <cell r="X73" t="str">
            <v>Inc.</v>
          </cell>
          <cell r="Y73" t="str">
            <v xml:space="preserve">Shs. </v>
          </cell>
          <cell r="Z73" t="str">
            <v>Oper.</v>
          </cell>
          <cell r="AA73" t="str">
            <v>Rep.</v>
          </cell>
        </row>
        <row r="75">
          <cell r="A75" t="str">
            <v>1996/95</v>
          </cell>
        </row>
        <row r="76">
          <cell r="A76" t="str">
            <v xml:space="preserve"> 1Q</v>
          </cell>
          <cell r="B76">
            <v>0.7142857142857143</v>
          </cell>
          <cell r="C76">
            <v>0.10417525469642532</v>
          </cell>
          <cell r="D76">
            <v>0.3963133640552996</v>
          </cell>
          <cell r="E76">
            <v>-4.084562181913097E-2</v>
          </cell>
          <cell r="F76">
            <v>0.16216825378937286</v>
          </cell>
          <cell r="G76">
            <v>0.18811083664482869</v>
          </cell>
          <cell r="H76">
            <v>-2.5697235415905528E-2</v>
          </cell>
          <cell r="I76">
            <v>0.95507487520798651</v>
          </cell>
          <cell r="J76">
            <v>0.19971771347918119</v>
          </cell>
          <cell r="K76">
            <v>0.62411347517730487</v>
          </cell>
          <cell r="L76">
            <v>-2.6315789473683883E-2</v>
          </cell>
          <cell r="M76" t="str">
            <v xml:space="preserve">  NM</v>
          </cell>
          <cell r="N76">
            <v>0.40724754968078408</v>
          </cell>
          <cell r="O76">
            <v>0.13461679232852636</v>
          </cell>
          <cell r="P76">
            <v>0.44297635605006941</v>
          </cell>
          <cell r="Q76">
            <v>0.14387846291331557</v>
          </cell>
          <cell r="R76" t="str">
            <v xml:space="preserve">  NM</v>
          </cell>
          <cell r="S76">
            <v>0.19727792132173633</v>
          </cell>
          <cell r="T76">
            <v>-1.5805936861239636E-4</v>
          </cell>
          <cell r="U76">
            <v>0.1970886803294388</v>
          </cell>
          <cell r="V76">
            <v>0.19739390737805909</v>
          </cell>
          <cell r="W76" t="str">
            <v xml:space="preserve">  NM</v>
          </cell>
          <cell r="X76">
            <v>0.19739390737805909</v>
          </cell>
          <cell r="Y76">
            <v>2.6836106761824984E-2</v>
          </cell>
          <cell r="Z76">
            <v>0.16061278394083464</v>
          </cell>
          <cell r="AA76">
            <v>0.1999999999999999</v>
          </cell>
        </row>
        <row r="77">
          <cell r="A77" t="str">
            <v xml:space="preserve"> 2Q</v>
          </cell>
          <cell r="B77">
            <v>0.18749999999999989</v>
          </cell>
          <cell r="C77">
            <v>0.43441425650014626</v>
          </cell>
          <cell r="D77">
            <v>0.4945710027677242</v>
          </cell>
          <cell r="E77">
            <v>0.8648310387984981</v>
          </cell>
          <cell r="F77">
            <v>0.54691634439242842</v>
          </cell>
          <cell r="G77">
            <v>0.53195916509525987</v>
          </cell>
          <cell r="H77">
            <v>0.76843111482853399</v>
          </cell>
          <cell r="I77">
            <v>0.63800163800163789</v>
          </cell>
          <cell r="J77">
            <v>0.41700404858299606</v>
          </cell>
          <cell r="K77">
            <v>0.82758620689655171</v>
          </cell>
          <cell r="L77">
            <v>-4.2849193099610244E-2</v>
          </cell>
          <cell r="M77" t="str">
            <v xml:space="preserve">  NM</v>
          </cell>
          <cell r="N77">
            <v>0.58217362491716396</v>
          </cell>
          <cell r="O77">
            <v>0.37968495382943968</v>
          </cell>
          <cell r="P77">
            <v>0.66939443535188192</v>
          </cell>
          <cell r="Q77">
            <v>0.95340501792114696</v>
          </cell>
          <cell r="R77" t="str">
            <v xml:space="preserve">  NM</v>
          </cell>
          <cell r="S77">
            <v>0.32883282998756347</v>
          </cell>
          <cell r="T77">
            <v>-8.3501461275517117E-4</v>
          </cell>
          <cell r="U77">
            <v>0.32772323515661511</v>
          </cell>
          <cell r="V77">
            <v>0.32951289398280653</v>
          </cell>
          <cell r="W77" t="str">
            <v xml:space="preserve">  NM</v>
          </cell>
          <cell r="X77">
            <v>0.50143266475644543</v>
          </cell>
          <cell r="Y77">
            <v>0.18185237765886461</v>
          </cell>
          <cell r="Z77">
            <v>0.27515816618911165</v>
          </cell>
          <cell r="AA77">
            <v>0.22727272727272735</v>
          </cell>
        </row>
        <row r="78">
          <cell r="A78" t="str">
            <v xml:space="preserve"> 3Q</v>
          </cell>
          <cell r="B78">
            <v>0.78125</v>
          </cell>
          <cell r="C78">
            <v>0.1124880301920802</v>
          </cell>
          <cell r="D78">
            <v>6.8119891008174394E-2</v>
          </cell>
          <cell r="E78">
            <v>0.80617743037110123</v>
          </cell>
          <cell r="F78">
            <v>0.21640772622296878</v>
          </cell>
          <cell r="G78">
            <v>0.23916985694136617</v>
          </cell>
          <cell r="H78">
            <v>0.38762806380495379</v>
          </cell>
          <cell r="I78">
            <v>7.4816753926701738</v>
          </cell>
          <cell r="J78">
            <v>0.47545153904858806</v>
          </cell>
          <cell r="K78">
            <v>0.21739130434782611</v>
          </cell>
          <cell r="L78">
            <v>-0.23287671232876711</v>
          </cell>
          <cell r="M78" t="str">
            <v xml:space="preserve">  NM</v>
          </cell>
          <cell r="N78">
            <v>0.21237618082380391</v>
          </cell>
          <cell r="O78">
            <v>0.12419521633252155</v>
          </cell>
          <cell r="P78">
            <v>1.6655896607431337</v>
          </cell>
          <cell r="Q78">
            <v>0.90434012400354302</v>
          </cell>
          <cell r="R78" t="str">
            <v xml:space="preserve">  NM</v>
          </cell>
          <cell r="S78">
            <v>0.26900962814275503</v>
          </cell>
          <cell r="T78">
            <v>1.7751493491998333E-3</v>
          </cell>
          <cell r="U78">
            <v>0.27126230975828103</v>
          </cell>
          <cell r="V78">
            <v>0.26762882072106664</v>
          </cell>
          <cell r="W78" t="str">
            <v xml:space="preserve">  NM</v>
          </cell>
          <cell r="X78">
            <v>0.43774351094770331</v>
          </cell>
          <cell r="Y78">
            <v>0.17451082167473406</v>
          </cell>
          <cell r="Z78">
            <v>0.22743840201942567</v>
          </cell>
          <cell r="AA78">
            <v>0.22727272727272735</v>
          </cell>
        </row>
        <row r="79">
          <cell r="A79" t="str">
            <v xml:space="preserve"> 4Q</v>
          </cell>
          <cell r="B79">
            <v>1.0540540540540539</v>
          </cell>
          <cell r="C79">
            <v>0.13029526569122868</v>
          </cell>
          <cell r="D79">
            <v>0.16435288849081972</v>
          </cell>
          <cell r="E79">
            <v>-8.4862995477520742E-2</v>
          </cell>
          <cell r="F79">
            <v>9.784786965234829E-2</v>
          </cell>
          <cell r="G79">
            <v>0.13488839566145988</v>
          </cell>
          <cell r="H79">
            <v>8.2495687860584102E-2</v>
          </cell>
          <cell r="I79">
            <v>0.16156282998943952</v>
          </cell>
          <cell r="J79">
            <v>-0.17907247442259389</v>
          </cell>
          <cell r="K79">
            <v>0.16017316017316013</v>
          </cell>
          <cell r="L79">
            <v>0.17618230825778086</v>
          </cell>
          <cell r="M79" t="str">
            <v xml:space="preserve">  NM</v>
          </cell>
          <cell r="N79">
            <v>0.30807835518860277</v>
          </cell>
          <cell r="O79">
            <v>0.15573900619145895</v>
          </cell>
          <cell r="P79">
            <v>1.857142857142857</v>
          </cell>
          <cell r="Q79">
            <v>1.1368948247078465</v>
          </cell>
          <cell r="R79" t="str">
            <v xml:space="preserve">  NM</v>
          </cell>
          <cell r="S79">
            <v>0.30626377085300616</v>
          </cell>
          <cell r="T79">
            <v>1.9521425662891168E-3</v>
          </cell>
          <cell r="U79">
            <v>0.30881378396288967</v>
          </cell>
          <cell r="V79">
            <v>0.30470098487156072</v>
          </cell>
          <cell r="W79" t="str">
            <v xml:space="preserve">  NM</v>
          </cell>
          <cell r="X79">
            <v>0.46207736826073748</v>
          </cell>
          <cell r="Y79">
            <v>0.1776784635825582</v>
          </cell>
          <cell r="Z79">
            <v>0.26088943039902623</v>
          </cell>
          <cell r="AA79">
            <v>0.25</v>
          </cell>
        </row>
        <row r="81">
          <cell r="A81" t="str">
            <v>1996/95</v>
          </cell>
          <cell r="B81">
            <v>0.69852941176470584</v>
          </cell>
          <cell r="C81">
            <v>0.19141739483146236</v>
          </cell>
          <cell r="D81">
            <v>0.26187819797637829</v>
          </cell>
          <cell r="E81">
            <v>0.35118050507285298</v>
          </cell>
          <cell r="F81">
            <v>0.24717387202716923</v>
          </cell>
          <cell r="G81">
            <v>0.26598571284097494</v>
          </cell>
          <cell r="H81">
            <v>0.30285189999235429</v>
          </cell>
          <cell r="I81">
            <v>1.0377950013062787</v>
          </cell>
          <cell r="J81">
            <v>0.14640379700620665</v>
          </cell>
          <cell r="K81">
            <v>0.4065620542082739</v>
          </cell>
          <cell r="L81">
            <v>-3.7553141237600132E-2</v>
          </cell>
          <cell r="M81" t="str">
            <v xml:space="preserve">  NM</v>
          </cell>
          <cell r="N81">
            <v>0.36920071941054755</v>
          </cell>
          <cell r="O81">
            <v>0.19578383114707601</v>
          </cell>
          <cell r="P81">
            <v>1.1754328247727925</v>
          </cell>
          <cell r="Q81">
            <v>0.79623208989515015</v>
          </cell>
          <cell r="R81" t="str">
            <v xml:space="preserve">  NM</v>
          </cell>
          <cell r="S81">
            <v>0.27668319247861473</v>
          </cell>
          <cell r="T81">
            <v>7.42642837352845E-4</v>
          </cell>
          <cell r="U81">
            <v>0.27763131210707781</v>
          </cell>
          <cell r="V81">
            <v>0.27610208816705306</v>
          </cell>
          <cell r="W81" t="str">
            <v xml:space="preserve">  NM</v>
          </cell>
          <cell r="X81">
            <v>0.40315987183736579</v>
          </cell>
          <cell r="Y81">
            <v>0.14031503926642155</v>
          </cell>
          <cell r="Z81">
            <v>0.23228118804565534</v>
          </cell>
          <cell r="AA81">
            <v>0.22727272727272735</v>
          </cell>
        </row>
        <row r="83">
          <cell r="A83" t="str">
            <v>1997/96</v>
          </cell>
        </row>
        <row r="84">
          <cell r="A84" t="str">
            <v xml:space="preserve"> 1Q</v>
          </cell>
          <cell r="B84">
            <v>0.15000000000000005</v>
          </cell>
          <cell r="C84">
            <v>0.17866666666666675</v>
          </cell>
          <cell r="D84">
            <v>0.1155115511551154</v>
          </cell>
          <cell r="E84">
            <v>0.40136054421768724</v>
          </cell>
          <cell r="F84">
            <v>0.19515151515151508</v>
          </cell>
          <cell r="G84">
            <v>0.19209039548022599</v>
          </cell>
          <cell r="H84">
            <v>0.23124999999999996</v>
          </cell>
          <cell r="I84">
            <v>0.65957446808510678</v>
          </cell>
          <cell r="J84">
            <v>0.13725490196078435</v>
          </cell>
          <cell r="K84">
            <v>2.1834061135371181E-2</v>
          </cell>
          <cell r="L84">
            <v>0.40540540540540482</v>
          </cell>
          <cell r="M84">
            <v>0.20000000000000284</v>
          </cell>
          <cell r="N84">
            <v>0.11821086261980829</v>
          </cell>
          <cell r="O84">
            <v>0.2645161290322583</v>
          </cell>
          <cell r="P84">
            <v>1.036144578313253</v>
          </cell>
          <cell r="Q84">
            <v>1.1406249999999998</v>
          </cell>
          <cell r="R84" t="str">
            <v xml:space="preserve">  NM</v>
          </cell>
          <cell r="S84">
            <v>0.28875379939209778</v>
          </cell>
          <cell r="T84">
            <v>-5.8490566037757298E-4</v>
          </cell>
          <cell r="U84">
            <v>0.28800000000000009</v>
          </cell>
          <cell r="V84">
            <v>0.28921568627451055</v>
          </cell>
          <cell r="W84" t="str">
            <v xml:space="preserve">  NM</v>
          </cell>
          <cell r="X84">
            <v>0.44607843137254982</v>
          </cell>
          <cell r="Y84">
            <v>0.15602836879432627</v>
          </cell>
          <cell r="Z84">
            <v>0.25681663258350412</v>
          </cell>
          <cell r="AA84">
            <v>0.25</v>
          </cell>
        </row>
        <row r="85">
          <cell r="A85" t="str">
            <v xml:space="preserve"> 2Q</v>
          </cell>
          <cell r="B85">
            <v>1.236842105263158</v>
          </cell>
          <cell r="C85">
            <v>-6.9246435845213825E-2</v>
          </cell>
          <cell r="D85">
            <v>2.8490028490028491E-2</v>
          </cell>
          <cell r="E85">
            <v>-6.3758389261745041E-2</v>
          </cell>
          <cell r="F85">
            <v>-3.7719298245613889E-2</v>
          </cell>
          <cell r="G85">
            <v>3.3955857385400672E-3</v>
          </cell>
          <cell r="H85">
            <v>-0.21959459459459457</v>
          </cell>
          <cell r="I85">
            <v>2.3249999999999993</v>
          </cell>
          <cell r="J85">
            <v>5.8823529411764643E-2</v>
          </cell>
          <cell r="K85">
            <v>-2.2641509433962318E-2</v>
          </cell>
          <cell r="L85">
            <v>0.18604651162790711</v>
          </cell>
          <cell r="M85">
            <v>0.1290322580645156</v>
          </cell>
          <cell r="N85">
            <v>3.6649214659685826E-2</v>
          </cell>
          <cell r="O85">
            <v>0.12598425196850524</v>
          </cell>
          <cell r="P85">
            <v>0.32352941176470595</v>
          </cell>
          <cell r="Q85">
            <v>0.25688073394495403</v>
          </cell>
          <cell r="R85" t="str">
            <v xml:space="preserve">  NM</v>
          </cell>
          <cell r="S85">
            <v>0.1417112299465256</v>
          </cell>
          <cell r="T85">
            <v>5.4095062176325419E-3</v>
          </cell>
          <cell r="U85">
            <v>0.14788732394366208</v>
          </cell>
          <cell r="V85">
            <v>0.13793103448276101</v>
          </cell>
          <cell r="W85">
            <v>6.6666666666666721E-2</v>
          </cell>
          <cell r="X85">
            <v>0.12977099236641429</v>
          </cell>
          <cell r="Y85">
            <v>6.1601642710471692E-3</v>
          </cell>
          <cell r="Z85">
            <v>0.11866969009826253</v>
          </cell>
          <cell r="AA85">
            <v>0.11111111111111099</v>
          </cell>
        </row>
        <row r="86">
          <cell r="A86" t="str">
            <v xml:space="preserve"> 3Q</v>
          </cell>
          <cell r="B86">
            <v>1.4736842105263155</v>
          </cell>
          <cell r="C86">
            <v>6.0759493670886039E-2</v>
          </cell>
          <cell r="D86">
            <v>0.22789115646258515</v>
          </cell>
          <cell r="E86">
            <v>-5.8823529411764795E-2</v>
          </cell>
          <cell r="F86">
            <v>8.3063646170442318E-2</v>
          </cell>
          <cell r="G86">
            <v>0.16361788617886172</v>
          </cell>
          <cell r="H86">
            <v>2.8037383177570162E-2</v>
          </cell>
          <cell r="I86">
            <v>0.79012345679012319</v>
          </cell>
          <cell r="J86">
            <v>-5.1724137931034454E-2</v>
          </cell>
          <cell r="K86">
            <v>0.18750000000000014</v>
          </cell>
          <cell r="L86">
            <v>0.35714285714285715</v>
          </cell>
          <cell r="M86">
            <v>1.5217391304347805</v>
          </cell>
          <cell r="N86">
            <v>0.32176656151419558</v>
          </cell>
          <cell r="O86">
            <v>0.17507418397626107</v>
          </cell>
          <cell r="P86">
            <v>7.8787878787878837E-2</v>
          </cell>
          <cell r="Q86">
            <v>6.9767441860465143E-2</v>
          </cell>
          <cell r="R86" t="str">
            <v xml:space="preserve">  NM</v>
          </cell>
          <cell r="S86">
            <v>0.16890080428954415</v>
          </cell>
          <cell r="T86">
            <v>9.6911745703770659E-5</v>
          </cell>
          <cell r="U86">
            <v>0.16901408450704242</v>
          </cell>
          <cell r="V86">
            <v>0.16883116883116858</v>
          </cell>
          <cell r="W86">
            <v>3.2258064516129059E-2</v>
          </cell>
          <cell r="X86">
            <v>0.15267175572519054</v>
          </cell>
          <cell r="Y86">
            <v>1.1305241521068947E-2</v>
          </cell>
          <cell r="Z86">
            <v>0.13670581150255931</v>
          </cell>
          <cell r="AA86" t="str">
            <v xml:space="preserve">  NM</v>
          </cell>
        </row>
        <row r="87">
          <cell r="A87" t="str">
            <v xml:space="preserve"> 4Q</v>
          </cell>
          <cell r="B87">
            <v>2.0789473684210527</v>
          </cell>
          <cell r="C87">
            <v>9.3220338983050807E-2</v>
          </cell>
          <cell r="D87">
            <v>-0.20329670329670327</v>
          </cell>
          <cell r="E87">
            <v>0.29069767441860467</v>
          </cell>
          <cell r="F87">
            <v>1.984126984126984E-2</v>
          </cell>
          <cell r="G87">
            <v>0.16420664206642066</v>
          </cell>
          <cell r="H87">
            <v>0.53296703296703296</v>
          </cell>
          <cell r="I87">
            <v>1.6818181818181821</v>
          </cell>
          <cell r="J87">
            <v>0.21641791044776149</v>
          </cell>
          <cell r="K87">
            <v>-0.19402985074626863</v>
          </cell>
          <cell r="L87">
            <v>-0.22916666666666663</v>
          </cell>
          <cell r="M87">
            <v>1.4749999999999996</v>
          </cell>
          <cell r="N87">
            <v>-3.7128712871287127E-2</v>
          </cell>
          <cell r="O87">
            <v>0.18406593406593383</v>
          </cell>
          <cell r="P87">
            <v>-0.5921787709497206</v>
          </cell>
          <cell r="Q87">
            <v>7.0312499999999889E-2</v>
          </cell>
          <cell r="R87" t="str">
            <v xml:space="preserve">  NM</v>
          </cell>
          <cell r="S87">
            <v>-0.11566265060240995</v>
          </cell>
          <cell r="T87">
            <v>-0.36303590521850088</v>
          </cell>
          <cell r="U87">
            <v>-0.43670886075949378</v>
          </cell>
          <cell r="V87">
            <v>8.171206225680902E-2</v>
          </cell>
          <cell r="W87">
            <v>3.2258064516129059E-2</v>
          </cell>
          <cell r="X87">
            <v>7.6388888888888534E-2</v>
          </cell>
          <cell r="Y87">
            <v>8.2051282051281756E-3</v>
          </cell>
          <cell r="Z87">
            <v>5.1203797897591552E-2</v>
          </cell>
          <cell r="AA87">
            <v>0</v>
          </cell>
        </row>
        <row r="89">
          <cell r="A89" t="str">
            <v>1997/96</v>
          </cell>
          <cell r="B89">
            <v>1.2900432900432899</v>
          </cell>
          <cell r="C89">
            <v>5.8280438545874169E-2</v>
          </cell>
          <cell r="D89">
            <v>2.8963414634146208E-2</v>
          </cell>
          <cell r="E89">
            <v>8.8888888888888989E-2</v>
          </cell>
          <cell r="F89">
            <v>5.5128205128205272E-2</v>
          </cell>
          <cell r="G89">
            <v>0.12418300653594773</v>
          </cell>
          <cell r="H89">
            <v>8.8028169014084334E-2</v>
          </cell>
          <cell r="I89">
            <v>1.2777777777777775</v>
          </cell>
          <cell r="J89">
            <v>9.3418259023354683E-2</v>
          </cell>
          <cell r="K89">
            <v>-1.1156186612576008E-2</v>
          </cell>
          <cell r="L89">
            <v>0.15030674846625761</v>
          </cell>
          <cell r="M89">
            <v>0.96153846153846101</v>
          </cell>
          <cell r="N89">
            <v>9.7457627118644155E-2</v>
          </cell>
          <cell r="O89">
            <v>0.18390804597701171</v>
          </cell>
          <cell r="P89">
            <v>4.914933837429114E-2</v>
          </cell>
          <cell r="Q89">
            <v>0.27674418604651174</v>
          </cell>
          <cell r="R89" t="str">
            <v xml:space="preserve">  NM</v>
          </cell>
          <cell r="S89">
            <v>0.10932260228034925</v>
          </cell>
          <cell r="T89">
            <v>-7.9470643557705625E-2</v>
          </cell>
          <cell r="U89">
            <v>2.1164021164021211E-2</v>
          </cell>
          <cell r="V89">
            <v>0.16341991341991388</v>
          </cell>
          <cell r="W89">
            <v>0.39130434782608714</v>
          </cell>
          <cell r="X89">
            <v>0.18405511811023673</v>
          </cell>
          <cell r="Y89">
            <v>4.1666666666666789E-2</v>
          </cell>
          <cell r="Z89">
            <v>0.13513751539031518</v>
          </cell>
          <cell r="AA89">
            <v>-3.7129629629629624</v>
          </cell>
        </row>
        <row r="91">
          <cell r="A91" t="str">
            <v>1998/97</v>
          </cell>
        </row>
        <row r="92">
          <cell r="A92" t="str">
            <v xml:space="preserve"> 1Q</v>
          </cell>
          <cell r="B92">
            <v>5.057971014492753</v>
          </cell>
          <cell r="C92">
            <v>0.14027149321266957</v>
          </cell>
          <cell r="D92">
            <v>-0.22189349112426027</v>
          </cell>
          <cell r="E92">
            <v>0.21359223300970864</v>
          </cell>
          <cell r="F92">
            <v>3.1440162271805364E-2</v>
          </cell>
          <cell r="G92">
            <v>0.36018957345971564</v>
          </cell>
          <cell r="H92">
            <v>0.58883248730964477</v>
          </cell>
          <cell r="I92">
            <v>3.5512820512820507</v>
          </cell>
          <cell r="J92">
            <v>1.103448275862069</v>
          </cell>
          <cell r="K92">
            <v>-0.14786324786324775</v>
          </cell>
          <cell r="L92">
            <v>-0.38846153846153841</v>
          </cell>
          <cell r="M92" t="str">
            <v xml:space="preserve">  NM</v>
          </cell>
          <cell r="N92">
            <v>0.14857142857142866</v>
          </cell>
          <cell r="O92">
            <v>0.21428571428571441</v>
          </cell>
          <cell r="P92">
            <v>-0.59171597633136086</v>
          </cell>
          <cell r="Q92">
            <v>3.6496350364963508E-2</v>
          </cell>
          <cell r="R92" t="str">
            <v xml:space="preserve">  NM</v>
          </cell>
          <cell r="S92">
            <v>-4.952830188679231E-2</v>
          </cell>
          <cell r="T92">
            <v>-9.8192130450195231E-2</v>
          </cell>
          <cell r="U92">
            <v>-0.14285714285714288</v>
          </cell>
          <cell r="V92">
            <v>7.6045627376428275E-3</v>
          </cell>
          <cell r="W92" t="str">
            <v>NM</v>
          </cell>
          <cell r="X92">
            <v>-0.10169491525423703</v>
          </cell>
          <cell r="Y92">
            <v>2.3517382413087908E-2</v>
          </cell>
          <cell r="Z92">
            <v>-0.10488135593220355</v>
          </cell>
          <cell r="AA92">
            <v>-9.9999999999999908E-2</v>
          </cell>
        </row>
        <row r="93">
          <cell r="A93" t="str">
            <v xml:space="preserve"> 2Q</v>
          </cell>
          <cell r="B93">
            <v>3.9176470588235293</v>
          </cell>
          <cell r="C93">
            <v>0.16849015317286642</v>
          </cell>
          <cell r="D93">
            <v>-9.6952908587257608E-2</v>
          </cell>
          <cell r="E93">
            <v>9.3189964157706154E-2</v>
          </cell>
          <cell r="F93">
            <v>6.198723792160421E-2</v>
          </cell>
          <cell r="G93">
            <v>0.33925549915397624</v>
          </cell>
          <cell r="H93">
            <v>0.52380952380952384</v>
          </cell>
          <cell r="I93">
            <v>1.7894736842105265</v>
          </cell>
          <cell r="J93">
            <v>1</v>
          </cell>
          <cell r="K93">
            <v>-3.7065637065636967E-2</v>
          </cell>
          <cell r="L93">
            <v>-0.24901960784313745</v>
          </cell>
          <cell r="M93" t="str">
            <v xml:space="preserve">  NM</v>
          </cell>
          <cell r="N93">
            <v>0.13131313131313119</v>
          </cell>
          <cell r="O93">
            <v>0.23776223776223718</v>
          </cell>
          <cell r="P93">
            <v>-0.51851851851851849</v>
          </cell>
          <cell r="Q93">
            <v>4.379562043795631E-2</v>
          </cell>
          <cell r="R93" t="str">
            <v xml:space="preserve">  NM</v>
          </cell>
          <cell r="S93">
            <v>6.088992974238825E-2</v>
          </cell>
          <cell r="T93">
            <v>-8.0526551009628716E-2</v>
          </cell>
          <cell r="U93">
            <v>-2.4539877300613626E-2</v>
          </cell>
          <cell r="V93">
            <v>0.11363636363636283</v>
          </cell>
          <cell r="W93">
            <v>9.3749999999999944E-2</v>
          </cell>
          <cell r="X93">
            <v>0.11148648648648579</v>
          </cell>
          <cell r="Y93">
            <v>0.15918367346938769</v>
          </cell>
          <cell r="Z93">
            <v>-3.9864864864865852E-2</v>
          </cell>
          <cell r="AA93">
            <v>-3.3333333333333368E-2</v>
          </cell>
        </row>
        <row r="94">
          <cell r="A94" t="str">
            <v xml:space="preserve"> 3Q</v>
          </cell>
          <cell r="B94">
            <v>2.1134751773049643</v>
          </cell>
          <cell r="C94">
            <v>0.55847255369928395</v>
          </cell>
          <cell r="D94">
            <v>-9.1412742382271581E-2</v>
          </cell>
          <cell r="E94">
            <v>0.37500000000000011</v>
          </cell>
          <cell r="F94">
            <v>0.28386454183266929</v>
          </cell>
          <cell r="G94">
            <v>0.50917030567685595</v>
          </cell>
          <cell r="H94">
            <v>0.48181818181818187</v>
          </cell>
          <cell r="I94">
            <v>1.903448275862069</v>
          </cell>
          <cell r="J94">
            <v>2.4545454545454546</v>
          </cell>
          <cell r="K94">
            <v>-7.1428571428571508E-2</v>
          </cell>
          <cell r="L94">
            <v>-0.14736842105263182</v>
          </cell>
          <cell r="M94" t="str">
            <v xml:space="preserve">  NM</v>
          </cell>
          <cell r="N94">
            <v>0.23389021479713615</v>
          </cell>
          <cell r="O94">
            <v>0.27525252525252558</v>
          </cell>
          <cell r="P94">
            <v>-0.6460674157303371</v>
          </cell>
          <cell r="Q94">
            <v>2.8985507246376708E-2</v>
          </cell>
          <cell r="R94" t="str">
            <v xml:space="preserve">  NM</v>
          </cell>
          <cell r="S94">
            <v>-2.2935779816513433E-2</v>
          </cell>
          <cell r="T94">
            <v>-8.1339442276147131E-2</v>
          </cell>
          <cell r="U94">
            <v>-0.10240963855421692</v>
          </cell>
          <cell r="V94">
            <v>2.5925925925926557E-2</v>
          </cell>
          <cell r="W94" t="str">
            <v>NM</v>
          </cell>
          <cell r="X94">
            <v>-8.2781456953641794E-2</v>
          </cell>
          <cell r="Y94">
            <v>2.8455284552845499E-2</v>
          </cell>
          <cell r="Z94">
            <v>-0.12026490066225153</v>
          </cell>
          <cell r="AA94">
            <v>-1.0704960835509136</v>
          </cell>
        </row>
        <row r="95">
          <cell r="A95" t="str">
            <v xml:space="preserve"> 4Q</v>
          </cell>
          <cell r="B95">
            <v>1.0641025641025641</v>
          </cell>
          <cell r="C95">
            <v>0.2403100775193798</v>
          </cell>
          <cell r="D95">
            <v>0.12758620689655181</v>
          </cell>
          <cell r="E95">
            <v>0.2297297297297298</v>
          </cell>
          <cell r="F95">
            <v>0.20622568093385218</v>
          </cell>
          <cell r="G95">
            <v>0.36529318541996852</v>
          </cell>
          <cell r="H95">
            <v>-4.6594982078852945E-2</v>
          </cell>
          <cell r="I95">
            <v>1.7683615819209042</v>
          </cell>
          <cell r="J95">
            <v>1.8650306748466252</v>
          </cell>
          <cell r="K95">
            <v>0.16666666666666655</v>
          </cell>
          <cell r="L95">
            <v>1.3513513513514189E-2</v>
          </cell>
          <cell r="M95" t="str">
            <v xml:space="preserve">  NM</v>
          </cell>
          <cell r="N95">
            <v>0.3804627249357328</v>
          </cell>
          <cell r="O95">
            <v>5.1044083526683055E-2</v>
          </cell>
          <cell r="P95">
            <v>-8.2191780821917762E-2</v>
          </cell>
          <cell r="Q95">
            <v>2.1897810218978155E-2</v>
          </cell>
          <cell r="R95" t="str">
            <v xml:space="preserve">  NM</v>
          </cell>
          <cell r="S95">
            <v>3.5422343324251787E-2</v>
          </cell>
          <cell r="T95">
            <v>0.44325842696629075</v>
          </cell>
          <cell r="U95">
            <v>0.49438202247191043</v>
          </cell>
          <cell r="V95">
            <v>-0.11151079136690521</v>
          </cell>
          <cell r="W95" t="str">
            <v>NM</v>
          </cell>
          <cell r="X95">
            <v>-0.20322580645161184</v>
          </cell>
          <cell r="Y95">
            <v>4.6795523906409044E-2</v>
          </cell>
          <cell r="Z95">
            <v>-0.23896774193548326</v>
          </cell>
          <cell r="AA95">
            <v>-0.2</v>
          </cell>
        </row>
        <row r="97">
          <cell r="A97" t="str">
            <v>Year</v>
          </cell>
          <cell r="B97">
            <v>2.3232514177693764</v>
          </cell>
          <cell r="C97">
            <v>0.27099236641221369</v>
          </cell>
          <cell r="D97">
            <v>-7.8518518518518474E-2</v>
          </cell>
          <cell r="E97">
            <v>0.2201933404940922</v>
          </cell>
          <cell r="F97">
            <v>0.1448359659781287</v>
          </cell>
          <cell r="G97">
            <v>0.39298018949181751</v>
          </cell>
          <cell r="H97">
            <v>0.35598705501618128</v>
          </cell>
          <cell r="I97">
            <v>2.0712945590994378</v>
          </cell>
          <cell r="J97">
            <v>1.6077669902912621</v>
          </cell>
          <cell r="K97">
            <v>-2.7897435897435884E-2</v>
          </cell>
          <cell r="L97">
            <v>-0.21013333333333331</v>
          </cell>
          <cell r="M97" t="str">
            <v xml:space="preserve">  NM</v>
          </cell>
          <cell r="N97">
            <v>0.22522522522522503</v>
          </cell>
          <cell r="O97">
            <v>0.1923543689320393</v>
          </cell>
          <cell r="P97">
            <v>-0.5243243243243243</v>
          </cell>
          <cell r="Q97">
            <v>3.2786885245901586E-2</v>
          </cell>
          <cell r="R97" t="str">
            <v xml:space="preserve">  NM</v>
          </cell>
          <cell r="S97">
            <v>4.8367593712213492E-3</v>
          </cell>
          <cell r="T97">
            <v>-4.8134777376654279E-3</v>
          </cell>
          <cell r="U97">
            <v>0</v>
          </cell>
          <cell r="V97">
            <v>7.4418604651167817E-3</v>
          </cell>
          <cell r="W97">
            <v>-0.7265625</v>
          </cell>
          <cell r="X97">
            <v>-7.0656691604322169E-2</v>
          </cell>
          <cell r="Y97">
            <v>3.439490445859858E-2</v>
          </cell>
          <cell r="Z97">
            <v>-0.12720641569133925</v>
          </cell>
          <cell r="AA97">
            <v>-1.3651877133105801</v>
          </cell>
        </row>
        <row r="99">
          <cell r="A99" t="str">
            <v>1999/98</v>
          </cell>
        </row>
        <row r="100">
          <cell r="A100" t="str">
            <v xml:space="preserve"> 1Q</v>
          </cell>
          <cell r="B100">
            <v>0.62440191387559829</v>
          </cell>
          <cell r="C100">
            <v>0.16865079365079366</v>
          </cell>
          <cell r="D100">
            <v>0.15589353612167292</v>
          </cell>
          <cell r="E100">
            <v>0.13200000000000003</v>
          </cell>
          <cell r="F100">
            <v>0.15634218289085536</v>
          </cell>
          <cell r="G100">
            <v>0.29268292682926828</v>
          </cell>
          <cell r="H100">
            <v>9.5846645367412026E-2</v>
          </cell>
          <cell r="I100">
            <v>0.74366197183098603</v>
          </cell>
          <cell r="J100">
            <v>1.2622950819672134</v>
          </cell>
          <cell r="K100">
            <v>0.1685055165496489</v>
          </cell>
          <cell r="L100">
            <v>0.1163522012578614</v>
          </cell>
          <cell r="M100">
            <v>-1.438848920863304E-2</v>
          </cell>
          <cell r="N100">
            <v>9.7014925373134289E-2</v>
          </cell>
          <cell r="O100">
            <v>9.0336134453780983E-2</v>
          </cell>
          <cell r="P100">
            <v>-0.27536231884057977</v>
          </cell>
          <cell r="Q100">
            <v>4.9295774647887404E-2</v>
          </cell>
          <cell r="R100" t="str">
            <v xml:space="preserve">  NM</v>
          </cell>
          <cell r="S100">
            <v>4.2183622828783469E-2</v>
          </cell>
          <cell r="T100">
            <v>-5.4382332643201567E-2</v>
          </cell>
          <cell r="U100">
            <v>-1.4492753623188354E-2</v>
          </cell>
          <cell r="V100">
            <v>7.1698113207546155E-2</v>
          </cell>
          <cell r="W100" t="str">
            <v>NM</v>
          </cell>
          <cell r="X100">
            <v>7.1698113207546155E-2</v>
          </cell>
          <cell r="Y100">
            <v>3.0969030969031055E-2</v>
          </cell>
          <cell r="Z100">
            <v>3.703703703703707E-2</v>
          </cell>
          <cell r="AA100">
            <v>-0.85185185185185186</v>
          </cell>
        </row>
        <row r="101">
          <cell r="A101" t="str">
            <v xml:space="preserve"> 2Q</v>
          </cell>
          <cell r="B101">
            <v>0.64593301435406703</v>
          </cell>
          <cell r="C101">
            <v>2.6217228464419449E-2</v>
          </cell>
          <cell r="D101">
            <v>0.14110429447852765</v>
          </cell>
          <cell r="E101">
            <v>0.12786885245901636</v>
          </cell>
          <cell r="F101">
            <v>8.4978540772532238E-2</v>
          </cell>
          <cell r="G101">
            <v>0.23310170562223609</v>
          </cell>
          <cell r="H101">
            <v>0.14488636363636345</v>
          </cell>
          <cell r="I101">
            <v>0.69541778975741242</v>
          </cell>
          <cell r="J101">
            <v>1.396825396825397</v>
          </cell>
          <cell r="K101">
            <v>0.1427425821972734</v>
          </cell>
          <cell r="L101">
            <v>0.13577023498694551</v>
          </cell>
          <cell r="M101">
            <v>-0.13114754098360673</v>
          </cell>
          <cell r="N101">
            <v>6.6964285714285712E-2</v>
          </cell>
          <cell r="O101">
            <v>-0.12052730696798555</v>
          </cell>
          <cell r="P101">
            <v>1.8307692307692305</v>
          </cell>
          <cell r="Q101">
            <v>3.4965034965034961E-2</v>
          </cell>
          <cell r="R101" t="str">
            <v xml:space="preserve">  NM</v>
          </cell>
          <cell r="S101">
            <v>0.11037527593818888</v>
          </cell>
          <cell r="T101">
            <v>-8.8075321654974989E-2</v>
          </cell>
          <cell r="U101">
            <v>1.2578616352201437E-2</v>
          </cell>
          <cell r="V101">
            <v>0.16326530612244736</v>
          </cell>
          <cell r="W101">
            <v>8.571428571428566E-2</v>
          </cell>
          <cell r="X101">
            <v>0.15501519756838752</v>
          </cell>
          <cell r="Y101">
            <v>1.1443661971831087E-2</v>
          </cell>
          <cell r="Z101">
            <v>0.13793103448275876</v>
          </cell>
          <cell r="AA101">
            <v>0.13793103448275876</v>
          </cell>
        </row>
        <row r="102">
          <cell r="A102" t="str">
            <v xml:space="preserve"> 3Q</v>
          </cell>
          <cell r="B102">
            <v>1.4214123006833712</v>
          </cell>
          <cell r="C102">
            <v>-0.11179173047473197</v>
          </cell>
          <cell r="D102">
            <v>-0.17073170731707313</v>
          </cell>
          <cell r="E102">
            <v>-6.4935064935064705E-3</v>
          </cell>
          <cell r="F102">
            <v>-0.10162916989914658</v>
          </cell>
          <cell r="G102">
            <v>0.28530092592592599</v>
          </cell>
          <cell r="H102">
            <v>0.38650306748466262</v>
          </cell>
          <cell r="I102">
            <v>1.178147268408551</v>
          </cell>
          <cell r="J102">
            <v>0.73421052631578965</v>
          </cell>
          <cell r="K102">
            <v>-0.1497975708502024</v>
          </cell>
          <cell r="L102">
            <v>-0.23456790123456778</v>
          </cell>
          <cell r="M102">
            <v>-0.25396825396825429</v>
          </cell>
          <cell r="N102">
            <v>-0.2011605415860736</v>
          </cell>
          <cell r="O102">
            <v>0.38019801980198042</v>
          </cell>
          <cell r="P102">
            <v>0.15873015873015872</v>
          </cell>
          <cell r="Q102">
            <v>-7.0422535211267356E-3</v>
          </cell>
          <cell r="R102" t="str">
            <v xml:space="preserve">  NM</v>
          </cell>
          <cell r="S102">
            <v>0.4765258215962444</v>
          </cell>
          <cell r="T102">
            <v>-8.6373384833708711E-2</v>
          </cell>
          <cell r="U102">
            <v>0.34899328859060408</v>
          </cell>
          <cell r="V102">
            <v>0.54512635379061392</v>
          </cell>
          <cell r="W102" t="str">
            <v>NM</v>
          </cell>
          <cell r="X102">
            <v>0.84837545126353786</v>
          </cell>
          <cell r="Y102">
            <v>0.27865612648221344</v>
          </cell>
          <cell r="Z102">
            <v>0.48148148148148145</v>
          </cell>
          <cell r="AA102">
            <v>0.48148148148148145</v>
          </cell>
        </row>
        <row r="103">
          <cell r="A103" t="str">
            <v xml:space="preserve"> 4Q</v>
          </cell>
          <cell r="B103">
            <v>0.66459627329192572</v>
          </cell>
          <cell r="C103">
            <v>-0.13437500000000002</v>
          </cell>
          <cell r="D103">
            <v>-0.20489296636085633</v>
          </cell>
          <cell r="E103">
            <v>0.14652014652014653</v>
          </cell>
          <cell r="F103">
            <v>-9.1129032258064499E-2</v>
          </cell>
          <cell r="G103">
            <v>0.12071967498549048</v>
          </cell>
          <cell r="H103">
            <v>0.45112781954887216</v>
          </cell>
          <cell r="I103">
            <v>0.49183673469387768</v>
          </cell>
          <cell r="J103">
            <v>0.54603854389721629</v>
          </cell>
          <cell r="K103">
            <v>-0.2857142857142857</v>
          </cell>
          <cell r="L103">
            <v>6.6666666666666166E-2</v>
          </cell>
          <cell r="M103">
            <v>0.16190476190476183</v>
          </cell>
          <cell r="N103">
            <v>-6.1452513966480521E-2</v>
          </cell>
          <cell r="O103">
            <v>-0.29580573951434835</v>
          </cell>
          <cell r="P103">
            <v>0.62686567164179108</v>
          </cell>
          <cell r="Q103">
            <v>2.1428571428571481E-2</v>
          </cell>
          <cell r="R103" t="str">
            <v xml:space="preserve">  NM</v>
          </cell>
          <cell r="S103">
            <v>-0.24999999999999953</v>
          </cell>
          <cell r="T103">
            <v>-0.87969924812030076</v>
          </cell>
          <cell r="U103">
            <v>-0.90977443609022557</v>
          </cell>
          <cell r="V103">
            <v>0.10526315789473742</v>
          </cell>
          <cell r="W103" t="str">
            <v>NM</v>
          </cell>
          <cell r="X103">
            <v>0.10526315789473742</v>
          </cell>
          <cell r="Y103">
            <v>9.7181729834791061E-3</v>
          </cell>
          <cell r="Z103">
            <v>9.4802694898942413E-2</v>
          </cell>
          <cell r="AA103">
            <v>-0.1666666666666666</v>
          </cell>
        </row>
        <row r="105">
          <cell r="A105" t="str">
            <v>Year</v>
          </cell>
          <cell r="B105">
            <v>0.83959044368600655</v>
          </cell>
          <cell r="C105">
            <v>-2.5740025740025742E-2</v>
          </cell>
          <cell r="D105">
            <v>-2.8938906752411644E-2</v>
          </cell>
          <cell r="E105">
            <v>9.6830985915493092E-2</v>
          </cell>
          <cell r="F105">
            <v>2.9717682020801895E-3</v>
          </cell>
          <cell r="G105">
            <v>0.23032926263719256</v>
          </cell>
          <cell r="H105">
            <v>0.26014319809069231</v>
          </cell>
          <cell r="I105">
            <v>0.76908979841172909</v>
          </cell>
          <cell r="J105">
            <v>0.88905435591958282</v>
          </cell>
          <cell r="K105">
            <v>-4.199198143068162E-2</v>
          </cell>
          <cell r="L105">
            <v>1.2829169480080992E-2</v>
          </cell>
          <cell r="M105">
            <v>-4.8484848484848637E-2</v>
          </cell>
          <cell r="N105">
            <v>-3.5714285714285629E-2</v>
          </cell>
          <cell r="O105">
            <v>1.8829516539440139E-2</v>
          </cell>
          <cell r="P105">
            <v>0.57575757575757591</v>
          </cell>
          <cell r="Q105">
            <v>2.4691358024691457E-2</v>
          </cell>
          <cell r="R105" t="str">
            <v xml:space="preserve">  NM</v>
          </cell>
          <cell r="S105">
            <v>0.10529482551143181</v>
          </cell>
          <cell r="T105">
            <v>-0.20308229513652842</v>
          </cell>
          <cell r="U105">
            <v>-0.11917098445595851</v>
          </cell>
          <cell r="V105">
            <v>0.22530009233610296</v>
          </cell>
          <cell r="W105" t="str">
            <v>NM</v>
          </cell>
          <cell r="X105">
            <v>0.32647584973166316</v>
          </cell>
          <cell r="Y105">
            <v>0.13990147783251233</v>
          </cell>
          <cell r="Z105">
            <v>0.19790951461643477</v>
          </cell>
          <cell r="AA105">
            <v>-9.3457943925233725E-2</v>
          </cell>
        </row>
        <row r="107">
          <cell r="A107" t="str">
            <v>2000E/99</v>
          </cell>
        </row>
        <row r="108">
          <cell r="A108" t="str">
            <v xml:space="preserve"> 1QA</v>
          </cell>
          <cell r="B108">
            <v>0.17525773195876274</v>
          </cell>
          <cell r="C108">
            <v>0.13921901528013575</v>
          </cell>
          <cell r="D108">
            <v>-0.16447368421052633</v>
          </cell>
          <cell r="E108">
            <v>2.4734982332155452E-2</v>
          </cell>
          <cell r="F108">
            <v>3.31632653061225E-2</v>
          </cell>
          <cell r="G108">
            <v>8.5175202156334298E-2</v>
          </cell>
          <cell r="H108">
            <v>1.1661807580175093E-2</v>
          </cell>
          <cell r="I108">
            <v>0.19709208400646183</v>
          </cell>
          <cell r="J108">
            <v>0.21739130434782608</v>
          </cell>
          <cell r="K108">
            <v>-0.14163090128755368</v>
          </cell>
          <cell r="L108">
            <v>-0.23943661971830982</v>
          </cell>
          <cell r="M108">
            <v>0.41605839416058354</v>
          </cell>
          <cell r="N108">
            <v>1.5873015873015775E-2</v>
          </cell>
          <cell r="O108">
            <v>5.2023121387283995E-2</v>
          </cell>
          <cell r="P108">
            <v>8.0000000000000071E-2</v>
          </cell>
          <cell r="Q108">
            <v>3.3557046979865772E-2</v>
          </cell>
          <cell r="R108" t="str">
            <v xml:space="preserve">  NM</v>
          </cell>
          <cell r="S108">
            <v>6.1904761904762802E-2</v>
          </cell>
          <cell r="T108">
            <v>-4.4447375362702005E-2</v>
          </cell>
          <cell r="U108">
            <v>1.4705882352941122E-2</v>
          </cell>
          <cell r="V108">
            <v>8.4507042253522499E-2</v>
          </cell>
          <cell r="W108" t="str">
            <v>NM</v>
          </cell>
          <cell r="X108">
            <v>8.4507042253522499E-2</v>
          </cell>
          <cell r="Y108">
            <v>4.8449612403100775E-3</v>
          </cell>
          <cell r="Z108">
            <v>7.1428571428571286E-2</v>
          </cell>
          <cell r="AA108">
            <v>6.5</v>
          </cell>
        </row>
        <row r="109">
          <cell r="A109" t="str">
            <v xml:space="preserve"> 2QA</v>
          </cell>
          <cell r="B109">
            <v>0.45348837209302334</v>
          </cell>
          <cell r="C109">
            <v>0.31751824817518259</v>
          </cell>
          <cell r="D109">
            <v>-0.13978494623655921</v>
          </cell>
          <cell r="E109">
            <v>5.8139534883721762E-3</v>
          </cell>
          <cell r="F109">
            <v>9.8101265822784847E-2</v>
          </cell>
          <cell r="G109">
            <v>0.22336065573770505</v>
          </cell>
          <cell r="H109">
            <v>4.2183622828784191E-2</v>
          </cell>
          <cell r="I109">
            <v>0.47217806041335464</v>
          </cell>
          <cell r="J109">
            <v>0.41721854304635758</v>
          </cell>
          <cell r="K109">
            <v>-0.19298245614035087</v>
          </cell>
          <cell r="L109">
            <v>3.4482758620689315E-2</v>
          </cell>
          <cell r="M109">
            <v>0.50000000000000067</v>
          </cell>
          <cell r="N109">
            <v>2.0920502092050507E-3</v>
          </cell>
          <cell r="O109">
            <v>0.35546038543897329</v>
          </cell>
          <cell r="P109">
            <v>-0.60869565217391308</v>
          </cell>
          <cell r="Q109">
            <v>3.3783783783783779E-2</v>
          </cell>
          <cell r="R109" t="str">
            <v xml:space="preserve">  NM</v>
          </cell>
          <cell r="S109">
            <v>9.7415506958251519E-2</v>
          </cell>
          <cell r="T109">
            <v>-2.6510036907013129E-2</v>
          </cell>
          <cell r="U109">
            <v>6.8322981366459715E-2</v>
          </cell>
          <cell r="V109">
            <v>0.11111111111111259</v>
          </cell>
          <cell r="W109">
            <v>1.190896739130435</v>
          </cell>
          <cell r="X109">
            <v>0.2190896739130451</v>
          </cell>
          <cell r="Y109">
            <v>0.13489991296779807</v>
          </cell>
          <cell r="Z109">
            <v>9.0909090909090814E-2</v>
          </cell>
          <cell r="AA109">
            <v>0.33333333333333326</v>
          </cell>
        </row>
        <row r="110">
          <cell r="A110" t="str">
            <v xml:space="preserve"> 3QA</v>
          </cell>
          <cell r="B110">
            <v>0.2765757290686735</v>
          </cell>
          <cell r="C110">
            <v>0.23448275862068957</v>
          </cell>
          <cell r="D110">
            <v>0.29044117647058831</v>
          </cell>
          <cell r="E110">
            <v>-4.9019607843137254E-2</v>
          </cell>
          <cell r="F110">
            <v>0.17271157167530199</v>
          </cell>
          <cell r="G110">
            <v>0.2224223322827554</v>
          </cell>
          <cell r="H110">
            <v>7.5221238938053062E-2</v>
          </cell>
          <cell r="I110">
            <v>0.2671755725190838</v>
          </cell>
          <cell r="J110">
            <v>0.41578148710166901</v>
          </cell>
          <cell r="K110">
            <v>0.18571428571428564</v>
          </cell>
          <cell r="L110">
            <v>0.64516129032258129</v>
          </cell>
          <cell r="M110">
            <v>0.16312056737588659</v>
          </cell>
          <cell r="N110">
            <v>0.24697336561743349</v>
          </cell>
          <cell r="O110">
            <v>0.1205164992826397</v>
          </cell>
          <cell r="P110">
            <v>1.4794520547945207</v>
          </cell>
          <cell r="Q110">
            <v>-4.255319148936168E-2</v>
          </cell>
          <cell r="R110" t="str">
            <v xml:space="preserve">  NM</v>
          </cell>
          <cell r="S110">
            <v>0.31478537360890257</v>
          </cell>
          <cell r="T110">
            <v>-3.1300570906049902E-2</v>
          </cell>
          <cell r="U110">
            <v>0.27363184079601988</v>
          </cell>
          <cell r="V110">
            <v>0.33411214953270962</v>
          </cell>
          <cell r="W110" t="str">
            <v>NM</v>
          </cell>
          <cell r="X110">
            <v>0.26449305542434975</v>
          </cell>
          <cell r="Y110">
            <v>7.1097372488407945E-2</v>
          </cell>
          <cell r="Z110">
            <v>0.15</v>
          </cell>
          <cell r="AA110">
            <v>0.15</v>
          </cell>
        </row>
        <row r="111">
          <cell r="A111" t="str">
            <v xml:space="preserve"> 4Q</v>
          </cell>
          <cell r="B111">
            <v>0.82898009950248719</v>
          </cell>
          <cell r="C111">
            <v>0.28829944370487331</v>
          </cell>
          <cell r="D111">
            <v>-0.61538461538461542</v>
          </cell>
          <cell r="E111">
            <v>5.4313099041533523E-2</v>
          </cell>
          <cell r="F111">
            <v>1.4833976763531298E-2</v>
          </cell>
          <cell r="G111">
            <v>0.35381558353832171</v>
          </cell>
          <cell r="H111">
            <v>0.21058071225279143</v>
          </cell>
          <cell r="I111">
            <v>0.82382468545885434</v>
          </cell>
          <cell r="J111">
            <v>0.21675900277008298</v>
          </cell>
          <cell r="K111" t="str">
            <v xml:space="preserve">  NM</v>
          </cell>
          <cell r="L111">
            <v>0.25</v>
          </cell>
          <cell r="M111">
            <v>0.43442622950819682</v>
          </cell>
          <cell r="N111">
            <v>-0.10714285714285712</v>
          </cell>
          <cell r="O111">
            <v>1.5656229996329818</v>
          </cell>
          <cell r="P111">
            <v>0.62385321100917424</v>
          </cell>
          <cell r="Q111">
            <v>-3.8531468531468542E-2</v>
          </cell>
          <cell r="R111" t="str">
            <v xml:space="preserve">  NM</v>
          </cell>
          <cell r="S111">
            <v>2.0103289013435823</v>
          </cell>
          <cell r="T111">
            <v>6.3625000000000069</v>
          </cell>
          <cell r="U111">
            <v>21.16354653614215</v>
          </cell>
          <cell r="V111">
            <v>1.1684292250887012</v>
          </cell>
          <cell r="W111" t="str">
            <v>NM</v>
          </cell>
          <cell r="X111">
            <v>1.434894334978811</v>
          </cell>
          <cell r="Y111">
            <v>0.33686236766121269</v>
          </cell>
          <cell r="Z111">
            <v>0.82135004610726026</v>
          </cell>
          <cell r="AA111">
            <v>1.3928227265990496</v>
          </cell>
        </row>
        <row r="113">
          <cell r="A113" t="str">
            <v>Year</v>
          </cell>
          <cell r="B113">
            <v>0.43027210884353739</v>
          </cell>
          <cell r="C113">
            <v>0.24294050718295895</v>
          </cell>
          <cell r="D113">
            <v>-0.15149006622516553</v>
          </cell>
          <cell r="E113">
            <v>8.8282504012840626E-3</v>
          </cell>
          <cell r="F113">
            <v>8.0363574986772518E-2</v>
          </cell>
          <cell r="G113">
            <v>0.22254276816339985</v>
          </cell>
          <cell r="H113">
            <v>8.6037976596955626E-2</v>
          </cell>
          <cell r="I113">
            <v>0.4372292282701733</v>
          </cell>
          <cell r="J113">
            <v>0.31631848640126159</v>
          </cell>
          <cell r="K113">
            <v>-0.25220264317180607</v>
          </cell>
          <cell r="L113">
            <v>0.15333333333333338</v>
          </cell>
          <cell r="M113">
            <v>0.38057324840764334</v>
          </cell>
          <cell r="N113">
            <v>3.0501089324618706E-2</v>
          </cell>
          <cell r="O113">
            <v>0.38782903940205871</v>
          </cell>
          <cell r="P113">
            <v>0.16346153846153855</v>
          </cell>
          <cell r="Q113">
            <v>-2.5989672977625358E-3</v>
          </cell>
          <cell r="R113" t="str">
            <v xml:space="preserve">  NM</v>
          </cell>
          <cell r="S113">
            <v>0.46050285078003383</v>
          </cell>
          <cell r="T113">
            <v>0.11694347827700763</v>
          </cell>
          <cell r="U113">
            <v>0.63129913418373662</v>
          </cell>
          <cell r="V113">
            <v>0.39486147584718639</v>
          </cell>
          <cell r="W113" t="str">
            <v>NM</v>
          </cell>
          <cell r="X113">
            <v>0.40485547802659505</v>
          </cell>
          <cell r="Y113">
            <v>0.10544511668107176</v>
          </cell>
          <cell r="Z113">
            <v>0.24716060615982455</v>
          </cell>
          <cell r="AA113">
            <v>0.73047891270083498</v>
          </cell>
        </row>
        <row r="115">
          <cell r="A115" t="str">
            <v>2001E/00E</v>
          </cell>
          <cell r="B115">
            <v>0.36093071019349282</v>
          </cell>
          <cell r="C115">
            <v>0.11024772475763638</v>
          </cell>
          <cell r="D115">
            <v>-0.63880975609756097</v>
          </cell>
          <cell r="E115">
            <v>0.1933174224343675</v>
          </cell>
          <cell r="F115">
            <v>-1.9703689200205248E-2</v>
          </cell>
          <cell r="G115">
            <v>0.16124029725224925</v>
          </cell>
          <cell r="H115">
            <v>0.16769460396630331</v>
          </cell>
          <cell r="I115">
            <v>0.39017741760148944</v>
          </cell>
          <cell r="J115">
            <v>0.16388680940260522</v>
          </cell>
          <cell r="K115" t="str">
            <v xml:space="preserve">  NM</v>
          </cell>
          <cell r="L115">
            <v>7.0000000000000118E-2</v>
          </cell>
          <cell r="M115">
            <v>0.78850125708532359</v>
          </cell>
          <cell r="N115">
            <v>1.5248726159077875E-2</v>
          </cell>
          <cell r="O115">
            <v>0.25347743798695438</v>
          </cell>
          <cell r="P115">
            <v>0.28099173553718992</v>
          </cell>
          <cell r="Q115">
            <v>-4.1939895425287713E-2</v>
          </cell>
          <cell r="R115" t="str">
            <v xml:space="preserve">  NM</v>
          </cell>
          <cell r="S115">
            <v>0.32224828398603528</v>
          </cell>
          <cell r="T115">
            <v>-3.0049429203941901E-4</v>
          </cell>
          <cell r="U115">
            <v>0.32185095592403856</v>
          </cell>
          <cell r="V115">
            <v>0.32242687146971416</v>
          </cell>
          <cell r="W115">
            <v>0.26006469214231787</v>
          </cell>
          <cell r="X115">
            <v>0.31546988694109851</v>
          </cell>
          <cell r="Y115">
            <v>0.1055512118842846</v>
          </cell>
          <cell r="Z115">
            <v>0.21247872035747453</v>
          </cell>
          <cell r="AA115">
            <v>0.1546922635309857</v>
          </cell>
        </row>
        <row r="116">
          <cell r="A116" t="str">
            <v>2002E/01E</v>
          </cell>
          <cell r="B116">
            <v>0.19006718046190724</v>
          </cell>
          <cell r="C116">
            <v>0.13474840872475452</v>
          </cell>
          <cell r="D116">
            <v>7.0000000000000048E-2</v>
          </cell>
          <cell r="E116">
            <v>0.12000000000000019</v>
          </cell>
          <cell r="F116">
            <v>0.12553727459743547</v>
          </cell>
          <cell r="G116">
            <v>0.16148828222549461</v>
          </cell>
          <cell r="H116">
            <v>0.13177989201607196</v>
          </cell>
          <cell r="I116">
            <v>0.19213844396879581</v>
          </cell>
          <cell r="J116">
            <v>0.12982813625604603</v>
          </cell>
          <cell r="K116" t="str">
            <v xml:space="preserve">  NM</v>
          </cell>
          <cell r="L116">
            <v>7.0000000000000048E-2</v>
          </cell>
          <cell r="M116">
            <v>0.14101390731910171</v>
          </cell>
          <cell r="N116">
            <v>0.12732686216003883</v>
          </cell>
          <cell r="O116">
            <v>0.23279863729764216</v>
          </cell>
          <cell r="P116" t="str">
            <v xml:space="preserve">  NM</v>
          </cell>
          <cell r="Q116">
            <v>2.0803829345557349E-2</v>
          </cell>
          <cell r="R116" t="str">
            <v xml:space="preserve">  NM</v>
          </cell>
          <cell r="S116">
            <v>0.24784054858614601</v>
          </cell>
          <cell r="T116">
            <v>0</v>
          </cell>
          <cell r="U116">
            <v>0.24784054858614607</v>
          </cell>
          <cell r="V116">
            <v>0.24784054858614604</v>
          </cell>
          <cell r="W116">
            <v>2.721232683064741E-2</v>
          </cell>
          <cell r="X116">
            <v>0.22426440596685054</v>
          </cell>
          <cell r="Y116">
            <v>2.8288543140028688E-3</v>
          </cell>
          <cell r="Z116">
            <v>0.22081090975819925</v>
          </cell>
          <cell r="AA116">
            <v>0.22081090975819925</v>
          </cell>
        </row>
        <row r="117">
          <cell r="A117" t="str">
            <v>2003E/02E</v>
          </cell>
          <cell r="B117">
            <v>0.18998820095703572</v>
          </cell>
          <cell r="C117">
            <v>0.11326201853070549</v>
          </cell>
          <cell r="D117">
            <v>7.000000000000009E-2</v>
          </cell>
          <cell r="E117">
            <v>0.10000000000000005</v>
          </cell>
          <cell r="F117">
            <v>0.10626354257548107</v>
          </cell>
          <cell r="G117">
            <v>0.15405607742696742</v>
          </cell>
          <cell r="H117">
            <v>0.15553974490817749</v>
          </cell>
          <cell r="I117">
            <v>0.17942535259323947</v>
          </cell>
          <cell r="J117">
            <v>0.11437590062066565</v>
          </cell>
          <cell r="K117" t="str">
            <v xml:space="preserve">  NM</v>
          </cell>
          <cell r="L117">
            <v>7.000000000000009E-2</v>
          </cell>
          <cell r="M117">
            <v>0.13007449516763839</v>
          </cell>
          <cell r="N117">
            <v>0.11908468114130175</v>
          </cell>
          <cell r="O117">
            <v>0.21149374485233294</v>
          </cell>
          <cell r="P117">
            <v>0.2857142857142857</v>
          </cell>
          <cell r="Q117">
            <v>2.0379850415426948E-2</v>
          </cell>
          <cell r="R117" t="str">
            <v xml:space="preserve">  NM</v>
          </cell>
          <cell r="S117">
            <v>0.24769774085127522</v>
          </cell>
          <cell r="T117">
            <v>0</v>
          </cell>
          <cell r="U117">
            <v>0.24769774085127508</v>
          </cell>
          <cell r="V117">
            <v>0.24769774085127516</v>
          </cell>
          <cell r="W117">
            <v>2.6491433289754441E-2</v>
          </cell>
          <cell r="X117">
            <v>0.22786447692520437</v>
          </cell>
          <cell r="Y117">
            <v>2.8208744710860765E-3</v>
          </cell>
          <cell r="Z117">
            <v>0.22441056841064683</v>
          </cell>
          <cell r="AA117">
            <v>0.22441056841064683</v>
          </cell>
        </row>
        <row r="118">
          <cell r="A118" t="str">
            <v>2004E/03E</v>
          </cell>
          <cell r="B118">
            <v>0.18445734940999015</v>
          </cell>
          <cell r="C118">
            <v>0.10580479109073593</v>
          </cell>
          <cell r="D118">
            <v>7.0000000000000034E-2</v>
          </cell>
          <cell r="E118">
            <v>8.0000000000000099E-2</v>
          </cell>
          <cell r="F118">
            <v>9.5715701505608555E-2</v>
          </cell>
          <cell r="G118">
            <v>0.14794929602616028</v>
          </cell>
          <cell r="H118">
            <v>0.13509101276537175</v>
          </cell>
          <cell r="I118">
            <v>0.17667100131595459</v>
          </cell>
          <cell r="J118">
            <v>0.10137323321202535</v>
          </cell>
          <cell r="K118" t="str">
            <v xml:space="preserve">  NM</v>
          </cell>
          <cell r="L118">
            <v>7.0000000000000034E-2</v>
          </cell>
          <cell r="M118">
            <v>0.12099566347673334</v>
          </cell>
          <cell r="N118">
            <v>0.1120758805253427</v>
          </cell>
          <cell r="O118">
            <v>0.21497603063605478</v>
          </cell>
          <cell r="P118">
            <v>0.27777777777777779</v>
          </cell>
          <cell r="Q118">
            <v>1.9972807584479037E-2</v>
          </cell>
          <cell r="R118" t="str">
            <v xml:space="preserve">  NM</v>
          </cell>
          <cell r="S118">
            <v>0.2456264438466042</v>
          </cell>
          <cell r="T118">
            <v>0</v>
          </cell>
          <cell r="U118">
            <v>0.24562644384660431</v>
          </cell>
          <cell r="V118">
            <v>0.24562644384660418</v>
          </cell>
          <cell r="W118">
            <v>2.580774902801981E-2</v>
          </cell>
          <cell r="X118">
            <v>0.22914989675975156</v>
          </cell>
          <cell r="Y118">
            <v>2.8129395218003208E-3</v>
          </cell>
          <cell r="Z118">
            <v>0.22570207096238887</v>
          </cell>
          <cell r="AA118">
            <v>0.22570207096238887</v>
          </cell>
        </row>
        <row r="119">
          <cell r="A119" t="str">
            <v>2005E/04E</v>
          </cell>
          <cell r="B119">
            <v>0.17093716715180127</v>
          </cell>
          <cell r="C119">
            <v>5.4225271450129231E-2</v>
          </cell>
          <cell r="D119">
            <v>7.0000000000000007E-2</v>
          </cell>
          <cell r="E119">
            <v>8.0000000000000029E-2</v>
          </cell>
          <cell r="F119">
            <v>6.2808035535739187E-2</v>
          </cell>
          <cell r="G119">
            <v>0.12847725591161571</v>
          </cell>
          <cell r="H119">
            <v>0.13533315995675632</v>
          </cell>
          <cell r="I119">
            <v>0.16306866003156056</v>
          </cell>
          <cell r="J119">
            <v>0.12847725591161571</v>
          </cell>
          <cell r="K119" t="str">
            <v xml:space="preserve">  NM</v>
          </cell>
          <cell r="L119">
            <v>7.0000000000000007E-2</v>
          </cell>
          <cell r="M119">
            <v>9.65415686821465E-2</v>
          </cell>
          <cell r="N119">
            <v>9.2074763785434485E-2</v>
          </cell>
          <cell r="O119">
            <v>0.14076520963048006</v>
          </cell>
          <cell r="P119">
            <v>0.2608695652173913</v>
          </cell>
          <cell r="Q119">
            <v>1.9581705939572234E-2</v>
          </cell>
          <cell r="R119" t="str">
            <v xml:space="preserve">  NM</v>
          </cell>
          <cell r="S119">
            <v>0.17123062828218052</v>
          </cell>
          <cell r="T119">
            <v>0</v>
          </cell>
          <cell r="U119">
            <v>0.17123062828218052</v>
          </cell>
          <cell r="V119">
            <v>0.17123062828218055</v>
          </cell>
          <cell r="W119">
            <v>2.5158465660327898E-2</v>
          </cell>
          <cell r="X119">
            <v>0.16209306990689357</v>
          </cell>
          <cell r="Y119">
            <v>2.8050490883590857E-3</v>
          </cell>
          <cell r="Z119">
            <v>0.15884245992113991</v>
          </cell>
          <cell r="AA119">
            <v>0.15884245992113991</v>
          </cell>
        </row>
        <row r="121">
          <cell r="A121" t="str">
            <v>See footnotes on "Exhibit 3".</v>
          </cell>
        </row>
        <row r="122">
          <cell r="A122" t="str">
            <v>E = Morgan Stanley Dean Witter Research Estimates       NM = Not Meaningful</v>
          </cell>
        </row>
      </sheetData>
      <sheetData sheetId="3" refreshError="1"/>
      <sheetData sheetId="4" refreshError="1">
        <row r="68">
          <cell r="A68" t="str">
            <v>Table 3</v>
          </cell>
        </row>
        <row r="69">
          <cell r="A69" t="str">
            <v>Alza</v>
          </cell>
        </row>
        <row r="70">
          <cell r="A70" t="str">
            <v xml:space="preserve">Quarterly Sales Comparisons 1995-2004E % Change </v>
          </cell>
        </row>
        <row r="71">
          <cell r="A71" t="str">
            <v>($ Millions)</v>
          </cell>
        </row>
        <row r="74">
          <cell r="L74" t="str">
            <v>Other</v>
          </cell>
        </row>
        <row r="75">
          <cell r="B75" t="str">
            <v>Ditropan</v>
          </cell>
          <cell r="I75" t="str">
            <v>Testo-</v>
          </cell>
          <cell r="L75" t="str">
            <v>New</v>
          </cell>
          <cell r="N75" t="str">
            <v>Contract</v>
          </cell>
        </row>
        <row r="76">
          <cell r="B76" t="str">
            <v>XL</v>
          </cell>
          <cell r="F76" t="str">
            <v>Ethyol</v>
          </cell>
          <cell r="G76" t="str">
            <v>Mycelex</v>
          </cell>
          <cell r="H76" t="str">
            <v>Elmiron</v>
          </cell>
          <cell r="I76" t="str">
            <v>derm</v>
          </cell>
          <cell r="L76" t="str">
            <v>Products</v>
          </cell>
          <cell r="M76" t="str">
            <v>Total</v>
          </cell>
          <cell r="N76" t="str">
            <v>Manuf.</v>
          </cell>
          <cell r="O76" t="str">
            <v>Total</v>
          </cell>
        </row>
        <row r="78">
          <cell r="A78" t="str">
            <v>1996/95</v>
          </cell>
        </row>
        <row r="79">
          <cell r="A79" t="str">
            <v xml:space="preserve"> 1Q</v>
          </cell>
          <cell r="B79" t="str">
            <v>NM</v>
          </cell>
          <cell r="F79" t="str">
            <v>NM</v>
          </cell>
          <cell r="G79" t="str">
            <v>NM</v>
          </cell>
          <cell r="H79" t="str">
            <v>NM</v>
          </cell>
          <cell r="I79" t="str">
            <v>NM</v>
          </cell>
          <cell r="K79" t="str">
            <v>NM</v>
          </cell>
          <cell r="L79" t="str">
            <v>NM</v>
          </cell>
          <cell r="M79">
            <v>1.3852645985401459</v>
          </cell>
          <cell r="N79">
            <v>-4.084562181913097E-2</v>
          </cell>
          <cell r="O79">
            <v>0.27635717909690505</v>
          </cell>
        </row>
        <row r="80">
          <cell r="A80" t="str">
            <v xml:space="preserve"> 2Q</v>
          </cell>
          <cell r="B80" t="str">
            <v>NM</v>
          </cell>
          <cell r="F80" t="str">
            <v>NM</v>
          </cell>
          <cell r="G80" t="str">
            <v>NM</v>
          </cell>
          <cell r="H80" t="str">
            <v>NM</v>
          </cell>
          <cell r="I80" t="str">
            <v>NM</v>
          </cell>
          <cell r="K80" t="str">
            <v>NM</v>
          </cell>
          <cell r="L80" t="str">
            <v>NM</v>
          </cell>
          <cell r="M80">
            <v>1.7666865315852205</v>
          </cell>
          <cell r="N80">
            <v>0.86483103879849832</v>
          </cell>
          <cell r="O80">
            <v>1.0213591228796031</v>
          </cell>
        </row>
        <row r="81">
          <cell r="A81" t="str">
            <v xml:space="preserve"> 3Q</v>
          </cell>
          <cell r="B81" t="str">
            <v>NM</v>
          </cell>
          <cell r="F81" t="str">
            <v>NM</v>
          </cell>
          <cell r="G81" t="str">
            <v>NM</v>
          </cell>
          <cell r="H81" t="str">
            <v>NM</v>
          </cell>
          <cell r="I81" t="str">
            <v>NM</v>
          </cell>
          <cell r="K81" t="str">
            <v>NM</v>
          </cell>
          <cell r="L81" t="str">
            <v>NM</v>
          </cell>
          <cell r="M81">
            <v>2.6885245901639343</v>
          </cell>
          <cell r="N81">
            <v>0.80617743037110123</v>
          </cell>
          <cell r="O81">
            <v>1.1770262035344303</v>
          </cell>
        </row>
        <row r="82">
          <cell r="A82" t="str">
            <v xml:space="preserve"> 4Q</v>
          </cell>
          <cell r="B82" t="str">
            <v>NM</v>
          </cell>
          <cell r="F82" t="str">
            <v>NM</v>
          </cell>
          <cell r="G82" t="str">
            <v>NM</v>
          </cell>
          <cell r="H82" t="str">
            <v>NM</v>
          </cell>
          <cell r="I82" t="str">
            <v>NM</v>
          </cell>
          <cell r="K82" t="str">
            <v>NM</v>
          </cell>
          <cell r="L82" t="str">
            <v>NM</v>
          </cell>
          <cell r="M82">
            <v>2.7262902514336131</v>
          </cell>
          <cell r="N82">
            <v>-8.4862995477520742E-2</v>
          </cell>
          <cell r="O82">
            <v>0.46148570448797627</v>
          </cell>
        </row>
        <row r="84">
          <cell r="A84" t="str">
            <v>1996/95</v>
          </cell>
          <cell r="B84" t="str">
            <v>NM</v>
          </cell>
          <cell r="C84" t="str">
            <v>NM</v>
          </cell>
          <cell r="D84" t="str">
            <v>NM</v>
          </cell>
          <cell r="E84" t="str">
            <v>NM</v>
          </cell>
          <cell r="F84" t="str">
            <v>NM</v>
          </cell>
          <cell r="G84" t="str">
            <v>NM</v>
          </cell>
          <cell r="H84" t="str">
            <v>NM</v>
          </cell>
          <cell r="I84" t="str">
            <v>NM</v>
          </cell>
          <cell r="J84">
            <v>0.49903512157468161</v>
          </cell>
          <cell r="K84" t="str">
            <v>NM</v>
          </cell>
          <cell r="L84" t="str">
            <v>NM</v>
          </cell>
          <cell r="M84">
            <v>2.1316179789772356</v>
          </cell>
          <cell r="N84">
            <v>0.35118050507285314</v>
          </cell>
          <cell r="O84">
            <v>0.70161832836199811</v>
          </cell>
        </row>
        <row r="86">
          <cell r="A86" t="str">
            <v>1997/96</v>
          </cell>
        </row>
        <row r="87">
          <cell r="A87" t="str">
            <v xml:space="preserve"> 1Q</v>
          </cell>
          <cell r="B87" t="str">
            <v>NM</v>
          </cell>
          <cell r="C87" t="str">
            <v>NM</v>
          </cell>
          <cell r="D87" t="str">
            <v>NM</v>
          </cell>
          <cell r="E87">
            <v>0.35802469135802473</v>
          </cell>
          <cell r="F87" t="str">
            <v>NM</v>
          </cell>
          <cell r="G87" t="str">
            <v>NM</v>
          </cell>
          <cell r="H87" t="str">
            <v>NM</v>
          </cell>
          <cell r="I87">
            <v>-7.6923076923076983E-2</v>
          </cell>
          <cell r="J87">
            <v>0.23436900652090542</v>
          </cell>
          <cell r="K87" t="str">
            <v>NM</v>
          </cell>
          <cell r="L87" t="str">
            <v>NM</v>
          </cell>
          <cell r="M87">
            <v>0.28029071435402131</v>
          </cell>
          <cell r="N87">
            <v>0.40136054421768702</v>
          </cell>
          <cell r="O87">
            <v>0.35103549707834797</v>
          </cell>
        </row>
        <row r="88">
          <cell r="A88" t="str">
            <v xml:space="preserve"> 2Q</v>
          </cell>
          <cell r="B88" t="str">
            <v>NM</v>
          </cell>
          <cell r="C88" t="str">
            <v>NM</v>
          </cell>
          <cell r="D88" t="str">
            <v>NM</v>
          </cell>
          <cell r="E88">
            <v>0.31889763779527563</v>
          </cell>
          <cell r="F88" t="str">
            <v>NM</v>
          </cell>
          <cell r="G88" t="str">
            <v>NM</v>
          </cell>
          <cell r="H88" t="str">
            <v>NM</v>
          </cell>
          <cell r="I88">
            <v>1.2500000000000011E-2</v>
          </cell>
          <cell r="J88">
            <v>0.47405541561712805</v>
          </cell>
          <cell r="K88" t="str">
            <v>NM</v>
          </cell>
          <cell r="L88" t="str">
            <v>NM</v>
          </cell>
          <cell r="M88">
            <v>0.76801292407108246</v>
          </cell>
          <cell r="N88">
            <v>-6.3758389261744916E-2</v>
          </cell>
          <cell r="O88">
            <v>0.13383651017014203</v>
          </cell>
        </row>
        <row r="89">
          <cell r="A89" t="str">
            <v xml:space="preserve"> 3Q</v>
          </cell>
          <cell r="B89" t="str">
            <v>NM</v>
          </cell>
          <cell r="C89" t="str">
            <v>NM</v>
          </cell>
          <cell r="D89" t="str">
            <v>NM</v>
          </cell>
          <cell r="E89">
            <v>0.35506003430531735</v>
          </cell>
          <cell r="F89" t="str">
            <v>NM</v>
          </cell>
          <cell r="G89" t="str">
            <v>NM</v>
          </cell>
          <cell r="H89" t="str">
            <v>NM</v>
          </cell>
          <cell r="I89">
            <v>-0.17837837837837842</v>
          </cell>
          <cell r="J89">
            <v>0.41276595744680816</v>
          </cell>
          <cell r="K89" t="str">
            <v>NM</v>
          </cell>
          <cell r="L89" t="str">
            <v>NM</v>
          </cell>
          <cell r="M89">
            <v>0.95454926624737935</v>
          </cell>
          <cell r="N89">
            <v>-5.8823529411764795E-2</v>
          </cell>
          <cell r="O89">
            <v>0.27944016794961501</v>
          </cell>
        </row>
        <row r="90">
          <cell r="A90" t="str">
            <v xml:space="preserve"> 4Q</v>
          </cell>
          <cell r="B90" t="str">
            <v>NM</v>
          </cell>
          <cell r="C90" t="str">
            <v>NM</v>
          </cell>
          <cell r="D90" t="str">
            <v>NM</v>
          </cell>
          <cell r="E90">
            <v>0.16949152542372881</v>
          </cell>
          <cell r="F90" t="str">
            <v>NM</v>
          </cell>
          <cell r="G90" t="str">
            <v>NM</v>
          </cell>
          <cell r="H90" t="str">
            <v>NM</v>
          </cell>
          <cell r="I90">
            <v>-1.5384615384615399E-2</v>
          </cell>
          <cell r="J90">
            <v>0.87381193124368151</v>
          </cell>
          <cell r="K90" t="str">
            <v>NM</v>
          </cell>
          <cell r="L90" t="str">
            <v>NM</v>
          </cell>
          <cell r="M90">
            <v>1.058952352767091</v>
          </cell>
          <cell r="N90">
            <v>0.29069767441860489</v>
          </cell>
          <cell r="O90">
            <v>0.67138876668133174</v>
          </cell>
        </row>
        <row r="92">
          <cell r="A92" t="str">
            <v>1997/96</v>
          </cell>
          <cell r="B92" t="str">
            <v>NM</v>
          </cell>
          <cell r="C92" t="str">
            <v>NM</v>
          </cell>
          <cell r="D92" t="str">
            <v>NM</v>
          </cell>
          <cell r="E92">
            <v>0.29434324065196554</v>
          </cell>
          <cell r="F92" t="str">
            <v>NM</v>
          </cell>
          <cell r="G92" t="str">
            <v>NM</v>
          </cell>
          <cell r="H92" t="str">
            <v>NM</v>
          </cell>
          <cell r="I92">
            <v>-6.567164179104483E-2</v>
          </cell>
          <cell r="J92">
            <v>0.5789564023343633</v>
          </cell>
          <cell r="K92" t="str">
            <v>NM</v>
          </cell>
          <cell r="L92" t="str">
            <v>NM</v>
          </cell>
          <cell r="M92">
            <v>0.81001606194143572</v>
          </cell>
          <cell r="N92">
            <v>8.8888888888888989E-2</v>
          </cell>
          <cell r="O92">
            <v>0.35010666706449234</v>
          </cell>
        </row>
        <row r="94">
          <cell r="A94" t="str">
            <v>1998/97</v>
          </cell>
        </row>
        <row r="95">
          <cell r="A95" t="str">
            <v xml:space="preserve"> 1Q</v>
          </cell>
          <cell r="B95" t="str">
            <v>NM</v>
          </cell>
          <cell r="C95" t="str">
            <v>NM</v>
          </cell>
          <cell r="D95" t="str">
            <v>NM</v>
          </cell>
          <cell r="E95">
            <v>0.92727272727272725</v>
          </cell>
          <cell r="F95">
            <v>1.3342939481268008</v>
          </cell>
          <cell r="G95" t="str">
            <v>NM</v>
          </cell>
          <cell r="H95" t="str">
            <v>NM</v>
          </cell>
          <cell r="I95">
            <v>0.66666666666666674</v>
          </cell>
          <cell r="J95">
            <v>1.5481665630826573</v>
          </cell>
          <cell r="K95" t="str">
            <v>NM</v>
          </cell>
          <cell r="L95" t="str">
            <v>NM</v>
          </cell>
          <cell r="M95">
            <v>2.1221989841649234</v>
          </cell>
          <cell r="N95">
            <v>0.21359223300970887</v>
          </cell>
          <cell r="O95">
            <v>0.96539955278333522</v>
          </cell>
        </row>
        <row r="96">
          <cell r="A96" t="str">
            <v xml:space="preserve"> 2Q</v>
          </cell>
          <cell r="B96" t="str">
            <v>NM</v>
          </cell>
          <cell r="C96" t="str">
            <v>NM</v>
          </cell>
          <cell r="D96" t="str">
            <v>NM</v>
          </cell>
          <cell r="E96">
            <v>0.76119402985074636</v>
          </cell>
          <cell r="F96">
            <v>0.12185686653771759</v>
          </cell>
          <cell r="G96" t="str">
            <v>NM</v>
          </cell>
          <cell r="H96" t="str">
            <v>NM</v>
          </cell>
          <cell r="I96">
            <v>0.35802469135802473</v>
          </cell>
          <cell r="J96">
            <v>1.9049897470950095</v>
          </cell>
          <cell r="K96" t="str">
            <v>NM</v>
          </cell>
          <cell r="L96" t="str">
            <v>NM</v>
          </cell>
          <cell r="M96">
            <v>1.5462962962962961</v>
          </cell>
          <cell r="N96">
            <v>9.3189964157706015E-2</v>
          </cell>
          <cell r="O96">
            <v>0.63146493365827228</v>
          </cell>
        </row>
        <row r="97">
          <cell r="A97" t="str">
            <v xml:space="preserve"> 3Q</v>
          </cell>
          <cell r="B97" t="str">
            <v>NM</v>
          </cell>
          <cell r="C97" t="str">
            <v>NM</v>
          </cell>
          <cell r="D97" t="str">
            <v>NM</v>
          </cell>
          <cell r="E97">
            <v>0.721518987341772</v>
          </cell>
          <cell r="F97">
            <v>0.66666666666666663</v>
          </cell>
          <cell r="G97">
            <v>0.13461538461538464</v>
          </cell>
          <cell r="H97" t="str">
            <v>NM</v>
          </cell>
          <cell r="I97">
            <v>0.38157894736842107</v>
          </cell>
          <cell r="J97">
            <v>1.4431057563587679</v>
          </cell>
          <cell r="K97" t="str">
            <v>NM</v>
          </cell>
          <cell r="L97" t="str">
            <v>NM</v>
          </cell>
          <cell r="M97">
            <v>0.88347348549854121</v>
          </cell>
          <cell r="N97">
            <v>0.37500000000000011</v>
          </cell>
          <cell r="O97">
            <v>0.63428721449199277</v>
          </cell>
        </row>
        <row r="98">
          <cell r="A98" t="str">
            <v xml:space="preserve"> 4Q</v>
          </cell>
          <cell r="B98" t="str">
            <v>NM</v>
          </cell>
          <cell r="C98" t="str">
            <v>NM</v>
          </cell>
          <cell r="D98" t="str">
            <v>NM</v>
          </cell>
          <cell r="E98">
            <v>0.30434782608695643</v>
          </cell>
          <cell r="F98">
            <v>0.46031746031746024</v>
          </cell>
          <cell r="G98">
            <v>-0.23214285714285712</v>
          </cell>
          <cell r="H98">
            <v>0.41666666666666669</v>
          </cell>
          <cell r="I98">
            <v>0.92708333333333348</v>
          </cell>
          <cell r="J98">
            <v>0.65119792790848141</v>
          </cell>
          <cell r="K98" t="str">
            <v>NM</v>
          </cell>
          <cell r="L98" t="str">
            <v>NM</v>
          </cell>
          <cell r="M98">
            <v>0.38848962226182931</v>
          </cell>
          <cell r="N98">
            <v>0.2297297297297296</v>
          </cell>
          <cell r="O98">
            <v>0.3266416312778575</v>
          </cell>
        </row>
        <row r="100">
          <cell r="A100" t="str">
            <v>1998/97</v>
          </cell>
          <cell r="B100" t="str">
            <v>NM</v>
          </cell>
          <cell r="C100" t="str">
            <v>NM</v>
          </cell>
          <cell r="D100" t="str">
            <v>NM</v>
          </cell>
          <cell r="E100">
            <v>0.66666666666666663</v>
          </cell>
          <cell r="F100">
            <v>0.57945736434108497</v>
          </cell>
          <cell r="G100">
            <v>1.3981481481481481</v>
          </cell>
          <cell r="H100" t="str">
            <v>NM</v>
          </cell>
          <cell r="I100">
            <v>0.59744408945686911</v>
          </cell>
          <cell r="J100">
            <v>1.1361017501902368</v>
          </cell>
          <cell r="K100" t="str">
            <v>NM</v>
          </cell>
          <cell r="L100" t="str">
            <v>NM</v>
          </cell>
          <cell r="M100">
            <v>1.0000455072925438</v>
          </cell>
          <cell r="N100">
            <v>0.2201933404940922</v>
          </cell>
          <cell r="O100">
            <v>0.59891269516790235</v>
          </cell>
        </row>
        <row r="102">
          <cell r="A102" t="str">
            <v>1999/1998</v>
          </cell>
        </row>
        <row r="103">
          <cell r="A103" t="str">
            <v xml:space="preserve"> 1Q</v>
          </cell>
          <cell r="B103" t="str">
            <v>NM</v>
          </cell>
          <cell r="C103" t="str">
            <v>NM</v>
          </cell>
          <cell r="D103" t="str">
            <v>NM</v>
          </cell>
          <cell r="E103">
            <v>0.34905660377358499</v>
          </cell>
          <cell r="F103">
            <v>4.9382716049382762E-2</v>
          </cell>
          <cell r="G103">
            <v>-0.15254237288135597</v>
          </cell>
          <cell r="H103">
            <v>-0.29999999999999993</v>
          </cell>
          <cell r="I103">
            <v>1.25</v>
          </cell>
          <cell r="J103">
            <v>6.0975609756099329E-2</v>
          </cell>
          <cell r="K103" t="str">
            <v>NM</v>
          </cell>
          <cell r="L103" t="str">
            <v>NM</v>
          </cell>
          <cell r="M103">
            <v>0.62440191387559829</v>
          </cell>
          <cell r="N103">
            <v>0.13200000000000003</v>
          </cell>
          <cell r="O103">
            <v>0.440119760479042</v>
          </cell>
        </row>
        <row r="104">
          <cell r="A104" t="str">
            <v xml:space="preserve"> 2Q</v>
          </cell>
          <cell r="B104" t="str">
            <v>NM</v>
          </cell>
          <cell r="C104" t="str">
            <v>NM</v>
          </cell>
          <cell r="D104" t="str">
            <v>NM</v>
          </cell>
          <cell r="E104">
            <v>0.18644067796610161</v>
          </cell>
          <cell r="F104">
            <v>0.48275862068965514</v>
          </cell>
          <cell r="G104">
            <v>-0.21428571428571433</v>
          </cell>
          <cell r="H104">
            <v>1.0810810810810809</v>
          </cell>
          <cell r="I104">
            <v>1.3636363636363635</v>
          </cell>
          <cell r="J104">
            <v>0.31764705882352917</v>
          </cell>
          <cell r="K104" t="str">
            <v>NM</v>
          </cell>
          <cell r="L104" t="str">
            <v>NM</v>
          </cell>
          <cell r="M104">
            <v>0.64593301435406703</v>
          </cell>
          <cell r="N104">
            <v>0.12786885245901636</v>
          </cell>
          <cell r="O104">
            <v>0.4273858921161825</v>
          </cell>
        </row>
        <row r="105">
          <cell r="A105" t="str">
            <v xml:space="preserve"> 3Q</v>
          </cell>
          <cell r="B105" t="str">
            <v>NM</v>
          </cell>
          <cell r="C105" t="str">
            <v>NM</v>
          </cell>
          <cell r="D105" t="str">
            <v>NM</v>
          </cell>
          <cell r="E105">
            <v>0.76470588235294124</v>
          </cell>
          <cell r="F105">
            <v>0.86315789473684201</v>
          </cell>
          <cell r="G105">
            <v>0.96610169491525411</v>
          </cell>
          <cell r="H105">
            <v>0.81818181818181823</v>
          </cell>
          <cell r="I105">
            <v>1.3809523809523809</v>
          </cell>
          <cell r="J105">
            <v>0.72602739726027576</v>
          </cell>
          <cell r="K105" t="str">
            <v>NM</v>
          </cell>
          <cell r="L105" t="str">
            <v>NM</v>
          </cell>
          <cell r="M105">
            <v>1.4214123006833712</v>
          </cell>
          <cell r="N105">
            <v>-6.4935064935064705E-3</v>
          </cell>
          <cell r="O105">
            <v>0.83266398929049534</v>
          </cell>
        </row>
        <row r="106">
          <cell r="A106" t="str">
            <v xml:space="preserve"> 4Q</v>
          </cell>
          <cell r="B106" t="str">
            <v>NM</v>
          </cell>
          <cell r="C106" t="str">
            <v>NM</v>
          </cell>
          <cell r="D106" t="str">
            <v>NM</v>
          </cell>
          <cell r="E106">
            <v>0.54444444444444451</v>
          </cell>
          <cell r="F106">
            <v>0.46739130434782622</v>
          </cell>
          <cell r="G106">
            <v>0.13953488372093037</v>
          </cell>
          <cell r="H106">
            <v>7.3529411764705885E-2</v>
          </cell>
          <cell r="I106">
            <v>0.64864864864864846</v>
          </cell>
          <cell r="J106">
            <v>-0.37254901960784664</v>
          </cell>
          <cell r="K106" t="str">
            <v>NM</v>
          </cell>
          <cell r="L106" t="str">
            <v>NM</v>
          </cell>
          <cell r="M106">
            <v>0.66459627329192572</v>
          </cell>
          <cell r="N106">
            <v>0.14652014652014653</v>
          </cell>
          <cell r="O106">
            <v>0.47751322751322767</v>
          </cell>
        </row>
        <row r="108">
          <cell r="A108" t="str">
            <v>Year</v>
          </cell>
          <cell r="B108" t="str">
            <v>NM</v>
          </cell>
          <cell r="C108" t="str">
            <v>NM</v>
          </cell>
          <cell r="D108" t="str">
            <v>NM</v>
          </cell>
          <cell r="E108">
            <v>0.47111111111111115</v>
          </cell>
          <cell r="F108">
            <v>0.48159509202454004</v>
          </cell>
          <cell r="G108">
            <v>0.12741312741312716</v>
          </cell>
          <cell r="H108">
            <v>0.3000000000000001</v>
          </cell>
          <cell r="I108">
            <v>1.0799999999999996</v>
          </cell>
          <cell r="J108">
            <v>7.1246819338421627E-2</v>
          </cell>
          <cell r="K108" t="str">
            <v>NM</v>
          </cell>
          <cell r="L108" t="str">
            <v>NM</v>
          </cell>
          <cell r="M108">
            <v>0.83959044368600655</v>
          </cell>
          <cell r="N108">
            <v>9.6830985915493092E-2</v>
          </cell>
          <cell r="O108">
            <v>0.54803040774015199</v>
          </cell>
        </row>
        <row r="110">
          <cell r="A110" t="str">
            <v>2000E/1999</v>
          </cell>
        </row>
        <row r="111">
          <cell r="A111" t="str">
            <v xml:space="preserve"> 1QA</v>
          </cell>
          <cell r="B111">
            <v>0.4909090909090908</v>
          </cell>
          <cell r="C111" t="str">
            <v>NM</v>
          </cell>
          <cell r="D111">
            <v>0.4909090909090908</v>
          </cell>
          <cell r="E111">
            <v>-9.0909090909090953E-2</v>
          </cell>
          <cell r="F111">
            <v>0.623529411764706</v>
          </cell>
          <cell r="G111">
            <v>-0.27999999999999997</v>
          </cell>
          <cell r="H111">
            <v>2.0408163265306048E-2</v>
          </cell>
          <cell r="I111">
            <v>0</v>
          </cell>
          <cell r="J111">
            <v>-0.18390804597701144</v>
          </cell>
          <cell r="K111" t="str">
            <v>NM</v>
          </cell>
          <cell r="L111" t="str">
            <v>NM</v>
          </cell>
          <cell r="M111">
            <v>0.17525773195876274</v>
          </cell>
          <cell r="N111">
            <v>2.4734982332155452E-2</v>
          </cell>
          <cell r="O111">
            <v>0.1309771309771309</v>
          </cell>
        </row>
        <row r="112">
          <cell r="A112" t="str">
            <v xml:space="preserve"> 2QA</v>
          </cell>
          <cell r="B112">
            <v>2.1736111111111112</v>
          </cell>
          <cell r="C112" t="str">
            <v>NM</v>
          </cell>
          <cell r="D112">
            <v>2.1736111111111112</v>
          </cell>
          <cell r="E112">
            <v>7.8571428571428542E-2</v>
          </cell>
          <cell r="F112">
            <v>-0.11627906976744186</v>
          </cell>
          <cell r="G112">
            <v>0.29870129870129869</v>
          </cell>
          <cell r="H112">
            <v>0.14285714285714293</v>
          </cell>
          <cell r="I112">
            <v>0.17307692307692296</v>
          </cell>
          <cell r="J112">
            <v>-0.40178571428571341</v>
          </cell>
          <cell r="K112" t="str">
            <v>NM</v>
          </cell>
          <cell r="L112" t="str">
            <v>NM</v>
          </cell>
          <cell r="M112">
            <v>0.45348837209302334</v>
          </cell>
          <cell r="N112">
            <v>5.8139534883721762E-3</v>
          </cell>
          <cell r="O112">
            <v>0.30426356589147296</v>
          </cell>
        </row>
        <row r="113">
          <cell r="A113" t="str">
            <v xml:space="preserve"> 3QA</v>
          </cell>
          <cell r="B113">
            <v>0.8858267716535434</v>
          </cell>
          <cell r="C113" t="str">
            <v>NM</v>
          </cell>
          <cell r="D113">
            <v>0.8858267716535434</v>
          </cell>
          <cell r="E113">
            <v>2.500000000000006E-2</v>
          </cell>
          <cell r="F113">
            <v>-0.30508474576271177</v>
          </cell>
          <cell r="G113">
            <v>-0.75</v>
          </cell>
          <cell r="H113">
            <v>0.10999999999999996</v>
          </cell>
          <cell r="I113">
            <v>-0.27999999999999997</v>
          </cell>
          <cell r="J113">
            <v>-0.29365079365079422</v>
          </cell>
          <cell r="K113" t="str">
            <v>NM</v>
          </cell>
          <cell r="L113" t="str">
            <v>NM</v>
          </cell>
          <cell r="M113">
            <v>0.2765757290686735</v>
          </cell>
          <cell r="N113">
            <v>-4.9019607843137254E-2</v>
          </cell>
          <cell r="O113">
            <v>0.20379839298758201</v>
          </cell>
        </row>
        <row r="114">
          <cell r="A114" t="str">
            <v xml:space="preserve"> 4Q</v>
          </cell>
          <cell r="B114">
            <v>1.0318725099601593</v>
          </cell>
          <cell r="C114" t="str">
            <v>NM</v>
          </cell>
          <cell r="D114">
            <v>1.0717131474103585</v>
          </cell>
          <cell r="E114">
            <v>1.014388489208633</v>
          </cell>
          <cell r="F114">
            <v>0.14814814814814814</v>
          </cell>
          <cell r="G114">
            <v>0.22448979591836726</v>
          </cell>
          <cell r="H114">
            <v>0.64383561643835618</v>
          </cell>
          <cell r="I114">
            <v>-0.26229508196721307</v>
          </cell>
          <cell r="J114">
            <v>-0.16145833333332954</v>
          </cell>
          <cell r="K114" t="str">
            <v>NM</v>
          </cell>
          <cell r="L114" t="str">
            <v>NM</v>
          </cell>
          <cell r="M114">
            <v>0.82898009950248719</v>
          </cell>
          <cell r="N114">
            <v>5.4313099041533523E-2</v>
          </cell>
          <cell r="O114">
            <v>0.61190689346463722</v>
          </cell>
        </row>
        <row r="116">
          <cell r="A116" t="str">
            <v>Year</v>
          </cell>
          <cell r="B116">
            <v>1.0414269275028769</v>
          </cell>
          <cell r="C116" t="str">
            <v>NM</v>
          </cell>
          <cell r="D116">
            <v>1.0529344073647871</v>
          </cell>
          <cell r="E116">
            <v>0.21903323262839877</v>
          </cell>
          <cell r="F116">
            <v>1.8633540372670926E-2</v>
          </cell>
          <cell r="G116">
            <v>-0.22945205479452044</v>
          </cell>
          <cell r="H116">
            <v>0.23411371237458181</v>
          </cell>
          <cell r="I116">
            <v>-0.10096153846153837</v>
          </cell>
          <cell r="J116">
            <v>-0.26959619952493979</v>
          </cell>
          <cell r="K116" t="str">
            <v>NM</v>
          </cell>
          <cell r="L116" t="str">
            <v>NM</v>
          </cell>
          <cell r="M116">
            <v>0.43027210884353739</v>
          </cell>
          <cell r="N116">
            <v>8.8282504012840626E-3</v>
          </cell>
          <cell r="O116">
            <v>0.31305803571428564</v>
          </cell>
        </row>
        <row r="118">
          <cell r="A118" t="str">
            <v>2001E/2000E</v>
          </cell>
          <cell r="B118">
            <v>0.29650507328072151</v>
          </cell>
          <cell r="C118">
            <v>5</v>
          </cell>
          <cell r="D118">
            <v>0.32286995515695061</v>
          </cell>
          <cell r="E118">
            <v>0.17999999999999994</v>
          </cell>
          <cell r="F118">
            <v>0.10000000000000003</v>
          </cell>
          <cell r="G118">
            <v>0.05</v>
          </cell>
          <cell r="H118">
            <v>0.14999999999999991</v>
          </cell>
          <cell r="I118">
            <v>6.9518716577540149E-2</v>
          </cell>
          <cell r="J118">
            <v>-8.6422764227642238E-2</v>
          </cell>
          <cell r="K118">
            <v>1.8634361233480174</v>
          </cell>
          <cell r="L118" t="str">
            <v>NM</v>
          </cell>
          <cell r="M118">
            <v>0.36093071019349282</v>
          </cell>
          <cell r="N118">
            <v>0.1933174224343675</v>
          </cell>
          <cell r="O118">
            <v>0.32511432214194674</v>
          </cell>
        </row>
        <row r="119">
          <cell r="A119" t="str">
            <v>2002E/2001E</v>
          </cell>
          <cell r="B119">
            <v>0.10000000000000013</v>
          </cell>
          <cell r="C119">
            <v>1</v>
          </cell>
          <cell r="D119">
            <v>0.1228813559322034</v>
          </cell>
          <cell r="E119">
            <v>0.12999999999999984</v>
          </cell>
          <cell r="F119" t="str">
            <v>NM</v>
          </cell>
          <cell r="G119">
            <v>5.0000000000000093E-2</v>
          </cell>
          <cell r="H119">
            <v>0.10000000000000012</v>
          </cell>
          <cell r="I119">
            <v>7.0000000000000104E-2</v>
          </cell>
          <cell r="J119">
            <v>2.4201299279167005E-2</v>
          </cell>
          <cell r="K119">
            <v>0.53846153846153844</v>
          </cell>
          <cell r="L119" t="str">
            <v>NM</v>
          </cell>
          <cell r="M119">
            <v>0.19006718046190724</v>
          </cell>
          <cell r="N119">
            <v>0.12000000000000019</v>
          </cell>
          <cell r="O119">
            <v>0.1765840537217197</v>
          </cell>
        </row>
        <row r="120">
          <cell r="A120" t="str">
            <v>2003E/2002E</v>
          </cell>
          <cell r="B120">
            <v>0.10000000000000014</v>
          </cell>
          <cell r="C120">
            <v>0.66666666666666663</v>
          </cell>
          <cell r="D120">
            <v>0.12566037735849081</v>
          </cell>
          <cell r="E120">
            <v>0.10000000000000012</v>
          </cell>
          <cell r="F120" t="str">
            <v>NM</v>
          </cell>
          <cell r="G120">
            <v>5.0000000000000065E-2</v>
          </cell>
          <cell r="H120">
            <v>0.10000000000000003</v>
          </cell>
          <cell r="I120">
            <v>7.0000000000000048E-2</v>
          </cell>
          <cell r="J120">
            <v>2.5896584831804906E-2</v>
          </cell>
          <cell r="K120">
            <v>0.27500000000000002</v>
          </cell>
          <cell r="L120">
            <v>1.25</v>
          </cell>
          <cell r="M120">
            <v>0.18998820095703572</v>
          </cell>
          <cell r="N120">
            <v>0.10000000000000005</v>
          </cell>
          <cell r="O120">
            <v>0.17350442855847609</v>
          </cell>
        </row>
        <row r="121">
          <cell r="A121" t="str">
            <v>2004E/2003E</v>
          </cell>
          <cell r="B121">
            <v>8.0000000000000016E-2</v>
          </cell>
          <cell r="C121">
            <v>0.35</v>
          </cell>
          <cell r="D121">
            <v>9.8102581293999347E-2</v>
          </cell>
          <cell r="E121">
            <v>0.10000000000000007</v>
          </cell>
          <cell r="F121" t="str">
            <v>NM</v>
          </cell>
          <cell r="G121">
            <v>5.0000000000000086E-2</v>
          </cell>
          <cell r="H121">
            <v>9.0000000000000052E-2</v>
          </cell>
          <cell r="I121">
            <v>7.0000000000000132E-2</v>
          </cell>
          <cell r="J121">
            <v>2.7510382089257806E-2</v>
          </cell>
          <cell r="K121">
            <v>0.21568627450980393</v>
          </cell>
          <cell r="L121">
            <v>0.66666666666666663</v>
          </cell>
          <cell r="M121">
            <v>0.18445734940999015</v>
          </cell>
          <cell r="N121">
            <v>8.0000000000000099E-2</v>
          </cell>
          <cell r="O121">
            <v>0.16652166334908378</v>
          </cell>
        </row>
        <row r="122">
          <cell r="A122" t="str">
            <v>2005E/2004E</v>
          </cell>
          <cell r="B122">
            <v>5.9999999999999977E-2</v>
          </cell>
          <cell r="C122">
            <v>0.22222222222222221</v>
          </cell>
          <cell r="D122">
            <v>7.3371432758178534E-2</v>
          </cell>
          <cell r="E122">
            <v>0.1000000000000001</v>
          </cell>
          <cell r="F122" t="str">
            <v>NM</v>
          </cell>
          <cell r="G122">
            <v>5.0000000000000031E-2</v>
          </cell>
          <cell r="H122">
            <v>8.0000000000000057E-2</v>
          </cell>
          <cell r="I122">
            <v>7.0000000000000118E-2</v>
          </cell>
          <cell r="J122">
            <v>2.9042033504096874E-2</v>
          </cell>
          <cell r="K122">
            <v>0.16129032258064516</v>
          </cell>
          <cell r="L122">
            <v>0.56666666666666665</v>
          </cell>
          <cell r="M122">
            <v>0.17093716715180127</v>
          </cell>
          <cell r="N122">
            <v>8.0000000000000029E-2</v>
          </cell>
          <cell r="O122">
            <v>0.15648105994744099</v>
          </cell>
        </row>
        <row r="124">
          <cell r="A124" t="str">
            <v>Notes:</v>
          </cell>
        </row>
        <row r="125">
          <cell r="A125" t="str">
            <v>(a) 1995-1998 sales are pro-forma for Sequus acquisition in early 1999.</v>
          </cell>
        </row>
        <row r="126">
          <cell r="A126" t="str">
            <v xml:space="preserve">E = Morgan Stanley Dean Witter Research Estimates       NM = Not Meaningful </v>
          </cell>
        </row>
      </sheetData>
      <sheetData sheetId="5" refreshError="1">
        <row r="47">
          <cell r="A47" t="str">
            <v>Table 4</v>
          </cell>
        </row>
        <row r="48">
          <cell r="A48" t="str">
            <v>Alza</v>
          </cell>
        </row>
        <row r="49">
          <cell r="A49" t="str">
            <v>Annual Sales Comparisons 1995-2005E</v>
          </cell>
        </row>
        <row r="50">
          <cell r="A50" t="str">
            <v>($ Millions)</v>
          </cell>
          <cell r="O50" t="str">
            <v>% Change</v>
          </cell>
        </row>
        <row r="51">
          <cell r="O51" t="str">
            <v>1996/</v>
          </cell>
          <cell r="P51" t="str">
            <v>1997/</v>
          </cell>
          <cell r="Q51" t="str">
            <v>1998/</v>
          </cell>
          <cell r="R51" t="str">
            <v>1999E/</v>
          </cell>
          <cell r="S51" t="str">
            <v>2000E/</v>
          </cell>
          <cell r="T51" t="str">
            <v>2001E/</v>
          </cell>
          <cell r="U51" t="str">
            <v>2002E/</v>
          </cell>
          <cell r="V51" t="str">
            <v>2003E/</v>
          </cell>
          <cell r="W51" t="str">
            <v>2004E/</v>
          </cell>
          <cell r="X51" t="str">
            <v>2005E/</v>
          </cell>
          <cell r="Y51" t="str">
            <v>CAGR</v>
          </cell>
        </row>
        <row r="52">
          <cell r="A52" t="str">
            <v xml:space="preserve"> </v>
          </cell>
          <cell r="B52">
            <v>1994</v>
          </cell>
          <cell r="C52">
            <v>1995</v>
          </cell>
          <cell r="D52">
            <v>1996</v>
          </cell>
          <cell r="E52">
            <v>1997</v>
          </cell>
          <cell r="F52">
            <v>1998</v>
          </cell>
          <cell r="G52" t="str">
            <v>1999E</v>
          </cell>
          <cell r="H52" t="str">
            <v>2000E</v>
          </cell>
          <cell r="I52" t="str">
            <v>2001E</v>
          </cell>
          <cell r="J52" t="str">
            <v>2002E</v>
          </cell>
          <cell r="K52" t="str">
            <v>2003E</v>
          </cell>
          <cell r="L52" t="str">
            <v>2004E</v>
          </cell>
          <cell r="M52" t="str">
            <v>2005E</v>
          </cell>
          <cell r="O52">
            <v>1995</v>
          </cell>
          <cell r="P52">
            <v>1996</v>
          </cell>
          <cell r="Q52">
            <v>1997</v>
          </cell>
          <cell r="R52">
            <v>1998</v>
          </cell>
          <cell r="S52" t="str">
            <v>1999E</v>
          </cell>
          <cell r="T52" t="str">
            <v>2000E</v>
          </cell>
          <cell r="U52" t="str">
            <v>2001E</v>
          </cell>
          <cell r="V52" t="str">
            <v>2002E</v>
          </cell>
          <cell r="W52" t="str">
            <v>2003E</v>
          </cell>
          <cell r="X52" t="str">
            <v>2004E</v>
          </cell>
          <cell r="Y52" t="str">
            <v>'00-'05E</v>
          </cell>
        </row>
        <row r="54">
          <cell r="A54" t="str">
            <v>Net Sales</v>
          </cell>
        </row>
        <row r="55">
          <cell r="A55" t="str">
            <v>Ditropan XL</v>
          </cell>
          <cell r="C55">
            <v>0</v>
          </cell>
          <cell r="D55">
            <v>0</v>
          </cell>
          <cell r="E55">
            <v>0</v>
          </cell>
          <cell r="F55">
            <v>0</v>
          </cell>
          <cell r="G55">
            <v>86.9</v>
          </cell>
          <cell r="H55">
            <v>0</v>
          </cell>
          <cell r="I55">
            <v>230</v>
          </cell>
          <cell r="J55">
            <v>253.00000000000003</v>
          </cell>
          <cell r="K55">
            <v>278.30000000000007</v>
          </cell>
          <cell r="L55">
            <v>300.56400000000008</v>
          </cell>
          <cell r="M55">
            <v>318.59784000000008</v>
          </cell>
          <cell r="O55" t="str">
            <v>NM</v>
          </cell>
          <cell r="P55" t="str">
            <v>NM</v>
          </cell>
          <cell r="Q55" t="str">
            <v>NM</v>
          </cell>
          <cell r="R55" t="str">
            <v>NM</v>
          </cell>
          <cell r="S55">
            <v>-1</v>
          </cell>
          <cell r="T55" t="e">
            <v>#DIV/0!</v>
          </cell>
          <cell r="U55">
            <v>0.10000000000000009</v>
          </cell>
          <cell r="V55">
            <v>0.10000000000000009</v>
          </cell>
          <cell r="W55">
            <v>8.0000000000000071E-2</v>
          </cell>
          <cell r="X55">
            <v>6.0000000000000053E-2</v>
          </cell>
          <cell r="Y55" t="e">
            <v>#DIV/0!</v>
          </cell>
        </row>
        <row r="56">
          <cell r="A56" t="str">
            <v>Doxil/Caelyx</v>
          </cell>
          <cell r="C56">
            <v>0.93400000000000005</v>
          </cell>
          <cell r="D56">
            <v>20.86</v>
          </cell>
          <cell r="E56">
            <v>27</v>
          </cell>
          <cell r="F56">
            <v>45</v>
          </cell>
          <cell r="G56">
            <v>66.2</v>
          </cell>
          <cell r="H56">
            <v>0</v>
          </cell>
          <cell r="I56">
            <v>95.225999999999999</v>
          </cell>
          <cell r="J56">
            <v>107.60537999999998</v>
          </cell>
          <cell r="K56">
            <v>118.36591799999999</v>
          </cell>
          <cell r="L56">
            <v>130.2025098</v>
          </cell>
          <cell r="M56">
            <v>143.22276078000002</v>
          </cell>
          <cell r="O56" t="str">
            <v>NM</v>
          </cell>
          <cell r="P56">
            <v>0.29434324065196549</v>
          </cell>
          <cell r="Q56">
            <v>0.66666666666666674</v>
          </cell>
          <cell r="R56">
            <v>0.47111111111111126</v>
          </cell>
          <cell r="S56">
            <v>-1</v>
          </cell>
          <cell r="T56" t="e">
            <v>#DIV/0!</v>
          </cell>
          <cell r="U56">
            <v>0.12999999999999989</v>
          </cell>
          <cell r="V56">
            <v>0.10000000000000009</v>
          </cell>
          <cell r="W56">
            <v>0.10000000000000009</v>
          </cell>
          <cell r="X56">
            <v>0.10000000000000009</v>
          </cell>
          <cell r="Y56" t="e">
            <v>#DIV/0!</v>
          </cell>
        </row>
        <row r="57">
          <cell r="A57" t="str">
            <v xml:space="preserve">Ethyol </v>
          </cell>
          <cell r="B57" t="str">
            <v>-</v>
          </cell>
          <cell r="C57">
            <v>0</v>
          </cell>
          <cell r="D57">
            <v>9.35</v>
          </cell>
          <cell r="E57">
            <v>20.64</v>
          </cell>
          <cell r="F57">
            <v>32.599999999999994</v>
          </cell>
          <cell r="G57">
            <v>48.3</v>
          </cell>
          <cell r="H57">
            <v>0</v>
          </cell>
          <cell r="I57">
            <v>54.120000000000005</v>
          </cell>
          <cell r="J57">
            <v>14.883000000000003</v>
          </cell>
          <cell r="K57">
            <v>0</v>
          </cell>
          <cell r="L57">
            <v>0</v>
          </cell>
          <cell r="M57">
            <v>0</v>
          </cell>
          <cell r="O57" t="str">
            <v>NM</v>
          </cell>
          <cell r="P57">
            <v>1.2074866310160428</v>
          </cell>
          <cell r="Q57">
            <v>0.57945736434108497</v>
          </cell>
          <cell r="R57">
            <v>0.48159509202453998</v>
          </cell>
          <cell r="S57">
            <v>-1</v>
          </cell>
          <cell r="T57" t="e">
            <v>#DIV/0!</v>
          </cell>
          <cell r="U57" t="str">
            <v>NM</v>
          </cell>
          <cell r="V57" t="str">
            <v>NM</v>
          </cell>
          <cell r="W57" t="str">
            <v>NM</v>
          </cell>
          <cell r="X57" t="str">
            <v>NM</v>
          </cell>
          <cell r="Y57" t="str">
            <v>NM</v>
          </cell>
        </row>
        <row r="58">
          <cell r="A58" t="str">
            <v>Mycelex</v>
          </cell>
          <cell r="B58" t="str">
            <v>-</v>
          </cell>
          <cell r="C58">
            <v>0</v>
          </cell>
          <cell r="D58">
            <v>0</v>
          </cell>
          <cell r="E58">
            <v>10.8</v>
          </cell>
          <cell r="F58">
            <v>25.900000000000002</v>
          </cell>
          <cell r="G58">
            <v>29.199999999999996</v>
          </cell>
          <cell r="H58">
            <v>0</v>
          </cell>
          <cell r="I58">
            <v>23.625</v>
          </cell>
          <cell r="J58">
            <v>24.806250000000002</v>
          </cell>
          <cell r="K58">
            <v>26.046562500000004</v>
          </cell>
          <cell r="L58">
            <v>27.348890625000006</v>
          </cell>
          <cell r="M58">
            <v>28.716335156250008</v>
          </cell>
          <cell r="O58" t="str">
            <v>NM</v>
          </cell>
          <cell r="P58" t="str">
            <v>NM</v>
          </cell>
          <cell r="Q58">
            <v>1.3981481481481484</v>
          </cell>
          <cell r="R58">
            <v>0.12741312741312716</v>
          </cell>
          <cell r="S58">
            <v>-1</v>
          </cell>
          <cell r="T58" t="e">
            <v>#DIV/0!</v>
          </cell>
          <cell r="U58">
            <v>5.0000000000000044E-2</v>
          </cell>
          <cell r="V58">
            <v>5.0000000000000044E-2</v>
          </cell>
          <cell r="W58">
            <v>5.0000000000000044E-2</v>
          </cell>
          <cell r="X58">
            <v>5.0000000000000044E-2</v>
          </cell>
          <cell r="Y58" t="e">
            <v>#DIV/0!</v>
          </cell>
        </row>
        <row r="59">
          <cell r="A59" t="str">
            <v>Elmiron</v>
          </cell>
          <cell r="B59" t="str">
            <v>-</v>
          </cell>
          <cell r="C59">
            <v>0</v>
          </cell>
          <cell r="D59">
            <v>0</v>
          </cell>
          <cell r="E59">
            <v>4.8</v>
          </cell>
          <cell r="F59">
            <v>23</v>
          </cell>
          <cell r="G59">
            <v>29.900000000000002</v>
          </cell>
          <cell r="H59">
            <v>0</v>
          </cell>
          <cell r="I59">
            <v>42.434999999999995</v>
          </cell>
          <cell r="J59">
            <v>46.6785</v>
          </cell>
          <cell r="K59">
            <v>51.346350000000001</v>
          </cell>
          <cell r="L59">
            <v>55.967521500000004</v>
          </cell>
          <cell r="M59">
            <v>60.444923220000007</v>
          </cell>
          <cell r="O59" t="str">
            <v>NM</v>
          </cell>
          <cell r="P59" t="str">
            <v>NM</v>
          </cell>
          <cell r="Q59">
            <v>3.791666666666667</v>
          </cell>
          <cell r="R59">
            <v>0.30000000000000004</v>
          </cell>
          <cell r="S59">
            <v>-1</v>
          </cell>
          <cell r="T59" t="e">
            <v>#DIV/0!</v>
          </cell>
          <cell r="U59">
            <v>0.10000000000000009</v>
          </cell>
          <cell r="V59">
            <v>0.10000000000000009</v>
          </cell>
          <cell r="W59">
            <v>9.000000000000008E-2</v>
          </cell>
          <cell r="X59">
            <v>8.0000000000000071E-2</v>
          </cell>
          <cell r="Y59" t="e">
            <v>#DIV/0!</v>
          </cell>
        </row>
        <row r="60">
          <cell r="A60" t="str">
            <v>Testoderm/TTS</v>
          </cell>
          <cell r="B60">
            <v>5</v>
          </cell>
          <cell r="C60">
            <v>7</v>
          </cell>
          <cell r="D60">
            <v>7</v>
          </cell>
          <cell r="E60">
            <v>6</v>
          </cell>
          <cell r="F60">
            <v>10</v>
          </cell>
          <cell r="G60">
            <v>21</v>
          </cell>
          <cell r="H60">
            <v>26</v>
          </cell>
          <cell r="I60">
            <v>31</v>
          </cell>
          <cell r="J60">
            <v>35</v>
          </cell>
          <cell r="K60">
            <v>39</v>
          </cell>
          <cell r="L60">
            <v>42</v>
          </cell>
          <cell r="M60">
            <v>44</v>
          </cell>
          <cell r="O60">
            <v>-0.01</v>
          </cell>
          <cell r="P60">
            <v>-7.0000000000000007E-2</v>
          </cell>
          <cell r="Q60">
            <v>0.6</v>
          </cell>
          <cell r="R60">
            <v>1.05</v>
          </cell>
          <cell r="S60">
            <v>0.25</v>
          </cell>
          <cell r="T60">
            <v>0.2</v>
          </cell>
          <cell r="U60">
            <v>0.15</v>
          </cell>
          <cell r="V60">
            <v>0.1</v>
          </cell>
          <cell r="W60">
            <v>0.08</v>
          </cell>
          <cell r="X60">
            <v>0.05</v>
          </cell>
          <cell r="Y60">
            <v>11.5</v>
          </cell>
        </row>
        <row r="61">
          <cell r="A61" t="str">
            <v>Ditropan</v>
          </cell>
          <cell r="B61" t="str">
            <v>-</v>
          </cell>
          <cell r="C61">
            <v>0</v>
          </cell>
          <cell r="D61">
            <v>0</v>
          </cell>
          <cell r="E61">
            <v>2</v>
          </cell>
          <cell r="F61">
            <v>7</v>
          </cell>
          <cell r="G61">
            <v>2</v>
          </cell>
          <cell r="H61">
            <v>1</v>
          </cell>
          <cell r="I61">
            <v>1</v>
          </cell>
          <cell r="J61">
            <v>1</v>
          </cell>
          <cell r="K61">
            <v>1</v>
          </cell>
          <cell r="L61">
            <v>1</v>
          </cell>
          <cell r="M61">
            <v>1</v>
          </cell>
          <cell r="O61" t="str">
            <v>NM</v>
          </cell>
          <cell r="P61" t="str">
            <v>NM</v>
          </cell>
          <cell r="Q61">
            <v>1.98</v>
          </cell>
          <cell r="R61">
            <v>-0.7</v>
          </cell>
          <cell r="S61">
            <v>-0.5</v>
          </cell>
          <cell r="T61">
            <v>-0.5</v>
          </cell>
          <cell r="U61">
            <v>0</v>
          </cell>
          <cell r="V61">
            <v>0</v>
          </cell>
          <cell r="W61">
            <v>0</v>
          </cell>
          <cell r="X61">
            <v>0</v>
          </cell>
          <cell r="Y61">
            <v>-12.9</v>
          </cell>
        </row>
        <row r="62">
          <cell r="A62" t="str">
            <v>Bicitra/Polycitra/Neutra-Phos</v>
          </cell>
          <cell r="C62">
            <v>0</v>
          </cell>
          <cell r="D62">
            <v>0</v>
          </cell>
          <cell r="E62">
            <v>2.5</v>
          </cell>
          <cell r="F62">
            <v>11</v>
          </cell>
          <cell r="G62">
            <v>11.770000000000001</v>
          </cell>
          <cell r="H62">
            <v>11</v>
          </cell>
          <cell r="I62">
            <v>11</v>
          </cell>
          <cell r="J62">
            <v>11</v>
          </cell>
          <cell r="K62">
            <v>11</v>
          </cell>
          <cell r="L62">
            <v>11</v>
          </cell>
          <cell r="M62">
            <v>11</v>
          </cell>
          <cell r="O62" t="str">
            <v>NM</v>
          </cell>
          <cell r="P62" t="str">
            <v>NM</v>
          </cell>
          <cell r="Q62">
            <v>3.48</v>
          </cell>
          <cell r="R62">
            <v>7.0000000000000007E-2</v>
          </cell>
          <cell r="S62">
            <v>-0.05</v>
          </cell>
          <cell r="T62">
            <v>-0.02</v>
          </cell>
          <cell r="U62">
            <v>-0.02</v>
          </cell>
          <cell r="V62">
            <v>0</v>
          </cell>
          <cell r="W62">
            <v>0</v>
          </cell>
          <cell r="X62">
            <v>0</v>
          </cell>
          <cell r="Y62">
            <v>-0.8</v>
          </cell>
        </row>
        <row r="63">
          <cell r="A63" t="str">
            <v>Amphotec/Other Sequus</v>
          </cell>
          <cell r="C63">
            <v>1</v>
          </cell>
          <cell r="D63">
            <v>4.5999999999999996</v>
          </cell>
          <cell r="E63">
            <v>8</v>
          </cell>
          <cell r="F63">
            <v>11.5</v>
          </cell>
          <cell r="G63">
            <v>11.5</v>
          </cell>
          <cell r="H63">
            <v>11.5</v>
          </cell>
          <cell r="I63">
            <v>11.5</v>
          </cell>
          <cell r="J63">
            <v>11.5</v>
          </cell>
          <cell r="K63">
            <v>11.5</v>
          </cell>
          <cell r="L63">
            <v>11.5</v>
          </cell>
          <cell r="M63">
            <v>11.5</v>
          </cell>
          <cell r="O63">
            <v>3.69</v>
          </cell>
          <cell r="P63">
            <v>0.75</v>
          </cell>
          <cell r="Q63">
            <v>0.44</v>
          </cell>
          <cell r="R63">
            <v>0.04</v>
          </cell>
          <cell r="S63">
            <v>0</v>
          </cell>
          <cell r="T63">
            <v>0</v>
          </cell>
          <cell r="U63">
            <v>0</v>
          </cell>
          <cell r="V63">
            <v>0</v>
          </cell>
          <cell r="W63">
            <v>0</v>
          </cell>
          <cell r="X63">
            <v>0</v>
          </cell>
          <cell r="Y63">
            <v>0</v>
          </cell>
        </row>
        <row r="64">
          <cell r="A64" t="str">
            <v>Ocuset/Progestasert/Alzet</v>
          </cell>
          <cell r="C64">
            <v>7</v>
          </cell>
          <cell r="D64">
            <v>7</v>
          </cell>
          <cell r="E64">
            <v>6</v>
          </cell>
          <cell r="F64">
            <v>10</v>
          </cell>
          <cell r="G64">
            <v>12</v>
          </cell>
          <cell r="H64">
            <v>12</v>
          </cell>
          <cell r="I64">
            <v>12</v>
          </cell>
          <cell r="J64">
            <v>12</v>
          </cell>
          <cell r="K64">
            <v>12</v>
          </cell>
          <cell r="L64">
            <v>12</v>
          </cell>
          <cell r="M64">
            <v>12</v>
          </cell>
          <cell r="O64">
            <v>0.04</v>
          </cell>
          <cell r="P64">
            <v>-0.2</v>
          </cell>
          <cell r="Q64">
            <v>0.73</v>
          </cell>
          <cell r="R64">
            <v>0.23</v>
          </cell>
          <cell r="S64">
            <v>0</v>
          </cell>
          <cell r="T64">
            <v>0</v>
          </cell>
          <cell r="U64">
            <v>0</v>
          </cell>
          <cell r="V64">
            <v>0</v>
          </cell>
          <cell r="W64">
            <v>0</v>
          </cell>
          <cell r="X64">
            <v>0</v>
          </cell>
          <cell r="Y64">
            <v>0</v>
          </cell>
        </row>
        <row r="65">
          <cell r="A65" t="str">
            <v>DUROS Leuprolide</v>
          </cell>
          <cell r="B65" t="str">
            <v>-</v>
          </cell>
          <cell r="C65" t="e">
            <v>#REF!</v>
          </cell>
          <cell r="D65" t="e">
            <v>#REF!</v>
          </cell>
          <cell r="E65" t="e">
            <v>#REF!</v>
          </cell>
          <cell r="F65" t="e">
            <v>#REF!</v>
          </cell>
          <cell r="G65" t="e">
            <v>#REF!</v>
          </cell>
          <cell r="H65" t="e">
            <v>#REF!</v>
          </cell>
          <cell r="I65" t="e">
            <v>#REF!</v>
          </cell>
          <cell r="J65" t="e">
            <v>#REF!</v>
          </cell>
          <cell r="K65" t="e">
            <v>#REF!</v>
          </cell>
          <cell r="L65" t="e">
            <v>#REF!</v>
          </cell>
          <cell r="M65" t="e">
            <v>#REF!</v>
          </cell>
          <cell r="O65" t="str">
            <v>NM</v>
          </cell>
          <cell r="P65" t="str">
            <v>NM</v>
          </cell>
          <cell r="Q65" t="str">
            <v>NM</v>
          </cell>
          <cell r="R65" t="str">
            <v>NM</v>
          </cell>
          <cell r="S65" t="str">
            <v>NM</v>
          </cell>
          <cell r="T65" t="e">
            <v>#REF!</v>
          </cell>
          <cell r="U65" t="e">
            <v>#REF!</v>
          </cell>
          <cell r="V65" t="e">
            <v>#REF!</v>
          </cell>
          <cell r="W65" t="e">
            <v>#REF!</v>
          </cell>
          <cell r="X65" t="e">
            <v>#REF!</v>
          </cell>
          <cell r="Y65" t="e">
            <v>#REF!</v>
          </cell>
        </row>
        <row r="66">
          <cell r="A66" t="str">
            <v>OROS Methylphenidate</v>
          </cell>
          <cell r="C66">
            <v>0</v>
          </cell>
          <cell r="D66">
            <v>0</v>
          </cell>
          <cell r="E66">
            <v>0</v>
          </cell>
          <cell r="F66">
            <v>0</v>
          </cell>
          <cell r="G66">
            <v>0</v>
          </cell>
          <cell r="H66">
            <v>0</v>
          </cell>
          <cell r="I66">
            <v>130</v>
          </cell>
          <cell r="J66">
            <v>200</v>
          </cell>
          <cell r="K66">
            <v>255</v>
          </cell>
          <cell r="L66">
            <v>310</v>
          </cell>
          <cell r="M66">
            <v>360</v>
          </cell>
          <cell r="O66" t="str">
            <v>NM</v>
          </cell>
          <cell r="P66" t="str">
            <v>NM</v>
          </cell>
          <cell r="Q66" t="str">
            <v>NM</v>
          </cell>
          <cell r="R66" t="str">
            <v>NM</v>
          </cell>
          <cell r="S66" t="str">
            <v>NM</v>
          </cell>
          <cell r="T66">
            <v>5</v>
          </cell>
          <cell r="U66">
            <v>0.67</v>
          </cell>
          <cell r="V66">
            <v>0.4</v>
          </cell>
          <cell r="W66">
            <v>0.25</v>
          </cell>
          <cell r="X66">
            <v>0.14000000000000001</v>
          </cell>
          <cell r="Y66">
            <v>82.1</v>
          </cell>
        </row>
        <row r="67">
          <cell r="A67" t="str">
            <v>Other New Products</v>
          </cell>
          <cell r="C67">
            <v>0</v>
          </cell>
          <cell r="D67">
            <v>0</v>
          </cell>
          <cell r="E67">
            <v>0</v>
          </cell>
          <cell r="F67">
            <v>0</v>
          </cell>
          <cell r="G67">
            <v>0</v>
          </cell>
          <cell r="H67">
            <v>0</v>
          </cell>
          <cell r="I67">
            <v>0</v>
          </cell>
          <cell r="J67">
            <v>40</v>
          </cell>
          <cell r="K67">
            <v>90</v>
          </cell>
          <cell r="L67">
            <v>150</v>
          </cell>
          <cell r="M67">
            <v>235</v>
          </cell>
          <cell r="O67" t="str">
            <v>NM</v>
          </cell>
          <cell r="P67" t="str">
            <v>NM</v>
          </cell>
          <cell r="Q67" t="str">
            <v>NM</v>
          </cell>
          <cell r="R67" t="str">
            <v>NM</v>
          </cell>
          <cell r="S67" t="str">
            <v>NM</v>
          </cell>
          <cell r="T67" t="str">
            <v>NM</v>
          </cell>
          <cell r="U67" t="str">
            <v>NM</v>
          </cell>
          <cell r="V67">
            <v>1.25</v>
          </cell>
          <cell r="W67">
            <v>0.66666666666666674</v>
          </cell>
          <cell r="X67">
            <v>0.56666666666666665</v>
          </cell>
          <cell r="Y67" t="str">
            <v>NM</v>
          </cell>
        </row>
        <row r="68">
          <cell r="A68" t="str">
            <v>Total Net Sales</v>
          </cell>
          <cell r="B68">
            <v>2248.4650000000001</v>
          </cell>
          <cell r="C68">
            <v>15</v>
          </cell>
          <cell r="D68">
            <v>28</v>
          </cell>
          <cell r="E68">
            <v>61</v>
          </cell>
          <cell r="F68">
            <v>131</v>
          </cell>
          <cell r="G68">
            <v>184</v>
          </cell>
          <cell r="H68">
            <v>244</v>
          </cell>
          <cell r="I68">
            <v>369</v>
          </cell>
          <cell r="J68">
            <v>423</v>
          </cell>
          <cell r="K68">
            <v>525</v>
          </cell>
          <cell r="L68">
            <v>625</v>
          </cell>
          <cell r="M68">
            <v>716</v>
          </cell>
          <cell r="O68">
            <v>0.9</v>
          </cell>
          <cell r="P68">
            <v>1.2</v>
          </cell>
          <cell r="Q68">
            <v>1.1475409836065573</v>
          </cell>
          <cell r="R68">
            <v>0.40458015267175562</v>
          </cell>
          <cell r="S68">
            <v>0.32608695652173902</v>
          </cell>
          <cell r="T68">
            <v>0.51229508196721318</v>
          </cell>
          <cell r="U68">
            <v>0.14634146341463405</v>
          </cell>
          <cell r="V68">
            <v>0.24113475177304955</v>
          </cell>
          <cell r="W68">
            <v>0.19047619047619047</v>
          </cell>
          <cell r="X68">
            <v>0.14559999999999995</v>
          </cell>
          <cell r="Y68">
            <v>24.023687343023848</v>
          </cell>
        </row>
        <row r="69">
          <cell r="A69" t="str">
            <v>Contract Manufacturing</v>
          </cell>
          <cell r="B69">
            <v>58</v>
          </cell>
          <cell r="C69">
            <v>63</v>
          </cell>
          <cell r="D69">
            <v>86</v>
          </cell>
          <cell r="E69">
            <v>93.100000000000009</v>
          </cell>
          <cell r="F69">
            <v>113.6</v>
          </cell>
          <cell r="G69">
            <v>124.60000000000001</v>
          </cell>
          <cell r="H69">
            <v>0</v>
          </cell>
          <cell r="I69">
            <v>150</v>
          </cell>
          <cell r="J69">
            <v>168.00000000000003</v>
          </cell>
          <cell r="K69">
            <v>184.80000000000004</v>
          </cell>
          <cell r="L69">
            <v>199.58400000000006</v>
          </cell>
          <cell r="M69">
            <v>215.55072000000007</v>
          </cell>
          <cell r="O69">
            <v>0.35</v>
          </cell>
          <cell r="P69">
            <v>0.09</v>
          </cell>
          <cell r="Q69">
            <v>0.22019334049409212</v>
          </cell>
          <cell r="R69">
            <v>9.6830985915492995E-2</v>
          </cell>
          <cell r="S69">
            <v>-1</v>
          </cell>
          <cell r="T69" t="e">
            <v>#DIV/0!</v>
          </cell>
          <cell r="U69">
            <v>0.12000000000000011</v>
          </cell>
          <cell r="V69">
            <v>0.10000000000000009</v>
          </cell>
          <cell r="W69">
            <v>8.0000000000000071E-2</v>
          </cell>
          <cell r="X69">
            <v>8.0000000000000071E-2</v>
          </cell>
          <cell r="Y69" t="e">
            <v>#DIV/0!</v>
          </cell>
        </row>
        <row r="70">
          <cell r="A70" t="str">
            <v>Total Net Sales</v>
          </cell>
          <cell r="B70">
            <v>2306.4650000000001</v>
          </cell>
          <cell r="C70">
            <v>78</v>
          </cell>
          <cell r="D70">
            <v>113</v>
          </cell>
          <cell r="E70">
            <v>154</v>
          </cell>
          <cell r="F70">
            <v>244</v>
          </cell>
          <cell r="G70">
            <v>308.60000000000002</v>
          </cell>
          <cell r="H70">
            <v>244</v>
          </cell>
          <cell r="I70">
            <v>531</v>
          </cell>
          <cell r="J70">
            <v>599</v>
          </cell>
          <cell r="K70">
            <v>714</v>
          </cell>
          <cell r="L70">
            <v>829</v>
          </cell>
          <cell r="M70">
            <v>934</v>
          </cell>
          <cell r="O70">
            <v>0.45</v>
          </cell>
          <cell r="P70">
            <v>0.36</v>
          </cell>
          <cell r="Q70">
            <v>0.59</v>
          </cell>
          <cell r="R70">
            <v>0.26</v>
          </cell>
          <cell r="S70">
            <v>0.26</v>
          </cell>
          <cell r="T70">
            <v>0.36</v>
          </cell>
          <cell r="U70">
            <v>0.13</v>
          </cell>
          <cell r="V70">
            <v>0.19</v>
          </cell>
          <cell r="W70">
            <v>0.16</v>
          </cell>
          <cell r="X70">
            <v>0.13</v>
          </cell>
          <cell r="Y70">
            <v>19.100000000000001</v>
          </cell>
        </row>
        <row r="71">
          <cell r="A71" t="str">
            <v>Royalties &amp; Fees</v>
          </cell>
          <cell r="B71" t="e">
            <v>#REF!</v>
          </cell>
          <cell r="C71">
            <v>146</v>
          </cell>
          <cell r="D71">
            <v>181</v>
          </cell>
          <cell r="E71">
            <v>188.35400000000004</v>
          </cell>
          <cell r="F71">
            <v>233.1</v>
          </cell>
          <cell r="G71">
            <v>245</v>
          </cell>
          <cell r="H71">
            <v>258</v>
          </cell>
          <cell r="I71">
            <v>288</v>
          </cell>
          <cell r="J71">
            <v>361</v>
          </cell>
          <cell r="K71">
            <v>394</v>
          </cell>
          <cell r="L71">
            <v>432</v>
          </cell>
          <cell r="M71">
            <v>474</v>
          </cell>
          <cell r="O71">
            <v>0.23972602739726034</v>
          </cell>
          <cell r="P71">
            <v>4.0629834254143793E-2</v>
          </cell>
          <cell r="Q71">
            <v>0.23756331163659894</v>
          </cell>
          <cell r="R71">
            <v>5.1051051051051122E-2</v>
          </cell>
          <cell r="S71">
            <v>0.06</v>
          </cell>
          <cell r="T71">
            <v>0.11</v>
          </cell>
          <cell r="U71">
            <v>0.25347222222222232</v>
          </cell>
          <cell r="V71">
            <v>9.1412742382271484E-2</v>
          </cell>
          <cell r="W71">
            <v>9.6446700507614169E-2</v>
          </cell>
          <cell r="X71">
            <v>9.7222222222222321E-2</v>
          </cell>
          <cell r="Y71">
            <v>12.935824583523491</v>
          </cell>
        </row>
        <row r="72">
          <cell r="A72" t="str">
            <v>Research Revenues</v>
          </cell>
          <cell r="B72">
            <v>68.7</v>
          </cell>
          <cell r="C72">
            <v>104</v>
          </cell>
          <cell r="D72">
            <v>131</v>
          </cell>
          <cell r="E72">
            <v>135</v>
          </cell>
          <cell r="F72">
            <v>124.4</v>
          </cell>
          <cell r="G72">
            <v>120.8</v>
          </cell>
          <cell r="H72">
            <v>0</v>
          </cell>
          <cell r="I72">
            <v>37.022000000000006</v>
          </cell>
          <cell r="J72">
            <v>39.613540000000008</v>
          </cell>
          <cell r="K72">
            <v>42.386487800000012</v>
          </cell>
          <cell r="L72">
            <v>45.353541946000014</v>
          </cell>
          <cell r="M72">
            <v>48.528289882220015</v>
          </cell>
          <cell r="O72">
            <v>0.25961538461538458</v>
          </cell>
          <cell r="P72">
            <v>3.0534351145038219E-2</v>
          </cell>
          <cell r="Q72">
            <v>-7.8518518518518432E-2</v>
          </cell>
          <cell r="R72">
            <v>-2.8938906752411619E-2</v>
          </cell>
          <cell r="S72">
            <v>-1</v>
          </cell>
          <cell r="T72" t="e">
            <v>#DIV/0!</v>
          </cell>
          <cell r="U72">
            <v>7.0000000000000062E-2</v>
          </cell>
          <cell r="V72">
            <v>7.0000000000000062E-2</v>
          </cell>
          <cell r="W72">
            <v>7.0000000000000062E-2</v>
          </cell>
          <cell r="X72">
            <v>7.0000000000000062E-2</v>
          </cell>
          <cell r="Y72" t="e">
            <v>#DIV/0!</v>
          </cell>
        </row>
        <row r="73">
          <cell r="A73" t="str">
            <v>Total Revenues</v>
          </cell>
          <cell r="B73" t="e">
            <v>#REF!</v>
          </cell>
          <cell r="C73">
            <v>328</v>
          </cell>
          <cell r="D73">
            <v>425</v>
          </cell>
          <cell r="E73">
            <v>477.35400000000004</v>
          </cell>
          <cell r="F73">
            <v>602</v>
          </cell>
          <cell r="G73">
            <v>701</v>
          </cell>
          <cell r="H73">
            <v>786</v>
          </cell>
          <cell r="I73">
            <v>875</v>
          </cell>
          <cell r="J73">
            <v>1021</v>
          </cell>
          <cell r="K73">
            <v>1172</v>
          </cell>
          <cell r="L73">
            <v>1329</v>
          </cell>
          <cell r="M73">
            <v>1482</v>
          </cell>
          <cell r="O73">
            <v>0.2957317073170731</v>
          </cell>
          <cell r="P73">
            <v>0.12318588235294126</v>
          </cell>
          <cell r="Q73">
            <v>0.26111858285465273</v>
          </cell>
          <cell r="R73">
            <v>0.16445182724252483</v>
          </cell>
          <cell r="S73">
            <v>0.12125534950071337</v>
          </cell>
          <cell r="T73">
            <v>0.11323155216284997</v>
          </cell>
          <cell r="U73">
            <v>0.16685714285714282</v>
          </cell>
          <cell r="V73">
            <v>0.14789422135161612</v>
          </cell>
          <cell r="W73">
            <v>0.13395904436860073</v>
          </cell>
          <cell r="X73">
            <v>0.1151241534988714</v>
          </cell>
          <cell r="Y73">
            <v>13.52333252179012</v>
          </cell>
        </row>
        <row r="75">
          <cell r="A75" t="str">
            <v>E = Morgan Stanley Dean Witter Research Estimates        NM = Not Meaningful</v>
          </cell>
        </row>
      </sheetData>
      <sheetData sheetId="6" refreshError="1"/>
      <sheetData sheetId="7" refreshError="1">
        <row r="1">
          <cell r="A1" t="str">
            <v>Exhibit 5</v>
          </cell>
        </row>
        <row r="2">
          <cell r="A2" t="str">
            <v>Alza - Annual Royalties &amp; Fees Model 1995-2005E</v>
          </cell>
        </row>
        <row r="3">
          <cell r="A3" t="str">
            <v>($ Millions)</v>
          </cell>
        </row>
        <row r="4">
          <cell r="B4">
            <v>1995</v>
          </cell>
          <cell r="C4">
            <v>1996</v>
          </cell>
          <cell r="D4" t="str">
            <v>1997</v>
          </cell>
          <cell r="E4" t="str">
            <v>1998</v>
          </cell>
          <cell r="F4" t="str">
            <v>1999</v>
          </cell>
          <cell r="G4" t="str">
            <v>2000E</v>
          </cell>
          <cell r="H4" t="str">
            <v xml:space="preserve"> 2001E</v>
          </cell>
          <cell r="I4" t="str">
            <v xml:space="preserve"> 2002E</v>
          </cell>
          <cell r="J4" t="str">
            <v xml:space="preserve"> 2003E</v>
          </cell>
          <cell r="K4" t="str">
            <v xml:space="preserve"> 2004E</v>
          </cell>
          <cell r="L4" t="str">
            <v xml:space="preserve"> 2005E</v>
          </cell>
        </row>
        <row r="5">
          <cell r="A5" t="str">
            <v>Procardia XL (nifedipine) - Pfizer</v>
          </cell>
        </row>
        <row r="6">
          <cell r="A6" t="str">
            <v xml:space="preserve">  Client's Alza Product Sales</v>
          </cell>
          <cell r="B6">
            <v>1134</v>
          </cell>
          <cell r="C6">
            <v>1004.9</v>
          </cell>
          <cell r="D6">
            <v>822</v>
          </cell>
          <cell r="E6">
            <v>713</v>
          </cell>
          <cell r="F6">
            <v>550</v>
          </cell>
          <cell r="G6">
            <v>272</v>
          </cell>
          <cell r="H6">
            <v>163.19999999999999</v>
          </cell>
          <cell r="I6">
            <v>114.23999999999998</v>
          </cell>
          <cell r="J6">
            <v>91.391999999999996</v>
          </cell>
          <cell r="K6">
            <v>77.683199999999999</v>
          </cell>
          <cell r="L6">
            <v>66.030720000000002</v>
          </cell>
        </row>
        <row r="7">
          <cell r="A7" t="str">
            <v xml:space="preserve">  Royalty Rate</v>
          </cell>
          <cell r="B7">
            <v>5.8000000000000003E-2</v>
          </cell>
          <cell r="C7">
            <v>6.3899999999999998E-2</v>
          </cell>
          <cell r="D7">
            <v>7.0000000000000007E-2</v>
          </cell>
          <cell r="E7">
            <v>7.0000000000000007E-2</v>
          </cell>
          <cell r="F7">
            <v>7.0000000000000007E-2</v>
          </cell>
          <cell r="G7">
            <v>7.0000000000000007E-2</v>
          </cell>
          <cell r="H7">
            <v>7.0000000000000007E-2</v>
          </cell>
          <cell r="I7">
            <v>7.0000000000000007E-2</v>
          </cell>
          <cell r="J7">
            <v>7.0000000000000007E-2</v>
          </cell>
          <cell r="K7">
            <v>7.0000000000000007E-2</v>
          </cell>
          <cell r="L7">
            <v>7.0000000000000007E-2</v>
          </cell>
        </row>
        <row r="8">
          <cell r="A8" t="str">
            <v xml:space="preserve">    Total Royalties</v>
          </cell>
          <cell r="B8">
            <v>65.772000000000006</v>
          </cell>
          <cell r="C8">
            <v>64.21311</v>
          </cell>
          <cell r="D8">
            <v>57.540000000000006</v>
          </cell>
          <cell r="E8">
            <v>49.910000000000004</v>
          </cell>
          <cell r="F8">
            <v>38.5</v>
          </cell>
          <cell r="G8">
            <v>19.040000000000003</v>
          </cell>
          <cell r="H8">
            <v>11.423999999999999</v>
          </cell>
          <cell r="I8">
            <v>7.9967999999999995</v>
          </cell>
          <cell r="J8">
            <v>6.3974400000000005</v>
          </cell>
          <cell r="K8">
            <v>5.4378240000000009</v>
          </cell>
          <cell r="L8">
            <v>4.6221504000000007</v>
          </cell>
        </row>
        <row r="10">
          <cell r="A10" t="str">
            <v>Glucotrol XL (glipizide) - Pfizer</v>
          </cell>
        </row>
        <row r="11">
          <cell r="A11" t="str">
            <v xml:space="preserve">  Client's Alza Product Sales</v>
          </cell>
          <cell r="B11">
            <v>81.800000000000011</v>
          </cell>
          <cell r="C11">
            <v>132.80000000000001</v>
          </cell>
          <cell r="D11">
            <v>175</v>
          </cell>
          <cell r="E11">
            <v>225</v>
          </cell>
          <cell r="F11">
            <v>256</v>
          </cell>
          <cell r="G11">
            <v>275.39999999999998</v>
          </cell>
          <cell r="H11">
            <v>291.92399999999998</v>
          </cell>
          <cell r="I11">
            <v>300.68171999999998</v>
          </cell>
          <cell r="J11">
            <v>309.70217159999999</v>
          </cell>
          <cell r="K11">
            <v>309.70217159999999</v>
          </cell>
          <cell r="L11">
            <v>309.70217159999999</v>
          </cell>
        </row>
        <row r="12">
          <cell r="A12" t="str">
            <v xml:space="preserve">  Royalty Rate</v>
          </cell>
          <cell r="B12">
            <v>7.0000000000000007E-2</v>
          </cell>
          <cell r="C12">
            <v>7.0000000000000007E-2</v>
          </cell>
          <cell r="D12">
            <v>7.0000000000000007E-2</v>
          </cell>
          <cell r="E12">
            <v>7.0000000000000007E-2</v>
          </cell>
          <cell r="F12">
            <v>7.0000000000000007E-2</v>
          </cell>
          <cell r="G12">
            <v>7.0000000000000021E-2</v>
          </cell>
          <cell r="H12">
            <v>7.0000000000000007E-2</v>
          </cell>
          <cell r="I12">
            <v>7.0000000000000007E-2</v>
          </cell>
          <cell r="J12">
            <v>7.0000000000000007E-2</v>
          </cell>
          <cell r="K12">
            <v>7.0000000000000007E-2</v>
          </cell>
          <cell r="L12">
            <v>7.0000000000000007E-2</v>
          </cell>
        </row>
        <row r="13">
          <cell r="A13" t="str">
            <v xml:space="preserve">    Total Royalties</v>
          </cell>
          <cell r="B13">
            <v>5.7260000000000018</v>
          </cell>
          <cell r="C13">
            <v>9.2960000000000012</v>
          </cell>
          <cell r="D13">
            <v>12.250000000000002</v>
          </cell>
          <cell r="E13">
            <v>15.750000000000002</v>
          </cell>
          <cell r="F13">
            <v>17.920000000000002</v>
          </cell>
          <cell r="G13">
            <v>19.278000000000002</v>
          </cell>
          <cell r="H13">
            <v>20.43468</v>
          </cell>
          <cell r="I13">
            <v>21.047720399999999</v>
          </cell>
          <cell r="J13">
            <v>21.679152011999999</v>
          </cell>
          <cell r="K13">
            <v>21.679152011999999</v>
          </cell>
          <cell r="L13">
            <v>21.679152011999999</v>
          </cell>
        </row>
        <row r="15">
          <cell r="A15" t="str">
            <v>Adalat CC (nifedipine) - Bayer</v>
          </cell>
        </row>
        <row r="16">
          <cell r="A16" t="str">
            <v xml:space="preserve">  Client's Alza Product Sales</v>
          </cell>
          <cell r="B16">
            <v>300</v>
          </cell>
          <cell r="C16">
            <v>300</v>
          </cell>
          <cell r="D16">
            <v>300</v>
          </cell>
          <cell r="E16">
            <v>300</v>
          </cell>
          <cell r="F16">
            <v>300</v>
          </cell>
          <cell r="G16">
            <v>120</v>
          </cell>
          <cell r="H16">
            <v>90</v>
          </cell>
          <cell r="I16">
            <v>76.5</v>
          </cell>
          <cell r="J16">
            <v>65.024999999999991</v>
          </cell>
          <cell r="K16">
            <v>55.271249999999988</v>
          </cell>
          <cell r="L16">
            <v>46.980562499999991</v>
          </cell>
        </row>
        <row r="17">
          <cell r="A17" t="str">
            <v xml:space="preserve">  Royalty Rate</v>
          </cell>
          <cell r="B17">
            <v>7.0000000000000007E-2</v>
          </cell>
          <cell r="C17">
            <v>7.0000000000000007E-2</v>
          </cell>
          <cell r="D17">
            <v>7.0000000000000007E-2</v>
          </cell>
          <cell r="E17">
            <v>7.0000000000000007E-2</v>
          </cell>
          <cell r="F17">
            <v>7.0000000000000007E-2</v>
          </cell>
          <cell r="G17">
            <v>7.0000000000000007E-2</v>
          </cell>
          <cell r="H17">
            <v>7.0000000000000007E-2</v>
          </cell>
          <cell r="I17">
            <v>7.0000000000000007E-2</v>
          </cell>
          <cell r="J17">
            <v>7.0000000000000007E-2</v>
          </cell>
          <cell r="K17">
            <v>7.0000000000000007E-2</v>
          </cell>
          <cell r="L17">
            <v>7.0000000000000007E-2</v>
          </cell>
        </row>
        <row r="18">
          <cell r="A18" t="str">
            <v xml:space="preserve">    Total Royalties</v>
          </cell>
          <cell r="B18">
            <v>21.000000000000004</v>
          </cell>
          <cell r="C18">
            <v>21.000000000000004</v>
          </cell>
          <cell r="D18">
            <v>21.000000000000004</v>
          </cell>
          <cell r="E18">
            <v>21.000000000000004</v>
          </cell>
          <cell r="F18">
            <v>21.000000000000004</v>
          </cell>
          <cell r="G18">
            <v>8.4</v>
          </cell>
          <cell r="H18">
            <v>6.3000000000000007</v>
          </cell>
          <cell r="I18">
            <v>5.3550000000000004</v>
          </cell>
          <cell r="J18">
            <v>4.5517500000000002</v>
          </cell>
          <cell r="K18">
            <v>3.8689874999999994</v>
          </cell>
          <cell r="L18">
            <v>3.2886393749999998</v>
          </cell>
        </row>
        <row r="20">
          <cell r="A20" t="str">
            <v>Duragesic - JNJ</v>
          </cell>
        </row>
        <row r="21">
          <cell r="A21" t="str">
            <v xml:space="preserve">  Client's Alza Product Sales</v>
          </cell>
          <cell r="B21">
            <v>125</v>
          </cell>
          <cell r="C21">
            <v>170</v>
          </cell>
          <cell r="D21">
            <v>250</v>
          </cell>
          <cell r="E21">
            <v>350</v>
          </cell>
          <cell r="F21">
            <v>450</v>
          </cell>
          <cell r="G21">
            <v>585</v>
          </cell>
          <cell r="H21">
            <v>731.25</v>
          </cell>
          <cell r="I21">
            <v>840.93749999999989</v>
          </cell>
          <cell r="J21">
            <v>941.84999999999991</v>
          </cell>
          <cell r="K21">
            <v>1036.0350000000001</v>
          </cell>
          <cell r="L21">
            <v>828.82800000000009</v>
          </cell>
        </row>
        <row r="22">
          <cell r="A22" t="str">
            <v xml:space="preserve">  Royalty Rate</v>
          </cell>
          <cell r="B22">
            <v>7.0000000000000007E-2</v>
          </cell>
          <cell r="C22">
            <v>7.0000000000000007E-2</v>
          </cell>
          <cell r="D22">
            <v>7.0000000000000007E-2</v>
          </cell>
          <cell r="E22">
            <v>9.8000000000000004E-2</v>
          </cell>
          <cell r="F22">
            <v>0.11</v>
          </cell>
          <cell r="G22">
            <v>0.11</v>
          </cell>
          <cell r="H22">
            <v>0.11</v>
          </cell>
          <cell r="I22">
            <v>0.11</v>
          </cell>
          <cell r="J22">
            <v>0.11</v>
          </cell>
          <cell r="K22">
            <v>0.11</v>
          </cell>
          <cell r="L22">
            <v>0.11</v>
          </cell>
        </row>
        <row r="23">
          <cell r="A23" t="str">
            <v xml:space="preserve">    Total Royalties</v>
          </cell>
          <cell r="B23">
            <v>8.75</v>
          </cell>
          <cell r="C23">
            <v>11.9</v>
          </cell>
          <cell r="D23">
            <v>17.5</v>
          </cell>
          <cell r="E23">
            <v>34.300000000000004</v>
          </cell>
          <cell r="F23">
            <v>49.5</v>
          </cell>
          <cell r="G23">
            <v>64.349999999999994</v>
          </cell>
          <cell r="H23">
            <v>80.4375</v>
          </cell>
          <cell r="I23">
            <v>92.503124999999983</v>
          </cell>
          <cell r="J23">
            <v>103.6035</v>
          </cell>
          <cell r="K23">
            <v>113.96385000000001</v>
          </cell>
          <cell r="L23">
            <v>91.171080000000003</v>
          </cell>
        </row>
        <row r="25">
          <cell r="A25" t="str">
            <v>Nicoderm CQ - SmithKline Beecham</v>
          </cell>
        </row>
        <row r="26">
          <cell r="A26" t="str">
            <v xml:space="preserve">  Client's Alza Product Sales</v>
          </cell>
          <cell r="B26">
            <v>0</v>
          </cell>
          <cell r="C26">
            <v>100</v>
          </cell>
          <cell r="D26">
            <v>200</v>
          </cell>
          <cell r="E26">
            <v>225</v>
          </cell>
          <cell r="F26">
            <v>236.25</v>
          </cell>
          <cell r="G26">
            <v>248.0625</v>
          </cell>
          <cell r="H26">
            <v>260.46562499999999</v>
          </cell>
          <cell r="I26">
            <v>273.48890625000001</v>
          </cell>
          <cell r="J26">
            <v>287.16335156250005</v>
          </cell>
          <cell r="K26">
            <v>301.52151914062506</v>
          </cell>
          <cell r="L26">
            <v>316.59759509765632</v>
          </cell>
        </row>
        <row r="27">
          <cell r="A27" t="str">
            <v xml:space="preserve">  Royalty Rate</v>
          </cell>
          <cell r="B27">
            <v>0.09</v>
          </cell>
          <cell r="C27">
            <v>0.09</v>
          </cell>
          <cell r="D27">
            <v>0.09</v>
          </cell>
          <cell r="E27">
            <v>0.06</v>
          </cell>
          <cell r="F27">
            <v>0.06</v>
          </cell>
          <cell r="G27">
            <v>0.06</v>
          </cell>
          <cell r="H27">
            <v>0.06</v>
          </cell>
          <cell r="I27">
            <v>0.06</v>
          </cell>
          <cell r="J27">
            <v>0.06</v>
          </cell>
          <cell r="K27">
            <v>0.06</v>
          </cell>
          <cell r="L27">
            <v>0.06</v>
          </cell>
        </row>
        <row r="28">
          <cell r="A28" t="str">
            <v xml:space="preserve">    Total Royalties</v>
          </cell>
          <cell r="B28">
            <v>0</v>
          </cell>
          <cell r="C28">
            <v>9</v>
          </cell>
          <cell r="D28">
            <v>18</v>
          </cell>
          <cell r="E28">
            <v>13.5</v>
          </cell>
          <cell r="F28">
            <v>14.174999999999999</v>
          </cell>
          <cell r="G28">
            <v>14.883749999999999</v>
          </cell>
          <cell r="H28">
            <v>15.627937499999998</v>
          </cell>
          <cell r="I28">
            <v>16.409334375</v>
          </cell>
          <cell r="J28">
            <v>17.229801093750002</v>
          </cell>
          <cell r="K28">
            <v>18.091291148437502</v>
          </cell>
          <cell r="L28">
            <v>18.99585570585938</v>
          </cell>
        </row>
        <row r="30">
          <cell r="A30" t="str">
            <v>Covera-HS (verapamil) - Searle</v>
          </cell>
        </row>
        <row r="31">
          <cell r="A31" t="str">
            <v xml:space="preserve">  Client's Alza Product Sales</v>
          </cell>
          <cell r="B31">
            <v>0</v>
          </cell>
          <cell r="C31">
            <v>21</v>
          </cell>
          <cell r="D31">
            <v>55</v>
          </cell>
          <cell r="E31">
            <v>81</v>
          </cell>
          <cell r="F31">
            <v>93.149999999999991</v>
          </cell>
          <cell r="G31">
            <v>102.465</v>
          </cell>
          <cell r="H31">
            <v>110.66220000000001</v>
          </cell>
          <cell r="I31">
            <v>116.19531000000002</v>
          </cell>
          <cell r="J31">
            <v>122.00507550000003</v>
          </cell>
          <cell r="K31">
            <v>128.10532927500003</v>
          </cell>
          <cell r="L31">
            <v>134.51059573875003</v>
          </cell>
        </row>
        <row r="32">
          <cell r="A32" t="str">
            <v xml:space="preserve">  Royalty Rate</v>
          </cell>
          <cell r="B32">
            <v>7.0000000000000007E-2</v>
          </cell>
          <cell r="C32">
            <v>7.0000000000000007E-2</v>
          </cell>
          <cell r="D32">
            <v>7.0000000000000007E-2</v>
          </cell>
          <cell r="E32">
            <v>7.0000000000000007E-2</v>
          </cell>
          <cell r="F32">
            <v>7.0000000000000007E-2</v>
          </cell>
          <cell r="G32">
            <v>7.0000000000000007E-2</v>
          </cell>
          <cell r="H32">
            <v>7.0000000000000007E-2</v>
          </cell>
          <cell r="I32">
            <v>7.0000000000000007E-2</v>
          </cell>
          <cell r="J32">
            <v>7.0000000000000007E-2</v>
          </cell>
          <cell r="K32">
            <v>7.0000000000000007E-2</v>
          </cell>
          <cell r="L32">
            <v>7.0000000000000007E-2</v>
          </cell>
        </row>
        <row r="33">
          <cell r="A33" t="str">
            <v xml:space="preserve">    Total Royalties</v>
          </cell>
          <cell r="B33">
            <v>0</v>
          </cell>
          <cell r="C33">
            <v>1.4700000000000002</v>
          </cell>
          <cell r="D33">
            <v>3.8500000000000005</v>
          </cell>
          <cell r="E33">
            <v>5.6700000000000008</v>
          </cell>
          <cell r="F33">
            <v>6.5205000000000002</v>
          </cell>
          <cell r="G33">
            <v>7.1725500000000011</v>
          </cell>
          <cell r="H33">
            <v>7.746354000000002</v>
          </cell>
          <cell r="I33">
            <v>8.1336717000000025</v>
          </cell>
          <cell r="J33">
            <v>8.5403552850000022</v>
          </cell>
          <cell r="K33">
            <v>8.9673730492500034</v>
          </cell>
          <cell r="L33">
            <v>9.415741701712502</v>
          </cell>
        </row>
        <row r="35">
          <cell r="A35" t="str">
            <v>DynaCirc CR (isradipine) - Novartis</v>
          </cell>
        </row>
        <row r="36">
          <cell r="A36" t="str">
            <v xml:space="preserve">  Client's Product Sales</v>
          </cell>
          <cell r="B36">
            <v>231</v>
          </cell>
          <cell r="C36">
            <v>260</v>
          </cell>
          <cell r="D36">
            <v>280</v>
          </cell>
          <cell r="E36">
            <v>285</v>
          </cell>
          <cell r="F36">
            <v>290.7</v>
          </cell>
          <cell r="G36">
            <v>296.51400000000001</v>
          </cell>
          <cell r="H36">
            <v>302.44427999999999</v>
          </cell>
          <cell r="I36">
            <v>308.4931656</v>
          </cell>
          <cell r="J36">
            <v>314.66302891200002</v>
          </cell>
          <cell r="K36">
            <v>320.95628949024001</v>
          </cell>
          <cell r="L36">
            <v>327.37541528004482</v>
          </cell>
        </row>
        <row r="37">
          <cell r="A37" t="str">
            <v xml:space="preserve">  Penetration Rate</v>
          </cell>
          <cell r="B37">
            <v>0</v>
          </cell>
          <cell r="C37">
            <v>0</v>
          </cell>
          <cell r="D37">
            <v>0.03</v>
          </cell>
          <cell r="E37">
            <v>0.05</v>
          </cell>
          <cell r="F37">
            <v>7.0000000000000007E-2</v>
          </cell>
          <cell r="G37">
            <v>0.1</v>
          </cell>
          <cell r="H37">
            <v>0.12000000000000001</v>
          </cell>
          <cell r="I37">
            <v>0.14000000000000001</v>
          </cell>
          <cell r="J37">
            <v>0.16</v>
          </cell>
          <cell r="K37">
            <v>0.18</v>
          </cell>
          <cell r="L37">
            <v>0.19999999999999998</v>
          </cell>
        </row>
        <row r="38">
          <cell r="A38" t="str">
            <v xml:space="preserve">  Client's Alza Product Sales</v>
          </cell>
          <cell r="B38">
            <v>0</v>
          </cell>
          <cell r="C38">
            <v>0</v>
          </cell>
          <cell r="D38">
            <v>8.4</v>
          </cell>
          <cell r="E38">
            <v>14.25</v>
          </cell>
          <cell r="F38">
            <v>20.349</v>
          </cell>
          <cell r="G38">
            <v>29.651400000000002</v>
          </cell>
          <cell r="H38">
            <v>36.293313600000005</v>
          </cell>
          <cell r="I38">
            <v>43.189043184000006</v>
          </cell>
          <cell r="J38">
            <v>50.346084625920007</v>
          </cell>
          <cell r="K38">
            <v>57.772132108243198</v>
          </cell>
          <cell r="L38">
            <v>65.475083056008955</v>
          </cell>
        </row>
        <row r="39">
          <cell r="A39" t="str">
            <v xml:space="preserve">  Royalty Rate</v>
          </cell>
          <cell r="B39">
            <v>0.04</v>
          </cell>
          <cell r="C39">
            <v>0.04</v>
          </cell>
          <cell r="D39">
            <v>0.04</v>
          </cell>
          <cell r="E39">
            <v>0.04</v>
          </cell>
          <cell r="F39">
            <v>0.04</v>
          </cell>
          <cell r="G39">
            <v>0.04</v>
          </cell>
          <cell r="H39">
            <v>0.04</v>
          </cell>
          <cell r="I39">
            <v>0.04</v>
          </cell>
          <cell r="J39">
            <v>0.04</v>
          </cell>
          <cell r="K39">
            <v>0.04</v>
          </cell>
          <cell r="L39">
            <v>0.04</v>
          </cell>
        </row>
        <row r="40">
          <cell r="A40" t="str">
            <v xml:space="preserve">    Total Royalties</v>
          </cell>
          <cell r="B40">
            <v>0</v>
          </cell>
          <cell r="C40">
            <v>0</v>
          </cell>
          <cell r="D40">
            <v>0.33600000000000002</v>
          </cell>
          <cell r="E40">
            <v>0.57000000000000006</v>
          </cell>
          <cell r="F40">
            <v>0.81396000000000002</v>
          </cell>
          <cell r="G40">
            <v>1.1860560000000002</v>
          </cell>
          <cell r="H40">
            <v>1.4517325440000002</v>
          </cell>
          <cell r="I40">
            <v>1.7275617273600004</v>
          </cell>
          <cell r="J40">
            <v>2.0138433850368003</v>
          </cell>
          <cell r="K40">
            <v>2.3108852843297281</v>
          </cell>
          <cell r="L40">
            <v>2.6190033222403581</v>
          </cell>
        </row>
        <row r="42">
          <cell r="A42" t="str">
            <v>Transderm Nitro (nitroglycerin) - Novartis</v>
          </cell>
        </row>
        <row r="43">
          <cell r="A43" t="str">
            <v xml:space="preserve">  Client's Alza Product Sales</v>
          </cell>
          <cell r="B43">
            <v>0</v>
          </cell>
          <cell r="C43">
            <v>300</v>
          </cell>
          <cell r="D43">
            <v>275</v>
          </cell>
          <cell r="E43">
            <v>250</v>
          </cell>
          <cell r="F43">
            <v>212.5</v>
          </cell>
          <cell r="G43">
            <v>180.625</v>
          </cell>
          <cell r="H43">
            <v>153.53125</v>
          </cell>
          <cell r="I43">
            <v>130.50156250000001</v>
          </cell>
          <cell r="J43">
            <v>110.926328125</v>
          </cell>
          <cell r="K43">
            <v>94.287378906249998</v>
          </cell>
          <cell r="L43">
            <v>80.144272070312496</v>
          </cell>
        </row>
        <row r="44">
          <cell r="A44" t="str">
            <v xml:space="preserve">  Royalty Rate</v>
          </cell>
          <cell r="B44">
            <v>0.04</v>
          </cell>
          <cell r="C44">
            <v>0.04</v>
          </cell>
          <cell r="D44">
            <v>0.04</v>
          </cell>
          <cell r="E44">
            <v>0.04</v>
          </cell>
          <cell r="F44">
            <v>0.04</v>
          </cell>
          <cell r="G44">
            <v>0.04</v>
          </cell>
          <cell r="H44">
            <v>0.04</v>
          </cell>
          <cell r="I44">
            <v>0.04</v>
          </cell>
          <cell r="J44">
            <v>0.04</v>
          </cell>
          <cell r="K44">
            <v>0.04</v>
          </cell>
          <cell r="L44">
            <v>0.04</v>
          </cell>
        </row>
        <row r="45">
          <cell r="A45" t="str">
            <v xml:space="preserve">    Total Royalties</v>
          </cell>
          <cell r="B45">
            <v>0</v>
          </cell>
          <cell r="C45">
            <v>12</v>
          </cell>
          <cell r="D45">
            <v>11</v>
          </cell>
          <cell r="E45">
            <v>10</v>
          </cell>
          <cell r="F45">
            <v>8.5</v>
          </cell>
          <cell r="G45">
            <v>7.2250000000000005</v>
          </cell>
          <cell r="H45">
            <v>6.1412500000000003</v>
          </cell>
          <cell r="I45">
            <v>5.2200625</v>
          </cell>
          <cell r="J45">
            <v>4.4370531250000003</v>
          </cell>
          <cell r="K45">
            <v>3.7714951562499999</v>
          </cell>
          <cell r="L45">
            <v>3.2057708828124998</v>
          </cell>
        </row>
        <row r="47">
          <cell r="A47" t="str">
            <v>Transderm Scop (scopolamine) - Novartis</v>
          </cell>
        </row>
        <row r="48">
          <cell r="A48" t="str">
            <v xml:space="preserve">  Client's Alza Product Sales</v>
          </cell>
          <cell r="B48">
            <v>0</v>
          </cell>
          <cell r="C48">
            <v>0</v>
          </cell>
          <cell r="D48">
            <v>20</v>
          </cell>
          <cell r="E48">
            <v>20</v>
          </cell>
          <cell r="F48">
            <v>20</v>
          </cell>
          <cell r="G48">
            <v>20</v>
          </cell>
          <cell r="H48">
            <v>20</v>
          </cell>
          <cell r="I48">
            <v>20</v>
          </cell>
          <cell r="J48">
            <v>20</v>
          </cell>
          <cell r="K48">
            <v>20</v>
          </cell>
          <cell r="L48">
            <v>20</v>
          </cell>
        </row>
        <row r="49">
          <cell r="A49" t="str">
            <v xml:space="preserve">  Royalty Rate</v>
          </cell>
          <cell r="B49">
            <v>0.05</v>
          </cell>
          <cell r="C49">
            <v>0.05</v>
          </cell>
          <cell r="D49">
            <v>0.05</v>
          </cell>
          <cell r="E49">
            <v>0.05</v>
          </cell>
          <cell r="F49">
            <v>0.05</v>
          </cell>
          <cell r="G49">
            <v>0.05</v>
          </cell>
          <cell r="H49">
            <v>0.05</v>
          </cell>
          <cell r="I49">
            <v>0.05</v>
          </cell>
          <cell r="J49">
            <v>0.05</v>
          </cell>
          <cell r="K49">
            <v>0.05</v>
          </cell>
          <cell r="L49">
            <v>0.05</v>
          </cell>
        </row>
        <row r="50">
          <cell r="A50" t="str">
            <v xml:space="preserve">    Total Royalties</v>
          </cell>
          <cell r="B50">
            <v>0</v>
          </cell>
          <cell r="C50">
            <v>0</v>
          </cell>
          <cell r="D50">
            <v>1</v>
          </cell>
          <cell r="E50">
            <v>1</v>
          </cell>
          <cell r="F50">
            <v>1</v>
          </cell>
          <cell r="G50">
            <v>1</v>
          </cell>
          <cell r="H50">
            <v>1</v>
          </cell>
          <cell r="I50">
            <v>1</v>
          </cell>
          <cell r="J50">
            <v>1</v>
          </cell>
          <cell r="K50">
            <v>1</v>
          </cell>
          <cell r="L50">
            <v>1</v>
          </cell>
        </row>
        <row r="52">
          <cell r="A52" t="str">
            <v>IVOMEC SR Bolus (ivermectin) - Merial</v>
          </cell>
        </row>
        <row r="53">
          <cell r="A53" t="str">
            <v xml:space="preserve">  Client's Product Sales (U.S.)</v>
          </cell>
          <cell r="B53">
            <v>330</v>
          </cell>
          <cell r="C53">
            <v>330</v>
          </cell>
          <cell r="D53">
            <v>330</v>
          </cell>
          <cell r="E53">
            <v>330</v>
          </cell>
          <cell r="F53">
            <v>330</v>
          </cell>
          <cell r="G53">
            <v>330</v>
          </cell>
          <cell r="H53">
            <v>330</v>
          </cell>
          <cell r="I53">
            <v>330</v>
          </cell>
          <cell r="J53">
            <v>330</v>
          </cell>
          <cell r="K53">
            <v>330</v>
          </cell>
          <cell r="L53">
            <v>330</v>
          </cell>
        </row>
        <row r="54">
          <cell r="A54" t="str">
            <v xml:space="preserve">  Penetration Rate</v>
          </cell>
          <cell r="B54">
            <v>0</v>
          </cell>
          <cell r="C54">
            <v>0</v>
          </cell>
          <cell r="D54">
            <v>0.05</v>
          </cell>
          <cell r="E54">
            <v>0.1</v>
          </cell>
          <cell r="F54">
            <v>0.15000000000000002</v>
          </cell>
          <cell r="G54">
            <v>0.2</v>
          </cell>
          <cell r="H54">
            <v>0.25</v>
          </cell>
          <cell r="I54">
            <v>0.3</v>
          </cell>
          <cell r="J54">
            <v>0.35</v>
          </cell>
          <cell r="K54">
            <v>0.39999999999999997</v>
          </cell>
          <cell r="L54">
            <v>0.44999999999999996</v>
          </cell>
        </row>
        <row r="55">
          <cell r="A55" t="str">
            <v xml:space="preserve">  Client's Alza Product Sales</v>
          </cell>
          <cell r="B55">
            <v>0</v>
          </cell>
          <cell r="C55">
            <v>0</v>
          </cell>
          <cell r="D55">
            <v>16.5</v>
          </cell>
          <cell r="E55">
            <v>33</v>
          </cell>
          <cell r="F55">
            <v>49.500000000000007</v>
          </cell>
          <cell r="G55">
            <v>66</v>
          </cell>
          <cell r="H55">
            <v>82.5</v>
          </cell>
          <cell r="I55">
            <v>99</v>
          </cell>
          <cell r="J55">
            <v>115.49999999999999</v>
          </cell>
          <cell r="K55">
            <v>132</v>
          </cell>
          <cell r="L55">
            <v>148.49999999999997</v>
          </cell>
        </row>
        <row r="56">
          <cell r="A56" t="str">
            <v xml:space="preserve">  Royalty Rate</v>
          </cell>
          <cell r="B56">
            <v>0.02</v>
          </cell>
          <cell r="C56">
            <v>0.02</v>
          </cell>
          <cell r="D56">
            <v>0.02</v>
          </cell>
          <cell r="E56">
            <v>0.02</v>
          </cell>
          <cell r="F56">
            <v>0.02</v>
          </cell>
          <cell r="G56">
            <v>0.02</v>
          </cell>
          <cell r="H56">
            <v>0.02</v>
          </cell>
          <cell r="I56">
            <v>0.02</v>
          </cell>
          <cell r="J56">
            <v>0.02</v>
          </cell>
          <cell r="K56">
            <v>0.02</v>
          </cell>
          <cell r="L56">
            <v>0.02</v>
          </cell>
        </row>
        <row r="57">
          <cell r="A57" t="str">
            <v xml:space="preserve">    Total Royalties</v>
          </cell>
          <cell r="B57">
            <v>0</v>
          </cell>
          <cell r="C57">
            <v>0</v>
          </cell>
          <cell r="D57">
            <v>0.33</v>
          </cell>
          <cell r="E57">
            <v>0.66</v>
          </cell>
          <cell r="F57">
            <v>0.99000000000000021</v>
          </cell>
          <cell r="G57">
            <v>1.32</v>
          </cell>
          <cell r="H57">
            <v>1.6500000000000001</v>
          </cell>
          <cell r="I57">
            <v>1.98</v>
          </cell>
          <cell r="J57">
            <v>2.3099999999999996</v>
          </cell>
          <cell r="K57">
            <v>2.64</v>
          </cell>
          <cell r="L57">
            <v>2.9699999999999993</v>
          </cell>
        </row>
        <row r="59">
          <cell r="A59" t="str">
            <v xml:space="preserve">E = Morgan Stanley Dean Witter Research Estimates </v>
          </cell>
        </row>
        <row r="62">
          <cell r="A62" t="str">
            <v>Table 5 (continued)</v>
          </cell>
        </row>
        <row r="63">
          <cell r="A63" t="str">
            <v>Alza - Annual Royalties &amp; Fees Model 1995-2005E</v>
          </cell>
        </row>
        <row r="64">
          <cell r="A64" t="str">
            <v>($ Millions)</v>
          </cell>
        </row>
        <row r="65">
          <cell r="B65">
            <v>1995</v>
          </cell>
          <cell r="C65">
            <v>1996</v>
          </cell>
          <cell r="D65" t="str">
            <v>1997</v>
          </cell>
          <cell r="E65" t="str">
            <v>1998</v>
          </cell>
          <cell r="F65" t="str">
            <v>1999</v>
          </cell>
          <cell r="G65" t="str">
            <v>2000E</v>
          </cell>
          <cell r="H65" t="str">
            <v xml:space="preserve"> 2001E</v>
          </cell>
          <cell r="I65" t="str">
            <v xml:space="preserve"> 2002E</v>
          </cell>
          <cell r="J65" t="str">
            <v xml:space="preserve"> 2003E</v>
          </cell>
          <cell r="K65" t="str">
            <v xml:space="preserve"> 2004E</v>
          </cell>
          <cell r="L65" t="str">
            <v xml:space="preserve"> 2005E</v>
          </cell>
        </row>
        <row r="66">
          <cell r="A66" t="str">
            <v>Catapres-TTS (clonidine) - Boehringer Ingel.</v>
          </cell>
        </row>
        <row r="67">
          <cell r="A67" t="str">
            <v xml:space="preserve">  Client's Alza Product Sales</v>
          </cell>
          <cell r="B67">
            <v>70</v>
          </cell>
          <cell r="C67">
            <v>90</v>
          </cell>
          <cell r="D67">
            <v>105</v>
          </cell>
          <cell r="E67">
            <v>113.4</v>
          </cell>
          <cell r="F67">
            <v>121.33800000000001</v>
          </cell>
          <cell r="G67">
            <v>129.83166000000003</v>
          </cell>
          <cell r="H67">
            <v>137.62155960000004</v>
          </cell>
          <cell r="I67">
            <v>145.87885317600006</v>
          </cell>
          <cell r="J67">
            <v>153.17279583480007</v>
          </cell>
          <cell r="K67">
            <v>160.83143562654007</v>
          </cell>
          <cell r="L67">
            <v>168.87300740786708</v>
          </cell>
        </row>
        <row r="68">
          <cell r="A68" t="str">
            <v xml:space="preserve">  Royalty Rate</v>
          </cell>
          <cell r="B68">
            <v>0.09</v>
          </cell>
          <cell r="C68">
            <v>0.09</v>
          </cell>
          <cell r="D68">
            <v>0.09</v>
          </cell>
          <cell r="E68">
            <v>0.09</v>
          </cell>
          <cell r="F68">
            <v>0.09</v>
          </cell>
          <cell r="G68">
            <v>0.09</v>
          </cell>
          <cell r="H68">
            <v>0.09</v>
          </cell>
          <cell r="I68">
            <v>0.09</v>
          </cell>
          <cell r="J68">
            <v>0.09</v>
          </cell>
          <cell r="K68">
            <v>0.09</v>
          </cell>
          <cell r="L68">
            <v>0.09</v>
          </cell>
        </row>
        <row r="69">
          <cell r="A69" t="str">
            <v xml:space="preserve">    Total Royalties</v>
          </cell>
          <cell r="B69">
            <v>6.3</v>
          </cell>
          <cell r="C69">
            <v>8.1</v>
          </cell>
          <cell r="D69">
            <v>9.4499999999999993</v>
          </cell>
          <cell r="E69">
            <v>10.206</v>
          </cell>
          <cell r="F69">
            <v>10.92042</v>
          </cell>
          <cell r="G69">
            <v>11.684849400000003</v>
          </cell>
          <cell r="H69">
            <v>12.385940364000003</v>
          </cell>
          <cell r="I69">
            <v>13.129096785840005</v>
          </cell>
          <cell r="J69">
            <v>13.785551625132006</v>
          </cell>
          <cell r="K69">
            <v>14.474829206388605</v>
          </cell>
          <cell r="L69">
            <v>15.198570666708036</v>
          </cell>
        </row>
        <row r="71">
          <cell r="A71" t="str">
            <v>Efidac (24 Hr. Sudafed) - WLA</v>
          </cell>
        </row>
        <row r="72">
          <cell r="A72" t="str">
            <v xml:space="preserve">  Client's Product Sales (U.S.)</v>
          </cell>
          <cell r="B72">
            <v>122</v>
          </cell>
          <cell r="C72">
            <v>134</v>
          </cell>
          <cell r="D72">
            <v>140.70000000000002</v>
          </cell>
          <cell r="E72">
            <v>147.73500000000001</v>
          </cell>
          <cell r="F72">
            <v>155.12175000000002</v>
          </cell>
          <cell r="G72">
            <v>162.87783750000003</v>
          </cell>
          <cell r="H72">
            <v>171.02172937500004</v>
          </cell>
          <cell r="I72">
            <v>179.57281584375005</v>
          </cell>
          <cell r="J72">
            <v>188.55145663593757</v>
          </cell>
          <cell r="K72">
            <v>197.97902946773445</v>
          </cell>
          <cell r="L72">
            <v>207.87798094112119</v>
          </cell>
        </row>
        <row r="73">
          <cell r="A73" t="str">
            <v xml:space="preserve">  Penetration Rate</v>
          </cell>
          <cell r="B73">
            <v>0</v>
          </cell>
          <cell r="C73">
            <v>0</v>
          </cell>
          <cell r="D73">
            <v>0</v>
          </cell>
          <cell r="E73">
            <v>0.05</v>
          </cell>
          <cell r="F73">
            <v>0.1</v>
          </cell>
          <cell r="G73">
            <v>0.15000000000000002</v>
          </cell>
          <cell r="H73">
            <v>0.2</v>
          </cell>
          <cell r="I73">
            <v>0.25</v>
          </cell>
          <cell r="J73">
            <v>0.3</v>
          </cell>
          <cell r="K73">
            <v>0.35</v>
          </cell>
          <cell r="L73">
            <v>0.39999999999999997</v>
          </cell>
        </row>
        <row r="74">
          <cell r="A74" t="str">
            <v xml:space="preserve">  Client's Alza Product Sales</v>
          </cell>
          <cell r="B74">
            <v>0</v>
          </cell>
          <cell r="C74">
            <v>0</v>
          </cell>
          <cell r="D74">
            <v>0</v>
          </cell>
          <cell r="E74">
            <v>7.386750000000001</v>
          </cell>
          <cell r="F74">
            <v>15.512175000000003</v>
          </cell>
          <cell r="G74">
            <v>24.431675625000008</v>
          </cell>
          <cell r="H74">
            <v>34.204345875000008</v>
          </cell>
          <cell r="I74">
            <v>44.893203960937512</v>
          </cell>
          <cell r="J74">
            <v>56.565436990781272</v>
          </cell>
          <cell r="K74">
            <v>69.292660313707046</v>
          </cell>
          <cell r="L74">
            <v>83.151192376448478</v>
          </cell>
        </row>
        <row r="75">
          <cell r="A75" t="str">
            <v xml:space="preserve">  Royalty Rate</v>
          </cell>
          <cell r="B75">
            <v>0.05</v>
          </cell>
          <cell r="C75">
            <v>0.05</v>
          </cell>
          <cell r="D75">
            <v>0.05</v>
          </cell>
          <cell r="E75">
            <v>0.05</v>
          </cell>
          <cell r="F75">
            <v>0.05</v>
          </cell>
          <cell r="G75">
            <v>0.05</v>
          </cell>
          <cell r="H75">
            <v>0.05</v>
          </cell>
          <cell r="I75">
            <v>0.05</v>
          </cell>
          <cell r="J75">
            <v>0.05</v>
          </cell>
          <cell r="K75">
            <v>0.05</v>
          </cell>
          <cell r="L75">
            <v>0.05</v>
          </cell>
        </row>
        <row r="76">
          <cell r="A76" t="str">
            <v xml:space="preserve">    Total Royalties</v>
          </cell>
          <cell r="B76">
            <v>0</v>
          </cell>
          <cell r="C76">
            <v>0</v>
          </cell>
          <cell r="D76">
            <v>0</v>
          </cell>
          <cell r="E76">
            <v>0.3693375000000001</v>
          </cell>
          <cell r="F76">
            <v>0.77560875000000018</v>
          </cell>
          <cell r="G76">
            <v>1.2215837812500006</v>
          </cell>
          <cell r="H76">
            <v>1.7102172937500004</v>
          </cell>
          <cell r="I76">
            <v>2.2446601980468759</v>
          </cell>
          <cell r="J76">
            <v>2.828271849539064</v>
          </cell>
          <cell r="K76">
            <v>3.4646330156853526</v>
          </cell>
          <cell r="L76">
            <v>4.1575596188224244</v>
          </cell>
        </row>
        <row r="78">
          <cell r="A78" t="str">
            <v>Alpress LP (prazosin) - Pfizer (Fr)</v>
          </cell>
        </row>
        <row r="79">
          <cell r="A79" t="str">
            <v xml:space="preserve">  Client's Alza Product Sales</v>
          </cell>
          <cell r="B79">
            <v>8</v>
          </cell>
          <cell r="C79">
            <v>8</v>
          </cell>
          <cell r="D79">
            <v>8</v>
          </cell>
          <cell r="E79">
            <v>8</v>
          </cell>
          <cell r="F79">
            <v>8</v>
          </cell>
          <cell r="G79">
            <v>8</v>
          </cell>
          <cell r="H79">
            <v>8</v>
          </cell>
          <cell r="I79">
            <v>8</v>
          </cell>
          <cell r="J79">
            <v>8</v>
          </cell>
          <cell r="K79">
            <v>8</v>
          </cell>
          <cell r="L79">
            <v>8</v>
          </cell>
        </row>
        <row r="80">
          <cell r="A80" t="str">
            <v xml:space="preserve">  Royalty Rate</v>
          </cell>
          <cell r="B80">
            <v>7.0000000000000007E-2</v>
          </cell>
          <cell r="C80">
            <v>7.0000000000000007E-2</v>
          </cell>
          <cell r="D80">
            <v>7.0000000000000007E-2</v>
          </cell>
          <cell r="E80">
            <v>7.0000000000000007E-2</v>
          </cell>
          <cell r="F80">
            <v>7.0000000000000007E-2</v>
          </cell>
          <cell r="G80">
            <v>7.0000000000000007E-2</v>
          </cell>
          <cell r="H80">
            <v>7.0000000000000007E-2</v>
          </cell>
          <cell r="I80">
            <v>7.0000000000000007E-2</v>
          </cell>
          <cell r="J80">
            <v>7.0000000000000007E-2</v>
          </cell>
          <cell r="K80">
            <v>7.0000000000000007E-2</v>
          </cell>
          <cell r="L80">
            <v>7.0000000000000007E-2</v>
          </cell>
        </row>
        <row r="81">
          <cell r="A81" t="str">
            <v xml:space="preserve">    Total Royalties</v>
          </cell>
          <cell r="B81">
            <v>0.56000000000000005</v>
          </cell>
          <cell r="C81">
            <v>0.56000000000000005</v>
          </cell>
          <cell r="D81">
            <v>0.56000000000000005</v>
          </cell>
          <cell r="E81">
            <v>0.56000000000000005</v>
          </cell>
          <cell r="F81">
            <v>0.56000000000000005</v>
          </cell>
          <cell r="G81">
            <v>0.56000000000000005</v>
          </cell>
          <cell r="H81">
            <v>0.56000000000000005</v>
          </cell>
          <cell r="I81">
            <v>0.56000000000000005</v>
          </cell>
          <cell r="J81">
            <v>0.56000000000000005</v>
          </cell>
          <cell r="K81">
            <v>0.56000000000000005</v>
          </cell>
          <cell r="L81">
            <v>0.56000000000000005</v>
          </cell>
        </row>
        <row r="83">
          <cell r="A83" t="str">
            <v>Teczem - Hoechst (U.S.)</v>
          </cell>
        </row>
        <row r="84">
          <cell r="A84" t="str">
            <v xml:space="preserve">  Client's Alza Product Sales</v>
          </cell>
          <cell r="B84">
            <v>0</v>
          </cell>
          <cell r="C84">
            <v>0</v>
          </cell>
          <cell r="D84">
            <v>0</v>
          </cell>
          <cell r="E84">
            <v>5</v>
          </cell>
          <cell r="F84">
            <v>10</v>
          </cell>
          <cell r="G84">
            <v>15</v>
          </cell>
          <cell r="H84">
            <v>20</v>
          </cell>
          <cell r="I84">
            <v>25</v>
          </cell>
          <cell r="J84">
            <v>30</v>
          </cell>
          <cell r="K84">
            <v>30</v>
          </cell>
          <cell r="L84">
            <v>30</v>
          </cell>
        </row>
        <row r="85">
          <cell r="A85" t="str">
            <v xml:space="preserve">  Royalty Rate</v>
          </cell>
          <cell r="B85">
            <v>0.03</v>
          </cell>
          <cell r="C85">
            <v>0.03</v>
          </cell>
          <cell r="D85">
            <v>0.03</v>
          </cell>
          <cell r="E85">
            <v>0.03</v>
          </cell>
          <cell r="F85">
            <v>0.03</v>
          </cell>
          <cell r="G85">
            <v>0.03</v>
          </cell>
          <cell r="H85">
            <v>0.03</v>
          </cell>
          <cell r="I85">
            <v>0.03</v>
          </cell>
          <cell r="J85">
            <v>0.03</v>
          </cell>
          <cell r="K85">
            <v>0.03</v>
          </cell>
          <cell r="L85">
            <v>0.03</v>
          </cell>
        </row>
        <row r="86">
          <cell r="A86" t="str">
            <v xml:space="preserve">    Total Royalties</v>
          </cell>
          <cell r="B86">
            <v>0</v>
          </cell>
          <cell r="C86">
            <v>0</v>
          </cell>
          <cell r="D86">
            <v>0</v>
          </cell>
          <cell r="E86">
            <v>0.15</v>
          </cell>
          <cell r="F86">
            <v>0.3</v>
          </cell>
          <cell r="G86">
            <v>0.44999999999999996</v>
          </cell>
          <cell r="H86">
            <v>0.6</v>
          </cell>
          <cell r="I86">
            <v>0.75</v>
          </cell>
          <cell r="J86">
            <v>0.89999999999999991</v>
          </cell>
          <cell r="K86">
            <v>0.89999999999999991</v>
          </cell>
          <cell r="L86">
            <v>0.89999999999999991</v>
          </cell>
        </row>
        <row r="88">
          <cell r="A88" t="str">
            <v>Cardura XL - Pfizer</v>
          </cell>
        </row>
        <row r="89">
          <cell r="A89" t="str">
            <v xml:space="preserve">  Client's Alza Product Sales</v>
          </cell>
          <cell r="B89">
            <v>0</v>
          </cell>
          <cell r="C89">
            <v>0</v>
          </cell>
          <cell r="D89">
            <v>0</v>
          </cell>
          <cell r="E89">
            <v>3</v>
          </cell>
          <cell r="F89">
            <v>6</v>
          </cell>
          <cell r="G89">
            <v>8</v>
          </cell>
          <cell r="H89">
            <v>8.8000000000000007</v>
          </cell>
          <cell r="I89">
            <v>9.6800000000000015</v>
          </cell>
          <cell r="J89">
            <v>10.648000000000003</v>
          </cell>
          <cell r="K89">
            <v>11.712800000000005</v>
          </cell>
          <cell r="L89">
            <v>12.884080000000006</v>
          </cell>
        </row>
        <row r="90">
          <cell r="A90" t="str">
            <v xml:space="preserve">  Royalty Rate</v>
          </cell>
          <cell r="B90">
            <v>0.09</v>
          </cell>
          <cell r="C90">
            <v>0.09</v>
          </cell>
          <cell r="D90">
            <v>0.09</v>
          </cell>
          <cell r="E90">
            <v>0.09</v>
          </cell>
          <cell r="F90">
            <v>0.09</v>
          </cell>
          <cell r="G90">
            <v>0.09</v>
          </cell>
          <cell r="H90">
            <v>0.09</v>
          </cell>
          <cell r="I90">
            <v>0.09</v>
          </cell>
          <cell r="J90">
            <v>0.09</v>
          </cell>
          <cell r="K90">
            <v>0.09</v>
          </cell>
          <cell r="L90">
            <v>0.09</v>
          </cell>
        </row>
        <row r="91">
          <cell r="A91" t="str">
            <v xml:space="preserve">    Total Royalties</v>
          </cell>
          <cell r="B91">
            <v>0</v>
          </cell>
          <cell r="C91">
            <v>0</v>
          </cell>
          <cell r="D91">
            <v>0</v>
          </cell>
          <cell r="E91">
            <v>0.27</v>
          </cell>
          <cell r="F91">
            <v>0.54</v>
          </cell>
          <cell r="G91">
            <v>0.72</v>
          </cell>
          <cell r="H91">
            <v>0.79200000000000004</v>
          </cell>
          <cell r="I91">
            <v>0.87120000000000009</v>
          </cell>
          <cell r="J91">
            <v>0.95832000000000028</v>
          </cell>
          <cell r="K91">
            <v>1.0541520000000004</v>
          </cell>
          <cell r="L91">
            <v>1.1595672000000006</v>
          </cell>
        </row>
        <row r="93">
          <cell r="A93" t="str">
            <v>Volmax (albuterol) - Glaxo</v>
          </cell>
        </row>
        <row r="94">
          <cell r="A94" t="str">
            <v xml:space="preserve">  Client's Alza Product Sales</v>
          </cell>
          <cell r="B94">
            <v>40</v>
          </cell>
          <cell r="C94">
            <v>40</v>
          </cell>
          <cell r="D94">
            <v>45</v>
          </cell>
          <cell r="E94">
            <v>50</v>
          </cell>
          <cell r="F94">
            <v>52</v>
          </cell>
          <cell r="G94">
            <v>54</v>
          </cell>
          <cell r="H94">
            <v>54</v>
          </cell>
          <cell r="I94">
            <v>54</v>
          </cell>
          <cell r="J94">
            <v>54</v>
          </cell>
          <cell r="K94">
            <v>54</v>
          </cell>
          <cell r="L94">
            <v>54</v>
          </cell>
        </row>
        <row r="95">
          <cell r="A95" t="str">
            <v xml:space="preserve">  Royalty Rate</v>
          </cell>
          <cell r="B95">
            <v>7.0000000000000007E-2</v>
          </cell>
          <cell r="C95">
            <v>7.0000000000000007E-2</v>
          </cell>
          <cell r="D95">
            <v>7.0000000000000007E-2</v>
          </cell>
          <cell r="E95">
            <v>7.0000000000000007E-2</v>
          </cell>
          <cell r="F95">
            <v>7.0000000000000007E-2</v>
          </cell>
          <cell r="G95">
            <v>7.0000000000000007E-2</v>
          </cell>
          <cell r="H95">
            <v>7.0000000000000007E-2</v>
          </cell>
          <cell r="I95">
            <v>7.0000000000000007E-2</v>
          </cell>
          <cell r="J95">
            <v>7.0000000000000007E-2</v>
          </cell>
          <cell r="K95">
            <v>7.0000000000000007E-2</v>
          </cell>
          <cell r="L95">
            <v>7.0000000000000007E-2</v>
          </cell>
        </row>
        <row r="96">
          <cell r="A96" t="str">
            <v xml:space="preserve">    Total Royalties</v>
          </cell>
          <cell r="B96">
            <v>2.8000000000000003</v>
          </cell>
          <cell r="C96">
            <v>2.8000000000000003</v>
          </cell>
          <cell r="D96">
            <v>3.1500000000000004</v>
          </cell>
          <cell r="E96">
            <v>3.5000000000000004</v>
          </cell>
          <cell r="F96">
            <v>3.6400000000000006</v>
          </cell>
          <cell r="G96">
            <v>3.7800000000000002</v>
          </cell>
          <cell r="H96">
            <v>3.7800000000000002</v>
          </cell>
          <cell r="I96">
            <v>3.7800000000000002</v>
          </cell>
          <cell r="J96">
            <v>3.7800000000000002</v>
          </cell>
          <cell r="K96">
            <v>3.7800000000000002</v>
          </cell>
          <cell r="L96">
            <v>3.7800000000000002</v>
          </cell>
        </row>
        <row r="98">
          <cell r="A98" t="str">
            <v>OROS hydromorphone - Knoll (BASF)</v>
          </cell>
        </row>
        <row r="99">
          <cell r="A99" t="str">
            <v xml:space="preserve">  Client's Product Sales (U.S. Dilaudid)</v>
          </cell>
          <cell r="B99">
            <v>0</v>
          </cell>
          <cell r="C99">
            <v>0</v>
          </cell>
          <cell r="D99">
            <v>17</v>
          </cell>
          <cell r="E99">
            <v>19</v>
          </cell>
          <cell r="F99">
            <v>15</v>
          </cell>
          <cell r="G99">
            <v>15</v>
          </cell>
          <cell r="H99">
            <v>5</v>
          </cell>
          <cell r="I99">
            <v>4</v>
          </cell>
          <cell r="J99">
            <v>3</v>
          </cell>
          <cell r="K99">
            <v>2</v>
          </cell>
          <cell r="L99">
            <v>1</v>
          </cell>
        </row>
        <row r="100">
          <cell r="A100" t="str">
            <v xml:space="preserve">  Penetration Rate</v>
          </cell>
          <cell r="B100" t="str">
            <v>NM</v>
          </cell>
          <cell r="C100" t="str">
            <v>NM</v>
          </cell>
          <cell r="D100" t="str">
            <v>NM</v>
          </cell>
          <cell r="E100" t="str">
            <v>NM</v>
          </cell>
          <cell r="F100" t="str">
            <v>NM</v>
          </cell>
          <cell r="G100" t="str">
            <v>NM</v>
          </cell>
          <cell r="H100" t="str">
            <v>NM</v>
          </cell>
          <cell r="I100" t="str">
            <v>NM</v>
          </cell>
          <cell r="J100" t="str">
            <v>NM</v>
          </cell>
          <cell r="K100" t="str">
            <v>NM</v>
          </cell>
          <cell r="L100" t="str">
            <v>NM</v>
          </cell>
        </row>
        <row r="101">
          <cell r="A101" t="str">
            <v xml:space="preserve">  Client's Alza Product Sales</v>
          </cell>
          <cell r="B101">
            <v>0</v>
          </cell>
          <cell r="C101">
            <v>0</v>
          </cell>
          <cell r="D101">
            <v>0</v>
          </cell>
          <cell r="E101">
            <v>0</v>
          </cell>
          <cell r="F101">
            <v>0</v>
          </cell>
          <cell r="G101">
            <v>0</v>
          </cell>
          <cell r="H101">
            <v>18</v>
          </cell>
          <cell r="I101">
            <v>35</v>
          </cell>
          <cell r="J101">
            <v>50</v>
          </cell>
          <cell r="K101">
            <v>65</v>
          </cell>
          <cell r="L101">
            <v>80</v>
          </cell>
        </row>
        <row r="102">
          <cell r="A102" t="str">
            <v xml:space="preserve">  Royalty Rate</v>
          </cell>
          <cell r="B102">
            <v>0</v>
          </cell>
          <cell r="C102">
            <v>0</v>
          </cell>
          <cell r="D102">
            <v>0</v>
          </cell>
          <cell r="E102">
            <v>0</v>
          </cell>
          <cell r="F102">
            <v>0</v>
          </cell>
          <cell r="G102">
            <v>0</v>
          </cell>
          <cell r="H102">
            <v>0.2</v>
          </cell>
          <cell r="I102">
            <v>0.2</v>
          </cell>
          <cell r="J102">
            <v>0.2</v>
          </cell>
          <cell r="K102">
            <v>0.2</v>
          </cell>
          <cell r="L102">
            <v>0.2</v>
          </cell>
        </row>
        <row r="103">
          <cell r="A103" t="str">
            <v xml:space="preserve">    Total Royalties</v>
          </cell>
          <cell r="B103">
            <v>0</v>
          </cell>
          <cell r="C103">
            <v>0</v>
          </cell>
          <cell r="D103">
            <v>0</v>
          </cell>
          <cell r="E103">
            <v>0</v>
          </cell>
          <cell r="F103">
            <v>0</v>
          </cell>
          <cell r="G103">
            <v>0</v>
          </cell>
          <cell r="H103">
            <v>3.6</v>
          </cell>
          <cell r="I103">
            <v>7</v>
          </cell>
          <cell r="J103">
            <v>10</v>
          </cell>
          <cell r="K103">
            <v>13</v>
          </cell>
          <cell r="L103">
            <v>16</v>
          </cell>
        </row>
        <row r="105">
          <cell r="A105" t="str">
            <v>Ethyol - U.S. Bioscience</v>
          </cell>
        </row>
        <row r="106">
          <cell r="A106" t="str">
            <v xml:space="preserve">  Client's Alza Product Sales</v>
          </cell>
          <cell r="B106">
            <v>0</v>
          </cell>
          <cell r="C106">
            <v>9.35</v>
          </cell>
          <cell r="D106">
            <v>20.64</v>
          </cell>
          <cell r="E106">
            <v>32.599999999999994</v>
          </cell>
          <cell r="F106">
            <v>48.3</v>
          </cell>
          <cell r="G106">
            <v>49.2</v>
          </cell>
          <cell r="H106">
            <v>54.120000000000005</v>
          </cell>
          <cell r="I106">
            <v>48.707999999999998</v>
          </cell>
          <cell r="J106">
            <v>56.014199999999995</v>
          </cell>
          <cell r="K106">
            <v>62.735903999999998</v>
          </cell>
          <cell r="L106">
            <v>69.009494400000008</v>
          </cell>
        </row>
        <row r="107">
          <cell r="A107" t="str">
            <v xml:space="preserve">  Royalty Rate</v>
          </cell>
          <cell r="B107">
            <v>0</v>
          </cell>
          <cell r="C107">
            <v>0</v>
          </cell>
          <cell r="D107">
            <v>0</v>
          </cell>
          <cell r="E107">
            <v>0</v>
          </cell>
          <cell r="F107">
            <v>0</v>
          </cell>
          <cell r="G107">
            <v>0</v>
          </cell>
          <cell r="H107">
            <v>0</v>
          </cell>
          <cell r="I107">
            <v>0.3</v>
          </cell>
          <cell r="J107">
            <v>0.27500000000000002</v>
          </cell>
          <cell r="K107">
            <v>0.25</v>
          </cell>
          <cell r="L107">
            <v>0.25</v>
          </cell>
        </row>
        <row r="108">
          <cell r="A108" t="str">
            <v xml:space="preserve">    Total Royalties</v>
          </cell>
          <cell r="B108">
            <v>0</v>
          </cell>
          <cell r="C108">
            <v>0</v>
          </cell>
          <cell r="D108">
            <v>0</v>
          </cell>
          <cell r="E108">
            <v>0</v>
          </cell>
          <cell r="F108">
            <v>0</v>
          </cell>
          <cell r="G108">
            <v>0</v>
          </cell>
          <cell r="H108">
            <v>0</v>
          </cell>
          <cell r="I108">
            <v>14.612399999999999</v>
          </cell>
          <cell r="J108">
            <v>15.403905</v>
          </cell>
          <cell r="K108">
            <v>15.683975999999999</v>
          </cell>
          <cell r="L108">
            <v>17.252373600000002</v>
          </cell>
        </row>
        <row r="110">
          <cell r="A110" t="str">
            <v>Viadur - Bayer</v>
          </cell>
        </row>
        <row r="111">
          <cell r="A111" t="str">
            <v xml:space="preserve">  Client's Alza Product Sales</v>
          </cell>
          <cell r="B111">
            <v>0</v>
          </cell>
          <cell r="C111">
            <v>0</v>
          </cell>
          <cell r="D111">
            <v>0</v>
          </cell>
          <cell r="E111">
            <v>0</v>
          </cell>
          <cell r="F111">
            <v>0</v>
          </cell>
          <cell r="G111">
            <v>0</v>
          </cell>
          <cell r="H111">
            <v>25</v>
          </cell>
          <cell r="I111">
            <v>50</v>
          </cell>
          <cell r="J111">
            <v>75</v>
          </cell>
          <cell r="K111">
            <v>93.8</v>
          </cell>
          <cell r="L111">
            <v>110.6</v>
          </cell>
        </row>
        <row r="112">
          <cell r="A112" t="str">
            <v xml:space="preserve">  Royalty Rate</v>
          </cell>
          <cell r="B112">
            <v>0</v>
          </cell>
          <cell r="C112">
            <v>0</v>
          </cell>
          <cell r="D112">
            <v>0</v>
          </cell>
          <cell r="E112">
            <v>0</v>
          </cell>
          <cell r="F112">
            <v>0</v>
          </cell>
          <cell r="G112">
            <v>0</v>
          </cell>
          <cell r="H112">
            <v>0.11</v>
          </cell>
          <cell r="I112">
            <v>0.11</v>
          </cell>
          <cell r="J112">
            <v>0.11</v>
          </cell>
          <cell r="K112">
            <v>0.11</v>
          </cell>
          <cell r="L112">
            <v>0.11</v>
          </cell>
        </row>
        <row r="113">
          <cell r="A113" t="str">
            <v xml:space="preserve">    Total Royalties</v>
          </cell>
          <cell r="B113">
            <v>0</v>
          </cell>
          <cell r="C113">
            <v>0</v>
          </cell>
          <cell r="D113">
            <v>0</v>
          </cell>
          <cell r="E113">
            <v>0</v>
          </cell>
          <cell r="F113">
            <v>0</v>
          </cell>
          <cell r="G113">
            <v>0</v>
          </cell>
          <cell r="H113">
            <v>2.75</v>
          </cell>
          <cell r="I113">
            <v>5.5</v>
          </cell>
          <cell r="J113">
            <v>8.25</v>
          </cell>
          <cell r="K113">
            <v>10.318</v>
          </cell>
          <cell r="L113">
            <v>12.165999999999999</v>
          </cell>
        </row>
        <row r="115">
          <cell r="A115" t="str">
            <v>Other (a)</v>
          </cell>
          <cell r="B115">
            <v>27.391999999999982</v>
          </cell>
          <cell r="C115">
            <v>30.960889999999978</v>
          </cell>
          <cell r="D115">
            <v>28.433999999999969</v>
          </cell>
          <cell r="E115">
            <v>51.484662500000013</v>
          </cell>
          <cell r="F115">
            <v>44.244511249999988</v>
          </cell>
          <cell r="G115">
            <v>118</v>
          </cell>
          <cell r="H115">
            <v>135</v>
          </cell>
          <cell r="I115">
            <v>145.80000000000001</v>
          </cell>
          <cell r="J115">
            <v>167.67</v>
          </cell>
          <cell r="K115">
            <v>192.82049999999998</v>
          </cell>
          <cell r="L115">
            <v>231.38459999999998</v>
          </cell>
        </row>
        <row r="116">
          <cell r="A116" t="str">
            <v>Nonrecurring/Crescendo</v>
          </cell>
          <cell r="B116">
            <v>7.4</v>
          </cell>
          <cell r="C116">
            <v>9.5</v>
          </cell>
          <cell r="D116">
            <v>4</v>
          </cell>
          <cell r="E116">
            <v>14.2</v>
          </cell>
          <cell r="F116">
            <v>7.2</v>
          </cell>
          <cell r="G116">
            <v>2</v>
          </cell>
          <cell r="H116">
            <v>0</v>
          </cell>
          <cell r="I116">
            <v>0</v>
          </cell>
          <cell r="J116">
            <v>0</v>
          </cell>
          <cell r="K116">
            <v>0</v>
          </cell>
          <cell r="L116">
            <v>0</v>
          </cell>
        </row>
        <row r="118">
          <cell r="A118" t="str">
            <v>Total - Reported</v>
          </cell>
          <cell r="B118">
            <v>145.69999999999999</v>
          </cell>
          <cell r="C118">
            <v>180.8</v>
          </cell>
          <cell r="D118">
            <v>188.4</v>
          </cell>
          <cell r="E118">
            <v>233.1</v>
          </cell>
          <cell r="F118">
            <v>227.1</v>
          </cell>
          <cell r="G118">
            <v>282.27178918124997</v>
          </cell>
          <cell r="H118">
            <v>313.39161170174998</v>
          </cell>
          <cell r="I118">
            <v>355.62063268624695</v>
          </cell>
          <cell r="J118">
            <v>395.89894337545786</v>
          </cell>
          <cell r="K118">
            <v>437.78694837234121</v>
          </cell>
          <cell r="L118">
            <v>461.52606448515519</v>
          </cell>
        </row>
        <row r="120">
          <cell r="A120" t="str">
            <v>Notes:</v>
          </cell>
        </row>
        <row r="121">
          <cell r="A121" t="str">
            <v xml:space="preserve">(a) Other includes milestone payments and royalties on Muro, Baxter Infusor, and ENACT AirWatch as well as Hexalen and </v>
          </cell>
        </row>
        <row r="122">
          <cell r="A122" t="str">
            <v xml:space="preserve">NeuTrexin, until the two products were sent back to U.S. Bioscience in mid-1999. </v>
          </cell>
        </row>
        <row r="124">
          <cell r="A124" t="str">
            <v xml:space="preserve">E = Morgan Stanley Dean Witter Research Estimates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5 Year Sales &amp; Earnings"/>
      <sheetName val="Annual Prod Sales"/>
      <sheetName val="Qrt Sales"/>
      <sheetName val="Qtr Income"/>
      <sheetName val="Qtr Margin"/>
      <sheetName val="Q-Preview"/>
      <sheetName val="CF2"/>
      <sheetName val="CF2part2"/>
      <sheetName val="Balance Sheet"/>
      <sheetName val="Lipitor&amp;Ari "/>
      <sheetName val="Lipitor Only"/>
      <sheetName val="P&amp;L"/>
      <sheetName val="Quarterly"/>
      <sheetName val="Ann. Prod Sales (2)"/>
      <sheetName val="Blank"/>
      <sheetName val="Viagra model"/>
      <sheetName val="IS-COMPS"/>
      <sheetName val="BS"/>
      <sheetName val="Cashflow"/>
      <sheetName val="Alliance lose Lipitor"/>
      <sheetName val="Lipitor &amp; Aricept "/>
      <sheetName val="Sales &amp; Op. Earnings"/>
      <sheetName val="Zeldox"/>
      <sheetName val="QRT_LINK"/>
      <sheetName val="Stat Sheet"/>
      <sheetName val="Q-PreviewOLD"/>
      <sheetName val="Disclaimer"/>
      <sheetName val="IndexInformation"/>
      <sheetName val="MainCode"/>
      <sheetName val="NY UPLOAD shadow"/>
    </sheetNames>
    <sheetDataSet>
      <sheetData sheetId="0" refreshError="1"/>
      <sheetData sheetId="1" refreshError="1"/>
      <sheetData sheetId="2" refreshError="1"/>
      <sheetData sheetId="3" refreshError="1"/>
      <sheetData sheetId="4" refreshError="1">
        <row r="3">
          <cell r="A3" t="str">
            <v>Table 5</v>
          </cell>
          <cell r="AO3" t="str">
            <v>Table 5</v>
          </cell>
          <cell r="AP3" t="str">
            <v>(continued)</v>
          </cell>
          <cell r="BV3" t="str">
            <v>Table 5</v>
          </cell>
          <cell r="BW3" t="str">
            <v>(continued)</v>
          </cell>
          <cell r="DC3" t="str">
            <v>Table 5</v>
          </cell>
          <cell r="DD3" t="str">
            <v>(continued)</v>
          </cell>
        </row>
        <row r="4">
          <cell r="A4" t="str">
            <v>Pfizer</v>
          </cell>
          <cell r="AO4" t="str">
            <v>Pfizer</v>
          </cell>
          <cell r="BV4" t="str">
            <v>Pfizer</v>
          </cell>
          <cell r="DC4" t="str">
            <v>Pfizer</v>
          </cell>
        </row>
        <row r="5">
          <cell r="A5" t="str">
            <v>Quarterly Sales Analysis 1998-2005E</v>
          </cell>
          <cell r="AO5" t="str">
            <v>Quarterly Sales Analysis 1998-2005E</v>
          </cell>
          <cell r="BV5" t="str">
            <v>Quarterly Sales Analysis 1998-2005E</v>
          </cell>
          <cell r="DC5" t="str">
            <v>Quarterly Sales Analysis 1998-2005E</v>
          </cell>
        </row>
        <row r="6">
          <cell r="A6" t="str">
            <v>($ Millions)</v>
          </cell>
          <cell r="AO6" t="str">
            <v>($ Millions)</v>
          </cell>
          <cell r="BV6" t="str">
            <v>($ Millions)</v>
          </cell>
          <cell r="DC6" t="str">
            <v>($ Millions)</v>
          </cell>
        </row>
        <row r="8">
          <cell r="B8" t="str">
            <v>Cardiovascular</v>
          </cell>
          <cell r="Y8" t="str">
            <v>Central Nervous System</v>
          </cell>
          <cell r="AP8" t="str">
            <v>Anti-Infectives</v>
          </cell>
          <cell r="BJ8" t="str">
            <v xml:space="preserve">Anti-Inflammatories    </v>
          </cell>
          <cell r="CA8" t="str">
            <v>Allergy</v>
          </cell>
          <cell r="CM8" t="str">
            <v>Diabetes</v>
          </cell>
        </row>
        <row r="9">
          <cell r="B9" t="str">
            <v>Procardia XL</v>
          </cell>
          <cell r="F9" t="str">
            <v xml:space="preserve">Norvasc   </v>
          </cell>
          <cell r="J9" t="str">
            <v>Cardura</v>
          </cell>
          <cell r="M9" t="str">
            <v>Lipitor</v>
          </cell>
          <cell r="Q9" t="str">
            <v xml:space="preserve">  Other Cardio (a) </v>
          </cell>
          <cell r="U9" t="str">
            <v>Total Cardio</v>
          </cell>
          <cell r="Y9" t="str">
            <v>Zoloft</v>
          </cell>
          <cell r="AC9" t="str">
            <v>Zeldox</v>
          </cell>
          <cell r="AG9" t="str">
            <v>Other CNS (b)</v>
          </cell>
          <cell r="AK9" t="str">
            <v>Total CNS</v>
          </cell>
          <cell r="AP9" t="str">
            <v xml:space="preserve">Diflucan  </v>
          </cell>
          <cell r="AT9" t="str">
            <v>Zithromax</v>
          </cell>
          <cell r="AX9" t="str">
            <v>Trovan</v>
          </cell>
          <cell r="BB9" t="str">
            <v>Other (c)</v>
          </cell>
          <cell r="BF9" t="str">
            <v>Total Anti-Infectives</v>
          </cell>
          <cell r="BJ9" t="str">
            <v>Feldene</v>
          </cell>
          <cell r="BN9" t="str">
            <v xml:space="preserve">Other </v>
          </cell>
          <cell r="BR9" t="str">
            <v>Total</v>
          </cell>
          <cell r="BW9" t="str">
            <v>Viagra</v>
          </cell>
          <cell r="CA9" t="str">
            <v>Zyrtec/Reactine (d)</v>
          </cell>
          <cell r="CE9" t="str">
            <v>Other</v>
          </cell>
          <cell r="CI9" t="str">
            <v>Total</v>
          </cell>
          <cell r="CM9" t="str">
            <v xml:space="preserve">Glucotrol XL </v>
          </cell>
          <cell r="CQ9" t="str">
            <v>Other (e)</v>
          </cell>
          <cell r="CU9" t="str">
            <v>Total</v>
          </cell>
          <cell r="CY9" t="str">
            <v>Other Products</v>
          </cell>
          <cell r="DD9" t="str">
            <v>New Products</v>
          </cell>
          <cell r="DH9" t="str">
            <v>Alliance Revenues (c)</v>
          </cell>
          <cell r="DL9" t="str">
            <v>Total Pharmaceuticals</v>
          </cell>
          <cell r="DP9" t="str">
            <v>Animal Health</v>
          </cell>
          <cell r="DT9" t="str">
            <v>Consumer Health</v>
          </cell>
          <cell r="DX9" t="str">
            <v>Total Corporate Sales</v>
          </cell>
        </row>
        <row r="10">
          <cell r="B10" t="str">
            <v>U.S.</v>
          </cell>
          <cell r="C10" t="str">
            <v>Intl</v>
          </cell>
          <cell r="D10" t="str">
            <v>Total</v>
          </cell>
          <cell r="F10" t="str">
            <v>U.S.</v>
          </cell>
          <cell r="G10" t="str">
            <v>Intl</v>
          </cell>
          <cell r="H10" t="str">
            <v>Total</v>
          </cell>
          <cell r="J10" t="str">
            <v>U.S.</v>
          </cell>
          <cell r="K10" t="str">
            <v>Intl</v>
          </cell>
          <cell r="L10" t="str">
            <v>Total</v>
          </cell>
          <cell r="M10" t="str">
            <v>U.S.</v>
          </cell>
          <cell r="N10" t="str">
            <v>Intl</v>
          </cell>
          <cell r="O10" t="str">
            <v>Total</v>
          </cell>
          <cell r="Q10" t="str">
            <v>U.S.</v>
          </cell>
          <cell r="R10" t="str">
            <v>Intl</v>
          </cell>
          <cell r="S10" t="str">
            <v>Total</v>
          </cell>
          <cell r="U10" t="str">
            <v xml:space="preserve">U.S. </v>
          </cell>
          <cell r="V10" t="str">
            <v xml:space="preserve">Intl </v>
          </cell>
          <cell r="W10" t="str">
            <v xml:space="preserve">Total </v>
          </cell>
          <cell r="Y10" t="str">
            <v>U.S.</v>
          </cell>
          <cell r="Z10" t="str">
            <v xml:space="preserve">Intl </v>
          </cell>
          <cell r="AA10" t="str">
            <v xml:space="preserve">Total </v>
          </cell>
          <cell r="AC10" t="str">
            <v>U.S.</v>
          </cell>
          <cell r="AD10" t="str">
            <v xml:space="preserve">Intl </v>
          </cell>
          <cell r="AE10" t="str">
            <v xml:space="preserve">Total </v>
          </cell>
          <cell r="AG10" t="str">
            <v>U.S.</v>
          </cell>
          <cell r="AH10" t="str">
            <v xml:space="preserve">Intl </v>
          </cell>
          <cell r="AI10" t="str">
            <v xml:space="preserve">Total </v>
          </cell>
          <cell r="AK10" t="str">
            <v>U.S.</v>
          </cell>
          <cell r="AL10" t="str">
            <v xml:space="preserve">Intl </v>
          </cell>
          <cell r="AM10" t="str">
            <v xml:space="preserve">Total </v>
          </cell>
          <cell r="AP10" t="str">
            <v>U.S.</v>
          </cell>
          <cell r="AQ10" t="str">
            <v>Intl</v>
          </cell>
          <cell r="AR10" t="str">
            <v xml:space="preserve">Total </v>
          </cell>
          <cell r="AT10" t="str">
            <v>U.S.</v>
          </cell>
          <cell r="AU10" t="str">
            <v>Intl</v>
          </cell>
          <cell r="AV10" t="str">
            <v xml:space="preserve">Total </v>
          </cell>
          <cell r="AX10" t="str">
            <v>U.S.</v>
          </cell>
          <cell r="AY10" t="str">
            <v>Intl</v>
          </cell>
          <cell r="AZ10" t="str">
            <v xml:space="preserve">Total </v>
          </cell>
          <cell r="BB10" t="str">
            <v>U.S.</v>
          </cell>
          <cell r="BC10" t="str">
            <v>Intl</v>
          </cell>
          <cell r="BD10" t="str">
            <v xml:space="preserve">Total </v>
          </cell>
          <cell r="BF10" t="str">
            <v>U.S.</v>
          </cell>
          <cell r="BG10" t="str">
            <v>Intl</v>
          </cell>
          <cell r="BH10" t="str">
            <v>Total</v>
          </cell>
          <cell r="BJ10" t="str">
            <v>U.S.</v>
          </cell>
          <cell r="BK10" t="str">
            <v>Intl</v>
          </cell>
          <cell r="BL10" t="str">
            <v xml:space="preserve">Total </v>
          </cell>
          <cell r="BN10" t="str">
            <v>U.S.</v>
          </cell>
          <cell r="BO10" t="str">
            <v xml:space="preserve">Intl </v>
          </cell>
          <cell r="BP10" t="str">
            <v xml:space="preserve">Total </v>
          </cell>
          <cell r="BR10" t="str">
            <v>U.S.</v>
          </cell>
          <cell r="BS10" t="str">
            <v xml:space="preserve">Intl </v>
          </cell>
          <cell r="BT10" t="str">
            <v xml:space="preserve">Total </v>
          </cell>
          <cell r="BW10" t="str">
            <v>U.S.</v>
          </cell>
          <cell r="BX10" t="str">
            <v>Intl</v>
          </cell>
          <cell r="BY10" t="str">
            <v xml:space="preserve">Total </v>
          </cell>
          <cell r="CA10" t="str">
            <v>U.S.</v>
          </cell>
          <cell r="CB10" t="str">
            <v>Intl</v>
          </cell>
          <cell r="CC10" t="str">
            <v xml:space="preserve">Total </v>
          </cell>
          <cell r="CE10" t="str">
            <v>U.S.</v>
          </cell>
          <cell r="CF10" t="str">
            <v xml:space="preserve">Intl </v>
          </cell>
          <cell r="CG10" t="str">
            <v xml:space="preserve">Total </v>
          </cell>
          <cell r="CI10" t="str">
            <v>U.S.</v>
          </cell>
          <cell r="CJ10" t="str">
            <v xml:space="preserve">Intl </v>
          </cell>
          <cell r="CK10" t="str">
            <v xml:space="preserve">Total </v>
          </cell>
          <cell r="CM10" t="str">
            <v>U.S.</v>
          </cell>
          <cell r="CN10" t="str">
            <v>Intl</v>
          </cell>
          <cell r="CO10" t="str">
            <v xml:space="preserve">Total </v>
          </cell>
          <cell r="CQ10" t="str">
            <v>U.S.</v>
          </cell>
          <cell r="CR10" t="str">
            <v xml:space="preserve">Intl </v>
          </cell>
          <cell r="CS10" t="str">
            <v xml:space="preserve">Total </v>
          </cell>
          <cell r="CU10" t="str">
            <v>U.S.</v>
          </cell>
          <cell r="CV10" t="str">
            <v xml:space="preserve">Intl </v>
          </cell>
          <cell r="CW10" t="str">
            <v xml:space="preserve">Total </v>
          </cell>
          <cell r="CY10" t="str">
            <v>U.S.</v>
          </cell>
          <cell r="CZ10" t="str">
            <v xml:space="preserve">Intl </v>
          </cell>
          <cell r="DA10" t="str">
            <v xml:space="preserve">Total </v>
          </cell>
          <cell r="DD10" t="str">
            <v>U.S.</v>
          </cell>
          <cell r="DE10" t="str">
            <v>Intl</v>
          </cell>
          <cell r="DF10" t="str">
            <v xml:space="preserve">Total </v>
          </cell>
          <cell r="DH10" t="str">
            <v>U.S.</v>
          </cell>
          <cell r="DI10" t="str">
            <v>Intl</v>
          </cell>
          <cell r="DJ10" t="str">
            <v xml:space="preserve">Total </v>
          </cell>
          <cell r="DL10" t="str">
            <v>U.S.</v>
          </cell>
          <cell r="DM10" t="str">
            <v xml:space="preserve">Intl </v>
          </cell>
          <cell r="DN10" t="str">
            <v xml:space="preserve">Total </v>
          </cell>
          <cell r="DP10" t="str">
            <v>U.S.</v>
          </cell>
          <cell r="DQ10" t="str">
            <v>Intl</v>
          </cell>
          <cell r="DR10" t="str">
            <v xml:space="preserve">Total  </v>
          </cell>
          <cell r="DT10" t="str">
            <v>U.S.</v>
          </cell>
          <cell r="DU10" t="str">
            <v>Intl</v>
          </cell>
          <cell r="DV10" t="str">
            <v xml:space="preserve">Total  </v>
          </cell>
          <cell r="DX10" t="str">
            <v>U.S.</v>
          </cell>
          <cell r="DY10" t="str">
            <v xml:space="preserve">Intl </v>
          </cell>
          <cell r="DZ10" t="str">
            <v xml:space="preserve">Total </v>
          </cell>
        </row>
        <row r="12">
          <cell r="A12" t="str">
            <v>1994</v>
          </cell>
          <cell r="AO12" t="str">
            <v>1994</v>
          </cell>
          <cell r="BV12" t="str">
            <v>1994</v>
          </cell>
          <cell r="DC12" t="str">
            <v>1994</v>
          </cell>
        </row>
        <row r="13">
          <cell r="A13" t="str">
            <v xml:space="preserve"> 1Q</v>
          </cell>
          <cell r="B13">
            <v>336.1</v>
          </cell>
          <cell r="C13">
            <v>0</v>
          </cell>
          <cell r="D13">
            <v>336.1</v>
          </cell>
          <cell r="F13">
            <v>61.9</v>
          </cell>
          <cell r="G13">
            <v>92.2</v>
          </cell>
          <cell r="H13">
            <v>154.1</v>
          </cell>
          <cell r="J13">
            <v>22.6</v>
          </cell>
          <cell r="K13">
            <v>49.5</v>
          </cell>
          <cell r="L13">
            <v>72.099999999999994</v>
          </cell>
          <cell r="Q13">
            <v>11.099999999999966</v>
          </cell>
          <cell r="R13">
            <v>32.400000000000006</v>
          </cell>
          <cell r="S13">
            <v>43.499999999999972</v>
          </cell>
          <cell r="U13">
            <v>431.7</v>
          </cell>
          <cell r="V13">
            <v>174.1</v>
          </cell>
          <cell r="W13">
            <v>605.79999999999995</v>
          </cell>
          <cell r="Y13">
            <v>141.6</v>
          </cell>
          <cell r="Z13">
            <v>15.3</v>
          </cell>
          <cell r="AA13">
            <v>156.9</v>
          </cell>
          <cell r="AC13">
            <v>0</v>
          </cell>
          <cell r="AD13">
            <v>0</v>
          </cell>
          <cell r="AE13">
            <v>0</v>
          </cell>
          <cell r="AG13">
            <v>6.4000000000000057</v>
          </cell>
          <cell r="AH13">
            <v>7.6999999999999993</v>
          </cell>
          <cell r="AI13">
            <v>14.100000000000005</v>
          </cell>
          <cell r="AK13">
            <v>148</v>
          </cell>
          <cell r="AL13">
            <v>23</v>
          </cell>
          <cell r="AM13">
            <v>171</v>
          </cell>
          <cell r="AO13" t="str">
            <v xml:space="preserve"> 1Q</v>
          </cell>
          <cell r="AP13">
            <v>71.599999999999994</v>
          </cell>
          <cell r="AQ13">
            <v>86</v>
          </cell>
          <cell r="AR13">
            <v>157.6</v>
          </cell>
          <cell r="AT13">
            <v>36.1</v>
          </cell>
          <cell r="AU13">
            <v>11.1</v>
          </cell>
          <cell r="AV13">
            <v>47.2</v>
          </cell>
          <cell r="AX13">
            <v>0</v>
          </cell>
          <cell r="AY13">
            <v>0</v>
          </cell>
          <cell r="AZ13">
            <v>0</v>
          </cell>
          <cell r="BB13">
            <v>47.700000000000017</v>
          </cell>
          <cell r="BC13">
            <v>167.00000000000003</v>
          </cell>
          <cell r="BD13">
            <v>214.70000000000005</v>
          </cell>
          <cell r="BF13">
            <v>155.4</v>
          </cell>
          <cell r="BG13">
            <v>264.10000000000002</v>
          </cell>
          <cell r="BH13">
            <v>419.5</v>
          </cell>
          <cell r="BJ13">
            <v>10.6</v>
          </cell>
          <cell r="BK13">
            <v>64.7</v>
          </cell>
          <cell r="BL13">
            <v>75.3</v>
          </cell>
          <cell r="BN13">
            <v>0.40000000000000036</v>
          </cell>
          <cell r="BO13">
            <v>16.299999999999997</v>
          </cell>
          <cell r="BP13">
            <v>16.699999999999996</v>
          </cell>
          <cell r="BR13">
            <v>11</v>
          </cell>
          <cell r="BS13">
            <v>81</v>
          </cell>
          <cell r="BT13">
            <v>92</v>
          </cell>
          <cell r="BV13" t="str">
            <v xml:space="preserve"> 1Q</v>
          </cell>
          <cell r="BW13">
            <v>0</v>
          </cell>
          <cell r="BX13">
            <v>0</v>
          </cell>
          <cell r="BY13">
            <v>0</v>
          </cell>
          <cell r="CA13">
            <v>0</v>
          </cell>
          <cell r="CB13">
            <v>1.3</v>
          </cell>
          <cell r="CC13">
            <v>1.3</v>
          </cell>
          <cell r="CE13">
            <v>0</v>
          </cell>
          <cell r="CF13">
            <v>-0.30000000000000004</v>
          </cell>
          <cell r="CG13">
            <v>-0.30000000000000004</v>
          </cell>
          <cell r="CI13">
            <v>0</v>
          </cell>
          <cell r="CJ13">
            <v>1</v>
          </cell>
          <cell r="CK13">
            <v>1</v>
          </cell>
          <cell r="CL13">
            <v>0</v>
          </cell>
          <cell r="CM13">
            <v>0</v>
          </cell>
          <cell r="CN13">
            <v>0</v>
          </cell>
          <cell r="CO13">
            <v>0</v>
          </cell>
          <cell r="CQ13">
            <v>61</v>
          </cell>
          <cell r="CR13">
            <v>7</v>
          </cell>
          <cell r="CS13">
            <v>68</v>
          </cell>
          <cell r="CU13">
            <v>61</v>
          </cell>
          <cell r="CV13">
            <v>7</v>
          </cell>
          <cell r="CW13">
            <v>68</v>
          </cell>
          <cell r="CY13">
            <v>7.6999999999999602</v>
          </cell>
          <cell r="CZ13">
            <v>45.899999999999977</v>
          </cell>
          <cell r="DA13">
            <v>53.599999999999937</v>
          </cell>
          <cell r="DC13" t="str">
            <v xml:space="preserve"> 1Q</v>
          </cell>
          <cell r="DD13">
            <v>0</v>
          </cell>
          <cell r="DE13">
            <v>0</v>
          </cell>
          <cell r="DF13">
            <v>0</v>
          </cell>
          <cell r="DL13">
            <v>814.8</v>
          </cell>
          <cell r="DM13">
            <v>596.1</v>
          </cell>
          <cell r="DN13">
            <v>1410.9</v>
          </cell>
          <cell r="DP13">
            <v>38.299999999999997</v>
          </cell>
          <cell r="DQ13">
            <v>107</v>
          </cell>
          <cell r="DR13">
            <v>145.30000000000001</v>
          </cell>
          <cell r="DT13">
            <v>75</v>
          </cell>
          <cell r="DU13">
            <v>32</v>
          </cell>
          <cell r="DV13">
            <v>107</v>
          </cell>
          <cell r="DX13">
            <v>928.09999999999991</v>
          </cell>
          <cell r="DY13">
            <v>735.1</v>
          </cell>
          <cell r="DZ13">
            <v>1663.1999999999998</v>
          </cell>
        </row>
        <row r="14">
          <cell r="A14" t="str">
            <v xml:space="preserve"> 2Q</v>
          </cell>
          <cell r="B14">
            <v>249.7</v>
          </cell>
          <cell r="C14">
            <v>0</v>
          </cell>
          <cell r="D14">
            <v>249.7</v>
          </cell>
          <cell r="F14">
            <v>66.900000000000006</v>
          </cell>
          <cell r="G14">
            <v>107.5</v>
          </cell>
          <cell r="H14">
            <v>174.4</v>
          </cell>
          <cell r="J14">
            <v>20.7</v>
          </cell>
          <cell r="K14">
            <v>53.7</v>
          </cell>
          <cell r="L14">
            <v>74.400000000000006</v>
          </cell>
          <cell r="Q14">
            <v>7.0999999999999659</v>
          </cell>
          <cell r="R14">
            <v>31.900000000000006</v>
          </cell>
          <cell r="S14">
            <v>38.999999999999972</v>
          </cell>
          <cell r="U14">
            <v>344.4</v>
          </cell>
          <cell r="V14">
            <v>193.1</v>
          </cell>
          <cell r="W14">
            <v>537.5</v>
          </cell>
          <cell r="Y14">
            <v>140.6</v>
          </cell>
          <cell r="Z14">
            <v>17.399999999999999</v>
          </cell>
          <cell r="AA14">
            <v>158</v>
          </cell>
          <cell r="AC14">
            <v>0</v>
          </cell>
          <cell r="AD14">
            <v>0</v>
          </cell>
          <cell r="AE14">
            <v>0</v>
          </cell>
          <cell r="AG14">
            <v>5.4000000000000057</v>
          </cell>
          <cell r="AH14">
            <v>8.6000000000000014</v>
          </cell>
          <cell r="AI14">
            <v>14.000000000000007</v>
          </cell>
          <cell r="AK14">
            <v>146</v>
          </cell>
          <cell r="AL14">
            <v>26</v>
          </cell>
          <cell r="AM14">
            <v>172</v>
          </cell>
          <cell r="AO14" t="str">
            <v xml:space="preserve"> 2Q</v>
          </cell>
          <cell r="AP14">
            <v>75.7</v>
          </cell>
          <cell r="AQ14">
            <v>92.4</v>
          </cell>
          <cell r="AR14">
            <v>168.10000000000002</v>
          </cell>
          <cell r="AT14">
            <v>22.5</v>
          </cell>
          <cell r="AU14">
            <v>14</v>
          </cell>
          <cell r="AV14">
            <v>36.5</v>
          </cell>
          <cell r="AX14">
            <v>0</v>
          </cell>
          <cell r="AY14">
            <v>0</v>
          </cell>
          <cell r="AZ14">
            <v>0</v>
          </cell>
          <cell r="BB14">
            <v>40.299999999999997</v>
          </cell>
          <cell r="BC14">
            <v>148.5</v>
          </cell>
          <cell r="BD14">
            <v>188.8</v>
          </cell>
          <cell r="BF14">
            <v>138.5</v>
          </cell>
          <cell r="BG14">
            <v>254.9</v>
          </cell>
          <cell r="BH14">
            <v>393.4</v>
          </cell>
          <cell r="BJ14">
            <v>6.9</v>
          </cell>
          <cell r="BK14">
            <v>63.3</v>
          </cell>
          <cell r="BL14">
            <v>70.2</v>
          </cell>
          <cell r="BN14">
            <v>9.9999999999999645E-2</v>
          </cell>
          <cell r="BO14">
            <v>10.700000000000003</v>
          </cell>
          <cell r="BP14">
            <v>10.800000000000002</v>
          </cell>
          <cell r="BR14">
            <v>7</v>
          </cell>
          <cell r="BS14">
            <v>74</v>
          </cell>
          <cell r="BT14">
            <v>81</v>
          </cell>
          <cell r="BV14" t="str">
            <v xml:space="preserve"> 2Q</v>
          </cell>
          <cell r="BW14">
            <v>0</v>
          </cell>
          <cell r="BX14">
            <v>0</v>
          </cell>
          <cell r="BY14">
            <v>0</v>
          </cell>
          <cell r="CA14">
            <v>0</v>
          </cell>
          <cell r="CB14">
            <v>3</v>
          </cell>
          <cell r="CC14">
            <v>3</v>
          </cell>
          <cell r="CE14">
            <v>0</v>
          </cell>
          <cell r="CF14">
            <v>0</v>
          </cell>
          <cell r="CG14">
            <v>0</v>
          </cell>
          <cell r="CI14">
            <v>0</v>
          </cell>
          <cell r="CJ14">
            <v>3</v>
          </cell>
          <cell r="CK14">
            <v>3</v>
          </cell>
          <cell r="CM14">
            <v>7.2</v>
          </cell>
          <cell r="CN14">
            <v>0</v>
          </cell>
          <cell r="CO14">
            <v>7.2</v>
          </cell>
          <cell r="CQ14">
            <v>48.8</v>
          </cell>
          <cell r="CR14">
            <v>8</v>
          </cell>
          <cell r="CS14">
            <v>56.8</v>
          </cell>
          <cell r="CU14">
            <v>56</v>
          </cell>
          <cell r="CV14">
            <v>8</v>
          </cell>
          <cell r="CW14">
            <v>64</v>
          </cell>
          <cell r="CY14">
            <v>5.3999999999999773</v>
          </cell>
          <cell r="CZ14">
            <v>53.200000000000017</v>
          </cell>
          <cell r="DA14">
            <v>58.599999999999994</v>
          </cell>
          <cell r="DC14" t="str">
            <v xml:space="preserve"> 2Q</v>
          </cell>
          <cell r="DD14">
            <v>0</v>
          </cell>
          <cell r="DE14">
            <v>0</v>
          </cell>
          <cell r="DF14">
            <v>0</v>
          </cell>
          <cell r="DL14">
            <v>697.3</v>
          </cell>
          <cell r="DM14">
            <v>612.20000000000005</v>
          </cell>
          <cell r="DN14">
            <v>1309.5</v>
          </cell>
          <cell r="DP14">
            <v>38.799999999999997</v>
          </cell>
          <cell r="DQ14">
            <v>102.6</v>
          </cell>
          <cell r="DR14">
            <v>141.39999999999998</v>
          </cell>
          <cell r="DT14">
            <v>75</v>
          </cell>
          <cell r="DU14">
            <v>32</v>
          </cell>
          <cell r="DV14">
            <v>107</v>
          </cell>
          <cell r="DX14">
            <v>811.09999999999991</v>
          </cell>
          <cell r="DY14">
            <v>746.80000000000007</v>
          </cell>
          <cell r="DZ14">
            <v>1557.9</v>
          </cell>
        </row>
        <row r="15">
          <cell r="A15" t="str">
            <v xml:space="preserve"> 3Q</v>
          </cell>
          <cell r="B15">
            <v>292.60000000000002</v>
          </cell>
          <cell r="C15">
            <v>0</v>
          </cell>
          <cell r="D15">
            <v>292.60000000000002</v>
          </cell>
          <cell r="F15">
            <v>87.6</v>
          </cell>
          <cell r="G15">
            <v>122.2</v>
          </cell>
          <cell r="H15">
            <v>209.8</v>
          </cell>
          <cell r="J15">
            <v>26.2</v>
          </cell>
          <cell r="K15">
            <v>55.2</v>
          </cell>
          <cell r="L15">
            <v>81.400000000000006</v>
          </cell>
          <cell r="Q15">
            <v>8.4999999999999432</v>
          </cell>
          <cell r="R15">
            <v>32.900000000000006</v>
          </cell>
          <cell r="S15">
            <v>41.399999999999949</v>
          </cell>
          <cell r="U15">
            <v>414.9</v>
          </cell>
          <cell r="V15">
            <v>210.3</v>
          </cell>
          <cell r="W15">
            <v>625.20000000000005</v>
          </cell>
          <cell r="Y15">
            <v>176.7</v>
          </cell>
          <cell r="Z15">
            <v>20.399999999999999</v>
          </cell>
          <cell r="AA15">
            <v>197.1</v>
          </cell>
          <cell r="AC15">
            <v>0</v>
          </cell>
          <cell r="AD15">
            <v>0</v>
          </cell>
          <cell r="AE15">
            <v>0</v>
          </cell>
          <cell r="AG15">
            <v>6.3000000000000114</v>
          </cell>
          <cell r="AH15">
            <v>7.6000000000000014</v>
          </cell>
          <cell r="AI15">
            <v>13.900000000000013</v>
          </cell>
          <cell r="AK15">
            <v>183</v>
          </cell>
          <cell r="AL15">
            <v>28</v>
          </cell>
          <cell r="AM15">
            <v>211</v>
          </cell>
          <cell r="AO15" t="str">
            <v xml:space="preserve"> 3Q</v>
          </cell>
          <cell r="AP15">
            <v>94.3</v>
          </cell>
          <cell r="AQ15">
            <v>103.3</v>
          </cell>
          <cell r="AR15">
            <v>197.6</v>
          </cell>
          <cell r="AT15">
            <v>25.7</v>
          </cell>
          <cell r="AU15">
            <v>19</v>
          </cell>
          <cell r="AV15">
            <v>44.7</v>
          </cell>
          <cell r="AX15">
            <v>0</v>
          </cell>
          <cell r="AY15">
            <v>0</v>
          </cell>
          <cell r="AZ15">
            <v>0</v>
          </cell>
          <cell r="BB15">
            <v>40.800000000000011</v>
          </cell>
          <cell r="BC15">
            <v>156.30000000000001</v>
          </cell>
          <cell r="BD15">
            <v>197.10000000000002</v>
          </cell>
          <cell r="BF15">
            <v>160.80000000000001</v>
          </cell>
          <cell r="BG15">
            <v>278.60000000000002</v>
          </cell>
          <cell r="BH15">
            <v>439.40000000000003</v>
          </cell>
          <cell r="BJ15">
            <v>6.8</v>
          </cell>
          <cell r="BK15">
            <v>66.099999999999994</v>
          </cell>
          <cell r="BL15">
            <v>72.899999999999991</v>
          </cell>
          <cell r="BN15">
            <v>0.20000000000000018</v>
          </cell>
          <cell r="BO15">
            <v>15.900000000000006</v>
          </cell>
          <cell r="BP15">
            <v>16.100000000000005</v>
          </cell>
          <cell r="BR15">
            <v>7</v>
          </cell>
          <cell r="BS15">
            <v>82</v>
          </cell>
          <cell r="BT15">
            <v>89</v>
          </cell>
          <cell r="BV15" t="str">
            <v xml:space="preserve"> 3Q</v>
          </cell>
          <cell r="BW15">
            <v>0</v>
          </cell>
          <cell r="BX15">
            <v>0</v>
          </cell>
          <cell r="BY15">
            <v>0</v>
          </cell>
          <cell r="CA15">
            <v>0</v>
          </cell>
          <cell r="CB15">
            <v>4</v>
          </cell>
          <cell r="CC15">
            <v>4</v>
          </cell>
          <cell r="CE15">
            <v>0</v>
          </cell>
          <cell r="CF15">
            <v>0</v>
          </cell>
          <cell r="CG15">
            <v>0</v>
          </cell>
          <cell r="CI15">
            <v>0</v>
          </cell>
          <cell r="CJ15">
            <v>4</v>
          </cell>
          <cell r="CK15">
            <v>4</v>
          </cell>
          <cell r="CM15">
            <v>4.5</v>
          </cell>
          <cell r="CN15">
            <v>0</v>
          </cell>
          <cell r="CO15">
            <v>4.5</v>
          </cell>
          <cell r="CQ15">
            <v>38.5</v>
          </cell>
          <cell r="CR15">
            <v>8</v>
          </cell>
          <cell r="CS15">
            <v>46.5</v>
          </cell>
          <cell r="CU15">
            <v>43</v>
          </cell>
          <cell r="CV15">
            <v>8</v>
          </cell>
          <cell r="CW15">
            <v>51</v>
          </cell>
          <cell r="CY15">
            <v>6.0999999999999659</v>
          </cell>
          <cell r="CZ15">
            <v>55.800000000000011</v>
          </cell>
          <cell r="DA15">
            <v>61.899999999999977</v>
          </cell>
          <cell r="DC15" t="str">
            <v xml:space="preserve"> 3Q</v>
          </cell>
          <cell r="DD15">
            <v>0</v>
          </cell>
          <cell r="DE15">
            <v>0</v>
          </cell>
          <cell r="DF15">
            <v>0</v>
          </cell>
          <cell r="DL15">
            <v>814.8</v>
          </cell>
          <cell r="DM15">
            <v>666.7</v>
          </cell>
          <cell r="DN15">
            <v>1481.5</v>
          </cell>
          <cell r="DP15">
            <v>50</v>
          </cell>
          <cell r="DQ15">
            <v>93</v>
          </cell>
          <cell r="DR15">
            <v>143</v>
          </cell>
          <cell r="DT15">
            <v>75</v>
          </cell>
          <cell r="DU15">
            <v>33</v>
          </cell>
          <cell r="DV15">
            <v>108</v>
          </cell>
          <cell r="DX15">
            <v>939.8</v>
          </cell>
          <cell r="DY15">
            <v>792.7</v>
          </cell>
          <cell r="DZ15">
            <v>1732.5</v>
          </cell>
        </row>
        <row r="16">
          <cell r="A16" t="str">
            <v xml:space="preserve"> 4Q</v>
          </cell>
          <cell r="B16">
            <v>298.8</v>
          </cell>
          <cell r="C16">
            <v>0</v>
          </cell>
          <cell r="D16">
            <v>298.8</v>
          </cell>
          <cell r="F16">
            <v>86.1</v>
          </cell>
          <cell r="G16">
            <v>143.19999999999999</v>
          </cell>
          <cell r="H16">
            <v>229.29999999999998</v>
          </cell>
          <cell r="J16">
            <v>26</v>
          </cell>
          <cell r="K16">
            <v>59.4</v>
          </cell>
          <cell r="L16">
            <v>85.4</v>
          </cell>
          <cell r="Q16">
            <v>9.1000000000000227</v>
          </cell>
          <cell r="R16">
            <v>36.5</v>
          </cell>
          <cell r="S16">
            <v>45.600000000000023</v>
          </cell>
          <cell r="U16">
            <v>420</v>
          </cell>
          <cell r="V16">
            <v>239.1</v>
          </cell>
          <cell r="W16">
            <v>659.1</v>
          </cell>
          <cell r="Y16">
            <v>179.5</v>
          </cell>
          <cell r="Z16">
            <v>26.9</v>
          </cell>
          <cell r="AA16">
            <v>206.4</v>
          </cell>
          <cell r="AC16">
            <v>0</v>
          </cell>
          <cell r="AD16">
            <v>0</v>
          </cell>
          <cell r="AE16">
            <v>0</v>
          </cell>
          <cell r="AG16">
            <v>6.5</v>
          </cell>
          <cell r="AH16">
            <v>8.1000000000000014</v>
          </cell>
          <cell r="AI16">
            <v>14.600000000000001</v>
          </cell>
          <cell r="AK16">
            <v>186</v>
          </cell>
          <cell r="AL16">
            <v>35</v>
          </cell>
          <cell r="AM16">
            <v>221</v>
          </cell>
          <cell r="AO16" t="str">
            <v xml:space="preserve"> 4Q</v>
          </cell>
          <cell r="AP16">
            <v>86.2</v>
          </cell>
          <cell r="AQ16">
            <v>111.3</v>
          </cell>
          <cell r="AR16">
            <v>197.5</v>
          </cell>
          <cell r="AT16">
            <v>39.1</v>
          </cell>
          <cell r="AU16">
            <v>38.700000000000003</v>
          </cell>
          <cell r="AV16">
            <v>77.800000000000011</v>
          </cell>
          <cell r="AX16">
            <v>0</v>
          </cell>
          <cell r="AY16">
            <v>0</v>
          </cell>
          <cell r="AZ16">
            <v>0</v>
          </cell>
          <cell r="BB16">
            <v>45.299999999999983</v>
          </cell>
          <cell r="BC16">
            <v>178.5</v>
          </cell>
          <cell r="BD16">
            <v>223.79999999999998</v>
          </cell>
          <cell r="BF16">
            <v>170.6</v>
          </cell>
          <cell r="BG16">
            <v>328.5</v>
          </cell>
          <cell r="BH16">
            <v>499.1</v>
          </cell>
          <cell r="BJ16">
            <v>11.2</v>
          </cell>
          <cell r="BK16">
            <v>72.2</v>
          </cell>
          <cell r="BL16">
            <v>83.4</v>
          </cell>
          <cell r="BN16">
            <v>-0.19999999999999929</v>
          </cell>
          <cell r="BO16">
            <v>17.799999999999997</v>
          </cell>
          <cell r="BP16">
            <v>17.599999999999998</v>
          </cell>
          <cell r="BR16">
            <v>11</v>
          </cell>
          <cell r="BS16">
            <v>90</v>
          </cell>
          <cell r="BT16">
            <v>101</v>
          </cell>
          <cell r="BV16" t="str">
            <v xml:space="preserve"> 4Q</v>
          </cell>
          <cell r="BW16">
            <v>0</v>
          </cell>
          <cell r="BX16">
            <v>0</v>
          </cell>
          <cell r="BY16">
            <v>0</v>
          </cell>
          <cell r="CA16">
            <v>0</v>
          </cell>
          <cell r="CB16">
            <v>2.9</v>
          </cell>
          <cell r="CC16">
            <v>2.9</v>
          </cell>
          <cell r="CE16">
            <v>0</v>
          </cell>
          <cell r="CF16">
            <v>0.10000000000000009</v>
          </cell>
          <cell r="CG16">
            <v>0.10000000000000009</v>
          </cell>
          <cell r="CI16">
            <v>0</v>
          </cell>
          <cell r="CJ16">
            <v>3</v>
          </cell>
          <cell r="CK16">
            <v>3</v>
          </cell>
          <cell r="CM16">
            <v>11.9</v>
          </cell>
          <cell r="CN16">
            <v>0</v>
          </cell>
          <cell r="CO16">
            <v>11.9</v>
          </cell>
          <cell r="CQ16">
            <v>32.1</v>
          </cell>
          <cell r="CR16">
            <v>9</v>
          </cell>
          <cell r="CS16">
            <v>41.1</v>
          </cell>
          <cell r="CU16">
            <v>44</v>
          </cell>
          <cell r="CV16">
            <v>9</v>
          </cell>
          <cell r="CW16">
            <v>53</v>
          </cell>
          <cell r="CY16">
            <v>7.1999999999999602</v>
          </cell>
          <cell r="CZ16">
            <v>65.899999999999977</v>
          </cell>
          <cell r="DA16">
            <v>73.099999999999937</v>
          </cell>
          <cell r="DC16" t="str">
            <v xml:space="preserve"> 4Q</v>
          </cell>
          <cell r="DD16">
            <v>0</v>
          </cell>
          <cell r="DE16">
            <v>0</v>
          </cell>
          <cell r="DF16">
            <v>0</v>
          </cell>
          <cell r="DL16">
            <v>838.8</v>
          </cell>
          <cell r="DM16">
            <v>770.5</v>
          </cell>
          <cell r="DN16">
            <v>1609.3</v>
          </cell>
          <cell r="DP16">
            <v>48</v>
          </cell>
          <cell r="DQ16">
            <v>127.7</v>
          </cell>
          <cell r="DR16">
            <v>175.7</v>
          </cell>
          <cell r="DT16">
            <v>49</v>
          </cell>
          <cell r="DU16">
            <v>38</v>
          </cell>
          <cell r="DV16">
            <v>87</v>
          </cell>
          <cell r="DX16">
            <v>935.8</v>
          </cell>
          <cell r="DY16">
            <v>936.2</v>
          </cell>
          <cell r="DZ16">
            <v>1872</v>
          </cell>
        </row>
        <row r="18">
          <cell r="A18" t="str">
            <v>1994</v>
          </cell>
          <cell r="B18">
            <v>1177.2</v>
          </cell>
          <cell r="C18">
            <v>0</v>
          </cell>
          <cell r="D18">
            <v>1177.2</v>
          </cell>
          <cell r="F18">
            <v>302.5</v>
          </cell>
          <cell r="G18">
            <v>465.09999999999997</v>
          </cell>
          <cell r="H18">
            <v>767.59999999999991</v>
          </cell>
          <cell r="J18">
            <v>95.5</v>
          </cell>
          <cell r="K18">
            <v>217.8</v>
          </cell>
          <cell r="L18">
            <v>313.3</v>
          </cell>
          <cell r="Q18">
            <v>35.799999999999898</v>
          </cell>
          <cell r="R18">
            <v>133.70000000000002</v>
          </cell>
          <cell r="S18">
            <v>169.49999999999991</v>
          </cell>
          <cell r="U18">
            <v>1611</v>
          </cell>
          <cell r="V18">
            <v>816.6</v>
          </cell>
          <cell r="W18">
            <v>2427.6</v>
          </cell>
          <cell r="Y18">
            <v>638.4</v>
          </cell>
          <cell r="Z18">
            <v>80</v>
          </cell>
          <cell r="AA18">
            <v>718.4</v>
          </cell>
          <cell r="AC18">
            <v>0</v>
          </cell>
          <cell r="AD18">
            <v>0</v>
          </cell>
          <cell r="AE18">
            <v>0</v>
          </cell>
          <cell r="AG18">
            <v>24.600000000000023</v>
          </cell>
          <cell r="AH18">
            <v>32</v>
          </cell>
          <cell r="AI18">
            <v>56.60000000000003</v>
          </cell>
          <cell r="AK18">
            <v>663</v>
          </cell>
          <cell r="AL18">
            <v>112</v>
          </cell>
          <cell r="AM18">
            <v>775</v>
          </cell>
          <cell r="AO18" t="str">
            <v>1994</v>
          </cell>
          <cell r="AP18">
            <v>327.8</v>
          </cell>
          <cell r="AQ18">
            <v>393</v>
          </cell>
          <cell r="AR18">
            <v>720.80000000000007</v>
          </cell>
          <cell r="AT18">
            <v>123.4</v>
          </cell>
          <cell r="AU18">
            <v>82.800000000000011</v>
          </cell>
          <cell r="AV18">
            <v>206.20000000000002</v>
          </cell>
          <cell r="AX18">
            <v>0</v>
          </cell>
          <cell r="AY18">
            <v>0</v>
          </cell>
          <cell r="AZ18">
            <v>0</v>
          </cell>
          <cell r="BB18">
            <v>174.1</v>
          </cell>
          <cell r="BC18">
            <v>650.29999999999995</v>
          </cell>
          <cell r="BD18">
            <v>824.40000000000009</v>
          </cell>
          <cell r="BF18">
            <v>625.29999999999995</v>
          </cell>
          <cell r="BG18">
            <v>1126.0999999999999</v>
          </cell>
          <cell r="BH18">
            <v>1751.4</v>
          </cell>
          <cell r="BJ18">
            <v>35.5</v>
          </cell>
          <cell r="BK18">
            <v>266.3</v>
          </cell>
          <cell r="BL18">
            <v>301.79999999999995</v>
          </cell>
          <cell r="BN18">
            <v>0.50000000000000089</v>
          </cell>
          <cell r="BO18">
            <v>60.7</v>
          </cell>
          <cell r="BP18">
            <v>61.2</v>
          </cell>
          <cell r="BR18">
            <v>36</v>
          </cell>
          <cell r="BS18">
            <v>327</v>
          </cell>
          <cell r="BT18">
            <v>363</v>
          </cell>
          <cell r="BV18" t="str">
            <v>1994</v>
          </cell>
          <cell r="BW18">
            <v>0</v>
          </cell>
          <cell r="BX18">
            <v>0</v>
          </cell>
          <cell r="BY18">
            <v>0</v>
          </cell>
          <cell r="CA18">
            <v>0</v>
          </cell>
          <cell r="CB18">
            <v>11.200000000000001</v>
          </cell>
          <cell r="CC18">
            <v>11.200000000000001</v>
          </cell>
          <cell r="CE18">
            <v>0</v>
          </cell>
          <cell r="CF18">
            <v>-0.19999999999999996</v>
          </cell>
          <cell r="CG18">
            <v>-0.19999999999999996</v>
          </cell>
          <cell r="CI18">
            <v>0</v>
          </cell>
          <cell r="CJ18">
            <v>11</v>
          </cell>
          <cell r="CK18">
            <v>11</v>
          </cell>
          <cell r="CM18">
            <v>23.6</v>
          </cell>
          <cell r="CN18">
            <v>0</v>
          </cell>
          <cell r="CO18">
            <v>23.6</v>
          </cell>
          <cell r="CP18">
            <v>0</v>
          </cell>
          <cell r="CQ18">
            <v>180.4</v>
          </cell>
          <cell r="CR18">
            <v>32</v>
          </cell>
          <cell r="CS18">
            <v>212.4</v>
          </cell>
          <cell r="CU18">
            <v>204</v>
          </cell>
          <cell r="CV18">
            <v>32</v>
          </cell>
          <cell r="CW18">
            <v>236</v>
          </cell>
          <cell r="CY18">
            <v>26.399999999999864</v>
          </cell>
          <cell r="CZ18">
            <v>220.79999999999998</v>
          </cell>
          <cell r="DA18">
            <v>247.19999999999985</v>
          </cell>
          <cell r="DC18" t="str">
            <v>1994</v>
          </cell>
          <cell r="DD18">
            <v>0</v>
          </cell>
          <cell r="DE18">
            <v>0</v>
          </cell>
          <cell r="DF18">
            <v>0</v>
          </cell>
          <cell r="DL18">
            <v>3165.7</v>
          </cell>
          <cell r="DM18">
            <v>2645.5</v>
          </cell>
          <cell r="DN18">
            <v>5811.2</v>
          </cell>
          <cell r="DP18">
            <v>175.1</v>
          </cell>
          <cell r="DQ18">
            <v>430.3</v>
          </cell>
          <cell r="DR18">
            <v>605.4</v>
          </cell>
          <cell r="DT18">
            <v>319</v>
          </cell>
          <cell r="DU18">
            <v>90</v>
          </cell>
          <cell r="DV18">
            <v>409</v>
          </cell>
          <cell r="DX18">
            <v>3614.8</v>
          </cell>
          <cell r="DY18">
            <v>3210.8</v>
          </cell>
          <cell r="DZ18">
            <v>6825.6</v>
          </cell>
        </row>
        <row r="20">
          <cell r="A20" t="str">
            <v xml:space="preserve">1995/94 </v>
          </cell>
          <cell r="AO20" t="str">
            <v xml:space="preserve">1995/94 </v>
          </cell>
          <cell r="BV20" t="str">
            <v xml:space="preserve">1995/94 </v>
          </cell>
          <cell r="DC20" t="str">
            <v xml:space="preserve">1995/94 </v>
          </cell>
        </row>
        <row r="21">
          <cell r="A21" t="str">
            <v xml:space="preserve"> 1Q</v>
          </cell>
          <cell r="B21">
            <v>-2.2314787265694733E-2</v>
          </cell>
          <cell r="C21" t="str">
            <v>NM</v>
          </cell>
          <cell r="D21">
            <v>-2.2314787265694733E-2</v>
          </cell>
          <cell r="F21">
            <v>0.89176090468497571</v>
          </cell>
          <cell r="G21">
            <v>0.61605206073752705</v>
          </cell>
          <cell r="H21">
            <v>0.72680077871512028</v>
          </cell>
          <cell r="J21">
            <v>0.34955752212389374</v>
          </cell>
          <cell r="K21">
            <v>0.15151515151515152</v>
          </cell>
          <cell r="L21">
            <v>0.21359223300970884</v>
          </cell>
          <cell r="Q21">
            <v>-0.30630630630631034</v>
          </cell>
          <cell r="R21">
            <v>-3.0864197530864192E-2</v>
          </cell>
          <cell r="S21">
            <v>-0.10114942528735717</v>
          </cell>
          <cell r="U21">
            <v>0.12091730368311325</v>
          </cell>
          <cell r="V21">
            <v>0.36358414704192998</v>
          </cell>
          <cell r="W21">
            <v>0.19065698250247609</v>
          </cell>
          <cell r="Y21">
            <v>0.47598870056497183</v>
          </cell>
          <cell r="Z21">
            <v>0.84313725490196068</v>
          </cell>
          <cell r="AA21">
            <v>0.51179094964945815</v>
          </cell>
          <cell r="AC21" t="str">
            <v>NM</v>
          </cell>
          <cell r="AD21" t="str">
            <v>NM</v>
          </cell>
          <cell r="AE21" t="str">
            <v>NM</v>
          </cell>
          <cell r="AG21">
            <v>9.3749999999999029E-2</v>
          </cell>
          <cell r="AH21">
            <v>1.2987012987013173E-2</v>
          </cell>
          <cell r="AI21">
            <v>4.9645390070921669E-2</v>
          </cell>
          <cell r="AK21">
            <v>0.45945945945945948</v>
          </cell>
          <cell r="AL21">
            <v>0.56521739130434778</v>
          </cell>
          <cell r="AM21">
            <v>0.47368421052631576</v>
          </cell>
          <cell r="AO21" t="str">
            <v xml:space="preserve"> 1Q</v>
          </cell>
          <cell r="AP21">
            <v>0.33240223463687169</v>
          </cell>
          <cell r="AQ21">
            <v>0.2023255813953489</v>
          </cell>
          <cell r="AR21">
            <v>0.26142131979695443</v>
          </cell>
          <cell r="AT21">
            <v>0.65373961218836563</v>
          </cell>
          <cell r="AU21">
            <v>2.9909909909909906</v>
          </cell>
          <cell r="AV21">
            <v>1.2033898305084745</v>
          </cell>
          <cell r="AX21" t="str">
            <v>NM</v>
          </cell>
          <cell r="AY21" t="str">
            <v>NM</v>
          </cell>
          <cell r="AZ21" t="str">
            <v>NM</v>
          </cell>
          <cell r="BB21">
            <v>-1.4675052410902415E-2</v>
          </cell>
          <cell r="BC21">
            <v>1.7964071856286401E-3</v>
          </cell>
          <cell r="BD21">
            <v>-1.863064741500058E-3</v>
          </cell>
          <cell r="BF21">
            <v>0.30051480051480045</v>
          </cell>
          <cell r="BG21">
            <v>0.19273002650511159</v>
          </cell>
          <cell r="BH21">
            <v>0.23265792610250302</v>
          </cell>
          <cell r="BJ21">
            <v>-0.43396226415094336</v>
          </cell>
          <cell r="BK21">
            <v>-1.0819165378670831E-2</v>
          </cell>
          <cell r="BL21">
            <v>-7.0385126162018558E-2</v>
          </cell>
          <cell r="BN21" t="str">
            <v xml:space="preserve">  NM</v>
          </cell>
          <cell r="BO21">
            <v>-1.8404907975459951E-2</v>
          </cell>
          <cell r="BP21">
            <v>-4.1916167664670413E-2</v>
          </cell>
          <cell r="BR21">
            <v>-0.45454545454545453</v>
          </cell>
          <cell r="BS21">
            <v>-1.2345679012345678E-2</v>
          </cell>
          <cell r="BT21">
            <v>-6.5217391304347824E-2</v>
          </cell>
          <cell r="BV21" t="str">
            <v xml:space="preserve"> 1Q</v>
          </cell>
          <cell r="BW21" t="str">
            <v>NM</v>
          </cell>
          <cell r="BX21" t="str">
            <v>NM</v>
          </cell>
          <cell r="BY21" t="str">
            <v>NM</v>
          </cell>
          <cell r="CA21" t="str">
            <v xml:space="preserve">    NM</v>
          </cell>
          <cell r="CB21">
            <v>0.53846153846153844</v>
          </cell>
          <cell r="CC21" t="str">
            <v xml:space="preserve">    NM</v>
          </cell>
          <cell r="CE21" t="str">
            <v xml:space="preserve">   NM</v>
          </cell>
          <cell r="CF21" t="str">
            <v xml:space="preserve">  NM</v>
          </cell>
          <cell r="CG21" t="str">
            <v xml:space="preserve">   NM</v>
          </cell>
          <cell r="CI21" t="str">
            <v xml:space="preserve">   NM</v>
          </cell>
          <cell r="CJ21">
            <v>1</v>
          </cell>
          <cell r="CK21">
            <v>1</v>
          </cell>
          <cell r="CM21" t="str">
            <v xml:space="preserve">    NM</v>
          </cell>
          <cell r="CN21" t="str">
            <v xml:space="preserve">    NM</v>
          </cell>
          <cell r="CO21" t="str">
            <v xml:space="preserve">    NM</v>
          </cell>
          <cell r="CQ21">
            <v>-0.58360655737704925</v>
          </cell>
          <cell r="CR21">
            <v>0.14285714285714285</v>
          </cell>
          <cell r="CS21">
            <v>-0.50882352941176467</v>
          </cell>
          <cell r="CU21">
            <v>-0.34426229508196721</v>
          </cell>
          <cell r="CV21">
            <v>0.14285714285714285</v>
          </cell>
          <cell r="CW21">
            <v>-0.29411764705882354</v>
          </cell>
          <cell r="CY21">
            <v>-0.49350649350649384</v>
          </cell>
          <cell r="CZ21">
            <v>0.27233115468409846</v>
          </cell>
          <cell r="DA21">
            <v>0.16231343283582353</v>
          </cell>
          <cell r="DC21" t="str">
            <v xml:space="preserve"> 1Q</v>
          </cell>
          <cell r="DD21" t="str">
            <v xml:space="preserve">    NM</v>
          </cell>
          <cell r="DE21" t="str">
            <v xml:space="preserve">    NM</v>
          </cell>
          <cell r="DF21" t="str">
            <v xml:space="preserve">    NM</v>
          </cell>
          <cell r="DL21">
            <v>0.16826215022091315</v>
          </cell>
          <cell r="DM21">
            <v>0.23603422244589842</v>
          </cell>
          <cell r="DN21">
            <v>0.19689559855411434</v>
          </cell>
          <cell r="DP21">
            <v>1.5691906005221936</v>
          </cell>
          <cell r="DQ21">
            <v>0.6327102803738317</v>
          </cell>
          <cell r="DR21">
            <v>0.87955953200275294</v>
          </cell>
          <cell r="DT21">
            <v>-0.10666666666666667</v>
          </cell>
          <cell r="DU21">
            <v>-3.125E-2</v>
          </cell>
          <cell r="DV21">
            <v>-8.4112149532710276E-2</v>
          </cell>
          <cell r="DX21">
            <v>0.20385734295873295</v>
          </cell>
          <cell r="DY21">
            <v>0.2821384845599238</v>
          </cell>
          <cell r="DZ21">
            <v>0.2384559884559887</v>
          </cell>
        </row>
        <row r="22">
          <cell r="A22" t="str">
            <v xml:space="preserve"> 2Q</v>
          </cell>
          <cell r="B22">
            <v>-3.4841810172206604E-2</v>
          </cell>
          <cell r="C22" t="str">
            <v>NM</v>
          </cell>
          <cell r="D22">
            <v>-3.4841810172206604E-2</v>
          </cell>
          <cell r="F22">
            <v>0.75037369207772775</v>
          </cell>
          <cell r="G22">
            <v>0.69860465116279069</v>
          </cell>
          <cell r="H22">
            <v>0.71846330275229342</v>
          </cell>
          <cell r="J22">
            <v>0.47826086956521752</v>
          </cell>
          <cell r="K22">
            <v>0.32588454376163872</v>
          </cell>
          <cell r="L22">
            <v>0.36827956989247318</v>
          </cell>
          <cell r="Q22">
            <v>-8.4507042253524733E-2</v>
          </cell>
          <cell r="R22">
            <v>0.17868338557993602</v>
          </cell>
          <cell r="S22">
            <v>0.13076923076922925</v>
          </cell>
          <cell r="U22">
            <v>0.14750290360046461</v>
          </cell>
          <cell r="V22">
            <v>0.509062661833247</v>
          </cell>
          <cell r="W22">
            <v>0.27739534883720912</v>
          </cell>
          <cell r="Y22">
            <v>0.44096728307254623</v>
          </cell>
          <cell r="Z22">
            <v>1.1264367816091956</v>
          </cell>
          <cell r="AA22">
            <v>0.51645569620253162</v>
          </cell>
          <cell r="AC22" t="str">
            <v>NM</v>
          </cell>
          <cell r="AD22" t="str">
            <v>NM</v>
          </cell>
          <cell r="AE22" t="str">
            <v>NM</v>
          </cell>
          <cell r="AG22">
            <v>-0.18518518518518498</v>
          </cell>
          <cell r="AH22">
            <v>4.651162790697657E-2</v>
          </cell>
          <cell r="AI22">
            <v>-4.2857142857142934E-2</v>
          </cell>
          <cell r="AK22">
            <v>0.4178082191780822</v>
          </cell>
          <cell r="AL22">
            <v>0.76923076923076927</v>
          </cell>
          <cell r="AM22">
            <v>0.47093023255813954</v>
          </cell>
          <cell r="AO22" t="str">
            <v xml:space="preserve"> 2Q</v>
          </cell>
          <cell r="AP22">
            <v>0.21003963011889024</v>
          </cell>
          <cell r="AQ22">
            <v>0.35173160173160173</v>
          </cell>
          <cell r="AR22">
            <v>0.28792385484830441</v>
          </cell>
          <cell r="AT22">
            <v>0.8533333333333335</v>
          </cell>
          <cell r="AU22">
            <v>2.8285714285714287</v>
          </cell>
          <cell r="AV22">
            <v>1.6109589041095893</v>
          </cell>
          <cell r="AX22" t="str">
            <v>NM</v>
          </cell>
          <cell r="AY22" t="str">
            <v>NM</v>
          </cell>
          <cell r="AZ22" t="str">
            <v>NM</v>
          </cell>
          <cell r="BB22">
            <v>-1.4888337468982844E-2</v>
          </cell>
          <cell r="BC22">
            <v>0.19730639730639737</v>
          </cell>
          <cell r="BD22">
            <v>0.15201271186440671</v>
          </cell>
          <cell r="BF22">
            <v>0.24909747292418771</v>
          </cell>
          <cell r="BG22">
            <v>0.39780306002353866</v>
          </cell>
          <cell r="BH22">
            <v>0.34544992374173866</v>
          </cell>
          <cell r="BJ22">
            <v>-0.1304347826086957</v>
          </cell>
          <cell r="BK22">
            <v>0.12164296998420226</v>
          </cell>
          <cell r="BL22">
            <v>9.6866096866096818E-2</v>
          </cell>
          <cell r="BN22" t="str">
            <v xml:space="preserve">  NM</v>
          </cell>
          <cell r="BO22">
            <v>0.30841121495327067</v>
          </cell>
          <cell r="BP22">
            <v>0.38888888888888856</v>
          </cell>
          <cell r="BR22">
            <v>0</v>
          </cell>
          <cell r="BS22">
            <v>0.14864864864864866</v>
          </cell>
          <cell r="BT22">
            <v>0.13580246913580246</v>
          </cell>
          <cell r="BV22" t="str">
            <v xml:space="preserve"> 2Q</v>
          </cell>
          <cell r="BW22" t="str">
            <v>NM</v>
          </cell>
          <cell r="BX22" t="str">
            <v>NM</v>
          </cell>
          <cell r="BY22" t="str">
            <v>NM</v>
          </cell>
          <cell r="CA22" t="str">
            <v xml:space="preserve">    NM</v>
          </cell>
          <cell r="CB22">
            <v>9.9999999999999936E-2</v>
          </cell>
          <cell r="CC22">
            <v>9.9999999999999936E-2</v>
          </cell>
          <cell r="CE22" t="str">
            <v xml:space="preserve">   NM</v>
          </cell>
          <cell r="CF22" t="str">
            <v xml:space="preserve">  NM</v>
          </cell>
          <cell r="CG22" t="str">
            <v xml:space="preserve">   NM</v>
          </cell>
          <cell r="CI22" t="str">
            <v xml:space="preserve">   NM</v>
          </cell>
          <cell r="CJ22">
            <v>0</v>
          </cell>
          <cell r="CK22">
            <v>1</v>
          </cell>
          <cell r="CM22">
            <v>1.7083333333333335</v>
          </cell>
          <cell r="CN22" t="str">
            <v xml:space="preserve">    NM</v>
          </cell>
          <cell r="CO22">
            <v>1.7083333333333335</v>
          </cell>
          <cell r="CQ22">
            <v>-0.57991803278688525</v>
          </cell>
          <cell r="CR22">
            <v>0.125</v>
          </cell>
          <cell r="CS22">
            <v>-0.48063380281690138</v>
          </cell>
          <cell r="CU22">
            <v>-0.2857142857142857</v>
          </cell>
          <cell r="CV22">
            <v>0.125</v>
          </cell>
          <cell r="CW22">
            <v>-0.234375</v>
          </cell>
          <cell r="CY22" t="str">
            <v xml:space="preserve">    NM</v>
          </cell>
          <cell r="CZ22">
            <v>0.25751879699248142</v>
          </cell>
          <cell r="DA22">
            <v>1.1945392491468839E-2</v>
          </cell>
          <cell r="DC22" t="str">
            <v xml:space="preserve"> 2Q</v>
          </cell>
          <cell r="DD22" t="str">
            <v xml:space="preserve">    NM</v>
          </cell>
          <cell r="DE22" t="str">
            <v xml:space="preserve">    NM</v>
          </cell>
          <cell r="DF22" t="str">
            <v xml:space="preserve">    NM</v>
          </cell>
          <cell r="DL22">
            <v>0.17252258712175544</v>
          </cell>
          <cell r="DM22">
            <v>0.40084939562234556</v>
          </cell>
          <cell r="DN22">
            <v>0.27926689576174113</v>
          </cell>
          <cell r="DP22">
            <v>1.2938144329896908</v>
          </cell>
          <cell r="DQ22">
            <v>0.91033138401559466</v>
          </cell>
          <cell r="DR22">
            <v>1.015558698727016</v>
          </cell>
          <cell r="DT22">
            <v>-0.17333333333333334</v>
          </cell>
          <cell r="DU22">
            <v>0.1875</v>
          </cell>
          <cell r="DV22">
            <v>-6.5420560747663545E-2</v>
          </cell>
          <cell r="DX22">
            <v>0.19418074220194814</v>
          </cell>
          <cell r="DY22">
            <v>0.46170326727370087</v>
          </cell>
          <cell r="DZ22">
            <v>0.32242120803645913</v>
          </cell>
        </row>
        <row r="23">
          <cell r="A23" t="str">
            <v xml:space="preserve"> 3Q</v>
          </cell>
          <cell r="B23">
            <v>-2.7341079972659308E-3</v>
          </cell>
          <cell r="C23" t="str">
            <v>NM</v>
          </cell>
          <cell r="D23">
            <v>-2.7341079972659308E-3</v>
          </cell>
          <cell r="F23">
            <v>0.5821917808219178</v>
          </cell>
          <cell r="G23">
            <v>0.59901800327332244</v>
          </cell>
          <cell r="H23">
            <v>0.59199237368922775</v>
          </cell>
          <cell r="J23">
            <v>0.43129770992366417</v>
          </cell>
          <cell r="K23">
            <v>0.29347826086956524</v>
          </cell>
          <cell r="L23">
            <v>0.33783783783783783</v>
          </cell>
          <cell r="Q23">
            <v>-0.35294117647058393</v>
          </cell>
          <cell r="R23">
            <v>0.23100303951367759</v>
          </cell>
          <cell r="S23">
            <v>0.11111111111111248</v>
          </cell>
          <cell r="U23">
            <v>0.14099783080260306</v>
          </cell>
          <cell r="V23">
            <v>0.46124583927722301</v>
          </cell>
          <cell r="W23">
            <v>0.24872040946896992</v>
          </cell>
          <cell r="Y23">
            <v>0.34917940011318632</v>
          </cell>
          <cell r="Z23">
            <v>0.88235294117647067</v>
          </cell>
          <cell r="AA23">
            <v>0.4043632673769661</v>
          </cell>
          <cell r="AC23" t="str">
            <v>NM</v>
          </cell>
          <cell r="AD23" t="str">
            <v>NM</v>
          </cell>
          <cell r="AE23" t="str">
            <v>NM</v>
          </cell>
          <cell r="AG23">
            <v>-0.26984126984127205</v>
          </cell>
          <cell r="AH23">
            <v>0.13157894736842102</v>
          </cell>
          <cell r="AI23">
            <v>-5.0359712230217006E-2</v>
          </cell>
          <cell r="AK23">
            <v>0.32786885245901637</v>
          </cell>
          <cell r="AL23">
            <v>0.6785714285714286</v>
          </cell>
          <cell r="AM23">
            <v>0.37440758293838861</v>
          </cell>
          <cell r="AO23" t="str">
            <v xml:space="preserve"> 3Q</v>
          </cell>
          <cell r="AP23">
            <v>6.4687168610816637E-2</v>
          </cell>
          <cell r="AQ23">
            <v>0.27395934172313646</v>
          </cell>
          <cell r="AR23">
            <v>0.17408906882591096</v>
          </cell>
          <cell r="AT23">
            <v>0.19066147859922189</v>
          </cell>
          <cell r="AU23">
            <v>0.96842105263157885</v>
          </cell>
          <cell r="AV23">
            <v>0.52125279642058153</v>
          </cell>
          <cell r="AX23" t="str">
            <v>NM</v>
          </cell>
          <cell r="AY23" t="str">
            <v>NM</v>
          </cell>
          <cell r="AZ23" t="str">
            <v>NM</v>
          </cell>
          <cell r="BB23">
            <v>7.3529411764705857E-2</v>
          </cell>
          <cell r="BC23">
            <v>0.10556621880998079</v>
          </cell>
          <cell r="BD23">
            <v>9.8934550989345504E-2</v>
          </cell>
          <cell r="BF23">
            <v>8.7064676616915415E-2</v>
          </cell>
          <cell r="BG23">
            <v>0.22684852835606598</v>
          </cell>
          <cell r="BH23">
            <v>0.17569412835685022</v>
          </cell>
          <cell r="BJ23">
            <v>-0.17647058823529416</v>
          </cell>
          <cell r="BK23">
            <v>6.6565809379727781E-2</v>
          </cell>
          <cell r="BL23">
            <v>4.3895747599451349E-2</v>
          </cell>
          <cell r="BN23" t="str">
            <v xml:space="preserve">  NM</v>
          </cell>
          <cell r="BO23">
            <v>0.10062893081760967</v>
          </cell>
          <cell r="BP23">
            <v>4.9689440993788407E-2</v>
          </cell>
          <cell r="BR23">
            <v>-0.2857142857142857</v>
          </cell>
          <cell r="BS23">
            <v>7.3170731707317069E-2</v>
          </cell>
          <cell r="BT23">
            <v>4.49438202247191E-2</v>
          </cell>
          <cell r="BV23" t="str">
            <v xml:space="preserve"> 3Q</v>
          </cell>
          <cell r="BW23" t="str">
            <v>NM</v>
          </cell>
          <cell r="BX23" t="str">
            <v>NM</v>
          </cell>
          <cell r="BY23" t="str">
            <v>NM</v>
          </cell>
          <cell r="CA23" t="str">
            <v xml:space="preserve">    NM</v>
          </cell>
          <cell r="CB23">
            <v>0</v>
          </cell>
          <cell r="CC23">
            <v>0</v>
          </cell>
          <cell r="CE23" t="str">
            <v xml:space="preserve">   NM</v>
          </cell>
          <cell r="CF23" t="str">
            <v xml:space="preserve">  NM</v>
          </cell>
          <cell r="CG23" t="str">
            <v xml:space="preserve">   NM</v>
          </cell>
          <cell r="CI23" t="str">
            <v xml:space="preserve">   NM</v>
          </cell>
          <cell r="CJ23">
            <v>0</v>
          </cell>
          <cell r="CK23">
            <v>0.5</v>
          </cell>
          <cell r="CM23">
            <v>3.9555555555555557</v>
          </cell>
          <cell r="CN23" t="str">
            <v xml:space="preserve">    NM</v>
          </cell>
          <cell r="CO23">
            <v>3.9555555555555557</v>
          </cell>
          <cell r="CQ23">
            <v>-0.59220779220779218</v>
          </cell>
          <cell r="CR23">
            <v>0.125</v>
          </cell>
          <cell r="CS23">
            <v>-0.46881720430107526</v>
          </cell>
          <cell r="CU23">
            <v>-0.11627906976744186</v>
          </cell>
          <cell r="CV23">
            <v>0.125</v>
          </cell>
          <cell r="CW23">
            <v>-7.8431372549019607E-2</v>
          </cell>
          <cell r="CY23">
            <v>0.85245901639345489</v>
          </cell>
          <cell r="CZ23">
            <v>-1.4336917562725234E-2</v>
          </cell>
          <cell r="DA23">
            <v>7.1082390953149902E-2</v>
          </cell>
          <cell r="DC23" t="str">
            <v xml:space="preserve"> 3Q</v>
          </cell>
          <cell r="DD23" t="str">
            <v xml:space="preserve">    NM</v>
          </cell>
          <cell r="DE23" t="str">
            <v xml:space="preserve">    NM</v>
          </cell>
          <cell r="DF23" t="str">
            <v xml:space="preserve">    NM</v>
          </cell>
          <cell r="DL23">
            <v>0.16286205203730983</v>
          </cell>
          <cell r="DM23">
            <v>0.2780860956952152</v>
          </cell>
          <cell r="DN23">
            <v>0.21471481606479914</v>
          </cell>
          <cell r="DP23">
            <v>1.54</v>
          </cell>
          <cell r="DQ23">
            <v>0.89247311827956988</v>
          </cell>
          <cell r="DR23">
            <v>1.118881118881119</v>
          </cell>
          <cell r="DT23">
            <v>-5.3333333333333337E-2</v>
          </cell>
          <cell r="DU23">
            <v>0.12121212121212122</v>
          </cell>
          <cell r="DV23">
            <v>0</v>
          </cell>
          <cell r="DX23">
            <v>0.21887635667163233</v>
          </cell>
          <cell r="DY23">
            <v>0.34363567553929586</v>
          </cell>
          <cell r="DZ23">
            <v>0.2759595959595959</v>
          </cell>
        </row>
        <row r="24">
          <cell r="A24" t="str">
            <v xml:space="preserve"> 4Q</v>
          </cell>
          <cell r="B24">
            <v>-8.7684069611780407E-2</v>
          </cell>
          <cell r="C24" t="str">
            <v>NM</v>
          </cell>
          <cell r="D24">
            <v>-8.7684069611780407E-2</v>
          </cell>
          <cell r="F24">
            <v>0.72822299651567968</v>
          </cell>
          <cell r="G24">
            <v>0.51326815642458101</v>
          </cell>
          <cell r="H24">
            <v>0.59398168338421298</v>
          </cell>
          <cell r="J24">
            <v>0.52692307692307705</v>
          </cell>
          <cell r="K24">
            <v>0.26430976430976422</v>
          </cell>
          <cell r="L24">
            <v>0.3442622950819671</v>
          </cell>
          <cell r="Q24">
            <v>-0.3296703296703351</v>
          </cell>
          <cell r="R24">
            <v>-1.6438356164382627E-2</v>
          </cell>
          <cell r="S24">
            <v>-7.8947368421053085E-2</v>
          </cell>
          <cell r="U24">
            <v>0.11238095238095236</v>
          </cell>
          <cell r="V24">
            <v>0.37055625261396902</v>
          </cell>
          <cell r="W24">
            <v>0.20603853739948408</v>
          </cell>
          <cell r="Y24">
            <v>0.31754874651810583</v>
          </cell>
          <cell r="Z24">
            <v>0.84758364312267676</v>
          </cell>
          <cell r="AA24">
            <v>0.3866279069767441</v>
          </cell>
          <cell r="AC24" t="str">
            <v>NM</v>
          </cell>
          <cell r="AD24" t="str">
            <v>NM</v>
          </cell>
          <cell r="AE24" t="str">
            <v>NM</v>
          </cell>
          <cell r="AG24">
            <v>-0.61538461538461542</v>
          </cell>
          <cell r="AH24">
            <v>2.4691358024690826E-2</v>
          </cell>
          <cell r="AI24">
            <v>-0.26027397260273999</v>
          </cell>
          <cell r="AK24">
            <v>0.28494623655913981</v>
          </cell>
          <cell r="AL24">
            <v>0.65714285714285714</v>
          </cell>
          <cell r="AM24">
            <v>0.34389140271493213</v>
          </cell>
          <cell r="AO24" t="str">
            <v xml:space="preserve"> 4Q</v>
          </cell>
          <cell r="AP24">
            <v>0.17285382830626439</v>
          </cell>
          <cell r="AQ24">
            <v>0.16981132075471692</v>
          </cell>
          <cell r="AR24">
            <v>0.17113924050632903</v>
          </cell>
          <cell r="AT24">
            <v>0.91815856777493599</v>
          </cell>
          <cell r="AU24">
            <v>0.47803617571059426</v>
          </cell>
          <cell r="AV24">
            <v>0.6992287917737785</v>
          </cell>
          <cell r="AX24" t="str">
            <v>NM</v>
          </cell>
          <cell r="AY24" t="str">
            <v>NM</v>
          </cell>
          <cell r="AZ24" t="str">
            <v>NM</v>
          </cell>
          <cell r="BB24">
            <v>-4.8565121412803301E-2</v>
          </cell>
          <cell r="BC24">
            <v>-1.3445378151260377E-2</v>
          </cell>
          <cell r="BD24">
            <v>-2.0554066130473485E-2</v>
          </cell>
          <cell r="BF24">
            <v>0.28487690504103164</v>
          </cell>
          <cell r="BG24">
            <v>0.106544901065449</v>
          </cell>
          <cell r="BH24">
            <v>0.1675015027048688</v>
          </cell>
          <cell r="BJ24">
            <v>-0.38392857142857134</v>
          </cell>
          <cell r="BK24">
            <v>4.2936288088642575E-2</v>
          </cell>
          <cell r="BL24">
            <v>-1.4388489208633127E-2</v>
          </cell>
          <cell r="BN24" t="str">
            <v xml:space="preserve">  NM</v>
          </cell>
          <cell r="BO24">
            <v>-0.11797752808988735</v>
          </cell>
          <cell r="BP24">
            <v>-0.10227272727272703</v>
          </cell>
          <cell r="BR24">
            <v>-0.36363636363636365</v>
          </cell>
          <cell r="BS24">
            <v>1.1111111111111112E-2</v>
          </cell>
          <cell r="BT24">
            <v>-2.9702970297029702E-2</v>
          </cell>
          <cell r="BV24" t="str">
            <v xml:space="preserve"> 4Q</v>
          </cell>
          <cell r="BW24" t="str">
            <v>NM</v>
          </cell>
          <cell r="BX24" t="str">
            <v>NM</v>
          </cell>
          <cell r="BY24" t="str">
            <v>NM</v>
          </cell>
          <cell r="CA24" t="str">
            <v xml:space="preserve">    NM</v>
          </cell>
          <cell r="CB24">
            <v>-0.58620689655172409</v>
          </cell>
          <cell r="CC24">
            <v>-0.58620689655172409</v>
          </cell>
          <cell r="CE24" t="str">
            <v xml:space="preserve">   NM</v>
          </cell>
          <cell r="CF24" t="str">
            <v xml:space="preserve">  NM</v>
          </cell>
          <cell r="CG24" t="str">
            <v xml:space="preserve">   NM</v>
          </cell>
          <cell r="CI24" t="str">
            <v xml:space="preserve">   NM</v>
          </cell>
          <cell r="CJ24">
            <v>-0.66666666666666663</v>
          </cell>
          <cell r="CK24">
            <v>0.33333333333333331</v>
          </cell>
          <cell r="CM24">
            <v>1.1344537815126048</v>
          </cell>
          <cell r="CN24" t="str">
            <v xml:space="preserve">    NM</v>
          </cell>
          <cell r="CO24">
            <v>1.1344537815126048</v>
          </cell>
          <cell r="CQ24">
            <v>-0.32710280373831774</v>
          </cell>
          <cell r="CR24">
            <v>0</v>
          </cell>
          <cell r="CS24">
            <v>-0.25547445255474449</v>
          </cell>
          <cell r="CU24">
            <v>6.8181818181818177E-2</v>
          </cell>
          <cell r="CV24">
            <v>0</v>
          </cell>
          <cell r="CW24">
            <v>5.6603773584905662E-2</v>
          </cell>
          <cell r="CY24">
            <v>-0.36111111111111233</v>
          </cell>
          <cell r="CZ24">
            <v>7.4355083459787238E-2</v>
          </cell>
          <cell r="DA24">
            <v>3.1463748290013471E-2</v>
          </cell>
          <cell r="DC24" t="str">
            <v xml:space="preserve"> 4Q</v>
          </cell>
          <cell r="DD24" t="str">
            <v xml:space="preserve">    NM</v>
          </cell>
          <cell r="DE24" t="str">
            <v xml:space="preserve">    NM</v>
          </cell>
          <cell r="DF24" t="str">
            <v xml:space="preserve">    NM</v>
          </cell>
          <cell r="DL24">
            <v>0.17668097281831194</v>
          </cell>
          <cell r="DM24">
            <v>0.19532770927968851</v>
          </cell>
          <cell r="DN24">
            <v>0.18560864972348229</v>
          </cell>
          <cell r="DP24">
            <v>1.5</v>
          </cell>
          <cell r="DQ24">
            <v>0.86374314800313234</v>
          </cell>
          <cell r="DR24">
            <v>1.0375640295959023</v>
          </cell>
          <cell r="DT24">
            <v>0</v>
          </cell>
          <cell r="DU24">
            <v>0</v>
          </cell>
          <cell r="DV24">
            <v>0</v>
          </cell>
          <cell r="DX24">
            <v>0.23530668946356065</v>
          </cell>
          <cell r="DY24">
            <v>0.27857295449690234</v>
          </cell>
          <cell r="DZ24">
            <v>0.25694444444444442</v>
          </cell>
        </row>
        <row r="26">
          <cell r="A26" t="str">
            <v xml:space="preserve">1995/94 </v>
          </cell>
          <cell r="B26">
            <v>-3.669724770642202E-2</v>
          </cell>
          <cell r="C26" t="str">
            <v>NM</v>
          </cell>
          <cell r="D26">
            <v>-3.669724770642202E-2</v>
          </cell>
          <cell r="F26">
            <v>0.72429752066115682</v>
          </cell>
          <cell r="G26">
            <v>0.59901096538378873</v>
          </cell>
          <cell r="H26">
            <v>0.64838457529963534</v>
          </cell>
          <cell r="J26">
            <v>0.44816753926701591</v>
          </cell>
          <cell r="K26">
            <v>0.26124885215794302</v>
          </cell>
          <cell r="L26">
            <v>0.31822534312160888</v>
          </cell>
          <cell r="Q26">
            <v>-0.27932960893854986</v>
          </cell>
          <cell r="R26">
            <v>8.7509349289453864E-2</v>
          </cell>
          <cell r="S26">
            <v>1.0029498525073288E-2</v>
          </cell>
          <cell r="U26">
            <v>0.12954686530105519</v>
          </cell>
          <cell r="V26">
            <v>0.4251775655155523</v>
          </cell>
          <cell r="W26">
            <v>0.22899159663865554</v>
          </cell>
          <cell r="Y26">
            <v>0.38862781954887216</v>
          </cell>
          <cell r="Z26">
            <v>0.91625000000000023</v>
          </cell>
          <cell r="AA26">
            <v>0.44738307349665929</v>
          </cell>
          <cell r="AC26" t="str">
            <v>NM</v>
          </cell>
          <cell r="AD26" t="str">
            <v>NM</v>
          </cell>
          <cell r="AE26" t="str">
            <v>NM</v>
          </cell>
          <cell r="AG26">
            <v>-0.24796747967479749</v>
          </cell>
          <cell r="AH26">
            <v>5.3125000000000089E-2</v>
          </cell>
          <cell r="AI26">
            <v>-7.7738515901060512E-2</v>
          </cell>
          <cell r="AK26">
            <v>0.36500754147812975</v>
          </cell>
          <cell r="AL26">
            <v>0.66964285714285721</v>
          </cell>
          <cell r="AM26">
            <v>0.40903225806451604</v>
          </cell>
          <cell r="AO26" t="str">
            <v xml:space="preserve">1995/94 </v>
          </cell>
          <cell r="AP26">
            <v>0.18517388651616828</v>
          </cell>
          <cell r="AQ26">
            <v>0.24707379134860052</v>
          </cell>
          <cell r="AR26">
            <v>0.21892341842397323</v>
          </cell>
          <cell r="AT26">
            <v>0.67747163695299828</v>
          </cell>
          <cell r="AU26">
            <v>1.32487922705314</v>
          </cell>
          <cell r="AV26">
            <v>0.93743937924345278</v>
          </cell>
          <cell r="AW26" t="e">
            <v>#DIV/0!</v>
          </cell>
          <cell r="AX26" t="str">
            <v>NM</v>
          </cell>
          <cell r="AY26" t="str">
            <v>NM</v>
          </cell>
          <cell r="AZ26" t="str">
            <v>NM</v>
          </cell>
          <cell r="BB26">
            <v>-2.8719126938542283E-3</v>
          </cell>
          <cell r="BC26">
            <v>6.7199753959711117E-2</v>
          </cell>
          <cell r="BD26">
            <v>5.240174672489073E-2</v>
          </cell>
          <cell r="BF26">
            <v>0.22996961458499943</v>
          </cell>
          <cell r="BG26">
            <v>0.22244916082053101</v>
          </cell>
          <cell r="BH26">
            <v>0.22513417837158833</v>
          </cell>
          <cell r="BJ26">
            <v>-0.3098591549295775</v>
          </cell>
          <cell r="BK26">
            <v>5.4449868569282689E-2</v>
          </cell>
          <cell r="BL26">
            <v>1.159708416169658E-2</v>
          </cell>
          <cell r="BN26" t="str">
            <v xml:space="preserve">  NM</v>
          </cell>
          <cell r="BO26">
            <v>4.1186161449752845E-2</v>
          </cell>
          <cell r="BP26">
            <v>4.0849673202614456E-2</v>
          </cell>
          <cell r="BR26">
            <v>-0.30555555555555558</v>
          </cell>
          <cell r="BS26">
            <v>5.1987767584097844E-2</v>
          </cell>
          <cell r="BT26">
            <v>1.6528925619834656E-2</v>
          </cell>
          <cell r="BV26" t="str">
            <v xml:space="preserve">1995/94 </v>
          </cell>
          <cell r="BW26" t="str">
            <v>NM</v>
          </cell>
          <cell r="BX26" t="str">
            <v>NM</v>
          </cell>
          <cell r="BY26" t="str">
            <v>NM</v>
          </cell>
          <cell r="CA26" t="str">
            <v xml:space="preserve">    NM</v>
          </cell>
          <cell r="CB26">
            <v>-6.2500000000000111E-2</v>
          </cell>
          <cell r="CC26">
            <v>-6.2500000000000111E-2</v>
          </cell>
          <cell r="CE26" t="str">
            <v xml:space="preserve">   NM</v>
          </cell>
          <cell r="CF26" t="str">
            <v xml:space="preserve">  NM</v>
          </cell>
          <cell r="CG26" t="str">
            <v xml:space="preserve">   NM</v>
          </cell>
          <cell r="CI26" t="str">
            <v xml:space="preserve">   NM</v>
          </cell>
          <cell r="CJ26">
            <v>-9.0909090909090939E-2</v>
          </cell>
          <cell r="CK26">
            <v>0.63636363636363646</v>
          </cell>
          <cell r="CM26">
            <v>2.4661016949152543</v>
          </cell>
          <cell r="CN26" t="str">
            <v xml:space="preserve">    NM</v>
          </cell>
          <cell r="CO26">
            <v>2.4661016949152543</v>
          </cell>
          <cell r="CQ26">
            <v>-0.53880266075388028</v>
          </cell>
          <cell r="CR26">
            <v>9.375E-2</v>
          </cell>
          <cell r="CS26">
            <v>-0.44350282485875714</v>
          </cell>
          <cell r="CU26">
            <v>-0.19117647058823528</v>
          </cell>
          <cell r="CV26">
            <v>9.375E-2</v>
          </cell>
          <cell r="CW26">
            <v>-0.15254237288135597</v>
          </cell>
          <cell r="CY26">
            <v>-0.53787878787878585</v>
          </cell>
          <cell r="CZ26">
            <v>0.13722826086956541</v>
          </cell>
          <cell r="DA26">
            <v>6.5129449838188469E-2</v>
          </cell>
          <cell r="DC26" t="str">
            <v xml:space="preserve">1995/94 </v>
          </cell>
          <cell r="DD26" t="str">
            <v xml:space="preserve">    NM</v>
          </cell>
          <cell r="DE26" t="str">
            <v xml:space="preserve">    NM</v>
          </cell>
          <cell r="DF26" t="str">
            <v xml:space="preserve">    NM</v>
          </cell>
          <cell r="DL26">
            <v>0.17004138105316366</v>
          </cell>
          <cell r="DM26">
            <v>0.27291627291627291</v>
          </cell>
          <cell r="DN26">
            <v>0.21687431167400884</v>
          </cell>
          <cell r="DP26">
            <v>1.4808680753854937</v>
          </cell>
          <cell r="DQ26">
            <v>0.82361143388333724</v>
          </cell>
          <cell r="DR26">
            <v>1.0137099438387842</v>
          </cell>
          <cell r="DT26">
            <v>-9.0909090909090912E-2</v>
          </cell>
          <cell r="DU26">
            <v>3.3333333333333333E-2</v>
          </cell>
          <cell r="DV26">
            <v>-3.9119804400977995E-2</v>
          </cell>
          <cell r="DX26">
            <v>0.21373243332964464</v>
          </cell>
          <cell r="DY26">
            <v>0.33804659274947041</v>
          </cell>
          <cell r="DZ26">
            <v>0.2722105016408814</v>
          </cell>
        </row>
        <row r="28">
          <cell r="A28" t="str">
            <v>1995</v>
          </cell>
          <cell r="AO28" t="str">
            <v>1995</v>
          </cell>
          <cell r="BV28" t="str">
            <v>1995</v>
          </cell>
          <cell r="DC28" t="str">
            <v>1995</v>
          </cell>
        </row>
        <row r="29">
          <cell r="A29" t="str">
            <v xml:space="preserve"> 1Q</v>
          </cell>
          <cell r="B29">
            <v>328.6</v>
          </cell>
          <cell r="C29">
            <v>0</v>
          </cell>
          <cell r="D29">
            <v>328.6</v>
          </cell>
          <cell r="F29">
            <v>117.1</v>
          </cell>
          <cell r="G29">
            <v>149</v>
          </cell>
          <cell r="H29">
            <v>266.10000000000002</v>
          </cell>
          <cell r="J29">
            <v>30.5</v>
          </cell>
          <cell r="K29">
            <v>57</v>
          </cell>
          <cell r="L29">
            <v>87.5</v>
          </cell>
          <cell r="Q29">
            <v>7.6999999999999318</v>
          </cell>
          <cell r="R29">
            <v>31.400000000000006</v>
          </cell>
          <cell r="S29">
            <v>39.099999999999937</v>
          </cell>
          <cell r="U29">
            <v>483.9</v>
          </cell>
          <cell r="V29">
            <v>237.4</v>
          </cell>
          <cell r="W29">
            <v>721.3</v>
          </cell>
          <cell r="Y29">
            <v>209</v>
          </cell>
          <cell r="Z29">
            <v>28.2</v>
          </cell>
          <cell r="AA29">
            <v>237.2</v>
          </cell>
          <cell r="AC29">
            <v>0</v>
          </cell>
          <cell r="AD29">
            <v>0</v>
          </cell>
          <cell r="AE29">
            <v>0</v>
          </cell>
          <cell r="AG29">
            <v>7</v>
          </cell>
          <cell r="AH29">
            <v>7.8000000000000007</v>
          </cell>
          <cell r="AI29">
            <v>14.8</v>
          </cell>
          <cell r="AK29">
            <v>216</v>
          </cell>
          <cell r="AL29">
            <v>36</v>
          </cell>
          <cell r="AM29">
            <v>252</v>
          </cell>
          <cell r="AO29" t="str">
            <v xml:space="preserve"> 1Q</v>
          </cell>
          <cell r="AP29">
            <v>95.4</v>
          </cell>
          <cell r="AQ29">
            <v>103.4</v>
          </cell>
          <cell r="AR29">
            <v>198.8</v>
          </cell>
          <cell r="AT29">
            <v>59.7</v>
          </cell>
          <cell r="AU29">
            <v>44.3</v>
          </cell>
          <cell r="AV29">
            <v>104</v>
          </cell>
          <cell r="AX29">
            <v>0</v>
          </cell>
          <cell r="AY29">
            <v>0</v>
          </cell>
          <cell r="AZ29">
            <v>0</v>
          </cell>
          <cell r="BB29">
            <v>46.999999999999972</v>
          </cell>
          <cell r="BC29">
            <v>167.3</v>
          </cell>
          <cell r="BD29">
            <v>214.29999999999998</v>
          </cell>
          <cell r="BF29">
            <v>202.1</v>
          </cell>
          <cell r="BG29">
            <v>315</v>
          </cell>
          <cell r="BH29">
            <v>517.1</v>
          </cell>
          <cell r="BJ29">
            <v>6</v>
          </cell>
          <cell r="BK29">
            <v>64</v>
          </cell>
          <cell r="BL29">
            <v>70</v>
          </cell>
          <cell r="BN29">
            <v>0</v>
          </cell>
          <cell r="BO29">
            <v>16</v>
          </cell>
          <cell r="BP29">
            <v>16</v>
          </cell>
          <cell r="BR29">
            <v>6</v>
          </cell>
          <cell r="BS29">
            <v>80</v>
          </cell>
          <cell r="BT29">
            <v>86</v>
          </cell>
          <cell r="BV29" t="str">
            <v xml:space="preserve"> 1Q</v>
          </cell>
          <cell r="BW29">
            <v>0</v>
          </cell>
          <cell r="BX29">
            <v>0</v>
          </cell>
          <cell r="BY29">
            <v>0</v>
          </cell>
          <cell r="CA29">
            <v>0</v>
          </cell>
          <cell r="CB29">
            <v>2</v>
          </cell>
          <cell r="CC29">
            <v>2</v>
          </cell>
          <cell r="CE29">
            <v>0</v>
          </cell>
          <cell r="CF29">
            <v>0</v>
          </cell>
          <cell r="CG29">
            <v>0</v>
          </cell>
          <cell r="CI29">
            <v>0</v>
          </cell>
          <cell r="CJ29">
            <v>2</v>
          </cell>
          <cell r="CK29">
            <v>2</v>
          </cell>
          <cell r="CM29">
            <v>14.6</v>
          </cell>
          <cell r="CN29">
            <v>0</v>
          </cell>
          <cell r="CO29">
            <v>14.6</v>
          </cell>
          <cell r="CQ29">
            <v>25.4</v>
          </cell>
          <cell r="CR29">
            <v>8</v>
          </cell>
          <cell r="CS29">
            <v>33.4</v>
          </cell>
          <cell r="CU29">
            <v>40</v>
          </cell>
          <cell r="CV29">
            <v>8</v>
          </cell>
          <cell r="CW29">
            <v>48</v>
          </cell>
          <cell r="CY29">
            <v>3.8999999999999773</v>
          </cell>
          <cell r="CZ29">
            <v>58.400000000000091</v>
          </cell>
          <cell r="DA29">
            <v>62.300000000000068</v>
          </cell>
          <cell r="DC29" t="str">
            <v xml:space="preserve"> 1Q</v>
          </cell>
          <cell r="DD29">
            <v>0</v>
          </cell>
          <cell r="DE29">
            <v>0</v>
          </cell>
          <cell r="DF29">
            <v>0</v>
          </cell>
          <cell r="DL29">
            <v>951.9</v>
          </cell>
          <cell r="DM29">
            <v>736.80000000000007</v>
          </cell>
          <cell r="DN29">
            <v>1688.7</v>
          </cell>
          <cell r="DP29">
            <v>98.4</v>
          </cell>
          <cell r="DQ29">
            <v>174.7</v>
          </cell>
          <cell r="DR29">
            <v>273.10000000000002</v>
          </cell>
          <cell r="DT29">
            <v>67</v>
          </cell>
          <cell r="DU29">
            <v>31</v>
          </cell>
          <cell r="DV29">
            <v>98</v>
          </cell>
          <cell r="DX29">
            <v>1117.3</v>
          </cell>
          <cell r="DY29">
            <v>942.5</v>
          </cell>
          <cell r="DZ29">
            <v>2059.8000000000002</v>
          </cell>
        </row>
        <row r="30">
          <cell r="A30" t="str">
            <v xml:space="preserve"> 2Q</v>
          </cell>
          <cell r="B30">
            <v>241</v>
          </cell>
          <cell r="C30">
            <v>0</v>
          </cell>
          <cell r="D30">
            <v>241</v>
          </cell>
          <cell r="F30">
            <v>117.1</v>
          </cell>
          <cell r="G30">
            <v>182.6</v>
          </cell>
          <cell r="H30">
            <v>299.7</v>
          </cell>
          <cell r="J30">
            <v>30.6</v>
          </cell>
          <cell r="K30">
            <v>71.2</v>
          </cell>
          <cell r="L30">
            <v>101.80000000000001</v>
          </cell>
          <cell r="Q30">
            <v>6.4999999999999432</v>
          </cell>
          <cell r="R30">
            <v>37.599999999999966</v>
          </cell>
          <cell r="S30">
            <v>44.099999999999909</v>
          </cell>
          <cell r="U30">
            <v>395.2</v>
          </cell>
          <cell r="V30">
            <v>291.39999999999998</v>
          </cell>
          <cell r="W30">
            <v>686.59999999999991</v>
          </cell>
          <cell r="Y30">
            <v>202.6</v>
          </cell>
          <cell r="Z30">
            <v>37</v>
          </cell>
          <cell r="AA30">
            <v>239.6</v>
          </cell>
          <cell r="AC30">
            <v>0</v>
          </cell>
          <cell r="AD30">
            <v>0</v>
          </cell>
          <cell r="AE30">
            <v>0</v>
          </cell>
          <cell r="AG30">
            <v>4.4000000000000057</v>
          </cell>
          <cell r="AH30">
            <v>9</v>
          </cell>
          <cell r="AI30">
            <v>13.400000000000006</v>
          </cell>
          <cell r="AK30">
            <v>207</v>
          </cell>
          <cell r="AL30">
            <v>46</v>
          </cell>
          <cell r="AM30">
            <v>253</v>
          </cell>
          <cell r="AO30" t="str">
            <v xml:space="preserve"> 2Q</v>
          </cell>
          <cell r="AP30">
            <v>91.6</v>
          </cell>
          <cell r="AQ30">
            <v>124.9</v>
          </cell>
          <cell r="AR30">
            <v>216.5</v>
          </cell>
          <cell r="AT30">
            <v>41.7</v>
          </cell>
          <cell r="AU30">
            <v>53.6</v>
          </cell>
          <cell r="AV30">
            <v>95.300000000000011</v>
          </cell>
          <cell r="AX30">
            <v>0</v>
          </cell>
          <cell r="AY30">
            <v>0</v>
          </cell>
          <cell r="AZ30">
            <v>0</v>
          </cell>
          <cell r="BB30">
            <v>39.699999999999989</v>
          </cell>
          <cell r="BC30">
            <v>177.8</v>
          </cell>
          <cell r="BD30">
            <v>217.5</v>
          </cell>
          <cell r="BF30">
            <v>173</v>
          </cell>
          <cell r="BG30">
            <v>356.3</v>
          </cell>
          <cell r="BH30">
            <v>529.29999999999995</v>
          </cell>
          <cell r="BJ30">
            <v>6</v>
          </cell>
          <cell r="BK30">
            <v>71</v>
          </cell>
          <cell r="BL30">
            <v>77</v>
          </cell>
          <cell r="BN30">
            <v>1</v>
          </cell>
          <cell r="BO30">
            <v>14</v>
          </cell>
          <cell r="BP30">
            <v>15</v>
          </cell>
          <cell r="BR30">
            <v>7</v>
          </cell>
          <cell r="BS30">
            <v>85</v>
          </cell>
          <cell r="BT30">
            <v>92</v>
          </cell>
          <cell r="BV30" t="str">
            <v xml:space="preserve"> 2Q</v>
          </cell>
          <cell r="BW30">
            <v>0</v>
          </cell>
          <cell r="BX30">
            <v>0</v>
          </cell>
          <cell r="BY30">
            <v>0</v>
          </cell>
          <cell r="CA30">
            <v>0</v>
          </cell>
          <cell r="CB30">
            <v>3.3</v>
          </cell>
          <cell r="CC30">
            <v>3.3</v>
          </cell>
          <cell r="CE30">
            <v>3</v>
          </cell>
          <cell r="CF30">
            <v>-0.29999999999999982</v>
          </cell>
          <cell r="CG30">
            <v>2.7</v>
          </cell>
          <cell r="CI30">
            <v>3</v>
          </cell>
          <cell r="CJ30">
            <v>3</v>
          </cell>
          <cell r="CK30">
            <v>6</v>
          </cell>
          <cell r="CM30">
            <v>19.5</v>
          </cell>
          <cell r="CN30">
            <v>0</v>
          </cell>
          <cell r="CO30">
            <v>19.5</v>
          </cell>
          <cell r="CQ30">
            <v>20.5</v>
          </cell>
          <cell r="CR30">
            <v>9</v>
          </cell>
          <cell r="CS30">
            <v>29.5</v>
          </cell>
          <cell r="CU30">
            <v>40</v>
          </cell>
          <cell r="CV30">
            <v>9</v>
          </cell>
          <cell r="CW30">
            <v>49</v>
          </cell>
          <cell r="CY30">
            <v>-7.5999999999999659</v>
          </cell>
          <cell r="CZ30">
            <v>66.900000000000034</v>
          </cell>
          <cell r="DA30">
            <v>59.300000000000068</v>
          </cell>
          <cell r="DC30" t="str">
            <v xml:space="preserve"> 2Q</v>
          </cell>
          <cell r="DD30">
            <v>0</v>
          </cell>
          <cell r="DE30">
            <v>0</v>
          </cell>
          <cell r="DF30">
            <v>0</v>
          </cell>
          <cell r="DL30">
            <v>817.6</v>
          </cell>
          <cell r="DM30">
            <v>857.6</v>
          </cell>
          <cell r="DN30">
            <v>1675.2</v>
          </cell>
          <cell r="DP30">
            <v>89</v>
          </cell>
          <cell r="DQ30">
            <v>196</v>
          </cell>
          <cell r="DR30">
            <v>285</v>
          </cell>
          <cell r="DT30">
            <v>62</v>
          </cell>
          <cell r="DU30">
            <v>38</v>
          </cell>
          <cell r="DV30">
            <v>100</v>
          </cell>
          <cell r="DX30">
            <v>968.6</v>
          </cell>
          <cell r="DY30">
            <v>1091.5999999999999</v>
          </cell>
          <cell r="DZ30">
            <v>2060.1999999999998</v>
          </cell>
        </row>
        <row r="31">
          <cell r="A31" t="str">
            <v xml:space="preserve"> 3Q</v>
          </cell>
          <cell r="B31">
            <v>291.8</v>
          </cell>
          <cell r="C31">
            <v>0</v>
          </cell>
          <cell r="D31">
            <v>291.8</v>
          </cell>
          <cell r="F31">
            <v>138.6</v>
          </cell>
          <cell r="G31">
            <v>195.4</v>
          </cell>
          <cell r="H31">
            <v>334</v>
          </cell>
          <cell r="J31">
            <v>37.5</v>
          </cell>
          <cell r="K31">
            <v>71.400000000000006</v>
          </cell>
          <cell r="L31">
            <v>108.9</v>
          </cell>
          <cell r="Q31">
            <v>5.5</v>
          </cell>
          <cell r="R31">
            <v>40.5</v>
          </cell>
          <cell r="S31">
            <v>46</v>
          </cell>
          <cell r="U31">
            <v>473.4</v>
          </cell>
          <cell r="V31">
            <v>307.3</v>
          </cell>
          <cell r="W31">
            <v>780.7</v>
          </cell>
          <cell r="Y31">
            <v>238.4</v>
          </cell>
          <cell r="Z31">
            <v>38.4</v>
          </cell>
          <cell r="AA31">
            <v>276.8</v>
          </cell>
          <cell r="AC31">
            <v>0</v>
          </cell>
          <cell r="AD31">
            <v>0</v>
          </cell>
          <cell r="AE31">
            <v>0</v>
          </cell>
          <cell r="AG31">
            <v>4.5999999999999943</v>
          </cell>
          <cell r="AH31">
            <v>8.6000000000000014</v>
          </cell>
          <cell r="AI31">
            <v>13.199999999999996</v>
          </cell>
          <cell r="AK31">
            <v>243</v>
          </cell>
          <cell r="AL31">
            <v>47</v>
          </cell>
          <cell r="AM31">
            <v>290</v>
          </cell>
          <cell r="AO31" t="str">
            <v xml:space="preserve"> 3Q</v>
          </cell>
          <cell r="AP31">
            <v>100.4</v>
          </cell>
          <cell r="AQ31">
            <v>131.6</v>
          </cell>
          <cell r="AR31">
            <v>232</v>
          </cell>
          <cell r="AT31">
            <v>30.6</v>
          </cell>
          <cell r="AU31">
            <v>37.4</v>
          </cell>
          <cell r="AV31">
            <v>68</v>
          </cell>
          <cell r="AX31">
            <v>0</v>
          </cell>
          <cell r="AY31">
            <v>0</v>
          </cell>
          <cell r="AZ31">
            <v>0</v>
          </cell>
          <cell r="BB31">
            <v>43.800000000000011</v>
          </cell>
          <cell r="BC31">
            <v>172.8</v>
          </cell>
          <cell r="BD31">
            <v>216.60000000000002</v>
          </cell>
          <cell r="BF31">
            <v>174.8</v>
          </cell>
          <cell r="BG31">
            <v>341.8</v>
          </cell>
          <cell r="BH31">
            <v>516.6</v>
          </cell>
          <cell r="BJ31">
            <v>5.6</v>
          </cell>
          <cell r="BK31">
            <v>70.5</v>
          </cell>
          <cell r="BL31">
            <v>76.099999999999994</v>
          </cell>
          <cell r="BN31">
            <v>-0.59999999999999964</v>
          </cell>
          <cell r="BO31">
            <v>17.5</v>
          </cell>
          <cell r="BP31">
            <v>16.899999999999999</v>
          </cell>
          <cell r="BR31">
            <v>5</v>
          </cell>
          <cell r="BS31">
            <v>88</v>
          </cell>
          <cell r="BT31">
            <v>93</v>
          </cell>
          <cell r="BV31" t="str">
            <v xml:space="preserve"> 3Q</v>
          </cell>
          <cell r="BW31">
            <v>0</v>
          </cell>
          <cell r="BX31">
            <v>0</v>
          </cell>
          <cell r="BY31">
            <v>0</v>
          </cell>
          <cell r="CA31">
            <v>0</v>
          </cell>
          <cell r="CB31">
            <v>4</v>
          </cell>
          <cell r="CC31">
            <v>4</v>
          </cell>
          <cell r="CE31">
            <v>2</v>
          </cell>
          <cell r="CF31">
            <v>0</v>
          </cell>
          <cell r="CG31">
            <v>2</v>
          </cell>
          <cell r="CI31">
            <v>2</v>
          </cell>
          <cell r="CJ31">
            <v>4</v>
          </cell>
          <cell r="CK31">
            <v>6</v>
          </cell>
          <cell r="CM31">
            <v>22.3</v>
          </cell>
          <cell r="CN31">
            <v>0</v>
          </cell>
          <cell r="CO31">
            <v>22.3</v>
          </cell>
          <cell r="CQ31">
            <v>15.7</v>
          </cell>
          <cell r="CR31">
            <v>9</v>
          </cell>
          <cell r="CS31">
            <v>24.7</v>
          </cell>
          <cell r="CU31">
            <v>38</v>
          </cell>
          <cell r="CV31">
            <v>9</v>
          </cell>
          <cell r="CW31">
            <v>47</v>
          </cell>
          <cell r="CY31">
            <v>11.300000000000011</v>
          </cell>
          <cell r="CZ31">
            <v>54.999999999999943</v>
          </cell>
          <cell r="DA31">
            <v>66.299999999999955</v>
          </cell>
          <cell r="DC31" t="str">
            <v xml:space="preserve"> 3Q</v>
          </cell>
          <cell r="DD31">
            <v>0</v>
          </cell>
          <cell r="DE31">
            <v>0</v>
          </cell>
          <cell r="DF31">
            <v>0</v>
          </cell>
          <cell r="DL31">
            <v>947.5</v>
          </cell>
          <cell r="DM31">
            <v>852.1</v>
          </cell>
          <cell r="DN31">
            <v>1799.6</v>
          </cell>
          <cell r="DP31">
            <v>127</v>
          </cell>
          <cell r="DQ31">
            <v>176</v>
          </cell>
          <cell r="DR31">
            <v>303</v>
          </cell>
          <cell r="DT31">
            <v>71</v>
          </cell>
          <cell r="DU31">
            <v>37</v>
          </cell>
          <cell r="DV31">
            <v>108</v>
          </cell>
          <cell r="DX31">
            <v>1145.5</v>
          </cell>
          <cell r="DY31">
            <v>1065.0999999999999</v>
          </cell>
          <cell r="DZ31">
            <v>2210.6</v>
          </cell>
        </row>
        <row r="32">
          <cell r="A32" t="str">
            <v xml:space="preserve"> 4Q</v>
          </cell>
          <cell r="B32">
            <v>272.60000000000002</v>
          </cell>
          <cell r="C32">
            <v>0</v>
          </cell>
          <cell r="D32">
            <v>272.60000000000002</v>
          </cell>
          <cell r="F32">
            <v>148.80000000000001</v>
          </cell>
          <cell r="G32">
            <v>216.7</v>
          </cell>
          <cell r="H32">
            <v>365.5</v>
          </cell>
          <cell r="J32">
            <v>39.700000000000003</v>
          </cell>
          <cell r="K32">
            <v>75.099999999999994</v>
          </cell>
          <cell r="L32">
            <v>114.8</v>
          </cell>
          <cell r="Q32">
            <v>6.0999999999999659</v>
          </cell>
          <cell r="R32">
            <v>35.900000000000034</v>
          </cell>
          <cell r="S32">
            <v>42</v>
          </cell>
          <cell r="U32">
            <v>467.2</v>
          </cell>
          <cell r="V32">
            <v>327.7</v>
          </cell>
          <cell r="W32">
            <v>794.9</v>
          </cell>
          <cell r="Y32">
            <v>236.5</v>
          </cell>
          <cell r="Z32">
            <v>49.7</v>
          </cell>
          <cell r="AA32">
            <v>286.2</v>
          </cell>
          <cell r="AC32">
            <v>0</v>
          </cell>
          <cell r="AD32">
            <v>0</v>
          </cell>
          <cell r="AE32">
            <v>0</v>
          </cell>
          <cell r="AG32">
            <v>2.5</v>
          </cell>
          <cell r="AH32">
            <v>8.2999999999999972</v>
          </cell>
          <cell r="AI32">
            <v>10.799999999999997</v>
          </cell>
          <cell r="AK32">
            <v>239</v>
          </cell>
          <cell r="AL32">
            <v>58</v>
          </cell>
          <cell r="AM32">
            <v>297</v>
          </cell>
          <cell r="AO32" t="str">
            <v xml:space="preserve"> 4Q</v>
          </cell>
          <cell r="AP32">
            <v>101.1</v>
          </cell>
          <cell r="AQ32">
            <v>130.19999999999999</v>
          </cell>
          <cell r="AR32">
            <v>231.29999999999998</v>
          </cell>
          <cell r="AT32">
            <v>75</v>
          </cell>
          <cell r="AU32">
            <v>57.2</v>
          </cell>
          <cell r="AV32">
            <v>132.19999999999999</v>
          </cell>
          <cell r="AX32">
            <v>0</v>
          </cell>
          <cell r="AY32">
            <v>0</v>
          </cell>
          <cell r="AZ32">
            <v>0</v>
          </cell>
          <cell r="BB32">
            <v>43.099999999999994</v>
          </cell>
          <cell r="BC32">
            <v>176.10000000000002</v>
          </cell>
          <cell r="BD32">
            <v>219.20000000000002</v>
          </cell>
          <cell r="BF32">
            <v>219.2</v>
          </cell>
          <cell r="BG32">
            <v>363.5</v>
          </cell>
          <cell r="BH32">
            <v>582.70000000000005</v>
          </cell>
          <cell r="BJ32">
            <v>6.9</v>
          </cell>
          <cell r="BK32">
            <v>75.3</v>
          </cell>
          <cell r="BL32">
            <v>82.2</v>
          </cell>
          <cell r="BN32">
            <v>9.9999999999999645E-2</v>
          </cell>
          <cell r="BO32">
            <v>15.700000000000003</v>
          </cell>
          <cell r="BP32">
            <v>15.800000000000002</v>
          </cell>
          <cell r="BR32">
            <v>7</v>
          </cell>
          <cell r="BS32">
            <v>91</v>
          </cell>
          <cell r="BT32">
            <v>98</v>
          </cell>
          <cell r="BV32" t="str">
            <v xml:space="preserve"> 4Q</v>
          </cell>
          <cell r="BW32">
            <v>0</v>
          </cell>
          <cell r="BX32">
            <v>0</v>
          </cell>
          <cell r="BY32">
            <v>0</v>
          </cell>
          <cell r="CA32">
            <v>0</v>
          </cell>
          <cell r="CB32">
            <v>1.2</v>
          </cell>
          <cell r="CC32">
            <v>1.2</v>
          </cell>
          <cell r="CE32">
            <v>3</v>
          </cell>
          <cell r="CF32">
            <v>-0.19999999999999996</v>
          </cell>
          <cell r="CG32">
            <v>2.8</v>
          </cell>
          <cell r="CI32">
            <v>3</v>
          </cell>
          <cell r="CJ32">
            <v>1</v>
          </cell>
          <cell r="CK32">
            <v>4</v>
          </cell>
          <cell r="CM32">
            <v>25.4</v>
          </cell>
          <cell r="CN32">
            <v>0</v>
          </cell>
          <cell r="CO32">
            <v>25.4</v>
          </cell>
          <cell r="CQ32">
            <v>21.6</v>
          </cell>
          <cell r="CR32">
            <v>9</v>
          </cell>
          <cell r="CS32">
            <v>30.6</v>
          </cell>
          <cell r="CU32">
            <v>47</v>
          </cell>
          <cell r="CV32">
            <v>9</v>
          </cell>
          <cell r="CW32">
            <v>56</v>
          </cell>
          <cell r="CY32">
            <v>4.5999999999999659</v>
          </cell>
          <cell r="CZ32">
            <v>70.799999999999955</v>
          </cell>
          <cell r="DA32">
            <v>75.39999999999992</v>
          </cell>
          <cell r="DC32" t="str">
            <v xml:space="preserve"> 4Q</v>
          </cell>
          <cell r="DD32">
            <v>0</v>
          </cell>
          <cell r="DE32">
            <v>0</v>
          </cell>
          <cell r="DF32">
            <v>0</v>
          </cell>
          <cell r="DL32">
            <v>987</v>
          </cell>
          <cell r="DM32">
            <v>921</v>
          </cell>
          <cell r="DN32">
            <v>1908</v>
          </cell>
          <cell r="DP32">
            <v>120</v>
          </cell>
          <cell r="DQ32">
            <v>238</v>
          </cell>
          <cell r="DR32">
            <v>358</v>
          </cell>
          <cell r="DT32">
            <v>49</v>
          </cell>
          <cell r="DU32">
            <v>38</v>
          </cell>
          <cell r="DV32">
            <v>87</v>
          </cell>
          <cell r="DX32">
            <v>1156</v>
          </cell>
          <cell r="DY32">
            <v>1197</v>
          </cell>
          <cell r="DZ32">
            <v>2353</v>
          </cell>
        </row>
        <row r="34">
          <cell r="A34" t="str">
            <v>1995</v>
          </cell>
          <cell r="B34">
            <v>1134</v>
          </cell>
          <cell r="C34">
            <v>0</v>
          </cell>
          <cell r="D34">
            <v>1134</v>
          </cell>
          <cell r="F34">
            <v>521.59999999999991</v>
          </cell>
          <cell r="G34">
            <v>743.7</v>
          </cell>
          <cell r="H34">
            <v>1265.3</v>
          </cell>
          <cell r="J34">
            <v>138.30000000000001</v>
          </cell>
          <cell r="K34">
            <v>274.7</v>
          </cell>
          <cell r="L34">
            <v>413.00000000000006</v>
          </cell>
          <cell r="Q34">
            <v>25.799999999999841</v>
          </cell>
          <cell r="R34">
            <v>145.4</v>
          </cell>
          <cell r="S34">
            <v>171.19999999999985</v>
          </cell>
          <cell r="U34">
            <v>1819.7</v>
          </cell>
          <cell r="V34">
            <v>1163.8</v>
          </cell>
          <cell r="W34">
            <v>2983.5</v>
          </cell>
          <cell r="Y34">
            <v>886.5</v>
          </cell>
          <cell r="Z34">
            <v>153.30000000000001</v>
          </cell>
          <cell r="AA34">
            <v>1039.8</v>
          </cell>
          <cell r="AC34">
            <v>0</v>
          </cell>
          <cell r="AD34">
            <v>0</v>
          </cell>
          <cell r="AE34">
            <v>0</v>
          </cell>
          <cell r="AG34">
            <v>18.5</v>
          </cell>
          <cell r="AH34">
            <v>33.700000000000003</v>
          </cell>
          <cell r="AI34">
            <v>52.2</v>
          </cell>
          <cell r="AJ34">
            <v>0</v>
          </cell>
          <cell r="AK34">
            <v>905</v>
          </cell>
          <cell r="AL34">
            <v>187</v>
          </cell>
          <cell r="AM34">
            <v>1092</v>
          </cell>
          <cell r="AO34" t="str">
            <v>1995</v>
          </cell>
          <cell r="AP34">
            <v>388.5</v>
          </cell>
          <cell r="AQ34">
            <v>490.09999999999997</v>
          </cell>
          <cell r="AR34">
            <v>878.59999999999991</v>
          </cell>
          <cell r="AT34">
            <v>207</v>
          </cell>
          <cell r="AU34">
            <v>192.5</v>
          </cell>
          <cell r="AV34">
            <v>399.5</v>
          </cell>
          <cell r="AW34">
            <v>0</v>
          </cell>
          <cell r="AX34">
            <v>0</v>
          </cell>
          <cell r="AY34">
            <v>0</v>
          </cell>
          <cell r="AZ34">
            <v>0</v>
          </cell>
          <cell r="BB34">
            <v>173.59999999999997</v>
          </cell>
          <cell r="BC34">
            <v>694.00000000000011</v>
          </cell>
          <cell r="BD34">
            <v>867.6</v>
          </cell>
          <cell r="BF34">
            <v>769.10000000000014</v>
          </cell>
          <cell r="BG34">
            <v>1376.6</v>
          </cell>
          <cell r="BH34">
            <v>2145.6999999999998</v>
          </cell>
          <cell r="BJ34">
            <v>24.5</v>
          </cell>
          <cell r="BK34">
            <v>280.8</v>
          </cell>
          <cell r="BL34">
            <v>305.3</v>
          </cell>
          <cell r="BN34">
            <v>0.5</v>
          </cell>
          <cell r="BO34">
            <v>63.2</v>
          </cell>
          <cell r="BP34">
            <v>63.7</v>
          </cell>
          <cell r="BR34">
            <v>25</v>
          </cell>
          <cell r="BS34">
            <v>344</v>
          </cell>
          <cell r="BT34">
            <v>369</v>
          </cell>
          <cell r="BV34" t="str">
            <v>1995</v>
          </cell>
          <cell r="BW34">
            <v>0</v>
          </cell>
          <cell r="BX34">
            <v>0</v>
          </cell>
          <cell r="BY34">
            <v>0</v>
          </cell>
          <cell r="CA34">
            <v>0</v>
          </cell>
          <cell r="CB34">
            <v>10.5</v>
          </cell>
          <cell r="CC34">
            <v>10.5</v>
          </cell>
          <cell r="CE34">
            <v>8</v>
          </cell>
          <cell r="CF34">
            <v>-0.49999999999999978</v>
          </cell>
          <cell r="CG34">
            <v>7.5</v>
          </cell>
          <cell r="CI34">
            <v>8</v>
          </cell>
          <cell r="CJ34">
            <v>10</v>
          </cell>
          <cell r="CK34">
            <v>18</v>
          </cell>
          <cell r="CM34">
            <v>81.800000000000011</v>
          </cell>
          <cell r="CN34">
            <v>0</v>
          </cell>
          <cell r="CO34">
            <v>81.800000000000011</v>
          </cell>
          <cell r="CQ34">
            <v>83.199999999999989</v>
          </cell>
          <cell r="CR34">
            <v>35</v>
          </cell>
          <cell r="CS34">
            <v>118.19999999999999</v>
          </cell>
          <cell r="CU34">
            <v>165</v>
          </cell>
          <cell r="CV34">
            <v>35</v>
          </cell>
          <cell r="CW34">
            <v>200</v>
          </cell>
          <cell r="CY34">
            <v>12.199999999999989</v>
          </cell>
          <cell r="CZ34">
            <v>251.10000000000002</v>
          </cell>
          <cell r="DA34">
            <v>263.3</v>
          </cell>
          <cell r="DC34" t="str">
            <v>1995</v>
          </cell>
          <cell r="DD34">
            <v>0</v>
          </cell>
          <cell r="DE34">
            <v>0</v>
          </cell>
          <cell r="DF34">
            <v>0</v>
          </cell>
          <cell r="DL34">
            <v>3704</v>
          </cell>
          <cell r="DM34">
            <v>3367.5</v>
          </cell>
          <cell r="DN34">
            <v>7071.5</v>
          </cell>
          <cell r="DP34">
            <v>434.4</v>
          </cell>
          <cell r="DQ34">
            <v>784.7</v>
          </cell>
          <cell r="DR34">
            <v>1219.0999999999999</v>
          </cell>
          <cell r="DT34">
            <v>290</v>
          </cell>
          <cell r="DU34">
            <v>93</v>
          </cell>
          <cell r="DV34">
            <v>393</v>
          </cell>
          <cell r="DX34">
            <v>4387.3999999999996</v>
          </cell>
          <cell r="DY34">
            <v>4296.2</v>
          </cell>
          <cell r="DZ34">
            <v>8683.6</v>
          </cell>
        </row>
        <row r="36">
          <cell r="A36" t="str">
            <v xml:space="preserve">1996/95 </v>
          </cell>
          <cell r="AO36" t="str">
            <v xml:space="preserve">1996/95 </v>
          </cell>
          <cell r="BV36" t="str">
            <v xml:space="preserve">1996/95 </v>
          </cell>
          <cell r="DC36" t="str">
            <v xml:space="preserve">1996/95 </v>
          </cell>
        </row>
        <row r="37">
          <cell r="A37" t="str">
            <v xml:space="preserve"> 1Q</v>
          </cell>
          <cell r="B37">
            <v>-7.2124163116250917E-2</v>
          </cell>
          <cell r="C37" t="str">
            <v>NM</v>
          </cell>
          <cell r="D37">
            <v>-7.2124163116250917E-2</v>
          </cell>
          <cell r="F37">
            <v>0.48932536293766016</v>
          </cell>
          <cell r="G37">
            <v>0.43221476510067114</v>
          </cell>
          <cell r="H37">
            <v>0.4573468620819241</v>
          </cell>
          <cell r="J37">
            <v>0.577049180327869</v>
          </cell>
          <cell r="K37">
            <v>0.29649122807017547</v>
          </cell>
          <cell r="L37">
            <v>0.39428571428571435</v>
          </cell>
          <cell r="Q37">
            <v>-0.3766233766233622</v>
          </cell>
          <cell r="R37">
            <v>3.8216560509552799E-2</v>
          </cell>
          <cell r="S37">
            <v>-4.3478260869562857E-2</v>
          </cell>
          <cell r="U37">
            <v>9.981401115933064E-2</v>
          </cell>
          <cell r="V37">
            <v>0.34751474304970498</v>
          </cell>
          <cell r="W37">
            <v>0.18133924857895467</v>
          </cell>
          <cell r="Y37">
            <v>0.31244019138755985</v>
          </cell>
          <cell r="Z37">
            <v>0.5070921985815604</v>
          </cell>
          <cell r="AA37">
            <v>0.33558178752107937</v>
          </cell>
          <cell r="AC37" t="str">
            <v>NM</v>
          </cell>
          <cell r="AD37" t="str">
            <v>NM</v>
          </cell>
          <cell r="AE37" t="str">
            <v>NM</v>
          </cell>
          <cell r="AG37">
            <v>-0.32857142857143018</v>
          </cell>
          <cell r="AH37">
            <v>-3.8461538461538547E-2</v>
          </cell>
          <cell r="AI37">
            <v>-0.17567567567567643</v>
          </cell>
          <cell r="AK37">
            <v>0.29166666666666674</v>
          </cell>
          <cell r="AL37">
            <v>0.38888888888888884</v>
          </cell>
          <cell r="AM37">
            <v>0.30555555555555558</v>
          </cell>
          <cell r="AO37" t="str">
            <v xml:space="preserve"> 1Q</v>
          </cell>
          <cell r="AP37">
            <v>2.515723270440251E-2</v>
          </cell>
          <cell r="AQ37">
            <v>0.13346228239845259</v>
          </cell>
          <cell r="AR37">
            <v>8.1488933601609581E-2</v>
          </cell>
          <cell r="AT37">
            <v>0.45393634840871</v>
          </cell>
          <cell r="AU37">
            <v>0.63882618510158018</v>
          </cell>
          <cell r="AV37">
            <v>0.53269230769230758</v>
          </cell>
          <cell r="AX37" t="str">
            <v>NM</v>
          </cell>
          <cell r="AY37" t="str">
            <v>NM</v>
          </cell>
          <cell r="AZ37" t="str">
            <v>NM</v>
          </cell>
          <cell r="BB37">
            <v>-0.15957446808510589</v>
          </cell>
          <cell r="BC37">
            <v>-4.3036461446503527E-2</v>
          </cell>
          <cell r="BD37">
            <v>-6.8595426971535312E-2</v>
          </cell>
          <cell r="BF37">
            <v>0.10885700148441368</v>
          </cell>
          <cell r="BG37">
            <v>0.11079365079365067</v>
          </cell>
          <cell r="BH37">
            <v>0.11003674337652281</v>
          </cell>
          <cell r="BJ37">
            <v>1.6666666666666607E-2</v>
          </cell>
          <cell r="BK37">
            <v>-6.2499999999999778E-3</v>
          </cell>
          <cell r="BL37">
            <v>-4.2857142857142261E-3</v>
          </cell>
          <cell r="BN37" t="str">
            <v xml:space="preserve">  NM</v>
          </cell>
          <cell r="BO37">
            <v>-0.16250000000000009</v>
          </cell>
          <cell r="BP37">
            <v>-0.16875000000000007</v>
          </cell>
          <cell r="BR37">
            <v>0</v>
          </cell>
          <cell r="BS37">
            <v>-3.7499999999999978E-2</v>
          </cell>
          <cell r="BT37">
            <v>-3.4883720930232509E-2</v>
          </cell>
          <cell r="BV37" t="str">
            <v xml:space="preserve"> 1Q</v>
          </cell>
          <cell r="BW37" t="str">
            <v>NM</v>
          </cell>
          <cell r="BX37" t="str">
            <v>NM</v>
          </cell>
          <cell r="BY37" t="str">
            <v>NM</v>
          </cell>
          <cell r="CA37" t="str">
            <v xml:space="preserve">    NM</v>
          </cell>
          <cell r="CB37">
            <v>-0.30000000000000004</v>
          </cell>
          <cell r="CC37" t="str">
            <v xml:space="preserve">    NM</v>
          </cell>
          <cell r="CE37" t="str">
            <v xml:space="preserve">   NM</v>
          </cell>
          <cell r="CF37" t="str">
            <v xml:space="preserve">  NM</v>
          </cell>
          <cell r="CG37" t="str">
            <v xml:space="preserve">   NM</v>
          </cell>
          <cell r="CI37" t="str">
            <v xml:space="preserve">    NM</v>
          </cell>
          <cell r="CJ37">
            <v>-0.5</v>
          </cell>
          <cell r="CK37" t="str">
            <v xml:space="preserve">    NM</v>
          </cell>
          <cell r="CM37">
            <v>0.83561643835616439</v>
          </cell>
          <cell r="CN37" t="str">
            <v xml:space="preserve">    NM</v>
          </cell>
          <cell r="CO37">
            <v>0.83561643835616439</v>
          </cell>
          <cell r="CQ37">
            <v>-0.36220472440944884</v>
          </cell>
          <cell r="CR37">
            <v>0</v>
          </cell>
          <cell r="CS37">
            <v>-0.27544910179640714</v>
          </cell>
          <cell r="CU37">
            <v>7.4999999999999956E-2</v>
          </cell>
          <cell r="CV37">
            <v>0</v>
          </cell>
          <cell r="CW37">
            <v>6.25E-2</v>
          </cell>
          <cell r="CY37">
            <v>-0.43589743589745011</v>
          </cell>
          <cell r="CZ37">
            <v>8.5616438356164171E-2</v>
          </cell>
          <cell r="DA37">
            <v>5.2969502407703928E-2</v>
          </cell>
          <cell r="DC37" t="str">
            <v xml:space="preserve"> 1Q</v>
          </cell>
          <cell r="DD37" t="str">
            <v xml:space="preserve">    NM</v>
          </cell>
          <cell r="DE37" t="str">
            <v xml:space="preserve">    NM</v>
          </cell>
          <cell r="DF37" t="str">
            <v xml:space="preserve">    NM</v>
          </cell>
          <cell r="DL37">
            <v>0.16976573169450576</v>
          </cell>
          <cell r="DM37">
            <v>0.17969598262757866</v>
          </cell>
          <cell r="DN37">
            <v>0.17409841890211405</v>
          </cell>
          <cell r="DP37">
            <v>-0.17682926829268297</v>
          </cell>
          <cell r="DQ37">
            <v>6.468231253577568E-2</v>
          </cell>
          <cell r="DR37">
            <v>-2.2336140607836039E-2</v>
          </cell>
          <cell r="DT37">
            <v>0.26865671641791045</v>
          </cell>
          <cell r="DU37">
            <v>0</v>
          </cell>
          <cell r="DV37">
            <v>0.18367346938775511</v>
          </cell>
          <cell r="DX37">
            <v>0.14517139532802295</v>
          </cell>
          <cell r="DY37">
            <v>0.1524668435013263</v>
          </cell>
          <cell r="DZ37">
            <v>0.14850956403534304</v>
          </cell>
        </row>
        <row r="38">
          <cell r="A38" t="str">
            <v xml:space="preserve"> 2Q</v>
          </cell>
          <cell r="B38">
            <v>-0.18672199170124482</v>
          </cell>
          <cell r="C38" t="str">
            <v>NM</v>
          </cell>
          <cell r="D38">
            <v>-0.18672199170124482</v>
          </cell>
          <cell r="F38">
            <v>0.4773697694278396</v>
          </cell>
          <cell r="G38">
            <v>0.35268346111719606</v>
          </cell>
          <cell r="H38">
            <v>0.40140140140140135</v>
          </cell>
          <cell r="J38">
            <v>0.50326797385620914</v>
          </cell>
          <cell r="K38">
            <v>0.12359550561797739</v>
          </cell>
          <cell r="L38">
            <v>0.23772102161100173</v>
          </cell>
          <cell r="Q38">
            <v>-0.53846153846153444</v>
          </cell>
          <cell r="R38">
            <v>-6.9148936170211894E-2</v>
          </cell>
          <cell r="S38">
            <v>-0.1383219954648508</v>
          </cell>
          <cell r="U38">
            <v>5.7692307692307709E-2</v>
          </cell>
          <cell r="V38">
            <v>0.24227865477007549</v>
          </cell>
          <cell r="W38">
            <v>0.13603262452665321</v>
          </cell>
          <cell r="Y38">
            <v>0.21915103652517276</v>
          </cell>
          <cell r="Z38">
            <v>0.37837837837837829</v>
          </cell>
          <cell r="AA38">
            <v>0.24373956594323887</v>
          </cell>
          <cell r="AC38" t="str">
            <v>NM</v>
          </cell>
          <cell r="AD38" t="str">
            <v>NM</v>
          </cell>
          <cell r="AE38" t="str">
            <v>NM</v>
          </cell>
          <cell r="AG38">
            <v>-0.31818181818181901</v>
          </cell>
          <cell r="AH38">
            <v>-0.22222222222222221</v>
          </cell>
          <cell r="AI38">
            <v>-0.25373134328358238</v>
          </cell>
          <cell r="AK38">
            <v>0.20772946859903385</v>
          </cell>
          <cell r="AL38">
            <v>0.26086956521739135</v>
          </cell>
          <cell r="AM38">
            <v>0.21739130434782616</v>
          </cell>
          <cell r="AO38" t="str">
            <v xml:space="preserve"> 2Q</v>
          </cell>
          <cell r="AP38">
            <v>0.10262008733624461</v>
          </cell>
          <cell r="AQ38">
            <v>-1.521216973578865E-2</v>
          </cell>
          <cell r="AR38">
            <v>3.4642032332563577E-2</v>
          </cell>
          <cell r="AT38">
            <v>0.82254196642685828</v>
          </cell>
          <cell r="AU38">
            <v>0.13805970149253732</v>
          </cell>
          <cell r="AV38">
            <v>0.43756558237145837</v>
          </cell>
          <cell r="AX38" t="str">
            <v>NM</v>
          </cell>
          <cell r="AY38" t="str">
            <v>NM</v>
          </cell>
          <cell r="AZ38" t="str">
            <v>NM</v>
          </cell>
          <cell r="BB38">
            <v>-9.3198992443324635E-2</v>
          </cell>
          <cell r="BC38">
            <v>-0.11136107986501698</v>
          </cell>
          <cell r="BD38">
            <v>-0.10804597701149421</v>
          </cell>
          <cell r="BF38">
            <v>0.23121387283237005</v>
          </cell>
          <cell r="BG38">
            <v>-4.0134717934324993E-2</v>
          </cell>
          <cell r="BH38">
            <v>4.8554694880030391E-2</v>
          </cell>
          <cell r="BJ38">
            <v>-0.33333333333333337</v>
          </cell>
          <cell r="BK38">
            <v>-4.2253521126760618E-2</v>
          </cell>
          <cell r="BL38">
            <v>-6.4935064935064957E-2</v>
          </cell>
          <cell r="BN38" t="str">
            <v xml:space="preserve">  NM</v>
          </cell>
          <cell r="BO38">
            <v>7.1428571428571397E-2</v>
          </cell>
          <cell r="BP38">
            <v>0</v>
          </cell>
          <cell r="BR38">
            <v>-0.4285714285714286</v>
          </cell>
          <cell r="BS38">
            <v>-2.352941176470591E-2</v>
          </cell>
          <cell r="BT38">
            <v>-5.4347826086956541E-2</v>
          </cell>
          <cell r="BV38" t="str">
            <v xml:space="preserve"> 2Q</v>
          </cell>
          <cell r="BW38" t="str">
            <v>NM</v>
          </cell>
          <cell r="BX38" t="str">
            <v>NM</v>
          </cell>
          <cell r="BY38" t="str">
            <v>NM</v>
          </cell>
          <cell r="CA38" t="str">
            <v xml:space="preserve">    NM</v>
          </cell>
          <cell r="CB38">
            <v>-0.39393939393939392</v>
          </cell>
          <cell r="CC38" t="str">
            <v xml:space="preserve">    NM</v>
          </cell>
          <cell r="CE38" t="str">
            <v xml:space="preserve">   NM</v>
          </cell>
          <cell r="CF38" t="str">
            <v xml:space="preserve">  NM</v>
          </cell>
          <cell r="CG38" t="str">
            <v xml:space="preserve">   NM</v>
          </cell>
          <cell r="CI38" t="str">
            <v xml:space="preserve">    NM</v>
          </cell>
          <cell r="CJ38">
            <v>-0.33333333333333337</v>
          </cell>
          <cell r="CK38" t="str">
            <v xml:space="preserve">    NM</v>
          </cell>
          <cell r="CM38">
            <v>0.53846153846153855</v>
          </cell>
          <cell r="CN38" t="str">
            <v xml:space="preserve">    NM</v>
          </cell>
          <cell r="CO38">
            <v>0.53846153846153855</v>
          </cell>
          <cell r="CQ38">
            <v>-0.51219512195121952</v>
          </cell>
          <cell r="CR38">
            <v>0</v>
          </cell>
          <cell r="CS38">
            <v>-0.35593220338983056</v>
          </cell>
          <cell r="CU38">
            <v>0</v>
          </cell>
          <cell r="CV38">
            <v>0</v>
          </cell>
          <cell r="CW38">
            <v>0</v>
          </cell>
          <cell r="CY38">
            <v>-0.73684210526315663</v>
          </cell>
          <cell r="CZ38">
            <v>3.1390134529147407E-2</v>
          </cell>
          <cell r="DA38">
            <v>0.12984822934232576</v>
          </cell>
          <cell r="DC38" t="str">
            <v xml:space="preserve"> 2Q</v>
          </cell>
          <cell r="DD38" t="str">
            <v xml:space="preserve">    NM</v>
          </cell>
          <cell r="DE38" t="str">
            <v xml:space="preserve">    NM</v>
          </cell>
          <cell r="DF38" t="str">
            <v xml:space="preserve">    NM</v>
          </cell>
          <cell r="DL38">
            <v>0.17294520547945202</v>
          </cell>
          <cell r="DM38">
            <v>7.8591417910447728E-2</v>
          </cell>
          <cell r="DN38">
            <v>0.12464183381088823</v>
          </cell>
          <cell r="DP38">
            <v>-5.6179775280898875E-2</v>
          </cell>
          <cell r="DQ38">
            <v>5.6122448979591837E-2</v>
          </cell>
          <cell r="DR38">
            <v>2.1052631578947368E-2</v>
          </cell>
          <cell r="DT38">
            <v>0.37096774193548387</v>
          </cell>
          <cell r="DU38">
            <v>7.8947368421052627E-2</v>
          </cell>
          <cell r="DV38">
            <v>0.26</v>
          </cell>
          <cell r="DX38">
            <v>0.1645674168903572</v>
          </cell>
          <cell r="DY38">
            <v>7.4569439355075207E-2</v>
          </cell>
          <cell r="DZ38">
            <v>0.11688185613047287</v>
          </cell>
        </row>
        <row r="39">
          <cell r="A39" t="str">
            <v xml:space="preserve"> 3Q</v>
          </cell>
          <cell r="B39">
            <v>-0.14667580534612756</v>
          </cell>
          <cell r="C39" t="str">
            <v>NM</v>
          </cell>
          <cell r="D39">
            <v>-0.14667580534612756</v>
          </cell>
          <cell r="F39">
            <v>0.52236652236652237</v>
          </cell>
          <cell r="G39">
            <v>0.33060388945752295</v>
          </cell>
          <cell r="H39">
            <v>0.41017964071856294</v>
          </cell>
          <cell r="J39">
            <v>0.4933333333333334</v>
          </cell>
          <cell r="K39">
            <v>0.10644257703081217</v>
          </cell>
          <cell r="L39">
            <v>0.23966942148760317</v>
          </cell>
          <cell r="Q39">
            <v>-0.27272727272727271</v>
          </cell>
          <cell r="R39">
            <v>-0.16049382716049387</v>
          </cell>
          <cell r="S39">
            <v>-0.17391304347826086</v>
          </cell>
          <cell r="U39">
            <v>9.8436839881706817E-2</v>
          </cell>
          <cell r="V39">
            <v>0.21379759192971037</v>
          </cell>
          <cell r="W39">
            <v>0.14384526706801593</v>
          </cell>
          <cell r="Y39">
            <v>0.22902684563758391</v>
          </cell>
          <cell r="Z39">
            <v>0.484375</v>
          </cell>
          <cell r="AA39">
            <v>0.26445086705202314</v>
          </cell>
          <cell r="AC39" t="str">
            <v>NM</v>
          </cell>
          <cell r="AD39" t="str">
            <v>NM</v>
          </cell>
          <cell r="AE39" t="str">
            <v>NM</v>
          </cell>
          <cell r="AG39">
            <v>8.6956521739131709E-2</v>
          </cell>
          <cell r="AH39">
            <v>-0.18604651162790709</v>
          </cell>
          <cell r="AI39">
            <v>-9.0909090909090606E-2</v>
          </cell>
          <cell r="AK39">
            <v>0.22633744855967075</v>
          </cell>
          <cell r="AL39">
            <v>0.36170212765957444</v>
          </cell>
          <cell r="AM39">
            <v>0.24827586206896557</v>
          </cell>
          <cell r="AO39" t="str">
            <v xml:space="preserve"> 3Q</v>
          </cell>
          <cell r="AP39">
            <v>2.5896414342629459E-2</v>
          </cell>
          <cell r="AQ39">
            <v>-2.7355623100303927E-2</v>
          </cell>
          <cell r="AR39">
            <v>-4.3103448275861878E-3</v>
          </cell>
          <cell r="AT39">
            <v>1.4509803921568625</v>
          </cell>
          <cell r="AU39">
            <v>0.31016042780748676</v>
          </cell>
          <cell r="AV39">
            <v>0.82352941176470584</v>
          </cell>
          <cell r="AX39" t="str">
            <v>NM</v>
          </cell>
          <cell r="AY39" t="str">
            <v>NM</v>
          </cell>
          <cell r="AZ39" t="str">
            <v>NM</v>
          </cell>
          <cell r="BB39">
            <v>-1.8264840182648623E-2</v>
          </cell>
          <cell r="BC39">
            <v>-0.12615740740740744</v>
          </cell>
          <cell r="BD39">
            <v>-0.1043397968605726</v>
          </cell>
          <cell r="BF39">
            <v>0.26430205949656749</v>
          </cell>
          <cell r="BG39">
            <v>-4.0374488004681131E-2</v>
          </cell>
          <cell r="BH39">
            <v>6.2717770034843134E-2</v>
          </cell>
          <cell r="BJ39">
            <v>-0.4642857142857143</v>
          </cell>
          <cell r="BK39">
            <v>-0.1063829787234043</v>
          </cell>
          <cell r="BL39">
            <v>-0.13272010512483567</v>
          </cell>
          <cell r="BN39" t="str">
            <v xml:space="preserve">  NM</v>
          </cell>
          <cell r="BO39">
            <v>-0.1428571428571429</v>
          </cell>
          <cell r="BP39">
            <v>-0.11242603550295849</v>
          </cell>
          <cell r="BR39">
            <v>-0.4</v>
          </cell>
          <cell r="BS39">
            <v>-0.11363636363636365</v>
          </cell>
          <cell r="BT39">
            <v>-0.12903225806451613</v>
          </cell>
          <cell r="BV39" t="str">
            <v xml:space="preserve"> 3Q</v>
          </cell>
          <cell r="BW39" t="str">
            <v>NM</v>
          </cell>
          <cell r="BX39" t="str">
            <v>NM</v>
          </cell>
          <cell r="BY39" t="str">
            <v>NM</v>
          </cell>
          <cell r="CA39" t="str">
            <v xml:space="preserve">    NM</v>
          </cell>
          <cell r="CB39">
            <v>-0.25</v>
          </cell>
          <cell r="CC39" t="str">
            <v xml:space="preserve">    NM</v>
          </cell>
          <cell r="CE39" t="str">
            <v xml:space="preserve">   NM</v>
          </cell>
          <cell r="CF39" t="str">
            <v xml:space="preserve">  NM</v>
          </cell>
          <cell r="CG39" t="str">
            <v xml:space="preserve">   NM</v>
          </cell>
          <cell r="CI39" t="str">
            <v xml:space="preserve">    NM</v>
          </cell>
          <cell r="CJ39">
            <v>-0.5</v>
          </cell>
          <cell r="CK39" t="str">
            <v xml:space="preserve">    NM</v>
          </cell>
          <cell r="CM39">
            <v>0.56950672645739897</v>
          </cell>
          <cell r="CN39" t="str">
            <v xml:space="preserve">    NM</v>
          </cell>
          <cell r="CO39">
            <v>0.56950672645739897</v>
          </cell>
          <cell r="CQ39">
            <v>-0.2993630573248407</v>
          </cell>
          <cell r="CR39">
            <v>-0.22222222222222221</v>
          </cell>
          <cell r="CS39">
            <v>-0.27125506072874495</v>
          </cell>
          <cell r="CU39">
            <v>0.21052631578947367</v>
          </cell>
          <cell r="CV39">
            <v>-0.22222222222222221</v>
          </cell>
          <cell r="CW39">
            <v>0.12765957446808507</v>
          </cell>
          <cell r="CY39">
            <v>-0.73451327433628344</v>
          </cell>
          <cell r="CZ39">
            <v>9.0909090909091939E-2</v>
          </cell>
          <cell r="DA39">
            <v>-4.9773755656107976E-2</v>
          </cell>
          <cell r="DC39" t="str">
            <v xml:space="preserve"> 3Q</v>
          </cell>
          <cell r="DD39" t="str">
            <v xml:space="preserve">    NM</v>
          </cell>
          <cell r="DE39" t="str">
            <v xml:space="preserve">    NM</v>
          </cell>
          <cell r="DF39" t="str">
            <v xml:space="preserve">    NM</v>
          </cell>
          <cell r="DL39">
            <v>0.18944591029023747</v>
          </cell>
          <cell r="DM39">
            <v>7.0296913507804218E-2</v>
          </cell>
          <cell r="DN39">
            <v>0.13302956212491671</v>
          </cell>
          <cell r="DP39">
            <v>-3.937007874015748E-2</v>
          </cell>
          <cell r="DQ39">
            <v>2.2727272727272728E-2</v>
          </cell>
          <cell r="DR39">
            <v>-3.3003300330033004E-3</v>
          </cell>
          <cell r="DT39">
            <v>0.11267605633802817</v>
          </cell>
          <cell r="DU39">
            <v>2.7027027027027029E-2</v>
          </cell>
          <cell r="DV39">
            <v>8.3333333333333329E-2</v>
          </cell>
          <cell r="DX39">
            <v>0.15931907463989525</v>
          </cell>
          <cell r="DY39">
            <v>6.0933245704628762E-2</v>
          </cell>
          <cell r="DZ39">
            <v>0.11191531710847738</v>
          </cell>
        </row>
        <row r="40">
          <cell r="A40" t="str">
            <v xml:space="preserve"> 4Q</v>
          </cell>
          <cell r="B40">
            <v>-6.4563462949376427E-2</v>
          </cell>
          <cell r="C40" t="str">
            <v>NM</v>
          </cell>
          <cell r="D40">
            <v>-6.4563462949376427E-2</v>
          </cell>
          <cell r="F40">
            <v>0.52553763440860202</v>
          </cell>
          <cell r="G40">
            <v>0.33825565297646532</v>
          </cell>
          <cell r="H40">
            <v>0.414500683994528</v>
          </cell>
          <cell r="J40">
            <v>0.58690176322418131</v>
          </cell>
          <cell r="K40">
            <v>0.15845539280958731</v>
          </cell>
          <cell r="L40">
            <v>0.30662020905923337</v>
          </cell>
          <cell r="Q40">
            <v>-0.3442622950819636</v>
          </cell>
          <cell r="R40">
            <v>-2.506963788300931E-2</v>
          </cell>
          <cell r="S40">
            <v>-7.1428571428571397E-2</v>
          </cell>
          <cell r="U40">
            <v>0.1750856164383563</v>
          </cell>
          <cell r="V40">
            <v>0.25724748245346363</v>
          </cell>
          <cell r="W40">
            <v>0.20895710152220404</v>
          </cell>
          <cell r="Y40">
            <v>0.30655391120507391</v>
          </cell>
          <cell r="Z40">
            <v>0.26760563380281677</v>
          </cell>
          <cell r="AA40">
            <v>0.29979035639412999</v>
          </cell>
          <cell r="AC40" t="str">
            <v>NM</v>
          </cell>
          <cell r="AD40" t="str">
            <v>NM</v>
          </cell>
          <cell r="AE40" t="str">
            <v>NM</v>
          </cell>
          <cell r="AG40">
            <v>0.60000000000000009</v>
          </cell>
          <cell r="AH40">
            <v>-0.15662650602409611</v>
          </cell>
          <cell r="AI40">
            <v>1.8518518518518823E-2</v>
          </cell>
          <cell r="AK40">
            <v>0.30962343096234313</v>
          </cell>
          <cell r="AL40">
            <v>0.2068965517241379</v>
          </cell>
          <cell r="AM40">
            <v>0.28956228956228958</v>
          </cell>
          <cell r="AO40" t="str">
            <v xml:space="preserve"> 4Q</v>
          </cell>
          <cell r="AP40">
            <v>5.8358061325420429E-2</v>
          </cell>
          <cell r="AQ40">
            <v>2.1505376344086002E-2</v>
          </cell>
          <cell r="AR40">
            <v>3.7613488975356768E-2</v>
          </cell>
          <cell r="AT40">
            <v>0.78666666666666663</v>
          </cell>
          <cell r="AU40">
            <v>0.11888111888111874</v>
          </cell>
          <cell r="AV40">
            <v>0.49773071104387312</v>
          </cell>
          <cell r="AX40" t="str">
            <v>NM</v>
          </cell>
          <cell r="AY40" t="str">
            <v>NM</v>
          </cell>
          <cell r="AZ40" t="str">
            <v>NM</v>
          </cell>
          <cell r="BB40">
            <v>9.0487238979118478E-2</v>
          </cell>
          <cell r="BC40">
            <v>-4.0318001135718484E-2</v>
          </cell>
          <cell r="BD40">
            <v>-1.4598540145985495E-2</v>
          </cell>
          <cell r="BF40">
            <v>0.3138686131386863</v>
          </cell>
          <cell r="BG40">
            <v>6.8775790921595803E-3</v>
          </cell>
          <cell r="BH40">
            <v>0.12236142097134017</v>
          </cell>
          <cell r="BJ40">
            <v>-0.13043478260869568</v>
          </cell>
          <cell r="BK40">
            <v>-9.6945551128817975E-2</v>
          </cell>
          <cell r="BL40">
            <v>-9.9756690997566899E-2</v>
          </cell>
          <cell r="BN40" t="str">
            <v xml:space="preserve">  NM</v>
          </cell>
          <cell r="BO40">
            <v>8.2802547770700397E-2</v>
          </cell>
          <cell r="BP40">
            <v>7.5949367088607334E-2</v>
          </cell>
          <cell r="BR40">
            <v>-0.1428571428571429</v>
          </cell>
          <cell r="BS40">
            <v>-6.5934065934065922E-2</v>
          </cell>
          <cell r="BT40">
            <v>-7.1428571428571397E-2</v>
          </cell>
          <cell r="BV40" t="str">
            <v xml:space="preserve"> 4Q</v>
          </cell>
          <cell r="BW40" t="str">
            <v>NM</v>
          </cell>
          <cell r="BX40" t="str">
            <v>NM</v>
          </cell>
          <cell r="BY40" t="str">
            <v>NM</v>
          </cell>
          <cell r="CA40" t="str">
            <v xml:space="preserve">    NM</v>
          </cell>
          <cell r="CB40" t="str">
            <v xml:space="preserve"> NM</v>
          </cell>
          <cell r="CC40" t="str">
            <v xml:space="preserve">    NM</v>
          </cell>
          <cell r="CE40" t="str">
            <v xml:space="preserve">   NM</v>
          </cell>
          <cell r="CF40" t="str">
            <v xml:space="preserve">  NM</v>
          </cell>
          <cell r="CG40" t="str">
            <v xml:space="preserve">   NM</v>
          </cell>
          <cell r="CI40" t="str">
            <v xml:space="preserve">    NM</v>
          </cell>
          <cell r="CJ40">
            <v>0</v>
          </cell>
          <cell r="CK40" t="str">
            <v xml:space="preserve">    NM</v>
          </cell>
          <cell r="CM40">
            <v>0.61417322834645671</v>
          </cell>
          <cell r="CN40" t="str">
            <v xml:space="preserve">    NM</v>
          </cell>
          <cell r="CO40">
            <v>0.61417322834645671</v>
          </cell>
          <cell r="CQ40">
            <v>-0.53703703703703709</v>
          </cell>
          <cell r="CR40">
            <v>-0.11111111111111116</v>
          </cell>
          <cell r="CS40">
            <v>-0.41176470588235292</v>
          </cell>
          <cell r="CU40">
            <v>8.5106382978723305E-2</v>
          </cell>
          <cell r="CV40">
            <v>-0.11111111111111116</v>
          </cell>
          <cell r="CW40">
            <v>5.3571428571428603E-2</v>
          </cell>
          <cell r="CY40">
            <v>0.30434782608696609</v>
          </cell>
          <cell r="CZ40">
            <v>7.3446327683616586E-2</v>
          </cell>
          <cell r="DA40">
            <v>8.7533156498674991E-2</v>
          </cell>
          <cell r="DC40" t="str">
            <v xml:space="preserve"> 4Q</v>
          </cell>
          <cell r="DD40" t="str">
            <v xml:space="preserve">    NM</v>
          </cell>
          <cell r="DE40" t="str">
            <v xml:space="preserve">    NM</v>
          </cell>
          <cell r="DF40" t="str">
            <v xml:space="preserve">    NM</v>
          </cell>
          <cell r="DL40">
            <v>0.28064842958459979</v>
          </cell>
          <cell r="DM40">
            <v>0.10532030401737243</v>
          </cell>
          <cell r="DN40">
            <v>0.1960167714884696</v>
          </cell>
          <cell r="DP40">
            <v>-5.8333333333333334E-2</v>
          </cell>
          <cell r="DQ40">
            <v>4.6218487394957986E-2</v>
          </cell>
          <cell r="DR40">
            <v>1.11731843575419E-2</v>
          </cell>
          <cell r="DT40">
            <v>0.10204081632653061</v>
          </cell>
          <cell r="DU40">
            <v>7.8947368421052627E-2</v>
          </cell>
          <cell r="DV40">
            <v>9.1954022988505746E-2</v>
          </cell>
          <cell r="DX40">
            <v>0.23788927335640139</v>
          </cell>
          <cell r="DY40">
            <v>9.2731829573934832E-2</v>
          </cell>
          <cell r="DZ40">
            <v>0.16404589885252868</v>
          </cell>
        </row>
        <row r="42">
          <cell r="A42" t="str">
            <v xml:space="preserve">1996/95 </v>
          </cell>
          <cell r="B42">
            <v>-0.11384479717813056</v>
          </cell>
          <cell r="C42" t="str">
            <v>NM</v>
          </cell>
          <cell r="D42">
            <v>-0.11384479717813056</v>
          </cell>
          <cell r="F42">
            <v>0.5057515337423315</v>
          </cell>
          <cell r="G42">
            <v>0.35861234368697037</v>
          </cell>
          <cell r="H42">
            <v>0.41926815774915038</v>
          </cell>
          <cell r="I42" t="e">
            <v>#DIV/0!</v>
          </cell>
          <cell r="J42">
            <v>0.54085321764280536</v>
          </cell>
          <cell r="K42">
            <v>0.16454313796869302</v>
          </cell>
          <cell r="L42">
            <v>0.29055690072639218</v>
          </cell>
          <cell r="Q42">
            <v>-0.38759689922479978</v>
          </cell>
          <cell r="R42">
            <v>-6.0522696011004351E-2</v>
          </cell>
          <cell r="S42">
            <v>-0.10981308411214852</v>
          </cell>
          <cell r="U42">
            <v>0.10963345606418651</v>
          </cell>
          <cell r="V42">
            <v>0.26043993813370014</v>
          </cell>
          <cell r="W42">
            <v>0.16845986257750956</v>
          </cell>
          <cell r="Y42">
            <v>0.26711787930062036</v>
          </cell>
          <cell r="Z42">
            <v>0.39269406392694051</v>
          </cell>
          <cell r="AA42">
            <v>0.28563185227928445</v>
          </cell>
          <cell r="AC42" t="str">
            <v>NM</v>
          </cell>
          <cell r="AD42" t="str">
            <v>NM</v>
          </cell>
          <cell r="AE42" t="str">
            <v>NM</v>
          </cell>
          <cell r="AG42">
            <v>-9.7297297297297858E-2</v>
          </cell>
          <cell r="AH42">
            <v>-0.15430267062314551</v>
          </cell>
          <cell r="AI42">
            <v>-0.13409961685823779</v>
          </cell>
          <cell r="AK42">
            <v>0.25966850828729271</v>
          </cell>
          <cell r="AL42">
            <v>0.29411764705882359</v>
          </cell>
          <cell r="AM42">
            <v>0.26556776556776551</v>
          </cell>
          <cell r="AO42" t="str">
            <v xml:space="preserve">1996/95 </v>
          </cell>
          <cell r="AP42">
            <v>5.2252252252252385E-2</v>
          </cell>
          <cell r="AQ42">
            <v>2.2648439094062445E-2</v>
          </cell>
          <cell r="AR42">
            <v>3.5738675165035483E-2</v>
          </cell>
          <cell r="AT42">
            <v>0.79613526570048321</v>
          </cell>
          <cell r="AU42">
            <v>0.28103896103896098</v>
          </cell>
          <cell r="AV42">
            <v>0.54793491864831023</v>
          </cell>
          <cell r="AW42" t="e">
            <v>#DIV/0!</v>
          </cell>
          <cell r="AX42" t="str">
            <v>NM</v>
          </cell>
          <cell r="AY42" t="str">
            <v>NM</v>
          </cell>
          <cell r="AZ42" t="str">
            <v>NM</v>
          </cell>
          <cell r="BB42">
            <v>-4.6658986175114991E-2</v>
          </cell>
          <cell r="BC42">
            <v>-8.0547550432276904E-2</v>
          </cell>
          <cell r="BD42">
            <v>-7.376671277086233E-2</v>
          </cell>
          <cell r="BF42">
            <v>0.23013912365102041</v>
          </cell>
          <cell r="BG42">
            <v>6.7557750980677955E-3</v>
          </cell>
          <cell r="BH42">
            <v>8.6824812415528863E-2</v>
          </cell>
          <cell r="BJ42">
            <v>-0.2204081632653061</v>
          </cell>
          <cell r="BK42">
            <v>-6.481481481481477E-2</v>
          </cell>
          <cell r="BL42">
            <v>-7.7301015394693806E-2</v>
          </cell>
          <cell r="BN42" t="str">
            <v xml:space="preserve">  NM</v>
          </cell>
          <cell r="BO42">
            <v>-4.4303797468354444E-2</v>
          </cell>
          <cell r="BP42">
            <v>-5.3375196232339217E-2</v>
          </cell>
          <cell r="BR42">
            <v>-0.24</v>
          </cell>
          <cell r="BS42">
            <v>-6.1046511627906974E-2</v>
          </cell>
          <cell r="BT42">
            <v>-7.3170731707317027E-2</v>
          </cell>
          <cell r="BV42" t="str">
            <v xml:space="preserve">1996/95 </v>
          </cell>
          <cell r="BW42" t="str">
            <v>NM</v>
          </cell>
          <cell r="BX42" t="str">
            <v>NM</v>
          </cell>
          <cell r="BY42" t="str">
            <v>NM</v>
          </cell>
          <cell r="CA42" t="str">
            <v xml:space="preserve">    NM</v>
          </cell>
          <cell r="CB42">
            <v>-0.39047619047619042</v>
          </cell>
          <cell r="CC42" t="str">
            <v xml:space="preserve">    NM</v>
          </cell>
          <cell r="CE42" t="str">
            <v xml:space="preserve">   NM</v>
          </cell>
          <cell r="CF42" t="str">
            <v xml:space="preserve">  NM</v>
          </cell>
          <cell r="CG42" t="str">
            <v xml:space="preserve">   NM</v>
          </cell>
          <cell r="CI42" t="str">
            <v xml:space="preserve">    NM</v>
          </cell>
          <cell r="CJ42">
            <v>-0.4</v>
          </cell>
          <cell r="CK42" t="str">
            <v xml:space="preserve">    NM</v>
          </cell>
          <cell r="CM42">
            <v>0.62347188264058673</v>
          </cell>
          <cell r="CN42" t="str">
            <v xml:space="preserve">    NM</v>
          </cell>
          <cell r="CO42">
            <v>0.62347188264058673</v>
          </cell>
          <cell r="CQ42">
            <v>-0.4326923076923076</v>
          </cell>
          <cell r="CR42">
            <v>-8.5714285714285743E-2</v>
          </cell>
          <cell r="CS42">
            <v>-0.32994923857868008</v>
          </cell>
          <cell r="CU42">
            <v>9.0909090909090828E-2</v>
          </cell>
          <cell r="CV42">
            <v>-8.5714285714285743E-2</v>
          </cell>
          <cell r="CW42">
            <v>6.0000000000000053E-2</v>
          </cell>
          <cell r="CY42">
            <v>-0.24590163934426723</v>
          </cell>
          <cell r="CZ42">
            <v>6.8896853843090744E-2</v>
          </cell>
          <cell r="DA42">
            <v>5.4310672236992152E-2</v>
          </cell>
          <cell r="DC42" t="str">
            <v xml:space="preserve">1996/95 </v>
          </cell>
          <cell r="DD42" t="str">
            <v xml:space="preserve">    NM</v>
          </cell>
          <cell r="DE42" t="str">
            <v xml:space="preserve">    NM</v>
          </cell>
          <cell r="DF42" t="str">
            <v xml:space="preserve">    NM</v>
          </cell>
          <cell r="DL42">
            <v>0.20504859611231102</v>
          </cell>
          <cell r="DM42">
            <v>0.10592427616926497</v>
          </cell>
          <cell r="DN42">
            <v>0.15784487025383578</v>
          </cell>
          <cell r="DP42">
            <v>-7.9189686924493505E-2</v>
          </cell>
          <cell r="DQ42">
            <v>4.7534089460940426E-2</v>
          </cell>
          <cell r="DR42">
            <v>2.3788040357641629E-3</v>
          </cell>
          <cell r="DS42" t="e">
            <v>#DIV/0!</v>
          </cell>
          <cell r="DT42">
            <v>4.4827586206896551E-2</v>
          </cell>
          <cell r="DU42">
            <v>0.62365591397849462</v>
          </cell>
          <cell r="DV42">
            <v>0.15521628498727735</v>
          </cell>
          <cell r="DW42" t="e">
            <v>#DIV/0!</v>
          </cell>
          <cell r="DX42">
            <v>0.17757669690477285</v>
          </cell>
          <cell r="DY42">
            <v>9.3338298961873289E-2</v>
          </cell>
          <cell r="DZ42">
            <v>0.13589985720208211</v>
          </cell>
        </row>
        <row r="44">
          <cell r="A44" t="str">
            <v>1996</v>
          </cell>
          <cell r="AO44" t="str">
            <v>1996</v>
          </cell>
          <cell r="BV44" t="str">
            <v>1996</v>
          </cell>
          <cell r="DC44" t="str">
            <v>1996</v>
          </cell>
        </row>
        <row r="45">
          <cell r="A45" t="str">
            <v xml:space="preserve"> 1Q</v>
          </cell>
          <cell r="B45">
            <v>304.89999999999998</v>
          </cell>
          <cell r="C45">
            <v>0</v>
          </cell>
          <cell r="D45">
            <v>304.89999999999998</v>
          </cell>
          <cell r="F45">
            <v>174.4</v>
          </cell>
          <cell r="G45">
            <v>213.4</v>
          </cell>
          <cell r="H45">
            <v>387.8</v>
          </cell>
          <cell r="J45">
            <v>48.1</v>
          </cell>
          <cell r="K45">
            <v>73.900000000000006</v>
          </cell>
          <cell r="L45">
            <v>122</v>
          </cell>
          <cell r="Q45">
            <v>4.8000000000000682</v>
          </cell>
          <cell r="R45">
            <v>32.599999999999966</v>
          </cell>
          <cell r="S45">
            <v>37.400000000000034</v>
          </cell>
          <cell r="U45">
            <v>532.20000000000005</v>
          </cell>
          <cell r="V45">
            <v>319.89999999999998</v>
          </cell>
          <cell r="W45">
            <v>852.1</v>
          </cell>
          <cell r="Y45">
            <v>274.3</v>
          </cell>
          <cell r="Z45">
            <v>42.5</v>
          </cell>
          <cell r="AA45">
            <v>316.8</v>
          </cell>
          <cell r="AC45">
            <v>0</v>
          </cell>
          <cell r="AD45">
            <v>0</v>
          </cell>
          <cell r="AE45">
            <v>0</v>
          </cell>
          <cell r="AG45">
            <v>4.6999999999999886</v>
          </cell>
          <cell r="AH45">
            <v>7.5</v>
          </cell>
          <cell r="AI45">
            <v>12.199999999999989</v>
          </cell>
          <cell r="AK45">
            <v>279</v>
          </cell>
          <cell r="AL45">
            <v>50</v>
          </cell>
          <cell r="AM45">
            <v>329</v>
          </cell>
          <cell r="AO45" t="str">
            <v xml:space="preserve"> 1Q</v>
          </cell>
          <cell r="AP45">
            <v>97.8</v>
          </cell>
          <cell r="AQ45">
            <v>117.2</v>
          </cell>
          <cell r="AR45">
            <v>215</v>
          </cell>
          <cell r="AT45">
            <v>86.8</v>
          </cell>
          <cell r="AU45">
            <v>72.599999999999994</v>
          </cell>
          <cell r="AV45">
            <v>159.39999999999998</v>
          </cell>
          <cell r="AX45">
            <v>0</v>
          </cell>
          <cell r="AY45">
            <v>0</v>
          </cell>
          <cell r="AZ45">
            <v>0</v>
          </cell>
          <cell r="BB45">
            <v>39.5</v>
          </cell>
          <cell r="BC45">
            <v>160.09999999999997</v>
          </cell>
          <cell r="BD45">
            <v>199.59999999999997</v>
          </cell>
          <cell r="BF45">
            <v>224.1</v>
          </cell>
          <cell r="BG45">
            <v>349.9</v>
          </cell>
          <cell r="BH45">
            <v>574</v>
          </cell>
          <cell r="BJ45">
            <v>6.1</v>
          </cell>
          <cell r="BK45">
            <v>63.6</v>
          </cell>
          <cell r="BL45">
            <v>69.7</v>
          </cell>
          <cell r="BN45">
            <v>-9.9999999999999645E-2</v>
          </cell>
          <cell r="BO45">
            <v>13.399999999999999</v>
          </cell>
          <cell r="BP45">
            <v>13.299999999999999</v>
          </cell>
          <cell r="BR45">
            <v>6</v>
          </cell>
          <cell r="BS45">
            <v>77</v>
          </cell>
          <cell r="BT45">
            <v>83</v>
          </cell>
          <cell r="BV45" t="str">
            <v xml:space="preserve"> 1Q</v>
          </cell>
          <cell r="BW45">
            <v>0</v>
          </cell>
          <cell r="BX45">
            <v>0</v>
          </cell>
          <cell r="BY45">
            <v>0</v>
          </cell>
          <cell r="CA45">
            <v>24.1</v>
          </cell>
          <cell r="CB45">
            <v>1.4</v>
          </cell>
          <cell r="CC45">
            <v>25.5</v>
          </cell>
          <cell r="CE45">
            <v>2.8999999999999986</v>
          </cell>
          <cell r="CF45">
            <v>-0.39999999999999991</v>
          </cell>
          <cell r="CG45">
            <v>2.4999999999999987</v>
          </cell>
          <cell r="CI45">
            <v>27</v>
          </cell>
          <cell r="CJ45">
            <v>1</v>
          </cell>
          <cell r="CK45">
            <v>28</v>
          </cell>
          <cell r="CM45">
            <v>26.8</v>
          </cell>
          <cell r="CN45">
            <v>0</v>
          </cell>
          <cell r="CO45">
            <v>26.8</v>
          </cell>
          <cell r="CQ45">
            <v>16.2</v>
          </cell>
          <cell r="CR45">
            <v>8</v>
          </cell>
          <cell r="CS45">
            <v>24.2</v>
          </cell>
          <cell r="CU45">
            <v>43</v>
          </cell>
          <cell r="CV45">
            <v>8</v>
          </cell>
          <cell r="CW45">
            <v>51</v>
          </cell>
          <cell r="CY45">
            <v>2.1999999999999318</v>
          </cell>
          <cell r="CZ45">
            <v>63.400000000000091</v>
          </cell>
          <cell r="DA45">
            <v>65.600000000000023</v>
          </cell>
          <cell r="DC45" t="str">
            <v xml:space="preserve"> 1Q</v>
          </cell>
          <cell r="DD45">
            <v>0</v>
          </cell>
          <cell r="DE45">
            <v>0</v>
          </cell>
          <cell r="DF45">
            <v>0</v>
          </cell>
          <cell r="DL45">
            <v>1113.5</v>
          </cell>
          <cell r="DM45">
            <v>869.2</v>
          </cell>
          <cell r="DN45">
            <v>1982.7</v>
          </cell>
          <cell r="DP45">
            <v>81</v>
          </cell>
          <cell r="DQ45">
            <v>186</v>
          </cell>
          <cell r="DR45">
            <v>267</v>
          </cell>
          <cell r="DT45">
            <v>85</v>
          </cell>
          <cell r="DU45">
            <v>31</v>
          </cell>
          <cell r="DV45">
            <v>116</v>
          </cell>
          <cell r="DX45">
            <v>1279.5</v>
          </cell>
          <cell r="DY45">
            <v>1086.2</v>
          </cell>
          <cell r="DZ45">
            <v>2365.6999999999998</v>
          </cell>
        </row>
        <row r="46">
          <cell r="A46" t="str">
            <v xml:space="preserve"> 2Q</v>
          </cell>
          <cell r="B46">
            <v>196</v>
          </cell>
          <cell r="C46">
            <v>0</v>
          </cell>
          <cell r="D46">
            <v>196</v>
          </cell>
          <cell r="F46">
            <v>173</v>
          </cell>
          <cell r="G46">
            <v>247</v>
          </cell>
          <cell r="H46">
            <v>420</v>
          </cell>
          <cell r="J46">
            <v>46</v>
          </cell>
          <cell r="K46">
            <v>80</v>
          </cell>
          <cell r="L46">
            <v>126</v>
          </cell>
          <cell r="Q46">
            <v>3</v>
          </cell>
          <cell r="R46">
            <v>35</v>
          </cell>
          <cell r="S46">
            <v>38</v>
          </cell>
          <cell r="U46">
            <v>418</v>
          </cell>
          <cell r="V46">
            <v>362</v>
          </cell>
          <cell r="W46">
            <v>780</v>
          </cell>
          <cell r="Y46">
            <v>247</v>
          </cell>
          <cell r="Z46">
            <v>51</v>
          </cell>
          <cell r="AA46">
            <v>298</v>
          </cell>
          <cell r="AC46">
            <v>0</v>
          </cell>
          <cell r="AD46">
            <v>0</v>
          </cell>
          <cell r="AE46">
            <v>0</v>
          </cell>
          <cell r="AG46">
            <v>3</v>
          </cell>
          <cell r="AH46">
            <v>7</v>
          </cell>
          <cell r="AI46">
            <v>10</v>
          </cell>
          <cell r="AK46">
            <v>250</v>
          </cell>
          <cell r="AL46">
            <v>58</v>
          </cell>
          <cell r="AM46">
            <v>308</v>
          </cell>
          <cell r="AO46" t="str">
            <v xml:space="preserve"> 2Q</v>
          </cell>
          <cell r="AP46">
            <v>101</v>
          </cell>
          <cell r="AQ46">
            <v>123</v>
          </cell>
          <cell r="AR46">
            <v>224</v>
          </cell>
          <cell r="AT46">
            <v>76</v>
          </cell>
          <cell r="AU46">
            <v>61</v>
          </cell>
          <cell r="AV46">
            <v>137</v>
          </cell>
          <cell r="AX46">
            <v>0</v>
          </cell>
          <cell r="AY46">
            <v>0</v>
          </cell>
          <cell r="AZ46">
            <v>0</v>
          </cell>
          <cell r="BB46">
            <v>36</v>
          </cell>
          <cell r="BC46">
            <v>158</v>
          </cell>
          <cell r="BD46">
            <v>194</v>
          </cell>
          <cell r="BF46">
            <v>213</v>
          </cell>
          <cell r="BG46">
            <v>342</v>
          </cell>
          <cell r="BH46">
            <v>555</v>
          </cell>
          <cell r="BJ46">
            <v>4</v>
          </cell>
          <cell r="BK46">
            <v>68</v>
          </cell>
          <cell r="BL46">
            <v>72</v>
          </cell>
          <cell r="BN46">
            <v>0</v>
          </cell>
          <cell r="BO46">
            <v>15</v>
          </cell>
          <cell r="BP46">
            <v>15</v>
          </cell>
          <cell r="BR46">
            <v>4</v>
          </cell>
          <cell r="BS46">
            <v>83</v>
          </cell>
          <cell r="BT46">
            <v>87</v>
          </cell>
          <cell r="BV46" t="str">
            <v xml:space="preserve"> 2Q</v>
          </cell>
          <cell r="BW46">
            <v>0</v>
          </cell>
          <cell r="BX46">
            <v>0</v>
          </cell>
          <cell r="BY46">
            <v>0</v>
          </cell>
          <cell r="CA46">
            <v>34</v>
          </cell>
          <cell r="CB46">
            <v>2</v>
          </cell>
          <cell r="CC46">
            <v>36</v>
          </cell>
          <cell r="CE46">
            <v>2</v>
          </cell>
          <cell r="CF46">
            <v>0</v>
          </cell>
          <cell r="CG46">
            <v>2</v>
          </cell>
          <cell r="CI46">
            <v>36</v>
          </cell>
          <cell r="CJ46">
            <v>2</v>
          </cell>
          <cell r="CK46">
            <v>38</v>
          </cell>
          <cell r="CM46">
            <v>30</v>
          </cell>
          <cell r="CN46">
            <v>0</v>
          </cell>
          <cell r="CO46">
            <v>30</v>
          </cell>
          <cell r="CQ46">
            <v>10</v>
          </cell>
          <cell r="CR46">
            <v>9</v>
          </cell>
          <cell r="CS46">
            <v>19</v>
          </cell>
          <cell r="CU46">
            <v>40</v>
          </cell>
          <cell r="CV46">
            <v>9</v>
          </cell>
          <cell r="CW46">
            <v>49</v>
          </cell>
          <cell r="CY46">
            <v>-2</v>
          </cell>
          <cell r="CZ46">
            <v>69</v>
          </cell>
          <cell r="DA46">
            <v>67</v>
          </cell>
          <cell r="DC46" t="str">
            <v xml:space="preserve"> 2Q</v>
          </cell>
          <cell r="DD46">
            <v>0</v>
          </cell>
          <cell r="DE46">
            <v>0</v>
          </cell>
          <cell r="DF46">
            <v>0</v>
          </cell>
          <cell r="DL46">
            <v>959</v>
          </cell>
          <cell r="DM46">
            <v>925</v>
          </cell>
          <cell r="DN46">
            <v>1884</v>
          </cell>
          <cell r="DP46">
            <v>84</v>
          </cell>
          <cell r="DQ46">
            <v>207</v>
          </cell>
          <cell r="DR46">
            <v>291</v>
          </cell>
          <cell r="DT46">
            <v>85</v>
          </cell>
          <cell r="DU46">
            <v>41</v>
          </cell>
          <cell r="DV46">
            <v>126</v>
          </cell>
          <cell r="DX46">
            <v>1128</v>
          </cell>
          <cell r="DY46">
            <v>1173</v>
          </cell>
          <cell r="DZ46">
            <v>2301</v>
          </cell>
        </row>
        <row r="47">
          <cell r="A47" t="str">
            <v xml:space="preserve"> 3Q</v>
          </cell>
          <cell r="B47">
            <v>249</v>
          </cell>
          <cell r="C47">
            <v>0</v>
          </cell>
          <cell r="D47">
            <v>249</v>
          </cell>
          <cell r="F47">
            <v>211</v>
          </cell>
          <cell r="G47">
            <v>260</v>
          </cell>
          <cell r="H47">
            <v>471</v>
          </cell>
          <cell r="J47">
            <v>56</v>
          </cell>
          <cell r="K47">
            <v>79</v>
          </cell>
          <cell r="L47">
            <v>135</v>
          </cell>
          <cell r="Q47">
            <v>4</v>
          </cell>
          <cell r="R47">
            <v>34</v>
          </cell>
          <cell r="S47">
            <v>38</v>
          </cell>
          <cell r="U47">
            <v>520</v>
          </cell>
          <cell r="V47">
            <v>373</v>
          </cell>
          <cell r="W47">
            <v>893</v>
          </cell>
          <cell r="Y47">
            <v>293</v>
          </cell>
          <cell r="Z47">
            <v>57</v>
          </cell>
          <cell r="AA47">
            <v>350</v>
          </cell>
          <cell r="AC47">
            <v>0</v>
          </cell>
          <cell r="AD47">
            <v>0</v>
          </cell>
          <cell r="AE47">
            <v>0</v>
          </cell>
          <cell r="AG47">
            <v>5</v>
          </cell>
          <cell r="AH47">
            <v>7</v>
          </cell>
          <cell r="AI47">
            <v>12</v>
          </cell>
          <cell r="AK47">
            <v>298</v>
          </cell>
          <cell r="AL47">
            <v>64</v>
          </cell>
          <cell r="AM47">
            <v>362</v>
          </cell>
          <cell r="AO47" t="str">
            <v xml:space="preserve"> 3Q</v>
          </cell>
          <cell r="AP47">
            <v>103</v>
          </cell>
          <cell r="AQ47">
            <v>128</v>
          </cell>
          <cell r="AR47">
            <v>231</v>
          </cell>
          <cell r="AT47">
            <v>75</v>
          </cell>
          <cell r="AU47">
            <v>49</v>
          </cell>
          <cell r="AV47">
            <v>124</v>
          </cell>
          <cell r="AX47">
            <v>0</v>
          </cell>
          <cell r="AY47">
            <v>0</v>
          </cell>
          <cell r="AZ47">
            <v>0</v>
          </cell>
          <cell r="BB47">
            <v>43</v>
          </cell>
          <cell r="BC47">
            <v>151</v>
          </cell>
          <cell r="BD47">
            <v>194</v>
          </cell>
          <cell r="BF47">
            <v>221</v>
          </cell>
          <cell r="BG47">
            <v>328</v>
          </cell>
          <cell r="BH47">
            <v>549</v>
          </cell>
          <cell r="BJ47">
            <v>3</v>
          </cell>
          <cell r="BK47">
            <v>63</v>
          </cell>
          <cell r="BL47">
            <v>66</v>
          </cell>
          <cell r="BN47">
            <v>0</v>
          </cell>
          <cell r="BO47">
            <v>15</v>
          </cell>
          <cell r="BP47">
            <v>15</v>
          </cell>
          <cell r="BR47">
            <v>3</v>
          </cell>
          <cell r="BS47">
            <v>78</v>
          </cell>
          <cell r="BT47">
            <v>81</v>
          </cell>
          <cell r="BV47" t="str">
            <v xml:space="preserve"> 3Q</v>
          </cell>
          <cell r="BW47">
            <v>0</v>
          </cell>
          <cell r="BX47">
            <v>0</v>
          </cell>
          <cell r="BY47">
            <v>0</v>
          </cell>
          <cell r="CA47">
            <v>33</v>
          </cell>
          <cell r="CB47">
            <v>3</v>
          </cell>
          <cell r="CC47">
            <v>36</v>
          </cell>
          <cell r="CE47">
            <v>3</v>
          </cell>
          <cell r="CF47">
            <v>-1</v>
          </cell>
          <cell r="CG47">
            <v>2</v>
          </cell>
          <cell r="CI47">
            <v>36</v>
          </cell>
          <cell r="CJ47">
            <v>2</v>
          </cell>
          <cell r="CK47">
            <v>38</v>
          </cell>
          <cell r="CM47">
            <v>35</v>
          </cell>
          <cell r="CN47">
            <v>0</v>
          </cell>
          <cell r="CO47">
            <v>35</v>
          </cell>
          <cell r="CQ47">
            <v>11</v>
          </cell>
          <cell r="CR47">
            <v>7</v>
          </cell>
          <cell r="CS47">
            <v>18</v>
          </cell>
          <cell r="CU47">
            <v>46</v>
          </cell>
          <cell r="CV47">
            <v>7</v>
          </cell>
          <cell r="CW47">
            <v>53</v>
          </cell>
          <cell r="CY47">
            <v>3</v>
          </cell>
          <cell r="CZ47">
            <v>60</v>
          </cell>
          <cell r="DA47">
            <v>63</v>
          </cell>
          <cell r="DC47" t="str">
            <v xml:space="preserve"> 3Q</v>
          </cell>
          <cell r="DD47">
            <v>0</v>
          </cell>
          <cell r="DE47">
            <v>0</v>
          </cell>
          <cell r="DF47">
            <v>0</v>
          </cell>
          <cell r="DL47">
            <v>1127</v>
          </cell>
          <cell r="DM47">
            <v>912</v>
          </cell>
          <cell r="DN47">
            <v>2039</v>
          </cell>
          <cell r="DP47">
            <v>122</v>
          </cell>
          <cell r="DQ47">
            <v>180</v>
          </cell>
          <cell r="DR47">
            <v>302</v>
          </cell>
          <cell r="DT47">
            <v>79</v>
          </cell>
          <cell r="DU47">
            <v>38</v>
          </cell>
          <cell r="DV47">
            <v>117</v>
          </cell>
          <cell r="DX47">
            <v>1328</v>
          </cell>
          <cell r="DY47">
            <v>1130</v>
          </cell>
          <cell r="DZ47">
            <v>2458</v>
          </cell>
        </row>
        <row r="48">
          <cell r="A48" t="str">
            <v xml:space="preserve"> 4Q</v>
          </cell>
          <cell r="B48">
            <v>255</v>
          </cell>
          <cell r="C48">
            <v>0</v>
          </cell>
          <cell r="D48">
            <v>255</v>
          </cell>
          <cell r="F48">
            <v>227</v>
          </cell>
          <cell r="G48">
            <v>290</v>
          </cell>
          <cell r="H48">
            <v>517</v>
          </cell>
          <cell r="J48">
            <v>63</v>
          </cell>
          <cell r="K48">
            <v>87</v>
          </cell>
          <cell r="L48">
            <v>150</v>
          </cell>
          <cell r="Q48">
            <v>4</v>
          </cell>
          <cell r="R48">
            <v>35</v>
          </cell>
          <cell r="S48">
            <v>39</v>
          </cell>
          <cell r="U48">
            <v>549</v>
          </cell>
          <cell r="V48">
            <v>412</v>
          </cell>
          <cell r="W48">
            <v>961</v>
          </cell>
          <cell r="Y48">
            <v>309</v>
          </cell>
          <cell r="Z48">
            <v>63</v>
          </cell>
          <cell r="AA48">
            <v>372</v>
          </cell>
          <cell r="AC48">
            <v>0</v>
          </cell>
          <cell r="AD48">
            <v>0</v>
          </cell>
          <cell r="AE48">
            <v>0</v>
          </cell>
          <cell r="AG48">
            <v>4</v>
          </cell>
          <cell r="AH48">
            <v>7</v>
          </cell>
          <cell r="AI48">
            <v>11</v>
          </cell>
          <cell r="AK48">
            <v>313</v>
          </cell>
          <cell r="AL48">
            <v>70</v>
          </cell>
          <cell r="AM48">
            <v>383</v>
          </cell>
          <cell r="AO48" t="str">
            <v xml:space="preserve"> 4Q</v>
          </cell>
          <cell r="AP48">
            <v>107</v>
          </cell>
          <cell r="AQ48">
            <v>133</v>
          </cell>
          <cell r="AR48">
            <v>240</v>
          </cell>
          <cell r="AT48">
            <v>134</v>
          </cell>
          <cell r="AU48">
            <v>64</v>
          </cell>
          <cell r="AV48">
            <v>198</v>
          </cell>
          <cell r="AX48">
            <v>0</v>
          </cell>
          <cell r="AY48">
            <v>0</v>
          </cell>
          <cell r="AZ48">
            <v>0</v>
          </cell>
          <cell r="BB48">
            <v>47</v>
          </cell>
          <cell r="BC48">
            <v>169</v>
          </cell>
          <cell r="BD48">
            <v>216</v>
          </cell>
          <cell r="BF48">
            <v>288</v>
          </cell>
          <cell r="BG48">
            <v>366</v>
          </cell>
          <cell r="BH48">
            <v>654</v>
          </cell>
          <cell r="BJ48">
            <v>6</v>
          </cell>
          <cell r="BK48">
            <v>68</v>
          </cell>
          <cell r="BL48">
            <v>74</v>
          </cell>
          <cell r="BN48">
            <v>0</v>
          </cell>
          <cell r="BO48">
            <v>17</v>
          </cell>
          <cell r="BP48">
            <v>17</v>
          </cell>
          <cell r="BR48">
            <v>6</v>
          </cell>
          <cell r="BS48">
            <v>85</v>
          </cell>
          <cell r="BT48">
            <v>91</v>
          </cell>
          <cell r="BV48" t="str">
            <v xml:space="preserve"> 4Q</v>
          </cell>
          <cell r="BW48">
            <v>0</v>
          </cell>
          <cell r="BX48">
            <v>0</v>
          </cell>
          <cell r="BY48">
            <v>0</v>
          </cell>
          <cell r="CA48">
            <v>49</v>
          </cell>
          <cell r="CB48">
            <v>0</v>
          </cell>
          <cell r="CC48">
            <v>49</v>
          </cell>
          <cell r="CE48">
            <v>2</v>
          </cell>
          <cell r="CF48">
            <v>1</v>
          </cell>
          <cell r="CG48">
            <v>3</v>
          </cell>
          <cell r="CI48">
            <v>51</v>
          </cell>
          <cell r="CJ48">
            <v>1</v>
          </cell>
          <cell r="CK48">
            <v>52</v>
          </cell>
          <cell r="CM48">
            <v>41</v>
          </cell>
          <cell r="CN48">
            <v>0</v>
          </cell>
          <cell r="CO48">
            <v>41</v>
          </cell>
          <cell r="CQ48">
            <v>10</v>
          </cell>
          <cell r="CR48">
            <v>8</v>
          </cell>
          <cell r="CS48">
            <v>18</v>
          </cell>
          <cell r="CU48">
            <v>51</v>
          </cell>
          <cell r="CV48">
            <v>8</v>
          </cell>
          <cell r="CW48">
            <v>59</v>
          </cell>
          <cell r="CY48">
            <v>6</v>
          </cell>
          <cell r="CZ48">
            <v>76</v>
          </cell>
          <cell r="DA48">
            <v>82</v>
          </cell>
          <cell r="DC48" t="str">
            <v xml:space="preserve"> 4Q</v>
          </cell>
          <cell r="DD48">
            <v>0</v>
          </cell>
          <cell r="DE48">
            <v>0</v>
          </cell>
          <cell r="DF48">
            <v>0</v>
          </cell>
          <cell r="DL48">
            <v>1264</v>
          </cell>
          <cell r="DM48">
            <v>1018</v>
          </cell>
          <cell r="DN48">
            <v>2282</v>
          </cell>
          <cell r="DP48">
            <v>113</v>
          </cell>
          <cell r="DQ48">
            <v>249</v>
          </cell>
          <cell r="DR48">
            <v>362</v>
          </cell>
          <cell r="DT48">
            <v>54</v>
          </cell>
          <cell r="DU48">
            <v>41</v>
          </cell>
          <cell r="DV48">
            <v>95</v>
          </cell>
          <cell r="DX48">
            <v>1431</v>
          </cell>
          <cell r="DY48">
            <v>1308</v>
          </cell>
          <cell r="DZ48">
            <v>2739</v>
          </cell>
        </row>
        <row r="49">
          <cell r="CW49">
            <v>0</v>
          </cell>
        </row>
        <row r="50">
          <cell r="A50" t="str">
            <v>1996</v>
          </cell>
          <cell r="B50">
            <v>1004.9</v>
          </cell>
          <cell r="C50">
            <v>0</v>
          </cell>
          <cell r="D50">
            <v>1004.9</v>
          </cell>
          <cell r="F50">
            <v>785.4</v>
          </cell>
          <cell r="G50">
            <v>1010.4</v>
          </cell>
          <cell r="H50">
            <v>1795.8</v>
          </cell>
          <cell r="I50">
            <v>0</v>
          </cell>
          <cell r="J50">
            <v>213.1</v>
          </cell>
          <cell r="K50">
            <v>319.89999999999998</v>
          </cell>
          <cell r="L50">
            <v>533</v>
          </cell>
          <cell r="P50">
            <v>0</v>
          </cell>
          <cell r="Q50">
            <v>15.800000000000068</v>
          </cell>
          <cell r="R50">
            <v>136.59999999999997</v>
          </cell>
          <cell r="S50">
            <v>152.40000000000003</v>
          </cell>
          <cell r="T50">
            <v>0</v>
          </cell>
          <cell r="U50">
            <v>2019.2</v>
          </cell>
          <cell r="V50">
            <v>1466.9</v>
          </cell>
          <cell r="W50">
            <v>3486.1</v>
          </cell>
          <cell r="X50">
            <v>0</v>
          </cell>
          <cell r="Y50">
            <v>1123.3</v>
          </cell>
          <cell r="Z50">
            <v>213.5</v>
          </cell>
          <cell r="AA50">
            <v>1336.8</v>
          </cell>
          <cell r="AC50">
            <v>0</v>
          </cell>
          <cell r="AD50">
            <v>0</v>
          </cell>
          <cell r="AE50">
            <v>0</v>
          </cell>
          <cell r="AG50">
            <v>16.699999999999989</v>
          </cell>
          <cell r="AH50">
            <v>28.5</v>
          </cell>
          <cell r="AI50">
            <v>45.199999999999989</v>
          </cell>
          <cell r="AK50">
            <v>1140</v>
          </cell>
          <cell r="AL50">
            <v>242</v>
          </cell>
          <cell r="AM50">
            <v>1382</v>
          </cell>
          <cell r="AO50" t="str">
            <v>Year</v>
          </cell>
          <cell r="AP50">
            <v>408.8</v>
          </cell>
          <cell r="AQ50">
            <v>501.2</v>
          </cell>
          <cell r="AR50">
            <v>910</v>
          </cell>
          <cell r="AT50">
            <v>371.8</v>
          </cell>
          <cell r="AU50">
            <v>246.6</v>
          </cell>
          <cell r="AV50">
            <v>618.4</v>
          </cell>
          <cell r="AW50">
            <v>0</v>
          </cell>
          <cell r="AX50">
            <v>0</v>
          </cell>
          <cell r="AY50">
            <v>0</v>
          </cell>
          <cell r="AZ50">
            <v>0</v>
          </cell>
          <cell r="BB50">
            <v>165.5</v>
          </cell>
          <cell r="BC50">
            <v>638.09999999999991</v>
          </cell>
          <cell r="BD50">
            <v>803.59999999999991</v>
          </cell>
          <cell r="BE50">
            <v>0</v>
          </cell>
          <cell r="BF50">
            <v>946.1</v>
          </cell>
          <cell r="BG50">
            <v>1385.9</v>
          </cell>
          <cell r="BH50">
            <v>2332</v>
          </cell>
          <cell r="BI50">
            <v>0</v>
          </cell>
          <cell r="BJ50">
            <v>19.100000000000001</v>
          </cell>
          <cell r="BK50">
            <v>262.60000000000002</v>
          </cell>
          <cell r="BL50">
            <v>281.7</v>
          </cell>
          <cell r="BM50">
            <v>0</v>
          </cell>
          <cell r="BN50">
            <v>-9.9999999999999645E-2</v>
          </cell>
          <cell r="BO50">
            <v>60.4</v>
          </cell>
          <cell r="BP50">
            <v>60.3</v>
          </cell>
          <cell r="BQ50">
            <v>0</v>
          </cell>
          <cell r="BR50">
            <v>19</v>
          </cell>
          <cell r="BS50">
            <v>323</v>
          </cell>
          <cell r="BT50">
            <v>342</v>
          </cell>
          <cell r="BV50" t="str">
            <v>1996</v>
          </cell>
          <cell r="BW50">
            <v>0</v>
          </cell>
          <cell r="BX50">
            <v>0</v>
          </cell>
          <cell r="BY50">
            <v>0</v>
          </cell>
          <cell r="CA50">
            <v>140.1</v>
          </cell>
          <cell r="CB50">
            <v>6.4</v>
          </cell>
          <cell r="CC50">
            <v>146.5</v>
          </cell>
          <cell r="CE50">
            <v>9.8999999999999986</v>
          </cell>
          <cell r="CF50">
            <v>-0.39999999999999991</v>
          </cell>
          <cell r="CG50">
            <v>9.4999999999999982</v>
          </cell>
          <cell r="CI50">
            <v>150</v>
          </cell>
          <cell r="CJ50">
            <v>6</v>
          </cell>
          <cell r="CK50">
            <v>156</v>
          </cell>
          <cell r="CM50">
            <v>132.80000000000001</v>
          </cell>
          <cell r="CN50">
            <v>0</v>
          </cell>
          <cell r="CO50">
            <v>132.80000000000001</v>
          </cell>
          <cell r="CQ50">
            <v>47.2</v>
          </cell>
          <cell r="CR50">
            <v>32</v>
          </cell>
          <cell r="CS50">
            <v>79.2</v>
          </cell>
          <cell r="CU50">
            <v>180</v>
          </cell>
          <cell r="CV50">
            <v>32</v>
          </cell>
          <cell r="CW50">
            <v>212</v>
          </cell>
          <cell r="CY50">
            <v>9.1999999999999318</v>
          </cell>
          <cell r="CZ50">
            <v>268.40000000000009</v>
          </cell>
          <cell r="DA50">
            <v>277.60000000000002</v>
          </cell>
          <cell r="DC50" t="str">
            <v>1996</v>
          </cell>
          <cell r="DD50">
            <v>0</v>
          </cell>
          <cell r="DE50">
            <v>0</v>
          </cell>
          <cell r="DF50">
            <v>0</v>
          </cell>
          <cell r="DL50">
            <v>4463.5</v>
          </cell>
          <cell r="DM50">
            <v>3724.2</v>
          </cell>
          <cell r="DN50">
            <v>8187.7</v>
          </cell>
          <cell r="DP50">
            <v>400</v>
          </cell>
          <cell r="DQ50">
            <v>822</v>
          </cell>
          <cell r="DR50">
            <v>1222</v>
          </cell>
          <cell r="DT50">
            <v>303</v>
          </cell>
          <cell r="DU50">
            <v>151</v>
          </cell>
          <cell r="DV50">
            <v>454</v>
          </cell>
          <cell r="DX50">
            <v>5166.5</v>
          </cell>
          <cell r="DY50">
            <v>4697.2</v>
          </cell>
          <cell r="DZ50">
            <v>9863.7000000000007</v>
          </cell>
        </row>
        <row r="52">
          <cell r="A52" t="str">
            <v xml:space="preserve">1997/96 </v>
          </cell>
          <cell r="AO52" t="str">
            <v xml:space="preserve">1997/96 </v>
          </cell>
          <cell r="BV52" t="str">
            <v xml:space="preserve">1997/96 </v>
          </cell>
          <cell r="DC52" t="str">
            <v xml:space="preserve">1997/96 </v>
          </cell>
        </row>
        <row r="53">
          <cell r="A53" t="str">
            <v xml:space="preserve"> 1Q</v>
          </cell>
          <cell r="B53">
            <v>-0.21613643817645123</v>
          </cell>
          <cell r="C53" t="str">
            <v>NM</v>
          </cell>
          <cell r="D53">
            <v>-0.21613643817645123</v>
          </cell>
          <cell r="F53">
            <v>0.25573394495412849</v>
          </cell>
          <cell r="G53">
            <v>0.30740393626991569</v>
          </cell>
          <cell r="H53">
            <v>0.28416709644146465</v>
          </cell>
          <cell r="J53">
            <v>0.45530145530145516</v>
          </cell>
          <cell r="K53">
            <v>0.13667117726657629</v>
          </cell>
          <cell r="L53">
            <v>0.26229508196721318</v>
          </cell>
          <cell r="Q53">
            <v>-0.37500000000000888</v>
          </cell>
          <cell r="R53">
            <v>-0.14110429447852668</v>
          </cell>
          <cell r="S53">
            <v>-0.17112299465240721</v>
          </cell>
          <cell r="U53">
            <v>-2.2547914317926354E-3</v>
          </cell>
          <cell r="V53">
            <v>0.22225695529853096</v>
          </cell>
          <cell r="W53">
            <v>8.2032625278723126E-2</v>
          </cell>
          <cell r="Y53">
            <v>0.21764491432737865</v>
          </cell>
          <cell r="Z53">
            <v>0.41176470588235303</v>
          </cell>
          <cell r="AA53">
            <v>0.24368686868686873</v>
          </cell>
          <cell r="AC53" t="str">
            <v>NM</v>
          </cell>
          <cell r="AD53" t="str">
            <v>NM</v>
          </cell>
          <cell r="AE53" t="str">
            <v>NM</v>
          </cell>
          <cell r="AG53">
            <v>-0.14893617021276395</v>
          </cell>
          <cell r="AH53">
            <v>-0.19999999999999996</v>
          </cell>
          <cell r="AI53">
            <v>-0.18032786885245822</v>
          </cell>
          <cell r="AK53">
            <v>0.21146953405017932</v>
          </cell>
          <cell r="AL53">
            <v>0.32000000000000006</v>
          </cell>
          <cell r="AM53">
            <v>0.22796352583586632</v>
          </cell>
          <cell r="AO53" t="str">
            <v xml:space="preserve"> 1Q</v>
          </cell>
          <cell r="AP53">
            <v>2.249488752556239E-2</v>
          </cell>
          <cell r="AQ53">
            <v>6.8259385665527805E-3</v>
          </cell>
          <cell r="AR53">
            <v>1.3953488372093092E-2</v>
          </cell>
          <cell r="AT53">
            <v>1.0852534562211984</v>
          </cell>
          <cell r="AU53">
            <v>0.14325068870523427</v>
          </cell>
          <cell r="AV53">
            <v>0.65621079046424113</v>
          </cell>
          <cell r="AX53" t="str">
            <v>NM</v>
          </cell>
          <cell r="AY53" t="str">
            <v>NM</v>
          </cell>
          <cell r="AZ53" t="str">
            <v>NM</v>
          </cell>
          <cell r="BB53">
            <v>0.11392405063291133</v>
          </cell>
          <cell r="BC53">
            <v>-2.5608994378513272E-2</v>
          </cell>
          <cell r="BD53">
            <v>2.0040080160321772E-3</v>
          </cell>
          <cell r="BF53">
            <v>0.45024542614904073</v>
          </cell>
          <cell r="BG53">
            <v>2.0291511860531575E-2</v>
          </cell>
          <cell r="BH53">
            <v>0.18815331010452963</v>
          </cell>
          <cell r="BJ53">
            <v>-0.50819672131147531</v>
          </cell>
          <cell r="BK53">
            <v>-0.13522012578616349</v>
          </cell>
          <cell r="BL53">
            <v>-0.16786226685796268</v>
          </cell>
          <cell r="BM53" t="e">
            <v>#DIV/0!</v>
          </cell>
          <cell r="BN53" t="str">
            <v xml:space="preserve">  NM</v>
          </cell>
          <cell r="BO53">
            <v>-0.4776119402985074</v>
          </cell>
          <cell r="BP53">
            <v>-0.47368421052631571</v>
          </cell>
          <cell r="BQ53" t="e">
            <v>#DIV/0!</v>
          </cell>
          <cell r="BR53">
            <v>-0.5</v>
          </cell>
          <cell r="BS53">
            <v>-0.19480519480519476</v>
          </cell>
          <cell r="BT53">
            <v>-0.2168674698795181</v>
          </cell>
          <cell r="BV53" t="str">
            <v xml:space="preserve"> 1Q</v>
          </cell>
          <cell r="BW53" t="str">
            <v>NM</v>
          </cell>
          <cell r="BX53" t="str">
            <v>NM</v>
          </cell>
          <cell r="BY53" t="str">
            <v>NM</v>
          </cell>
          <cell r="CA53">
            <v>1.1161825726141079</v>
          </cell>
          <cell r="CB53">
            <v>-0.2857142857142857</v>
          </cell>
          <cell r="CC53">
            <v>1.0392156862745097</v>
          </cell>
          <cell r="CE53" t="str">
            <v xml:space="preserve">  NM</v>
          </cell>
          <cell r="CF53" t="str">
            <v xml:space="preserve">  NM</v>
          </cell>
          <cell r="CG53" t="str">
            <v xml:space="preserve">  NM</v>
          </cell>
          <cell r="CI53">
            <v>0.96296296296296302</v>
          </cell>
          <cell r="CJ53">
            <v>0</v>
          </cell>
          <cell r="CK53">
            <v>0.9285714285714286</v>
          </cell>
          <cell r="CM53">
            <v>0.49253731343283569</v>
          </cell>
          <cell r="CN53" t="str">
            <v xml:space="preserve">  NM</v>
          </cell>
          <cell r="CO53">
            <v>0.49253731343283569</v>
          </cell>
          <cell r="CQ53">
            <v>-0.50617283950617287</v>
          </cell>
          <cell r="CR53">
            <v>0.125</v>
          </cell>
          <cell r="CS53">
            <v>-0.2975206611570248</v>
          </cell>
          <cell r="CU53">
            <v>0.11627906976744184</v>
          </cell>
          <cell r="CV53">
            <v>0.125</v>
          </cell>
          <cell r="CW53">
            <v>0.11764705882352944</v>
          </cell>
          <cell r="CY53">
            <v>0.36363636363640595</v>
          </cell>
          <cell r="CZ53">
            <v>0.11987381703469868</v>
          </cell>
          <cell r="DA53">
            <v>0.12804878048780455</v>
          </cell>
          <cell r="DC53" t="str">
            <v xml:space="preserve"> 1Q</v>
          </cell>
          <cell r="DD53" t="str">
            <v xml:space="preserve">    NM</v>
          </cell>
          <cell r="DE53" t="str">
            <v xml:space="preserve">    NM</v>
          </cell>
          <cell r="DF53" t="str">
            <v xml:space="preserve">    NM</v>
          </cell>
          <cell r="DL53">
            <v>0.16748989672204759</v>
          </cell>
          <cell r="DM53">
            <v>0.10101242521859174</v>
          </cell>
          <cell r="DN53">
            <v>0.13834669894588186</v>
          </cell>
          <cell r="DP53">
            <v>0.22222222222222221</v>
          </cell>
          <cell r="DQ53">
            <v>5.3763440860215055E-2</v>
          </cell>
          <cell r="DR53">
            <v>0.10486891385767791</v>
          </cell>
          <cell r="DT53">
            <v>0.15294117647058825</v>
          </cell>
          <cell r="DU53">
            <v>9.6774193548387094E-2</v>
          </cell>
          <cell r="DV53">
            <v>0.13793103448275862</v>
          </cell>
          <cell r="DX53">
            <v>0.16998827667057445</v>
          </cell>
          <cell r="DY53">
            <v>9.280058921009017E-2</v>
          </cell>
          <cell r="DZ53">
            <v>0.13454791393667845</v>
          </cell>
        </row>
        <row r="54">
          <cell r="A54" t="str">
            <v xml:space="preserve"> 2Q</v>
          </cell>
          <cell r="B54">
            <v>-0.1428571428571429</v>
          </cell>
          <cell r="C54" t="str">
            <v>NM</v>
          </cell>
          <cell r="D54">
            <v>-0.1428571428571429</v>
          </cell>
          <cell r="F54">
            <v>0.24277456647398843</v>
          </cell>
          <cell r="G54">
            <v>0.23886639676113353</v>
          </cell>
          <cell r="H54">
            <v>0.24047619047619051</v>
          </cell>
          <cell r="J54">
            <v>0.34782608695652173</v>
          </cell>
          <cell r="K54">
            <v>7.4999999999999956E-2</v>
          </cell>
          <cell r="L54">
            <v>0.17460317460317465</v>
          </cell>
          <cell r="Q54">
            <v>0</v>
          </cell>
          <cell r="R54">
            <v>-5.7142857142857162E-2</v>
          </cell>
          <cell r="S54">
            <v>-5.2631578947368474E-2</v>
          </cell>
          <cell r="U54">
            <v>7.1770334928229707E-2</v>
          </cell>
          <cell r="V54">
            <v>0.17403314917127077</v>
          </cell>
          <cell r="W54">
            <v>0.11923076923076925</v>
          </cell>
          <cell r="Y54">
            <v>1.6194331983805599E-2</v>
          </cell>
          <cell r="Z54">
            <v>0.41176470588235303</v>
          </cell>
          <cell r="AA54">
            <v>8.3892617449664364E-2</v>
          </cell>
          <cell r="AC54" t="str">
            <v>NM</v>
          </cell>
          <cell r="AD54" t="str">
            <v>NM</v>
          </cell>
          <cell r="AE54" t="str">
            <v>NM</v>
          </cell>
          <cell r="AG54">
            <v>0</v>
          </cell>
          <cell r="AH54">
            <v>0</v>
          </cell>
          <cell r="AI54">
            <v>0</v>
          </cell>
          <cell r="AK54">
            <v>1.6000000000000014E-2</v>
          </cell>
          <cell r="AL54">
            <v>0.36206896551724133</v>
          </cell>
          <cell r="AM54">
            <v>8.1168831168831224E-2</v>
          </cell>
          <cell r="AO54" t="str">
            <v xml:space="preserve"> 2Q</v>
          </cell>
          <cell r="AP54">
            <v>-6.9306930693069257E-2</v>
          </cell>
          <cell r="AQ54">
            <v>-8.1300813008130524E-3</v>
          </cell>
          <cell r="AR54">
            <v>-3.5714285714285698E-2</v>
          </cell>
          <cell r="AT54">
            <v>0.21052631578947367</v>
          </cell>
          <cell r="AU54">
            <v>8.1967213114754189E-2</v>
          </cell>
          <cell r="AV54">
            <v>0.15328467153284664</v>
          </cell>
          <cell r="AX54" t="str">
            <v>NM</v>
          </cell>
          <cell r="AY54" t="str">
            <v>NM</v>
          </cell>
          <cell r="AZ54" t="str">
            <v>NM</v>
          </cell>
          <cell r="BB54">
            <v>2.7777777777777679E-2</v>
          </cell>
          <cell r="BC54">
            <v>-1.2658227848101222E-2</v>
          </cell>
          <cell r="BD54">
            <v>-5.1546391752577136E-3</v>
          </cell>
          <cell r="BF54">
            <v>4.6948356807511749E-2</v>
          </cell>
          <cell r="BG54">
            <v>5.8479532163742132E-3</v>
          </cell>
          <cell r="BH54">
            <v>2.1621621621621623E-2</v>
          </cell>
          <cell r="BJ54">
            <v>-0.25</v>
          </cell>
          <cell r="BK54">
            <v>-0.1470588235294118</v>
          </cell>
          <cell r="BL54">
            <v>-0.15277777777777779</v>
          </cell>
          <cell r="BN54" t="str">
            <v xml:space="preserve">  NM</v>
          </cell>
          <cell r="BO54">
            <v>-0.53333333333333333</v>
          </cell>
          <cell r="BP54">
            <v>-0.53333333333333333</v>
          </cell>
          <cell r="BR54">
            <v>-0.25</v>
          </cell>
          <cell r="BS54">
            <v>-0.2168674698795181</v>
          </cell>
          <cell r="BT54">
            <v>-0.2183908045977011</v>
          </cell>
          <cell r="BV54" t="str">
            <v xml:space="preserve"> 2Q</v>
          </cell>
          <cell r="BW54" t="str">
            <v>NM</v>
          </cell>
          <cell r="BX54" t="str">
            <v>NM</v>
          </cell>
          <cell r="BY54" t="str">
            <v>NM</v>
          </cell>
          <cell r="CA54">
            <v>1</v>
          </cell>
          <cell r="CB54">
            <v>0</v>
          </cell>
          <cell r="CC54">
            <v>0.94444444444444442</v>
          </cell>
          <cell r="CE54" t="str">
            <v xml:space="preserve">  NM</v>
          </cell>
          <cell r="CF54" t="str">
            <v xml:space="preserve">  NM</v>
          </cell>
          <cell r="CG54" t="str">
            <v xml:space="preserve">  NM</v>
          </cell>
          <cell r="CI54">
            <v>0.91666666666666674</v>
          </cell>
          <cell r="CJ54">
            <v>0</v>
          </cell>
          <cell r="CK54">
            <v>0.86842105263157898</v>
          </cell>
          <cell r="CM54">
            <v>0.23333333333333339</v>
          </cell>
          <cell r="CN54" t="str">
            <v xml:space="preserve">  NM</v>
          </cell>
          <cell r="CO54">
            <v>0.39999999999999991</v>
          </cell>
          <cell r="CQ54">
            <v>-0.30000000000000004</v>
          </cell>
          <cell r="CR54">
            <v>-0.44444444444444442</v>
          </cell>
          <cell r="CS54">
            <v>-0.36842105263157898</v>
          </cell>
          <cell r="CU54">
            <v>0.10000000000000009</v>
          </cell>
          <cell r="CV54">
            <v>0.11111111111111116</v>
          </cell>
          <cell r="CW54">
            <v>0.1020408163265305</v>
          </cell>
          <cell r="CY54" t="str">
            <v xml:space="preserve">  NM</v>
          </cell>
          <cell r="CZ54">
            <v>8.6956521739130377E-2</v>
          </cell>
          <cell r="DA54">
            <v>0.14925373134328357</v>
          </cell>
          <cell r="DC54" t="str">
            <v xml:space="preserve"> 2Q</v>
          </cell>
          <cell r="DD54" t="str">
            <v xml:space="preserve">    NM</v>
          </cell>
          <cell r="DE54" t="str">
            <v xml:space="preserve">    NM</v>
          </cell>
          <cell r="DF54" t="str">
            <v xml:space="preserve">    NM</v>
          </cell>
          <cell r="DL54">
            <v>0.14911366006256518</v>
          </cell>
          <cell r="DM54">
            <v>8.2162162162162156E-2</v>
          </cell>
          <cell r="DN54">
            <v>0.11624203821656051</v>
          </cell>
          <cell r="DP54">
            <v>0.30952380952380953</v>
          </cell>
          <cell r="DQ54">
            <v>-1.4492753623188406E-2</v>
          </cell>
          <cell r="DR54">
            <v>7.903780068728522E-2</v>
          </cell>
          <cell r="DT54">
            <v>4.7058823529411764E-2</v>
          </cell>
          <cell r="DU54">
            <v>0.12195121951219512</v>
          </cell>
          <cell r="DV54">
            <v>7.1428571428571425E-2</v>
          </cell>
          <cell r="DX54">
            <v>0.15336879432624115</v>
          </cell>
          <cell r="DY54">
            <v>6.6496163682864456E-2</v>
          </cell>
          <cell r="DZ54">
            <v>0.10908300738809214</v>
          </cell>
        </row>
        <row r="55">
          <cell r="A55" t="str">
            <v xml:space="preserve"> 3Q</v>
          </cell>
          <cell r="B55">
            <v>-0.10441767068273089</v>
          </cell>
          <cell r="C55" t="str">
            <v>NM</v>
          </cell>
          <cell r="D55">
            <v>-0.10441767068273089</v>
          </cell>
          <cell r="F55">
            <v>0.28436018957345977</v>
          </cell>
          <cell r="G55">
            <v>0.16538461538461546</v>
          </cell>
          <cell r="H55">
            <v>0.21868365180467086</v>
          </cell>
          <cell r="J55">
            <v>0.33928571428571419</v>
          </cell>
          <cell r="K55">
            <v>7.5949367088607556E-2</v>
          </cell>
          <cell r="L55">
            <v>0.18518518518518512</v>
          </cell>
          <cell r="Q55">
            <v>-0.5</v>
          </cell>
          <cell r="R55">
            <v>-2.9411764705882359E-2</v>
          </cell>
          <cell r="S55">
            <v>-7.8947368421052655E-2</v>
          </cell>
          <cell r="U55">
            <v>9.8076923076923173E-2</v>
          </cell>
          <cell r="V55">
            <v>0.12868632707774807</v>
          </cell>
          <cell r="W55">
            <v>0.11086226203807392</v>
          </cell>
          <cell r="Y55">
            <v>0.10238907849829348</v>
          </cell>
          <cell r="Z55">
            <v>0.26315789473684204</v>
          </cell>
          <cell r="AA55">
            <v>0.12857142857142856</v>
          </cell>
          <cell r="AC55" t="str">
            <v>NM</v>
          </cell>
          <cell r="AD55" t="str">
            <v>NM</v>
          </cell>
          <cell r="AE55" t="str">
            <v>NM</v>
          </cell>
          <cell r="AG55">
            <v>-0.4</v>
          </cell>
          <cell r="AH55">
            <v>0</v>
          </cell>
          <cell r="AI55">
            <v>-0.16666666666666663</v>
          </cell>
          <cell r="AK55">
            <v>9.3959731543624248E-2</v>
          </cell>
          <cell r="AL55">
            <v>0.234375</v>
          </cell>
          <cell r="AM55">
            <v>0.11878453038674031</v>
          </cell>
          <cell r="AO55" t="str">
            <v xml:space="preserve"> 3Q</v>
          </cell>
          <cell r="AP55">
            <v>-1.9417475728155331E-2</v>
          </cell>
          <cell r="AQ55">
            <v>-7.03125E-2</v>
          </cell>
          <cell r="AR55">
            <v>-4.7619047619047672E-2</v>
          </cell>
          <cell r="AT55">
            <v>0.10666666666666669</v>
          </cell>
          <cell r="AU55">
            <v>0</v>
          </cell>
          <cell r="AV55">
            <v>6.4516129032258007E-2</v>
          </cell>
          <cell r="AX55" t="str">
            <v>NM</v>
          </cell>
          <cell r="AY55" t="str">
            <v>NM</v>
          </cell>
          <cell r="AZ55" t="str">
            <v>NM</v>
          </cell>
          <cell r="BB55">
            <v>-4.6511627906976716E-2</v>
          </cell>
          <cell r="BC55">
            <v>-3.9735099337748325E-2</v>
          </cell>
          <cell r="BD55">
            <v>-4.123711340206182E-2</v>
          </cell>
          <cell r="BF55">
            <v>1.8099547511312153E-2</v>
          </cell>
          <cell r="BG55">
            <v>-4.5731707317073211E-2</v>
          </cell>
          <cell r="BH55">
            <v>-2.0036429872495432E-2</v>
          </cell>
          <cell r="BJ55">
            <v>0.33333333333333326</v>
          </cell>
          <cell r="BK55">
            <v>-0.12698412698412698</v>
          </cell>
          <cell r="BL55">
            <v>-0.10606060606060608</v>
          </cell>
          <cell r="BN55" t="str">
            <v xml:space="preserve">  NM</v>
          </cell>
          <cell r="BO55">
            <v>-0.46666666666666667</v>
          </cell>
          <cell r="BP55">
            <v>-0.46666666666666667</v>
          </cell>
          <cell r="BR55">
            <v>0.33333333333333326</v>
          </cell>
          <cell r="BS55">
            <v>-0.19230769230769229</v>
          </cell>
          <cell r="BT55">
            <v>-0.1728395061728395</v>
          </cell>
          <cell r="BV55" t="str">
            <v xml:space="preserve"> 3Q</v>
          </cell>
          <cell r="BW55" t="str">
            <v>NM</v>
          </cell>
          <cell r="BX55" t="str">
            <v>NM</v>
          </cell>
          <cell r="BY55" t="str">
            <v>NM</v>
          </cell>
          <cell r="CA55">
            <v>1.1515151515151514</v>
          </cell>
          <cell r="CB55">
            <v>-0.33333333333333337</v>
          </cell>
          <cell r="CC55">
            <v>1.0277777777777777</v>
          </cell>
          <cell r="CE55" t="str">
            <v xml:space="preserve">  NM</v>
          </cell>
          <cell r="CF55" t="str">
            <v xml:space="preserve">  NM</v>
          </cell>
          <cell r="CG55" t="str">
            <v xml:space="preserve">  NM</v>
          </cell>
          <cell r="CI55">
            <v>1.0277777777777777</v>
          </cell>
          <cell r="CJ55">
            <v>0</v>
          </cell>
          <cell r="CK55">
            <v>0.97368421052631571</v>
          </cell>
          <cell r="CM55">
            <v>0.25714285714285712</v>
          </cell>
          <cell r="CN55" t="str">
            <v xml:space="preserve">  NM</v>
          </cell>
          <cell r="CO55">
            <v>0.31428571428571428</v>
          </cell>
          <cell r="CQ55">
            <v>-0.36363636363636365</v>
          </cell>
          <cell r="CR55">
            <v>0</v>
          </cell>
          <cell r="CS55">
            <v>-0.22222222222222221</v>
          </cell>
          <cell r="CU55">
            <v>0.10869565217391308</v>
          </cell>
          <cell r="CV55">
            <v>0.28571428571428581</v>
          </cell>
          <cell r="CW55">
            <v>0.13207547169811318</v>
          </cell>
          <cell r="CY55" t="str">
            <v xml:space="preserve">  NM</v>
          </cell>
          <cell r="CZ55">
            <v>0.1166666666666667</v>
          </cell>
          <cell r="DA55">
            <v>7.9365079365079305E-2</v>
          </cell>
          <cell r="DC55" t="str">
            <v xml:space="preserve"> 3Q</v>
          </cell>
          <cell r="DD55" t="str">
            <v xml:space="preserve">    NM</v>
          </cell>
          <cell r="DE55" t="str">
            <v xml:space="preserve">    NM</v>
          </cell>
          <cell r="DF55" t="str">
            <v xml:space="preserve">    NM</v>
          </cell>
          <cell r="DL55">
            <v>0.19254658385093168</v>
          </cell>
          <cell r="DM55">
            <v>4.8245614035087717E-2</v>
          </cell>
          <cell r="DN55">
            <v>0.12800392349190781</v>
          </cell>
          <cell r="DP55">
            <v>0.13934426229508196</v>
          </cell>
          <cell r="DQ55">
            <v>2.7777777777777776E-2</v>
          </cell>
          <cell r="DR55">
            <v>7.2847682119205295E-2</v>
          </cell>
          <cell r="DT55">
            <v>3.7974683544303799E-2</v>
          </cell>
          <cell r="DU55">
            <v>7.8947368421052627E-2</v>
          </cell>
          <cell r="DV55">
            <v>5.128205128205128E-2</v>
          </cell>
          <cell r="DX55">
            <v>0.17846385542168675</v>
          </cell>
          <cell r="DY55">
            <v>4.6017699115044247E-2</v>
          </cell>
          <cell r="DZ55">
            <v>0.11757526444263629</v>
          </cell>
        </row>
        <row r="56">
          <cell r="A56" t="str">
            <v xml:space="preserve"> 4Q</v>
          </cell>
          <cell r="B56">
            <v>-0.24705882352941178</v>
          </cell>
          <cell r="C56" t="str">
            <v>NM</v>
          </cell>
          <cell r="D56">
            <v>-0.24705882352941178</v>
          </cell>
          <cell r="F56">
            <v>0.26431718061674014</v>
          </cell>
          <cell r="G56">
            <v>0.16206896551724137</v>
          </cell>
          <cell r="H56">
            <v>0.20696324951644107</v>
          </cell>
          <cell r="J56">
            <v>0.12698412698412698</v>
          </cell>
          <cell r="K56">
            <v>5.7471264367816133E-2</v>
          </cell>
          <cell r="L56">
            <v>8.666666666666667E-2</v>
          </cell>
          <cell r="Q56">
            <v>-0.5</v>
          </cell>
          <cell r="R56">
            <v>8.5714285714285632E-2</v>
          </cell>
          <cell r="S56">
            <v>2.564102564102555E-2</v>
          </cell>
          <cell r="U56">
            <v>5.464480874316946E-3</v>
          </cell>
          <cell r="V56">
            <v>0.13349514563106801</v>
          </cell>
          <cell r="W56">
            <v>6.0353798126951075E-2</v>
          </cell>
          <cell r="Y56">
            <v>6.4724919093850364E-3</v>
          </cell>
          <cell r="Z56">
            <v>0.33333333333333326</v>
          </cell>
          <cell r="AA56">
            <v>6.1827956989247257E-2</v>
          </cell>
          <cell r="AC56" t="str">
            <v>NM</v>
          </cell>
          <cell r="AD56" t="str">
            <v>NM</v>
          </cell>
          <cell r="AE56" t="str">
            <v>NM</v>
          </cell>
          <cell r="AG56">
            <v>0</v>
          </cell>
          <cell r="AH56">
            <v>0.71428571428571419</v>
          </cell>
          <cell r="AI56">
            <v>0.45454545454545459</v>
          </cell>
          <cell r="AK56">
            <v>6.389776357827559E-3</v>
          </cell>
          <cell r="AL56">
            <v>0.37142857142857144</v>
          </cell>
          <cell r="AM56">
            <v>7.3107049608355013E-2</v>
          </cell>
          <cell r="AO56" t="str">
            <v xml:space="preserve"> 4Q</v>
          </cell>
          <cell r="AP56">
            <v>-6.5420560747663559E-2</v>
          </cell>
          <cell r="AQ56">
            <v>-5.2631578947368474E-2</v>
          </cell>
          <cell r="AR56">
            <v>-5.8333333333333348E-2</v>
          </cell>
          <cell r="AT56">
            <v>0.4701492537313432</v>
          </cell>
          <cell r="AU56">
            <v>9.375E-2</v>
          </cell>
          <cell r="AV56">
            <v>0.3484848484848484</v>
          </cell>
          <cell r="AX56" t="str">
            <v>NM</v>
          </cell>
          <cell r="AY56" t="str">
            <v>NM</v>
          </cell>
          <cell r="AZ56" t="str">
            <v>NM</v>
          </cell>
          <cell r="BB56">
            <v>-4.2553191489361653E-2</v>
          </cell>
          <cell r="BC56">
            <v>-6.5088757396449703E-2</v>
          </cell>
          <cell r="BD56">
            <v>-6.018518518518523E-2</v>
          </cell>
          <cell r="BF56">
            <v>0.1875</v>
          </cell>
          <cell r="BG56">
            <v>-3.2786885245901676E-2</v>
          </cell>
          <cell r="BH56">
            <v>6.4220183486238591E-2</v>
          </cell>
          <cell r="BJ56">
            <v>-0.33333333333333337</v>
          </cell>
          <cell r="BK56">
            <v>-0.1470588235294118</v>
          </cell>
          <cell r="BL56">
            <v>-0.16216216216216217</v>
          </cell>
          <cell r="BN56" t="str">
            <v xml:space="preserve">  NM</v>
          </cell>
          <cell r="BO56">
            <v>-0.58823529411764708</v>
          </cell>
          <cell r="BP56">
            <v>-0.58823529411764708</v>
          </cell>
          <cell r="BR56">
            <v>-0.33333333333333337</v>
          </cell>
          <cell r="BS56">
            <v>-0.23529411764705888</v>
          </cell>
          <cell r="BT56">
            <v>-0.24175824175824179</v>
          </cell>
          <cell r="BV56" t="str">
            <v xml:space="preserve"> 4Q</v>
          </cell>
          <cell r="BW56" t="str">
            <v>NM</v>
          </cell>
          <cell r="BX56" t="str">
            <v>NM</v>
          </cell>
          <cell r="BY56" t="str">
            <v>NM</v>
          </cell>
          <cell r="CA56">
            <v>0.4285714285714286</v>
          </cell>
          <cell r="CB56" t="str">
            <v xml:space="preserve"> NM</v>
          </cell>
          <cell r="CC56">
            <v>0.44897959183673475</v>
          </cell>
          <cell r="CE56" t="str">
            <v xml:space="preserve">  NM</v>
          </cell>
          <cell r="CF56" t="str">
            <v xml:space="preserve">  NM</v>
          </cell>
          <cell r="CG56" t="str">
            <v xml:space="preserve">  NM</v>
          </cell>
          <cell r="CI56">
            <v>0.41176470588235303</v>
          </cell>
          <cell r="CJ56" t="str">
            <v xml:space="preserve">    NM</v>
          </cell>
          <cell r="CK56">
            <v>0.40384615384615374</v>
          </cell>
          <cell r="CM56">
            <v>7.3170731707317138E-2</v>
          </cell>
          <cell r="CN56" t="str">
            <v xml:space="preserve">  NM</v>
          </cell>
          <cell r="CO56">
            <v>0.14634146341463405</v>
          </cell>
          <cell r="CQ56">
            <v>-0.19999999999999996</v>
          </cell>
          <cell r="CR56">
            <v>-0.125</v>
          </cell>
          <cell r="CS56">
            <v>-0.16666666666666663</v>
          </cell>
          <cell r="CU56">
            <v>1.9607843137254832E-2</v>
          </cell>
          <cell r="CV56">
            <v>0.25</v>
          </cell>
          <cell r="CW56">
            <v>5.0847457627118731E-2</v>
          </cell>
          <cell r="CY56">
            <v>0</v>
          </cell>
          <cell r="CZ56">
            <v>0.05</v>
          </cell>
          <cell r="DA56">
            <v>4.8780487804878092E-2</v>
          </cell>
          <cell r="DC56" t="str">
            <v xml:space="preserve"> 4Q</v>
          </cell>
          <cell r="DD56" t="str">
            <v xml:space="preserve">    NM</v>
          </cell>
          <cell r="DE56" t="str">
            <v xml:space="preserve">    NM</v>
          </cell>
          <cell r="DF56" t="str">
            <v xml:space="preserve">    NM</v>
          </cell>
          <cell r="DL56">
            <v>0.18196202531645569</v>
          </cell>
          <cell r="DM56">
            <v>6.5815324165029471E-2</v>
          </cell>
          <cell r="DN56">
            <v>0.13014899211218228</v>
          </cell>
          <cell r="DP56">
            <v>0.38053097345132741</v>
          </cell>
          <cell r="DQ56">
            <v>-3.2128514056224897E-2</v>
          </cell>
          <cell r="DR56">
            <v>9.668508287292818E-2</v>
          </cell>
          <cell r="DT56">
            <v>-3.7037037037037035E-2</v>
          </cell>
          <cell r="DU56">
            <v>7.3170731707317069E-2</v>
          </cell>
          <cell r="DV56">
            <v>1.0526315789473684E-2</v>
          </cell>
          <cell r="DX56">
            <v>0.18937805730258561</v>
          </cell>
          <cell r="DY56">
            <v>4.7400611620795105E-2</v>
          </cell>
          <cell r="DZ56">
            <v>0.12157721796276014</v>
          </cell>
        </row>
        <row r="58">
          <cell r="A58" t="str">
            <v>Year</v>
          </cell>
          <cell r="B58">
            <v>-0.18200816001592202</v>
          </cell>
          <cell r="C58" t="str">
            <v>NM</v>
          </cell>
          <cell r="D58">
            <v>-0.18200816001592202</v>
          </cell>
          <cell r="F58">
            <v>0.26305067481538069</v>
          </cell>
          <cell r="G58">
            <v>0.2123911322248615</v>
          </cell>
          <cell r="H58">
            <v>0.23454727697961908</v>
          </cell>
          <cell r="I58" t="e">
            <v>#DIV/0!</v>
          </cell>
          <cell r="J58">
            <v>0.30455185358986392</v>
          </cell>
          <cell r="K58">
            <v>8.4713973116599117E-2</v>
          </cell>
          <cell r="L58">
            <v>0.17260787992495308</v>
          </cell>
          <cell r="Q58">
            <v>-0.36708860759493944</v>
          </cell>
          <cell r="R58">
            <v>-3.3674963396778668E-2</v>
          </cell>
          <cell r="S58">
            <v>-6.8241469816273215E-2</v>
          </cell>
          <cell r="U58">
            <v>4.1006339144215476E-2</v>
          </cell>
          <cell r="V58">
            <v>0.16163337650828269</v>
          </cell>
          <cell r="W58">
            <v>9.1764435902584651E-2</v>
          </cell>
          <cell r="Y58">
            <v>8.5195406391881168E-2</v>
          </cell>
          <cell r="Z58">
            <v>0.34894613583138168</v>
          </cell>
          <cell r="AA58">
            <v>0.12731897067624187</v>
          </cell>
          <cell r="AC58" t="str">
            <v>NM</v>
          </cell>
          <cell r="AD58" t="str">
            <v>NM</v>
          </cell>
          <cell r="AE58" t="str">
            <v>NM</v>
          </cell>
          <cell r="AG58">
            <v>-0.16167664670658621</v>
          </cell>
          <cell r="AH58">
            <v>0.12280701754385959</v>
          </cell>
          <cell r="AI58">
            <v>1.7699115044248037E-2</v>
          </cell>
          <cell r="AK58">
            <v>8.1578947368420973E-2</v>
          </cell>
          <cell r="AL58">
            <v>0.3223140495867769</v>
          </cell>
          <cell r="AM58">
            <v>0.12373371924746746</v>
          </cell>
          <cell r="AO58" t="str">
            <v>Year</v>
          </cell>
          <cell r="AP58">
            <v>-3.375733855185914E-2</v>
          </cell>
          <cell r="AQ58">
            <v>-3.2322426177174735E-2</v>
          </cell>
          <cell r="AR58">
            <v>-3.2967032967032961E-2</v>
          </cell>
          <cell r="AT58">
            <v>0.48735879505110269</v>
          </cell>
          <cell r="AU58">
            <v>8.6780210867802188E-2</v>
          </cell>
          <cell r="AV58">
            <v>0.32761966364812434</v>
          </cell>
          <cell r="AW58" t="e">
            <v>#DIV/0!</v>
          </cell>
          <cell r="AX58" t="str">
            <v>NM</v>
          </cell>
          <cell r="AY58" t="str">
            <v>NM</v>
          </cell>
          <cell r="AZ58" t="str">
            <v>NM</v>
          </cell>
          <cell r="BB58">
            <v>9.0634441087613649E-3</v>
          </cell>
          <cell r="BC58">
            <v>-3.6201222378937303E-2</v>
          </cell>
          <cell r="BD58">
            <v>-2.6879044300647026E-2</v>
          </cell>
          <cell r="BF58">
            <v>0.1785223549307684</v>
          </cell>
          <cell r="BG58">
            <v>-1.2915794790388957E-2</v>
          </cell>
          <cell r="BH58">
            <v>6.4751286449399759E-2</v>
          </cell>
          <cell r="BJ58">
            <v>-0.26701570680628273</v>
          </cell>
          <cell r="BK58">
            <v>-0.13937547600913947</v>
          </cell>
          <cell r="BL58">
            <v>-0.14802981895633649</v>
          </cell>
          <cell r="BN58" t="str">
            <v xml:space="preserve">  NM</v>
          </cell>
          <cell r="BO58">
            <v>-0.51986754966887416</v>
          </cell>
          <cell r="BP58">
            <v>-0.5190713101160862</v>
          </cell>
          <cell r="BR58">
            <v>-0.26315789473684215</v>
          </cell>
          <cell r="BS58">
            <v>-0.21052631578947367</v>
          </cell>
          <cell r="BT58">
            <v>-0.21345029239766078</v>
          </cell>
          <cell r="BV58" t="str">
            <v>Year</v>
          </cell>
          <cell r="BW58" t="str">
            <v>NM</v>
          </cell>
          <cell r="BX58" t="str">
            <v>NM</v>
          </cell>
          <cell r="BY58" t="str">
            <v>NM</v>
          </cell>
          <cell r="CA58">
            <v>0.85581727337615998</v>
          </cell>
          <cell r="CB58">
            <v>-6.25E-2</v>
          </cell>
          <cell r="CC58">
            <v>0.8156996587030716</v>
          </cell>
          <cell r="CE58" t="str">
            <v xml:space="preserve">  NM</v>
          </cell>
          <cell r="CF58" t="str">
            <v xml:space="preserve">  NM</v>
          </cell>
          <cell r="CG58" t="str">
            <v xml:space="preserve">  NM</v>
          </cell>
          <cell r="CI58">
            <v>0.78</v>
          </cell>
          <cell r="CJ58">
            <v>0</v>
          </cell>
          <cell r="CK58">
            <v>0.75</v>
          </cell>
          <cell r="CM58">
            <v>0.2424698795180722</v>
          </cell>
          <cell r="CN58" t="str">
            <v xml:space="preserve">  NM</v>
          </cell>
          <cell r="CO58">
            <v>0.31777108433734935</v>
          </cell>
          <cell r="CQ58">
            <v>-0.36440677966101698</v>
          </cell>
          <cell r="CR58">
            <v>-0.125</v>
          </cell>
          <cell r="CS58">
            <v>-0.26767676767676774</v>
          </cell>
          <cell r="CU58">
            <v>8.3333333333333259E-2</v>
          </cell>
          <cell r="CV58">
            <v>0.1875</v>
          </cell>
          <cell r="CW58">
            <v>9.9056603773584939E-2</v>
          </cell>
          <cell r="CY58">
            <v>-0.13043478260868924</v>
          </cell>
          <cell r="CZ58">
            <v>0.10655737704917989</v>
          </cell>
          <cell r="DA58">
            <v>9.8703170028818343E-2</v>
          </cell>
          <cell r="DC58" t="str">
            <v>Year</v>
          </cell>
          <cell r="DD58" t="str">
            <v xml:space="preserve">    NM</v>
          </cell>
          <cell r="DE58" t="str">
            <v xml:space="preserve">    NM</v>
          </cell>
          <cell r="DF58" t="str">
            <v xml:space="preserve">    NM</v>
          </cell>
          <cell r="DL58">
            <v>0.17396661812478997</v>
          </cell>
          <cell r="DM58">
            <v>7.3787659094570704E-2</v>
          </cell>
          <cell r="DN58">
            <v>0.12839991694859365</v>
          </cell>
          <cell r="DP58">
            <v>0.26</v>
          </cell>
          <cell r="DQ58">
            <v>4.8661800486618006E-3</v>
          </cell>
          <cell r="DR58">
            <v>8.8379705400982E-2</v>
          </cell>
          <cell r="DT58">
            <v>5.9405940594059403E-2</v>
          </cell>
          <cell r="DU58">
            <v>9.2715231788079472E-2</v>
          </cell>
          <cell r="DV58">
            <v>7.0484581497797363E-2</v>
          </cell>
          <cell r="DX58">
            <v>0.17390883576889576</v>
          </cell>
          <cell r="DY58">
            <v>6.2335008089925953E-2</v>
          </cell>
          <cell r="DZ58">
            <v>0.1207761793241886</v>
          </cell>
        </row>
        <row r="60">
          <cell r="A60" t="str">
            <v>1997</v>
          </cell>
          <cell r="AO60" t="str">
            <v>1997</v>
          </cell>
          <cell r="BV60" t="str">
            <v>1997</v>
          </cell>
          <cell r="DC60" t="str">
            <v>1997</v>
          </cell>
        </row>
        <row r="61">
          <cell r="A61" t="str">
            <v xml:space="preserve"> 1Q</v>
          </cell>
          <cell r="B61">
            <v>239</v>
          </cell>
          <cell r="C61">
            <v>0</v>
          </cell>
          <cell r="D61">
            <v>239</v>
          </cell>
          <cell r="E61">
            <v>0</v>
          </cell>
          <cell r="F61">
            <v>219</v>
          </cell>
          <cell r="G61">
            <v>279</v>
          </cell>
          <cell r="H61">
            <v>498</v>
          </cell>
          <cell r="I61">
            <v>0</v>
          </cell>
          <cell r="J61">
            <v>70</v>
          </cell>
          <cell r="K61">
            <v>84</v>
          </cell>
          <cell r="L61">
            <v>154</v>
          </cell>
          <cell r="Q61">
            <v>3</v>
          </cell>
          <cell r="R61">
            <v>28</v>
          </cell>
          <cell r="S61">
            <v>31</v>
          </cell>
          <cell r="U61">
            <v>531</v>
          </cell>
          <cell r="V61">
            <v>391</v>
          </cell>
          <cell r="W61">
            <v>922</v>
          </cell>
          <cell r="Y61">
            <v>334</v>
          </cell>
          <cell r="Z61">
            <v>60</v>
          </cell>
          <cell r="AA61">
            <v>394</v>
          </cell>
          <cell r="AC61">
            <v>0</v>
          </cell>
          <cell r="AD61">
            <v>0</v>
          </cell>
          <cell r="AE61">
            <v>0</v>
          </cell>
          <cell r="AG61">
            <v>4</v>
          </cell>
          <cell r="AH61">
            <v>6</v>
          </cell>
          <cell r="AI61">
            <v>10</v>
          </cell>
          <cell r="AK61">
            <v>338</v>
          </cell>
          <cell r="AL61">
            <v>66</v>
          </cell>
          <cell r="AM61">
            <v>404</v>
          </cell>
          <cell r="AO61" t="str">
            <v xml:space="preserve"> 1Q</v>
          </cell>
          <cell r="AP61">
            <v>100</v>
          </cell>
          <cell r="AQ61">
            <v>118</v>
          </cell>
          <cell r="AR61">
            <v>218</v>
          </cell>
          <cell r="AT61">
            <v>181</v>
          </cell>
          <cell r="AU61">
            <v>83</v>
          </cell>
          <cell r="AV61">
            <v>264</v>
          </cell>
          <cell r="AX61">
            <v>0</v>
          </cell>
          <cell r="AY61">
            <v>0</v>
          </cell>
          <cell r="AZ61">
            <v>0</v>
          </cell>
          <cell r="BB61">
            <v>44</v>
          </cell>
          <cell r="BC61">
            <v>156</v>
          </cell>
          <cell r="BD61">
            <v>200</v>
          </cell>
          <cell r="BF61">
            <v>325</v>
          </cell>
          <cell r="BG61">
            <v>357</v>
          </cell>
          <cell r="BH61">
            <v>682</v>
          </cell>
          <cell r="BJ61">
            <v>3</v>
          </cell>
          <cell r="BK61">
            <v>55</v>
          </cell>
          <cell r="BL61">
            <v>58</v>
          </cell>
          <cell r="BN61">
            <v>0</v>
          </cell>
          <cell r="BO61">
            <v>7</v>
          </cell>
          <cell r="BP61">
            <v>7</v>
          </cell>
          <cell r="BR61">
            <v>3</v>
          </cell>
          <cell r="BS61">
            <v>62</v>
          </cell>
          <cell r="BT61">
            <v>65</v>
          </cell>
          <cell r="BV61" t="str">
            <v xml:space="preserve"> 1Q</v>
          </cell>
          <cell r="BW61">
            <v>0</v>
          </cell>
          <cell r="BX61">
            <v>0</v>
          </cell>
          <cell r="BY61">
            <v>0</v>
          </cell>
          <cell r="CA61">
            <v>51</v>
          </cell>
          <cell r="CB61">
            <v>1</v>
          </cell>
          <cell r="CC61">
            <v>52</v>
          </cell>
          <cell r="CE61">
            <v>2</v>
          </cell>
          <cell r="CF61">
            <v>0</v>
          </cell>
          <cell r="CG61">
            <v>2</v>
          </cell>
          <cell r="CI61">
            <v>53</v>
          </cell>
          <cell r="CJ61">
            <v>1</v>
          </cell>
          <cell r="CK61">
            <v>54</v>
          </cell>
          <cell r="CM61">
            <v>40</v>
          </cell>
          <cell r="CN61">
            <v>0</v>
          </cell>
          <cell r="CO61">
            <v>40</v>
          </cell>
          <cell r="CQ61">
            <v>8</v>
          </cell>
          <cell r="CR61">
            <v>9</v>
          </cell>
          <cell r="CS61">
            <v>17</v>
          </cell>
          <cell r="CU61">
            <v>48</v>
          </cell>
          <cell r="CV61">
            <v>9</v>
          </cell>
          <cell r="CW61">
            <v>57</v>
          </cell>
          <cell r="CY61">
            <v>3</v>
          </cell>
          <cell r="CZ61">
            <v>71</v>
          </cell>
          <cell r="DA61">
            <v>74</v>
          </cell>
          <cell r="DC61" t="str">
            <v xml:space="preserve"> 1Q</v>
          </cell>
          <cell r="DD61">
            <v>0</v>
          </cell>
          <cell r="DE61">
            <v>0</v>
          </cell>
          <cell r="DF61">
            <v>0</v>
          </cell>
          <cell r="DH61">
            <v>-1</v>
          </cell>
          <cell r="DI61">
            <v>0</v>
          </cell>
          <cell r="DJ61">
            <v>-1</v>
          </cell>
          <cell r="DL61">
            <v>1300</v>
          </cell>
          <cell r="DM61">
            <v>957</v>
          </cell>
          <cell r="DN61">
            <v>2257</v>
          </cell>
          <cell r="DP61">
            <v>99</v>
          </cell>
          <cell r="DQ61">
            <v>196</v>
          </cell>
          <cell r="DR61">
            <v>295</v>
          </cell>
          <cell r="DT61">
            <v>98</v>
          </cell>
          <cell r="DU61">
            <v>34</v>
          </cell>
          <cell r="DV61">
            <v>132</v>
          </cell>
          <cell r="DX61">
            <v>1497</v>
          </cell>
          <cell r="DY61">
            <v>1187</v>
          </cell>
          <cell r="DZ61">
            <v>2684</v>
          </cell>
        </row>
        <row r="62">
          <cell r="A62" t="str">
            <v xml:space="preserve"> 2Q</v>
          </cell>
          <cell r="B62">
            <v>168</v>
          </cell>
          <cell r="C62">
            <v>0</v>
          </cell>
          <cell r="D62">
            <v>168</v>
          </cell>
          <cell r="E62">
            <v>0</v>
          </cell>
          <cell r="F62">
            <v>215</v>
          </cell>
          <cell r="G62">
            <v>306</v>
          </cell>
          <cell r="H62">
            <v>521</v>
          </cell>
          <cell r="I62">
            <v>0</v>
          </cell>
          <cell r="J62">
            <v>62</v>
          </cell>
          <cell r="K62">
            <v>86</v>
          </cell>
          <cell r="L62">
            <v>148</v>
          </cell>
          <cell r="Q62">
            <v>3</v>
          </cell>
          <cell r="R62">
            <v>33</v>
          </cell>
          <cell r="S62">
            <v>36</v>
          </cell>
          <cell r="U62">
            <v>448</v>
          </cell>
          <cell r="V62">
            <v>425</v>
          </cell>
          <cell r="W62">
            <v>873</v>
          </cell>
          <cell r="Y62">
            <v>251</v>
          </cell>
          <cell r="Z62">
            <v>72</v>
          </cell>
          <cell r="AA62">
            <v>323</v>
          </cell>
          <cell r="AC62">
            <v>0</v>
          </cell>
          <cell r="AD62">
            <v>0</v>
          </cell>
          <cell r="AE62">
            <v>0</v>
          </cell>
          <cell r="AG62">
            <v>3</v>
          </cell>
          <cell r="AH62">
            <v>7</v>
          </cell>
          <cell r="AI62">
            <v>10</v>
          </cell>
          <cell r="AK62">
            <v>254</v>
          </cell>
          <cell r="AL62">
            <v>79</v>
          </cell>
          <cell r="AM62">
            <v>333</v>
          </cell>
          <cell r="AO62" t="str">
            <v xml:space="preserve"> 2Q</v>
          </cell>
          <cell r="AP62">
            <v>94</v>
          </cell>
          <cell r="AQ62">
            <v>122</v>
          </cell>
          <cell r="AR62">
            <v>216</v>
          </cell>
          <cell r="AT62">
            <v>92</v>
          </cell>
          <cell r="AU62">
            <v>66</v>
          </cell>
          <cell r="AV62">
            <v>158</v>
          </cell>
          <cell r="AX62">
            <v>0</v>
          </cell>
          <cell r="AY62">
            <v>0</v>
          </cell>
          <cell r="AZ62">
            <v>0</v>
          </cell>
          <cell r="BB62">
            <v>37</v>
          </cell>
          <cell r="BC62">
            <v>156</v>
          </cell>
          <cell r="BD62">
            <v>193</v>
          </cell>
          <cell r="BF62">
            <v>223</v>
          </cell>
          <cell r="BG62">
            <v>344</v>
          </cell>
          <cell r="BH62">
            <v>567</v>
          </cell>
          <cell r="BJ62">
            <v>3</v>
          </cell>
          <cell r="BK62">
            <v>58</v>
          </cell>
          <cell r="BL62">
            <v>61</v>
          </cell>
          <cell r="BN62">
            <v>0</v>
          </cell>
          <cell r="BO62">
            <v>7</v>
          </cell>
          <cell r="BP62">
            <v>7</v>
          </cell>
          <cell r="BR62">
            <v>3</v>
          </cell>
          <cell r="BS62">
            <v>65</v>
          </cell>
          <cell r="BT62">
            <v>68</v>
          </cell>
          <cell r="BV62" t="str">
            <v xml:space="preserve"> 2Q</v>
          </cell>
          <cell r="BW62">
            <v>0</v>
          </cell>
          <cell r="BX62">
            <v>0</v>
          </cell>
          <cell r="BY62">
            <v>0</v>
          </cell>
          <cell r="CA62">
            <v>68</v>
          </cell>
          <cell r="CB62">
            <v>2</v>
          </cell>
          <cell r="CC62">
            <v>70</v>
          </cell>
          <cell r="CE62">
            <v>1</v>
          </cell>
          <cell r="CF62">
            <v>0</v>
          </cell>
          <cell r="CG62">
            <v>1</v>
          </cell>
          <cell r="CI62">
            <v>69</v>
          </cell>
          <cell r="CJ62">
            <v>2</v>
          </cell>
          <cell r="CK62">
            <v>71</v>
          </cell>
          <cell r="CM62">
            <v>37</v>
          </cell>
          <cell r="CN62">
            <v>5</v>
          </cell>
          <cell r="CO62">
            <v>42</v>
          </cell>
          <cell r="CQ62">
            <v>7</v>
          </cell>
          <cell r="CR62">
            <v>5</v>
          </cell>
          <cell r="CS62">
            <v>12</v>
          </cell>
          <cell r="CU62">
            <v>44</v>
          </cell>
          <cell r="CV62">
            <v>10</v>
          </cell>
          <cell r="CW62">
            <v>54</v>
          </cell>
          <cell r="CY62">
            <v>2</v>
          </cell>
          <cell r="CZ62">
            <v>75</v>
          </cell>
          <cell r="DA62">
            <v>77</v>
          </cell>
          <cell r="DC62" t="str">
            <v xml:space="preserve"> 2Q</v>
          </cell>
          <cell r="DD62">
            <v>0</v>
          </cell>
          <cell r="DE62">
            <v>0</v>
          </cell>
          <cell r="DF62">
            <v>0</v>
          </cell>
          <cell r="DH62">
            <v>58</v>
          </cell>
          <cell r="DI62">
            <v>1</v>
          </cell>
          <cell r="DJ62">
            <v>59</v>
          </cell>
          <cell r="DL62">
            <v>1102</v>
          </cell>
          <cell r="DM62">
            <v>1001</v>
          </cell>
          <cell r="DN62">
            <v>2103</v>
          </cell>
          <cell r="DP62">
            <v>110</v>
          </cell>
          <cell r="DQ62">
            <v>204</v>
          </cell>
          <cell r="DR62">
            <v>314</v>
          </cell>
          <cell r="DT62">
            <v>89</v>
          </cell>
          <cell r="DU62">
            <v>46</v>
          </cell>
          <cell r="DV62">
            <v>135</v>
          </cell>
          <cell r="DX62">
            <v>1301</v>
          </cell>
          <cell r="DY62">
            <v>1251</v>
          </cell>
          <cell r="DZ62">
            <v>2552</v>
          </cell>
        </row>
        <row r="63">
          <cell r="A63" t="str">
            <v xml:space="preserve"> 3Q</v>
          </cell>
          <cell r="B63">
            <v>223</v>
          </cell>
          <cell r="C63">
            <v>0</v>
          </cell>
          <cell r="D63">
            <v>223</v>
          </cell>
          <cell r="E63">
            <v>0</v>
          </cell>
          <cell r="F63">
            <v>271</v>
          </cell>
          <cell r="G63">
            <v>303</v>
          </cell>
          <cell r="H63">
            <v>574</v>
          </cell>
          <cell r="I63">
            <v>0</v>
          </cell>
          <cell r="J63">
            <v>75</v>
          </cell>
          <cell r="K63">
            <v>85</v>
          </cell>
          <cell r="L63">
            <v>160</v>
          </cell>
          <cell r="Q63">
            <v>2</v>
          </cell>
          <cell r="R63">
            <v>33</v>
          </cell>
          <cell r="S63">
            <v>35</v>
          </cell>
          <cell r="U63">
            <v>571</v>
          </cell>
          <cell r="V63">
            <v>421</v>
          </cell>
          <cell r="W63">
            <v>992</v>
          </cell>
          <cell r="Y63">
            <v>323</v>
          </cell>
          <cell r="Z63">
            <v>72</v>
          </cell>
          <cell r="AA63">
            <v>395</v>
          </cell>
          <cell r="AC63">
            <v>0</v>
          </cell>
          <cell r="AD63">
            <v>0</v>
          </cell>
          <cell r="AE63">
            <v>0</v>
          </cell>
          <cell r="AG63">
            <v>3</v>
          </cell>
          <cell r="AH63">
            <v>7</v>
          </cell>
          <cell r="AI63">
            <v>10</v>
          </cell>
          <cell r="AK63">
            <v>326</v>
          </cell>
          <cell r="AL63">
            <v>79</v>
          </cell>
          <cell r="AM63">
            <v>405</v>
          </cell>
          <cell r="AO63" t="str">
            <v xml:space="preserve"> 3Q</v>
          </cell>
          <cell r="AP63">
            <v>101</v>
          </cell>
          <cell r="AQ63">
            <v>119</v>
          </cell>
          <cell r="AR63">
            <v>220</v>
          </cell>
          <cell r="AT63">
            <v>83</v>
          </cell>
          <cell r="AU63">
            <v>49</v>
          </cell>
          <cell r="AV63">
            <v>132</v>
          </cell>
          <cell r="AX63">
            <v>0</v>
          </cell>
          <cell r="AY63">
            <v>0</v>
          </cell>
          <cell r="AZ63">
            <v>0</v>
          </cell>
          <cell r="BB63">
            <v>41</v>
          </cell>
          <cell r="BC63">
            <v>145</v>
          </cell>
          <cell r="BD63">
            <v>186</v>
          </cell>
          <cell r="BF63">
            <v>225</v>
          </cell>
          <cell r="BG63">
            <v>313</v>
          </cell>
          <cell r="BH63">
            <v>538</v>
          </cell>
          <cell r="BJ63">
            <v>4</v>
          </cell>
          <cell r="BK63">
            <v>55</v>
          </cell>
          <cell r="BL63">
            <v>59</v>
          </cell>
          <cell r="BN63">
            <v>0</v>
          </cell>
          <cell r="BO63">
            <v>8</v>
          </cell>
          <cell r="BP63">
            <v>8</v>
          </cell>
          <cell r="BR63">
            <v>4</v>
          </cell>
          <cell r="BS63">
            <v>63</v>
          </cell>
          <cell r="BT63">
            <v>67</v>
          </cell>
          <cell r="BV63" t="str">
            <v xml:space="preserve"> 3Q</v>
          </cell>
          <cell r="BW63">
            <v>0</v>
          </cell>
          <cell r="BX63">
            <v>0</v>
          </cell>
          <cell r="BY63">
            <v>0</v>
          </cell>
          <cell r="CA63">
            <v>71</v>
          </cell>
          <cell r="CB63">
            <v>2</v>
          </cell>
          <cell r="CC63">
            <v>73</v>
          </cell>
          <cell r="CE63">
            <v>2</v>
          </cell>
          <cell r="CF63">
            <v>0</v>
          </cell>
          <cell r="CG63">
            <v>2</v>
          </cell>
          <cell r="CI63">
            <v>73</v>
          </cell>
          <cell r="CJ63">
            <v>2</v>
          </cell>
          <cell r="CK63">
            <v>75</v>
          </cell>
          <cell r="CM63">
            <v>44</v>
          </cell>
          <cell r="CN63">
            <v>2</v>
          </cell>
          <cell r="CO63">
            <v>46</v>
          </cell>
          <cell r="CQ63">
            <v>7</v>
          </cell>
          <cell r="CR63">
            <v>7</v>
          </cell>
          <cell r="CS63">
            <v>14</v>
          </cell>
          <cell r="CU63">
            <v>51</v>
          </cell>
          <cell r="CV63">
            <v>9</v>
          </cell>
          <cell r="CW63">
            <v>60</v>
          </cell>
          <cell r="CY63">
            <v>1</v>
          </cell>
          <cell r="CZ63">
            <v>67</v>
          </cell>
          <cell r="DA63">
            <v>68</v>
          </cell>
          <cell r="DC63" t="str">
            <v xml:space="preserve"> 3Q</v>
          </cell>
          <cell r="DD63">
            <v>0</v>
          </cell>
          <cell r="DE63">
            <v>0</v>
          </cell>
          <cell r="DF63">
            <v>0</v>
          </cell>
          <cell r="DH63">
            <v>93</v>
          </cell>
          <cell r="DI63">
            <v>2</v>
          </cell>
          <cell r="DJ63">
            <v>95</v>
          </cell>
          <cell r="DL63">
            <v>1344</v>
          </cell>
          <cell r="DM63">
            <v>956</v>
          </cell>
          <cell r="DN63">
            <v>2300</v>
          </cell>
          <cell r="DP63">
            <v>139</v>
          </cell>
          <cell r="DQ63">
            <v>185</v>
          </cell>
          <cell r="DR63">
            <v>324</v>
          </cell>
          <cell r="DT63">
            <v>82</v>
          </cell>
          <cell r="DU63">
            <v>41</v>
          </cell>
          <cell r="DV63">
            <v>123</v>
          </cell>
          <cell r="DX63">
            <v>1565</v>
          </cell>
          <cell r="DY63">
            <v>1182</v>
          </cell>
          <cell r="DZ63">
            <v>2747</v>
          </cell>
        </row>
        <row r="64">
          <cell r="A64" t="str">
            <v xml:space="preserve"> 4Q</v>
          </cell>
          <cell r="B64">
            <v>192</v>
          </cell>
          <cell r="C64">
            <v>0</v>
          </cell>
          <cell r="D64">
            <v>192</v>
          </cell>
          <cell r="E64">
            <v>0</v>
          </cell>
          <cell r="F64">
            <v>287</v>
          </cell>
          <cell r="G64">
            <v>337</v>
          </cell>
          <cell r="H64">
            <v>624</v>
          </cell>
          <cell r="I64">
            <v>0</v>
          </cell>
          <cell r="J64">
            <v>71</v>
          </cell>
          <cell r="K64">
            <v>92</v>
          </cell>
          <cell r="L64">
            <v>163</v>
          </cell>
          <cell r="Q64">
            <v>2</v>
          </cell>
          <cell r="R64">
            <v>38</v>
          </cell>
          <cell r="S64">
            <v>40</v>
          </cell>
          <cell r="U64">
            <v>552</v>
          </cell>
          <cell r="V64">
            <v>467</v>
          </cell>
          <cell r="W64">
            <v>1019</v>
          </cell>
          <cell r="Y64">
            <v>311</v>
          </cell>
          <cell r="Z64">
            <v>84</v>
          </cell>
          <cell r="AA64">
            <v>395</v>
          </cell>
          <cell r="AC64">
            <v>0</v>
          </cell>
          <cell r="AD64">
            <v>0</v>
          </cell>
          <cell r="AE64">
            <v>0</v>
          </cell>
          <cell r="AG64">
            <v>4</v>
          </cell>
          <cell r="AH64">
            <v>12</v>
          </cell>
          <cell r="AI64">
            <v>16</v>
          </cell>
          <cell r="AK64">
            <v>315</v>
          </cell>
          <cell r="AL64">
            <v>96</v>
          </cell>
          <cell r="AM64">
            <v>411</v>
          </cell>
          <cell r="AO64" t="str">
            <v xml:space="preserve"> 4Q</v>
          </cell>
          <cell r="AP64">
            <v>100</v>
          </cell>
          <cell r="AQ64">
            <v>126</v>
          </cell>
          <cell r="AR64">
            <v>226</v>
          </cell>
          <cell r="AT64">
            <v>197</v>
          </cell>
          <cell r="AU64">
            <v>70</v>
          </cell>
          <cell r="AV64">
            <v>267</v>
          </cell>
          <cell r="AX64">
            <v>0</v>
          </cell>
          <cell r="AY64">
            <v>0</v>
          </cell>
          <cell r="AZ64">
            <v>0</v>
          </cell>
          <cell r="BB64">
            <v>45</v>
          </cell>
          <cell r="BC64">
            <v>158</v>
          </cell>
          <cell r="BD64">
            <v>203</v>
          </cell>
          <cell r="BF64">
            <v>342</v>
          </cell>
          <cell r="BG64">
            <v>354</v>
          </cell>
          <cell r="BH64">
            <v>696</v>
          </cell>
          <cell r="BJ64">
            <v>4</v>
          </cell>
          <cell r="BK64">
            <v>58</v>
          </cell>
          <cell r="BL64">
            <v>62</v>
          </cell>
          <cell r="BN64">
            <v>0</v>
          </cell>
          <cell r="BO64">
            <v>7</v>
          </cell>
          <cell r="BP64">
            <v>7</v>
          </cell>
          <cell r="BR64">
            <v>4</v>
          </cell>
          <cell r="BS64">
            <v>65</v>
          </cell>
          <cell r="BT64">
            <v>69</v>
          </cell>
          <cell r="BV64" t="str">
            <v xml:space="preserve"> 4Q</v>
          </cell>
          <cell r="BW64">
            <v>0</v>
          </cell>
          <cell r="BX64">
            <v>0</v>
          </cell>
          <cell r="BY64">
            <v>0</v>
          </cell>
          <cell r="CA64">
            <v>70</v>
          </cell>
          <cell r="CB64">
            <v>1</v>
          </cell>
          <cell r="CC64">
            <v>71</v>
          </cell>
          <cell r="CE64">
            <v>2</v>
          </cell>
          <cell r="CF64">
            <v>0</v>
          </cell>
          <cell r="CG64">
            <v>2</v>
          </cell>
          <cell r="CI64">
            <v>72</v>
          </cell>
          <cell r="CJ64">
            <v>1</v>
          </cell>
          <cell r="CK64">
            <v>73</v>
          </cell>
          <cell r="CM64">
            <v>44</v>
          </cell>
          <cell r="CN64">
            <v>3</v>
          </cell>
          <cell r="CO64">
            <v>47</v>
          </cell>
          <cell r="CQ64">
            <v>8</v>
          </cell>
          <cell r="CR64">
            <v>7</v>
          </cell>
          <cell r="CS64">
            <v>15</v>
          </cell>
          <cell r="CU64">
            <v>52</v>
          </cell>
          <cell r="CV64">
            <v>10</v>
          </cell>
          <cell r="CW64">
            <v>62</v>
          </cell>
          <cell r="CY64">
            <v>2</v>
          </cell>
          <cell r="CZ64">
            <v>84</v>
          </cell>
          <cell r="DA64">
            <v>86</v>
          </cell>
          <cell r="DC64" t="str">
            <v xml:space="preserve"> 4Q</v>
          </cell>
          <cell r="DD64">
            <v>0</v>
          </cell>
          <cell r="DE64">
            <v>0</v>
          </cell>
          <cell r="DF64">
            <v>0</v>
          </cell>
          <cell r="DH64">
            <v>155</v>
          </cell>
          <cell r="DI64">
            <v>8</v>
          </cell>
          <cell r="DJ64">
            <v>163</v>
          </cell>
          <cell r="DL64">
            <v>1494</v>
          </cell>
          <cell r="DM64">
            <v>1085</v>
          </cell>
          <cell r="DN64">
            <v>2579</v>
          </cell>
          <cell r="DP64">
            <v>156</v>
          </cell>
          <cell r="DQ64">
            <v>241</v>
          </cell>
          <cell r="DR64">
            <v>397</v>
          </cell>
          <cell r="DT64">
            <v>52</v>
          </cell>
          <cell r="DU64">
            <v>44</v>
          </cell>
          <cell r="DV64">
            <v>96</v>
          </cell>
          <cell r="DX64">
            <v>1702</v>
          </cell>
          <cell r="DY64">
            <v>1370</v>
          </cell>
          <cell r="DZ64">
            <v>3072</v>
          </cell>
        </row>
        <row r="66">
          <cell r="A66" t="str">
            <v>Year</v>
          </cell>
          <cell r="B66">
            <v>822</v>
          </cell>
          <cell r="C66">
            <v>0</v>
          </cell>
          <cell r="D66">
            <v>822</v>
          </cell>
          <cell r="F66">
            <v>992</v>
          </cell>
          <cell r="G66">
            <v>1225</v>
          </cell>
          <cell r="H66">
            <v>2217</v>
          </cell>
          <cell r="J66">
            <v>278</v>
          </cell>
          <cell r="K66">
            <v>347</v>
          </cell>
          <cell r="L66">
            <v>625</v>
          </cell>
          <cell r="Q66">
            <v>10</v>
          </cell>
          <cell r="R66">
            <v>132</v>
          </cell>
          <cell r="S66">
            <v>142</v>
          </cell>
          <cell r="U66">
            <v>2102</v>
          </cell>
          <cell r="V66">
            <v>1704</v>
          </cell>
          <cell r="W66">
            <v>3806</v>
          </cell>
          <cell r="Y66">
            <v>1219</v>
          </cell>
          <cell r="Z66">
            <v>288</v>
          </cell>
          <cell r="AA66">
            <v>1507</v>
          </cell>
          <cell r="AC66">
            <v>0</v>
          </cell>
          <cell r="AD66">
            <v>0</v>
          </cell>
          <cell r="AE66">
            <v>0</v>
          </cell>
          <cell r="AG66">
            <v>14</v>
          </cell>
          <cell r="AH66">
            <v>32</v>
          </cell>
          <cell r="AI66">
            <v>46</v>
          </cell>
          <cell r="AK66">
            <v>1233</v>
          </cell>
          <cell r="AL66">
            <v>320</v>
          </cell>
          <cell r="AM66">
            <v>1553</v>
          </cell>
          <cell r="AO66" t="str">
            <v>Year</v>
          </cell>
          <cell r="AP66">
            <v>395</v>
          </cell>
          <cell r="AQ66">
            <v>485</v>
          </cell>
          <cell r="AR66">
            <v>880</v>
          </cell>
          <cell r="AT66">
            <v>553</v>
          </cell>
          <cell r="AU66">
            <v>268</v>
          </cell>
          <cell r="AV66">
            <v>821</v>
          </cell>
          <cell r="AX66">
            <v>0</v>
          </cell>
          <cell r="AY66">
            <v>0</v>
          </cell>
          <cell r="AZ66">
            <v>0</v>
          </cell>
          <cell r="BB66">
            <v>167</v>
          </cell>
          <cell r="BC66">
            <v>615</v>
          </cell>
          <cell r="BD66">
            <v>782</v>
          </cell>
          <cell r="BF66">
            <v>1115</v>
          </cell>
          <cell r="BG66">
            <v>1368</v>
          </cell>
          <cell r="BH66">
            <v>2483</v>
          </cell>
          <cell r="BJ66">
            <v>14</v>
          </cell>
          <cell r="BK66">
            <v>226</v>
          </cell>
          <cell r="BL66">
            <v>240</v>
          </cell>
          <cell r="BM66">
            <v>0</v>
          </cell>
          <cell r="BN66">
            <v>0</v>
          </cell>
          <cell r="BO66">
            <v>29</v>
          </cell>
          <cell r="BP66">
            <v>29</v>
          </cell>
          <cell r="BQ66">
            <v>0</v>
          </cell>
          <cell r="BR66">
            <v>14</v>
          </cell>
          <cell r="BS66">
            <v>255</v>
          </cell>
          <cell r="BT66">
            <v>269</v>
          </cell>
          <cell r="BV66" t="str">
            <v>Year</v>
          </cell>
          <cell r="BW66">
            <v>0</v>
          </cell>
          <cell r="BX66">
            <v>0</v>
          </cell>
          <cell r="BY66">
            <v>0</v>
          </cell>
          <cell r="CA66">
            <v>260</v>
          </cell>
          <cell r="CB66">
            <v>6</v>
          </cell>
          <cell r="CC66">
            <v>266</v>
          </cell>
          <cell r="CE66">
            <v>7</v>
          </cell>
          <cell r="CF66">
            <v>0</v>
          </cell>
          <cell r="CG66">
            <v>7</v>
          </cell>
          <cell r="CI66">
            <v>267</v>
          </cell>
          <cell r="CJ66">
            <v>6</v>
          </cell>
          <cell r="CK66">
            <v>273</v>
          </cell>
          <cell r="CM66">
            <v>165</v>
          </cell>
          <cell r="CN66">
            <v>10</v>
          </cell>
          <cell r="CO66">
            <v>175</v>
          </cell>
          <cell r="CQ66">
            <v>30</v>
          </cell>
          <cell r="CR66">
            <v>28</v>
          </cell>
          <cell r="CS66">
            <v>58</v>
          </cell>
          <cell r="CU66">
            <v>195</v>
          </cell>
          <cell r="CV66">
            <v>38</v>
          </cell>
          <cell r="CW66">
            <v>233</v>
          </cell>
          <cell r="CY66">
            <v>8</v>
          </cell>
          <cell r="CZ66">
            <v>297</v>
          </cell>
          <cell r="DA66">
            <v>305</v>
          </cell>
          <cell r="DC66" t="str">
            <v>Year</v>
          </cell>
          <cell r="DD66">
            <v>0</v>
          </cell>
          <cell r="DE66">
            <v>0</v>
          </cell>
          <cell r="DF66">
            <v>0</v>
          </cell>
          <cell r="DH66">
            <v>303</v>
          </cell>
          <cell r="DI66">
            <v>13</v>
          </cell>
          <cell r="DJ66">
            <v>316</v>
          </cell>
          <cell r="DL66">
            <v>5240</v>
          </cell>
          <cell r="DM66">
            <v>3999</v>
          </cell>
          <cell r="DN66">
            <v>9239</v>
          </cell>
          <cell r="DP66">
            <v>504</v>
          </cell>
          <cell r="DQ66">
            <v>826</v>
          </cell>
          <cell r="DR66">
            <v>1330</v>
          </cell>
          <cell r="DT66">
            <v>321</v>
          </cell>
          <cell r="DU66">
            <v>165</v>
          </cell>
          <cell r="DV66">
            <v>486</v>
          </cell>
          <cell r="DX66">
            <v>6065</v>
          </cell>
          <cell r="DY66">
            <v>4990</v>
          </cell>
          <cell r="DZ66">
            <v>11055</v>
          </cell>
        </row>
        <row r="68">
          <cell r="A68" t="str">
            <v xml:space="preserve">1998/97 </v>
          </cell>
          <cell r="AO68" t="str">
            <v xml:space="preserve">1998/97 </v>
          </cell>
          <cell r="BV68" t="str">
            <v xml:space="preserve">1998/97 </v>
          </cell>
          <cell r="DC68" t="str">
            <v xml:space="preserve">1998/97 </v>
          </cell>
        </row>
        <row r="69">
          <cell r="A69" t="str">
            <v xml:space="preserve"> 1Q</v>
          </cell>
          <cell r="B69">
            <v>-0.19246861924686187</v>
          </cell>
          <cell r="C69" t="str">
            <v>NM</v>
          </cell>
          <cell r="D69">
            <v>-0.19246861924686187</v>
          </cell>
          <cell r="F69">
            <v>0.18264840182648401</v>
          </cell>
          <cell r="G69">
            <v>0.10394265232974909</v>
          </cell>
          <cell r="H69">
            <v>0.13855421686746983</v>
          </cell>
          <cell r="J69">
            <v>0.19999999999999996</v>
          </cell>
          <cell r="K69">
            <v>1.1904761904761862E-2</v>
          </cell>
          <cell r="L69">
            <v>9.740259740259738E-2</v>
          </cell>
          <cell r="Q69">
            <v>-0.33333333333333337</v>
          </cell>
          <cell r="R69">
            <v>-0.1071428571428571</v>
          </cell>
          <cell r="S69">
            <v>-0.12903225806451613</v>
          </cell>
          <cell r="U69">
            <v>1.3182674199623268E-2</v>
          </cell>
          <cell r="V69">
            <v>0.10230179028132991</v>
          </cell>
          <cell r="W69">
            <v>5.0976138828633388E-2</v>
          </cell>
          <cell r="Y69">
            <v>0.14071856287425155</v>
          </cell>
          <cell r="Z69">
            <v>0.31666666666666665</v>
          </cell>
          <cell r="AA69">
            <v>0.1675126903553299</v>
          </cell>
          <cell r="AC69" t="str">
            <v>NM</v>
          </cell>
          <cell r="AD69" t="str">
            <v>NM</v>
          </cell>
          <cell r="AE69" t="str">
            <v>NM</v>
          </cell>
          <cell r="AG69">
            <v>0</v>
          </cell>
          <cell r="AH69" t="str">
            <v xml:space="preserve">  NM</v>
          </cell>
          <cell r="AI69">
            <v>0.60000000000000009</v>
          </cell>
          <cell r="AK69">
            <v>0.13905325443786976</v>
          </cell>
          <cell r="AL69">
            <v>0.3787878787878789</v>
          </cell>
          <cell r="AM69">
            <v>0.17821782178217815</v>
          </cell>
          <cell r="AO69" t="str">
            <v xml:space="preserve"> 1Q</v>
          </cell>
          <cell r="AP69">
            <v>0.17999999999999994</v>
          </cell>
          <cell r="AQ69">
            <v>-5.9322033898305038E-2</v>
          </cell>
          <cell r="AR69">
            <v>5.0458715596330306E-2</v>
          </cell>
          <cell r="AT69">
            <v>0.28176795580110503</v>
          </cell>
          <cell r="AU69">
            <v>-0.10843373493975905</v>
          </cell>
          <cell r="AV69">
            <v>0.15909090909090917</v>
          </cell>
          <cell r="AW69" t="e">
            <v>#DIV/0!</v>
          </cell>
          <cell r="AX69" t="str">
            <v>NM</v>
          </cell>
          <cell r="AY69" t="str">
            <v>NM</v>
          </cell>
          <cell r="AZ69" t="str">
            <v>NM</v>
          </cell>
          <cell r="BB69">
            <v>-4.5454545454545414E-2</v>
          </cell>
          <cell r="BC69">
            <v>-0.10897435897435892</v>
          </cell>
          <cell r="BD69">
            <v>-9.4999999999999973E-2</v>
          </cell>
          <cell r="BF69">
            <v>0.33230769230769241</v>
          </cell>
          <cell r="BG69">
            <v>-9.2436974789915971E-2</v>
          </cell>
          <cell r="BH69">
            <v>0.10997067448680342</v>
          </cell>
          <cell r="BJ69">
            <v>0</v>
          </cell>
          <cell r="BK69">
            <v>-0.18181818181818177</v>
          </cell>
          <cell r="BL69">
            <v>-0.17241379310344829</v>
          </cell>
          <cell r="BN69" t="str">
            <v xml:space="preserve">  NM</v>
          </cell>
          <cell r="BO69">
            <v>-0.4285714285714286</v>
          </cell>
          <cell r="BP69">
            <v>-0.4285714285714286</v>
          </cell>
          <cell r="BR69">
            <v>0</v>
          </cell>
          <cell r="BS69">
            <v>-0.20967741935483875</v>
          </cell>
          <cell r="BT69">
            <v>-0.19999999999999996</v>
          </cell>
          <cell r="BV69" t="str">
            <v xml:space="preserve"> 1Q</v>
          </cell>
          <cell r="BW69" t="str">
            <v>NM</v>
          </cell>
          <cell r="BX69" t="str">
            <v>NM</v>
          </cell>
          <cell r="BY69" t="str">
            <v>NM</v>
          </cell>
          <cell r="CA69">
            <v>0.58823529411764697</v>
          </cell>
          <cell r="CB69">
            <v>0</v>
          </cell>
          <cell r="CC69">
            <v>0.57692307692307687</v>
          </cell>
          <cell r="CE69" t="str">
            <v xml:space="preserve">  NM</v>
          </cell>
          <cell r="CF69" t="str">
            <v xml:space="preserve">  NM</v>
          </cell>
          <cell r="CG69" t="str">
            <v xml:space="preserve">  NM</v>
          </cell>
          <cell r="CI69">
            <v>0.5660377358490567</v>
          </cell>
          <cell r="CJ69">
            <v>0</v>
          </cell>
          <cell r="CK69">
            <v>0.55555555555555558</v>
          </cell>
          <cell r="CM69">
            <v>0.39999999999999991</v>
          </cell>
          <cell r="CN69" t="str">
            <v xml:space="preserve">  NM</v>
          </cell>
          <cell r="CO69">
            <v>0.44999999999999996</v>
          </cell>
          <cell r="CQ69">
            <v>-0.25</v>
          </cell>
          <cell r="CR69">
            <v>-0.22222222222222221</v>
          </cell>
          <cell r="CS69">
            <v>-0.23529411764705888</v>
          </cell>
          <cell r="CU69">
            <v>0.29166666666666674</v>
          </cell>
          <cell r="CV69">
            <v>0</v>
          </cell>
          <cell r="CW69">
            <v>0.2456140350877194</v>
          </cell>
          <cell r="CY69" t="str">
            <v xml:space="preserve">  NM</v>
          </cell>
          <cell r="CZ69">
            <v>-5.633802816901412E-2</v>
          </cell>
          <cell r="DA69">
            <v>-8.108108108108103E-2</v>
          </cell>
          <cell r="DC69" t="str">
            <v xml:space="preserve"> 1Q</v>
          </cell>
          <cell r="DD69" t="str">
            <v xml:space="preserve">    NM</v>
          </cell>
          <cell r="DE69" t="str">
            <v xml:space="preserve">    NM</v>
          </cell>
          <cell r="DF69" t="str">
            <v xml:space="preserve">    NM</v>
          </cell>
          <cell r="DH69" t="str">
            <v xml:space="preserve">    NM</v>
          </cell>
          <cell r="DI69" t="str">
            <v xml:space="preserve">    NM</v>
          </cell>
          <cell r="DJ69" t="str">
            <v xml:space="preserve">    NM</v>
          </cell>
          <cell r="DL69">
            <v>0.2646153846153847</v>
          </cell>
          <cell r="DM69">
            <v>2.7168234064785857E-2</v>
          </cell>
          <cell r="DN69">
            <v>0.16393442622950816</v>
          </cell>
          <cell r="DP69">
            <v>0.15151515151515152</v>
          </cell>
          <cell r="DQ69">
            <v>-0.10204081632653061</v>
          </cell>
          <cell r="DR69">
            <v>-1.6949152542372881E-2</v>
          </cell>
          <cell r="DT69">
            <v>-0.11224489795918369</v>
          </cell>
          <cell r="DU69">
            <v>-5.8823529411764719E-2</v>
          </cell>
          <cell r="DV69">
            <v>-9.8484848484848508E-2</v>
          </cell>
          <cell r="DX69">
            <v>0.23246492985971945</v>
          </cell>
          <cell r="DY69">
            <v>3.3698399326032025E-3</v>
          </cell>
          <cell r="DZ69">
            <v>0.13114754098360648</v>
          </cell>
        </row>
        <row r="70">
          <cell r="A70" t="str">
            <v xml:space="preserve"> 2Q</v>
          </cell>
          <cell r="B70">
            <v>-6.5476190476190466E-2</v>
          </cell>
          <cell r="C70" t="str">
            <v>NM</v>
          </cell>
          <cell r="D70">
            <v>-6.5476190476190466E-2</v>
          </cell>
          <cell r="F70">
            <v>0.30232558139534893</v>
          </cell>
          <cell r="G70">
            <v>0.10457516339869288</v>
          </cell>
          <cell r="H70">
            <v>0.1861804222648753</v>
          </cell>
          <cell r="J70">
            <v>0.11290322580645151</v>
          </cell>
          <cell r="K70">
            <v>4.6511627906976827E-2</v>
          </cell>
          <cell r="L70">
            <v>7.4324324324324342E-2</v>
          </cell>
          <cell r="Q70">
            <v>-0.33333333333333337</v>
          </cell>
          <cell r="R70">
            <v>-0.24242424242424243</v>
          </cell>
          <cell r="S70">
            <v>-0.25</v>
          </cell>
          <cell r="U70">
            <v>0.1339285714285714</v>
          </cell>
          <cell r="V70">
            <v>0.11764705882352944</v>
          </cell>
          <cell r="W70">
            <v>0.12600229095074456</v>
          </cell>
          <cell r="Y70">
            <v>0.24302788844621515</v>
          </cell>
          <cell r="Z70">
            <v>0.19444444444444442</v>
          </cell>
          <cell r="AA70">
            <v>0.2321981424148607</v>
          </cell>
          <cell r="AC70" t="str">
            <v>NM</v>
          </cell>
          <cell r="AD70" t="str">
            <v>NM</v>
          </cell>
          <cell r="AE70" t="str">
            <v>NM</v>
          </cell>
          <cell r="AG70">
            <v>0</v>
          </cell>
          <cell r="AH70" t="str">
            <v xml:space="preserve">  NM</v>
          </cell>
          <cell r="AI70">
            <v>0.89999999999999991</v>
          </cell>
          <cell r="AK70">
            <v>0.24015748031496065</v>
          </cell>
          <cell r="AL70">
            <v>0.29113924050632911</v>
          </cell>
          <cell r="AM70">
            <v>0.25225225225225234</v>
          </cell>
          <cell r="AO70" t="str">
            <v xml:space="preserve"> 2Q</v>
          </cell>
          <cell r="AP70">
            <v>-3.1914893617021267E-2</v>
          </cell>
          <cell r="AQ70">
            <v>-1.6393442622950838E-2</v>
          </cell>
          <cell r="AR70">
            <v>-2.314814814814814E-2</v>
          </cell>
          <cell r="AT70">
            <v>5.4347826086956541E-2</v>
          </cell>
          <cell r="AU70">
            <v>0</v>
          </cell>
          <cell r="AV70">
            <v>3.1645569620253111E-2</v>
          </cell>
          <cell r="AW70" t="e">
            <v>#DIV/0!</v>
          </cell>
          <cell r="AX70" t="str">
            <v>NM</v>
          </cell>
          <cell r="AY70" t="str">
            <v>NM</v>
          </cell>
          <cell r="AZ70" t="str">
            <v>NM</v>
          </cell>
          <cell r="BB70">
            <v>-0.18918918918918914</v>
          </cell>
          <cell r="BC70">
            <v>-9.6153846153846145E-2</v>
          </cell>
          <cell r="BD70">
            <v>-0.11398963730569944</v>
          </cell>
          <cell r="BF70">
            <v>7.623318385650224E-2</v>
          </cell>
          <cell r="BG70">
            <v>-4.9418604651162767E-2</v>
          </cell>
          <cell r="BH70">
            <v>0</v>
          </cell>
          <cell r="BJ70">
            <v>-0.33333333333333337</v>
          </cell>
          <cell r="BK70">
            <v>-0.17241379310344829</v>
          </cell>
          <cell r="BL70">
            <v>-0.18032786885245899</v>
          </cell>
          <cell r="BN70" t="str">
            <v xml:space="preserve">  NM</v>
          </cell>
          <cell r="BO70">
            <v>0.14285714285714279</v>
          </cell>
          <cell r="BP70">
            <v>0.14285714285714279</v>
          </cell>
          <cell r="BR70">
            <v>-0.33333333333333337</v>
          </cell>
          <cell r="BS70">
            <v>-0.13846153846153841</v>
          </cell>
          <cell r="BT70">
            <v>-0.1470588235294118</v>
          </cell>
          <cell r="BV70" t="str">
            <v xml:space="preserve"> 2Q</v>
          </cell>
          <cell r="BW70" t="str">
            <v>NM</v>
          </cell>
          <cell r="BX70" t="str">
            <v>NM</v>
          </cell>
          <cell r="BY70" t="str">
            <v>NM</v>
          </cell>
          <cell r="CA70">
            <v>0.52941176470588225</v>
          </cell>
          <cell r="CB70">
            <v>-0.5</v>
          </cell>
          <cell r="CC70">
            <v>0.5</v>
          </cell>
          <cell r="CE70" t="str">
            <v xml:space="preserve">  NM</v>
          </cell>
          <cell r="CF70" t="str">
            <v xml:space="preserve">  NM</v>
          </cell>
          <cell r="CG70" t="str">
            <v xml:space="preserve">  NM</v>
          </cell>
          <cell r="CI70">
            <v>0.52173913043478271</v>
          </cell>
          <cell r="CJ70">
            <v>-0.5</v>
          </cell>
          <cell r="CK70">
            <v>0.49295774647887325</v>
          </cell>
          <cell r="CM70">
            <v>0.29729729729729737</v>
          </cell>
          <cell r="CN70" t="str">
            <v xml:space="preserve">  NM</v>
          </cell>
          <cell r="CO70">
            <v>0.19047619047619047</v>
          </cell>
          <cell r="CQ70">
            <v>-0.2857142857142857</v>
          </cell>
          <cell r="CR70">
            <v>0.19999999999999996</v>
          </cell>
          <cell r="CS70">
            <v>-8.333333333333337E-2</v>
          </cell>
          <cell r="CU70">
            <v>0.20454545454545459</v>
          </cell>
          <cell r="CV70">
            <v>-0.19999999999999996</v>
          </cell>
          <cell r="CW70">
            <v>0.12962962962962954</v>
          </cell>
          <cell r="CY70" t="str">
            <v xml:space="preserve">  NM</v>
          </cell>
          <cell r="CZ70">
            <v>-0.36</v>
          </cell>
          <cell r="DA70">
            <v>-0.36363636363636365</v>
          </cell>
          <cell r="DC70" t="str">
            <v xml:space="preserve"> 2Q</v>
          </cell>
          <cell r="DD70" t="str">
            <v xml:space="preserve">    NM</v>
          </cell>
          <cell r="DE70" t="str">
            <v xml:space="preserve">    NM</v>
          </cell>
          <cell r="DF70" t="str">
            <v xml:space="preserve">    NM</v>
          </cell>
          <cell r="DH70">
            <v>2.103448275862069</v>
          </cell>
          <cell r="DI70">
            <v>17</v>
          </cell>
          <cell r="DJ70">
            <v>2.3559322033898304</v>
          </cell>
          <cell r="DL70">
            <v>0.64519056261343022</v>
          </cell>
          <cell r="DM70">
            <v>3.5964035964035856E-2</v>
          </cell>
          <cell r="DN70">
            <v>0.3552068473609129</v>
          </cell>
          <cell r="DP70">
            <v>0.20909090909090908</v>
          </cell>
          <cell r="DQ70">
            <v>-8.3333333333333329E-2</v>
          </cell>
          <cell r="DR70">
            <v>1.9108280254777069E-2</v>
          </cell>
          <cell r="DT70">
            <v>-0.15730337078651691</v>
          </cell>
          <cell r="DU70">
            <v>0.45652173913043481</v>
          </cell>
          <cell r="DV70">
            <v>5.1851851851851816E-2</v>
          </cell>
          <cell r="DX70">
            <v>0.55342044581091465</v>
          </cell>
          <cell r="DY70">
            <v>3.1974420463629194E-2</v>
          </cell>
          <cell r="DZ70">
            <v>0.29780564263322895</v>
          </cell>
        </row>
        <row r="71">
          <cell r="A71" t="str">
            <v xml:space="preserve"> 3Q</v>
          </cell>
          <cell r="B71">
            <v>-0.1434977578475336</v>
          </cell>
          <cell r="C71" t="str">
            <v>NM</v>
          </cell>
          <cell r="D71">
            <v>-0.1434977578475336</v>
          </cell>
          <cell r="F71">
            <v>0.26199261992619927</v>
          </cell>
          <cell r="G71">
            <v>8.5808580858085737E-2</v>
          </cell>
          <cell r="H71">
            <v>0.16898954703832758</v>
          </cell>
          <cell r="J71">
            <v>0.15999999999999992</v>
          </cell>
          <cell r="K71">
            <v>2.3529411764705799E-2</v>
          </cell>
          <cell r="L71">
            <v>8.7499999999999911E-2</v>
          </cell>
          <cell r="Q71">
            <v>0</v>
          </cell>
          <cell r="R71">
            <v>-0.24242424242424243</v>
          </cell>
          <cell r="S71">
            <v>-0.22857142857142854</v>
          </cell>
          <cell r="U71">
            <v>8.9316987740805542E-2</v>
          </cell>
          <cell r="V71">
            <v>0.1116389548693586</v>
          </cell>
          <cell r="W71">
            <v>9.879032258064524E-2</v>
          </cell>
          <cell r="Y71">
            <v>0.24767801857585137</v>
          </cell>
          <cell r="Z71">
            <v>0.19444444444444442</v>
          </cell>
          <cell r="AA71">
            <v>0.23797468354430373</v>
          </cell>
          <cell r="AC71" t="str">
            <v>NM</v>
          </cell>
          <cell r="AD71" t="str">
            <v>NM</v>
          </cell>
          <cell r="AE71" t="str">
            <v>NM</v>
          </cell>
          <cell r="AG71">
            <v>0</v>
          </cell>
          <cell r="AH71" t="str">
            <v xml:space="preserve">  NM</v>
          </cell>
          <cell r="AI71" t="str">
            <v xml:space="preserve">  NM</v>
          </cell>
          <cell r="AK71">
            <v>0.24539877300613488</v>
          </cell>
          <cell r="AL71">
            <v>0.34177215189873422</v>
          </cell>
          <cell r="AM71">
            <v>0.26419753086419751</v>
          </cell>
          <cell r="AO71" t="str">
            <v xml:space="preserve"> 3Q</v>
          </cell>
          <cell r="AP71">
            <v>0.11881188118811892</v>
          </cell>
          <cell r="AQ71">
            <v>-3.3613445378151252E-2</v>
          </cell>
          <cell r="AR71">
            <v>3.6363636363636376E-2</v>
          </cell>
          <cell r="AT71">
            <v>0.6987951807228916</v>
          </cell>
          <cell r="AU71">
            <v>6.1224489795918435E-2</v>
          </cell>
          <cell r="AV71">
            <v>0.46212121212121215</v>
          </cell>
          <cell r="AW71" t="e">
            <v>#DIV/0!</v>
          </cell>
          <cell r="AX71" t="str">
            <v>NM</v>
          </cell>
          <cell r="AY71" t="str">
            <v>NM</v>
          </cell>
          <cell r="AZ71" t="str">
            <v>NM</v>
          </cell>
          <cell r="BB71">
            <v>-9.7560975609756073E-2</v>
          </cell>
          <cell r="BC71">
            <v>-0.12413793103448278</v>
          </cell>
          <cell r="BD71">
            <v>-0.11827956989247312</v>
          </cell>
          <cell r="BF71">
            <v>0.47555555555555551</v>
          </cell>
          <cell r="BG71">
            <v>-6.0702875399361034E-2</v>
          </cell>
          <cell r="BH71">
            <v>0.16356877323420083</v>
          </cell>
          <cell r="BJ71">
            <v>-0.25</v>
          </cell>
          <cell r="BK71">
            <v>-0.18181818181818177</v>
          </cell>
          <cell r="BL71">
            <v>-0.18644067796610164</v>
          </cell>
          <cell r="BN71" t="str">
            <v xml:space="preserve">  NM</v>
          </cell>
          <cell r="BO71">
            <v>0</v>
          </cell>
          <cell r="BP71">
            <v>0</v>
          </cell>
          <cell r="BR71">
            <v>-0.25</v>
          </cell>
          <cell r="BS71">
            <v>-0.15873015873015872</v>
          </cell>
          <cell r="BT71">
            <v>-0.16417910447761197</v>
          </cell>
          <cell r="BV71" t="str">
            <v xml:space="preserve"> 3Q</v>
          </cell>
          <cell r="BW71" t="str">
            <v>NM</v>
          </cell>
          <cell r="BX71" t="str">
            <v>NM</v>
          </cell>
          <cell r="BY71" t="str">
            <v>NM</v>
          </cell>
          <cell r="CA71">
            <v>0.6619718309859155</v>
          </cell>
          <cell r="CB71">
            <v>-0.17500000000000004</v>
          </cell>
          <cell r="CC71">
            <v>0.63904109589041114</v>
          </cell>
          <cell r="CE71" t="str">
            <v xml:space="preserve">  NM</v>
          </cell>
          <cell r="CF71" t="str">
            <v xml:space="preserve">  NM</v>
          </cell>
          <cell r="CG71" t="str">
            <v xml:space="preserve">  NM</v>
          </cell>
          <cell r="CI71">
            <v>0.63013698630136994</v>
          </cell>
          <cell r="CJ71">
            <v>0</v>
          </cell>
          <cell r="CK71">
            <v>0.61333333333333329</v>
          </cell>
          <cell r="CM71">
            <v>0.27272727272727271</v>
          </cell>
          <cell r="CN71">
            <v>0</v>
          </cell>
          <cell r="CO71">
            <v>0.26086956521739135</v>
          </cell>
          <cell r="CQ71">
            <v>-0.1428571428571429</v>
          </cell>
          <cell r="CR71">
            <v>-0.1428571428571429</v>
          </cell>
          <cell r="CS71">
            <v>-0.1428571428571429</v>
          </cell>
          <cell r="CU71">
            <v>0.21568627450980382</v>
          </cell>
          <cell r="CV71">
            <v>-0.11111111111111116</v>
          </cell>
          <cell r="CW71">
            <v>0.16666666666666674</v>
          </cell>
          <cell r="CY71" t="str">
            <v xml:space="preserve">  NM</v>
          </cell>
          <cell r="CZ71">
            <v>-0.31343283582089554</v>
          </cell>
          <cell r="DA71">
            <v>-0.26470588235294112</v>
          </cell>
          <cell r="DC71" t="str">
            <v xml:space="preserve"> 3Q</v>
          </cell>
          <cell r="DD71" t="str">
            <v xml:space="preserve">    NM</v>
          </cell>
          <cell r="DE71" t="str">
            <v xml:space="preserve">    NM</v>
          </cell>
          <cell r="DF71" t="str">
            <v xml:space="preserve">    NM</v>
          </cell>
          <cell r="DH71">
            <v>1.118279569892473</v>
          </cell>
          <cell r="DI71">
            <v>10.5</v>
          </cell>
          <cell r="DJ71">
            <v>1.3157894736842106</v>
          </cell>
          <cell r="DL71">
            <v>0.3839285714285714</v>
          </cell>
          <cell r="DM71">
            <v>7.322175732217584E-2</v>
          </cell>
          <cell r="DN71">
            <v>0.25478260869565217</v>
          </cell>
          <cell r="DP71">
            <v>0.11510791366906475</v>
          </cell>
          <cell r="DQ71">
            <v>-0.11351351351351352</v>
          </cell>
          <cell r="DR71">
            <v>-1.5432098765432098E-2</v>
          </cell>
          <cell r="DT71">
            <v>-0.18292682926829273</v>
          </cell>
          <cell r="DU71">
            <v>0.41463414634146334</v>
          </cell>
          <cell r="DV71">
            <v>1.6260162601626105E-2</v>
          </cell>
          <cell r="DX71">
            <v>0.33035143769968056</v>
          </cell>
          <cell r="DY71">
            <v>5.5837563451776706E-2</v>
          </cell>
          <cell r="DZ71">
            <v>0.21223152530032774</v>
          </cell>
        </row>
        <row r="72">
          <cell r="A72" t="str">
            <v xml:space="preserve"> 4Q</v>
          </cell>
          <cell r="B72">
            <v>-0.10416666666666663</v>
          </cell>
          <cell r="C72" t="str">
            <v>NM</v>
          </cell>
          <cell r="D72">
            <v>-0.10416666666666663</v>
          </cell>
          <cell r="F72">
            <v>0.12891986062717775</v>
          </cell>
          <cell r="G72">
            <v>0.17210682492581597</v>
          </cell>
          <cell r="H72">
            <v>0.15224358974358965</v>
          </cell>
          <cell r="J72">
            <v>0.15492957746478875</v>
          </cell>
          <cell r="K72">
            <v>0.11956521739130443</v>
          </cell>
          <cell r="L72">
            <v>0.13496932515337434</v>
          </cell>
          <cell r="Q72">
            <v>0.5</v>
          </cell>
          <cell r="R72">
            <v>-0.28947368421052633</v>
          </cell>
          <cell r="S72">
            <v>-0.25</v>
          </cell>
          <cell r="U72">
            <v>5.2536231884057871E-2</v>
          </cell>
          <cell r="V72">
            <v>0.20556745182012848</v>
          </cell>
          <cell r="W72">
            <v>0.12266928361138363</v>
          </cell>
          <cell r="Y72">
            <v>0.24437299035369775</v>
          </cell>
          <cell r="Z72">
            <v>0.21428571428571419</v>
          </cell>
          <cell r="AA72">
            <v>0.23797468354430373</v>
          </cell>
          <cell r="AC72" t="str">
            <v>NM</v>
          </cell>
          <cell r="AD72" t="str">
            <v>NM</v>
          </cell>
          <cell r="AE72" t="str">
            <v>NM</v>
          </cell>
          <cell r="AG72">
            <v>0</v>
          </cell>
          <cell r="AH72" t="str">
            <v xml:space="preserve">  NM</v>
          </cell>
          <cell r="AI72">
            <v>0.875</v>
          </cell>
          <cell r="AK72">
            <v>0.2412698412698413</v>
          </cell>
          <cell r="AL72">
            <v>0.33333333333333326</v>
          </cell>
          <cell r="AM72">
            <v>0.26277372262773713</v>
          </cell>
          <cell r="AO72" t="str">
            <v xml:space="preserve"> 4Q</v>
          </cell>
          <cell r="AP72">
            <v>0.18999999999999995</v>
          </cell>
          <cell r="AQ72">
            <v>2.3809523809523725E-2</v>
          </cell>
          <cell r="AR72">
            <v>9.7345132743362761E-2</v>
          </cell>
          <cell r="AT72">
            <v>0.54314720812182737</v>
          </cell>
          <cell r="AU72">
            <v>7.1428571428571397E-2</v>
          </cell>
          <cell r="AV72">
            <v>0.41947565543071152</v>
          </cell>
          <cell r="AW72" t="e">
            <v>#DIV/0!</v>
          </cell>
          <cell r="AX72" t="str">
            <v>NM</v>
          </cell>
          <cell r="AY72" t="str">
            <v>NM</v>
          </cell>
          <cell r="AZ72" t="str">
            <v>NM</v>
          </cell>
          <cell r="BB72">
            <v>-4.4444444444444398E-2</v>
          </cell>
          <cell r="BC72">
            <v>-6.9620253164557E-2</v>
          </cell>
          <cell r="BD72">
            <v>-6.4039408866995107E-2</v>
          </cell>
          <cell r="BF72">
            <v>0.50877192982456143</v>
          </cell>
          <cell r="BG72">
            <v>5.6497175141243527E-3</v>
          </cell>
          <cell r="BH72">
            <v>0.25287356321839072</v>
          </cell>
          <cell r="BJ72">
            <v>0</v>
          </cell>
          <cell r="BK72">
            <v>-0.10344827586206895</v>
          </cell>
          <cell r="BL72">
            <v>-9.6774193548387122E-2</v>
          </cell>
          <cell r="BN72" t="str">
            <v xml:space="preserve">  NM</v>
          </cell>
          <cell r="BO72">
            <v>0.28571428571428581</v>
          </cell>
          <cell r="BP72">
            <v>0.28571428571428581</v>
          </cell>
          <cell r="BR72">
            <v>0</v>
          </cell>
          <cell r="BS72">
            <v>-6.1538461538461542E-2</v>
          </cell>
          <cell r="BT72">
            <v>-5.7971014492753659E-2</v>
          </cell>
          <cell r="BV72" t="str">
            <v xml:space="preserve"> 4Q</v>
          </cell>
          <cell r="BW72" t="str">
            <v>NM</v>
          </cell>
          <cell r="BX72" t="str">
            <v>NM</v>
          </cell>
          <cell r="BY72" t="str">
            <v>NM</v>
          </cell>
          <cell r="CA72">
            <v>0.54285714285714293</v>
          </cell>
          <cell r="CB72">
            <v>0</v>
          </cell>
          <cell r="CC72">
            <v>0.53521126760563376</v>
          </cell>
          <cell r="CE72" t="str">
            <v xml:space="preserve">  NM</v>
          </cell>
          <cell r="CF72" t="str">
            <v xml:space="preserve">  NM</v>
          </cell>
          <cell r="CG72" t="str">
            <v xml:space="preserve">  NM</v>
          </cell>
          <cell r="CI72">
            <v>0.51388888888888884</v>
          </cell>
          <cell r="CJ72">
            <v>0</v>
          </cell>
          <cell r="CK72">
            <v>0.50684931506849318</v>
          </cell>
          <cell r="CM72">
            <v>0.29545454545454541</v>
          </cell>
          <cell r="CN72">
            <v>-0.33333333333333337</v>
          </cell>
          <cell r="CO72">
            <v>0.25531914893617014</v>
          </cell>
          <cell r="CQ72">
            <v>-0.25</v>
          </cell>
          <cell r="CR72">
            <v>0</v>
          </cell>
          <cell r="CS72">
            <v>-0.1333333333333333</v>
          </cell>
          <cell r="CU72">
            <v>0.21153846153846145</v>
          </cell>
          <cell r="CV72">
            <v>-9.9999999999999978E-2</v>
          </cell>
          <cell r="CW72">
            <v>0.16129032258064524</v>
          </cell>
          <cell r="CY72">
            <v>0</v>
          </cell>
          <cell r="CZ72">
            <v>-0.3928571428571429</v>
          </cell>
          <cell r="DA72">
            <v>-0.51162790697674421</v>
          </cell>
          <cell r="DC72" t="str">
            <v xml:space="preserve"> 4Q</v>
          </cell>
          <cell r="DD72" t="str">
            <v xml:space="preserve">    NM</v>
          </cell>
          <cell r="DE72" t="str">
            <v xml:space="preserve">    NM</v>
          </cell>
          <cell r="DF72" t="str">
            <v xml:space="preserve">    NM</v>
          </cell>
          <cell r="DH72">
            <v>0.70322580645161281</v>
          </cell>
          <cell r="DI72">
            <v>3.375</v>
          </cell>
          <cell r="DJ72">
            <v>0.83435582822085896</v>
          </cell>
          <cell r="DL72">
            <v>0.37215528781793838</v>
          </cell>
          <cell r="DM72">
            <v>0.20645161290322589</v>
          </cell>
          <cell r="DN72">
            <v>0.30244280728964723</v>
          </cell>
          <cell r="DP72">
            <v>0</v>
          </cell>
          <cell r="DQ72">
            <v>-4.9792531120331947E-2</v>
          </cell>
          <cell r="DR72">
            <v>-3.0226700251889168E-2</v>
          </cell>
          <cell r="DT72">
            <v>-3.8461538461538436E-2</v>
          </cell>
          <cell r="DU72">
            <v>0.63636363636363646</v>
          </cell>
          <cell r="DV72">
            <v>0.27083333333333326</v>
          </cell>
          <cell r="DX72">
            <v>0.32549941245593428</v>
          </cell>
          <cell r="DY72">
            <v>0.17518248175182483</v>
          </cell>
          <cell r="DZ72">
            <v>0.25846354166666674</v>
          </cell>
        </row>
        <row r="74">
          <cell r="A74" t="str">
            <v>Year</v>
          </cell>
          <cell r="B74">
            <v>-0.13260340632603407</v>
          </cell>
          <cell r="C74" t="str">
            <v>NM</v>
          </cell>
          <cell r="D74">
            <v>-0.13260340632603407</v>
          </cell>
          <cell r="F74">
            <v>0.21471774193548376</v>
          </cell>
          <cell r="G74">
            <v>0.1183673469387756</v>
          </cell>
          <cell r="H74">
            <v>0.16147947677041041</v>
          </cell>
          <cell r="I74" t="e">
            <v>#DIV/0!</v>
          </cell>
          <cell r="J74">
            <v>0.15827338129496393</v>
          </cell>
          <cell r="K74">
            <v>5.187319884726227E-2</v>
          </cell>
          <cell r="L74">
            <v>9.9199999999999955E-2</v>
          </cell>
          <cell r="Q74">
            <v>-9.9999999999999978E-2</v>
          </cell>
          <cell r="R74">
            <v>-0.22727272727272729</v>
          </cell>
          <cell r="S74">
            <v>-0.21830985915492962</v>
          </cell>
          <cell r="U74">
            <v>6.9933396764985778E-2</v>
          </cell>
          <cell r="V74">
            <v>0.13673708920187799</v>
          </cell>
          <cell r="W74">
            <v>9.9842354177614334E-2</v>
          </cell>
          <cell r="Y74">
            <v>0.21657095980311736</v>
          </cell>
          <cell r="Z74">
            <v>0.22569444444444442</v>
          </cell>
          <cell r="AA74">
            <v>0.21831453218314523</v>
          </cell>
          <cell r="AC74" t="str">
            <v>NM</v>
          </cell>
          <cell r="AD74" t="str">
            <v>NM</v>
          </cell>
          <cell r="AE74" t="str">
            <v>NM</v>
          </cell>
          <cell r="AG74">
            <v>0</v>
          </cell>
          <cell r="AH74" t="str">
            <v xml:space="preserve">  NM</v>
          </cell>
          <cell r="AI74">
            <v>0.91304347826086962</v>
          </cell>
          <cell r="AK74">
            <v>0.21411192214111918</v>
          </cell>
          <cell r="AL74">
            <v>0.33437500000000009</v>
          </cell>
          <cell r="AM74">
            <v>0.23889246619446225</v>
          </cell>
          <cell r="AO74" t="str">
            <v>Year</v>
          </cell>
          <cell r="AP74">
            <v>0.1164556962025316</v>
          </cell>
          <cell r="AQ74">
            <v>-2.0618556701030966E-2</v>
          </cell>
          <cell r="AR74">
            <v>4.0909090909091006E-2</v>
          </cell>
          <cell r="AT74">
            <v>0.39963833634719714</v>
          </cell>
          <cell r="AU74">
            <v>-3.7313432835820448E-3</v>
          </cell>
          <cell r="AV74">
            <v>0.2679658952496955</v>
          </cell>
          <cell r="AW74" t="e">
            <v>#DIV/0!</v>
          </cell>
          <cell r="AX74" t="str">
            <v>NM</v>
          </cell>
          <cell r="AY74" t="str">
            <v>NM</v>
          </cell>
          <cell r="AZ74" t="str">
            <v>NM</v>
          </cell>
          <cell r="BB74">
            <v>-8.9820359281437168E-2</v>
          </cell>
          <cell r="BC74">
            <v>-9.918699186991875E-2</v>
          </cell>
          <cell r="BD74">
            <v>-9.7186700767263434E-2</v>
          </cell>
          <cell r="BF74">
            <v>0.36412556053811662</v>
          </cell>
          <cell r="BG74">
            <v>-4.8976608187134452E-2</v>
          </cell>
          <cell r="BH74">
            <v>0.13652839307289577</v>
          </cell>
          <cell r="BJ74">
            <v>-0.1428571428571429</v>
          </cell>
          <cell r="BK74">
            <v>-0.15929203539823011</v>
          </cell>
          <cell r="BL74">
            <v>-0.15833333333333333</v>
          </cell>
          <cell r="BN74" t="str">
            <v xml:space="preserve">  NM</v>
          </cell>
          <cell r="BO74">
            <v>0</v>
          </cell>
          <cell r="BP74">
            <v>0</v>
          </cell>
          <cell r="BR74">
            <v>-0.1428571428571429</v>
          </cell>
          <cell r="BS74">
            <v>-0.14117647058823535</v>
          </cell>
          <cell r="BT74">
            <v>-0.14126394052044611</v>
          </cell>
          <cell r="BV74" t="str">
            <v>Year</v>
          </cell>
          <cell r="BW74" t="str">
            <v>NM</v>
          </cell>
          <cell r="BX74" t="str">
            <v>NM</v>
          </cell>
          <cell r="BY74" t="str">
            <v>NM</v>
          </cell>
          <cell r="CA74">
            <v>0.5807692307692307</v>
          </cell>
          <cell r="CB74">
            <v>-0.22499999999999998</v>
          </cell>
          <cell r="CC74">
            <v>0.56259398496240598</v>
          </cell>
          <cell r="CE74" t="str">
            <v xml:space="preserve">  NM</v>
          </cell>
          <cell r="CF74" t="str">
            <v xml:space="preserve">  NM</v>
          </cell>
          <cell r="CG74" t="str">
            <v xml:space="preserve">  NM</v>
          </cell>
          <cell r="CI74">
            <v>0.55805243445692887</v>
          </cell>
          <cell r="CJ74">
            <v>-0.16666666666666663</v>
          </cell>
          <cell r="CK74">
            <v>0.5421245421245422</v>
          </cell>
          <cell r="CM74">
            <v>0.31515151515151518</v>
          </cell>
          <cell r="CN74" t="str">
            <v xml:space="preserve">  NM</v>
          </cell>
          <cell r="CO74">
            <v>0.28571428571428581</v>
          </cell>
          <cell r="CQ74">
            <v>-0.23333333333333328</v>
          </cell>
          <cell r="CR74">
            <v>-7.1428571428571397E-2</v>
          </cell>
          <cell r="CS74">
            <v>-0.15517241379310343</v>
          </cell>
          <cell r="CU74">
            <v>0.23076923076923084</v>
          </cell>
          <cell r="CV74">
            <v>-0.10526315789473684</v>
          </cell>
          <cell r="CW74">
            <v>0.17596566523605151</v>
          </cell>
          <cell r="CY74" t="str">
            <v xml:space="preserve">  NM</v>
          </cell>
          <cell r="CZ74">
            <v>-0.28619528619528622</v>
          </cell>
          <cell r="DA74">
            <v>-0.31475409836065571</v>
          </cell>
          <cell r="DC74" t="str">
            <v>Year</v>
          </cell>
          <cell r="DD74" t="str">
            <v xml:space="preserve">    NM</v>
          </cell>
          <cell r="DE74" t="str">
            <v xml:space="preserve">    NM</v>
          </cell>
          <cell r="DF74" t="str">
            <v xml:space="preserve">    NM</v>
          </cell>
          <cell r="DH74">
            <v>1.5742574257425743</v>
          </cell>
          <cell r="DI74">
            <v>5.6923076923076925</v>
          </cell>
          <cell r="DJ74">
            <v>1.7436708860759493</v>
          </cell>
          <cell r="DL74">
            <v>0.40591603053435121</v>
          </cell>
          <cell r="DM74">
            <v>8.9022255563890873E-2</v>
          </cell>
          <cell r="DN74">
            <v>0.26875202944041554</v>
          </cell>
          <cell r="DP74">
            <v>0.10714285714285721</v>
          </cell>
          <cell r="DQ74">
            <v>-8.4745762711864403E-2</v>
          </cell>
          <cell r="DR74">
            <v>-1.2030075187969946E-2</v>
          </cell>
          <cell r="DS74" t="e">
            <v>#DIV/0!</v>
          </cell>
          <cell r="DT74">
            <v>-0.13084112149532712</v>
          </cell>
          <cell r="DU74">
            <v>0.38787878787878793</v>
          </cell>
          <cell r="DV74">
            <v>4.5267489711934061E-2</v>
          </cell>
          <cell r="DW74" t="e">
            <v>#DIV/0!</v>
          </cell>
          <cell r="DX74">
            <v>0.35267930750206111</v>
          </cell>
          <cell r="DY74">
            <v>7.0140280561122204E-2</v>
          </cell>
          <cell r="DZ74">
            <v>0.22514699231117152</v>
          </cell>
        </row>
        <row r="76">
          <cell r="A76" t="str">
            <v xml:space="preserve">1998 </v>
          </cell>
          <cell r="AO76" t="str">
            <v xml:space="preserve">1998 </v>
          </cell>
          <cell r="BQ76">
            <v>0</v>
          </cell>
          <cell r="BV76" t="str">
            <v xml:space="preserve">1998 </v>
          </cell>
          <cell r="CH76">
            <v>0</v>
          </cell>
          <cell r="DC76" t="str">
            <v xml:space="preserve">1998 </v>
          </cell>
        </row>
        <row r="77">
          <cell r="A77" t="str">
            <v xml:space="preserve"> 1Q</v>
          </cell>
          <cell r="B77">
            <v>193</v>
          </cell>
          <cell r="C77">
            <v>0</v>
          </cell>
          <cell r="D77">
            <v>193</v>
          </cell>
          <cell r="E77">
            <v>0</v>
          </cell>
          <cell r="F77">
            <v>259</v>
          </cell>
          <cell r="G77">
            <v>308</v>
          </cell>
          <cell r="H77">
            <v>567</v>
          </cell>
          <cell r="I77">
            <v>0</v>
          </cell>
          <cell r="J77">
            <v>84</v>
          </cell>
          <cell r="K77">
            <v>85</v>
          </cell>
          <cell r="L77">
            <v>169</v>
          </cell>
          <cell r="M77">
            <v>0</v>
          </cell>
          <cell r="N77">
            <v>13</v>
          </cell>
          <cell r="O77">
            <v>13</v>
          </cell>
          <cell r="Q77">
            <v>2</v>
          </cell>
          <cell r="R77">
            <v>25</v>
          </cell>
          <cell r="S77">
            <v>27</v>
          </cell>
          <cell r="U77">
            <v>538</v>
          </cell>
          <cell r="V77">
            <v>431</v>
          </cell>
          <cell r="W77">
            <v>969</v>
          </cell>
          <cell r="Y77">
            <v>381</v>
          </cell>
          <cell r="Z77">
            <v>79</v>
          </cell>
          <cell r="AA77">
            <v>460</v>
          </cell>
          <cell r="AC77">
            <v>0</v>
          </cell>
          <cell r="AD77">
            <v>0</v>
          </cell>
          <cell r="AE77">
            <v>0</v>
          </cell>
          <cell r="AG77">
            <v>4</v>
          </cell>
          <cell r="AH77">
            <v>12</v>
          </cell>
          <cell r="AI77">
            <v>16</v>
          </cell>
          <cell r="AK77">
            <v>385</v>
          </cell>
          <cell r="AL77">
            <v>91</v>
          </cell>
          <cell r="AM77">
            <v>476</v>
          </cell>
          <cell r="AO77" t="str">
            <v xml:space="preserve"> 1Q</v>
          </cell>
          <cell r="AP77">
            <v>118</v>
          </cell>
          <cell r="AQ77">
            <v>111</v>
          </cell>
          <cell r="AR77">
            <v>229</v>
          </cell>
          <cell r="AT77">
            <v>232</v>
          </cell>
          <cell r="AU77">
            <v>74</v>
          </cell>
          <cell r="AV77">
            <v>306</v>
          </cell>
          <cell r="AX77">
            <v>41</v>
          </cell>
          <cell r="AY77">
            <v>0</v>
          </cell>
          <cell r="AZ77">
            <v>41</v>
          </cell>
          <cell r="BB77">
            <v>42</v>
          </cell>
          <cell r="BC77">
            <v>139</v>
          </cell>
          <cell r="BD77">
            <v>181</v>
          </cell>
          <cell r="BF77">
            <v>433</v>
          </cell>
          <cell r="BG77">
            <v>324</v>
          </cell>
          <cell r="BH77">
            <v>757</v>
          </cell>
          <cell r="BJ77">
            <v>3</v>
          </cell>
          <cell r="BK77">
            <v>45</v>
          </cell>
          <cell r="BL77">
            <v>48</v>
          </cell>
          <cell r="BN77">
            <v>0</v>
          </cell>
          <cell r="BO77">
            <v>4</v>
          </cell>
          <cell r="BP77">
            <v>4</v>
          </cell>
          <cell r="BR77">
            <v>3</v>
          </cell>
          <cell r="BS77">
            <v>49</v>
          </cell>
          <cell r="BT77">
            <v>52</v>
          </cell>
          <cell r="BV77" t="str">
            <v xml:space="preserve"> 1Q</v>
          </cell>
          <cell r="BW77">
            <v>0</v>
          </cell>
          <cell r="BX77">
            <v>0</v>
          </cell>
          <cell r="BY77">
            <v>0</v>
          </cell>
          <cell r="CA77">
            <v>81</v>
          </cell>
          <cell r="CB77">
            <v>1</v>
          </cell>
          <cell r="CC77">
            <v>82</v>
          </cell>
          <cell r="CE77">
            <v>2</v>
          </cell>
          <cell r="CF77">
            <v>0</v>
          </cell>
          <cell r="CG77">
            <v>2</v>
          </cell>
          <cell r="CI77">
            <v>83</v>
          </cell>
          <cell r="CJ77">
            <v>1</v>
          </cell>
          <cell r="CK77">
            <v>84</v>
          </cell>
          <cell r="CM77">
            <v>56</v>
          </cell>
          <cell r="CN77">
            <v>2</v>
          </cell>
          <cell r="CO77">
            <v>58</v>
          </cell>
          <cell r="CQ77">
            <v>6</v>
          </cell>
          <cell r="CR77">
            <v>7</v>
          </cell>
          <cell r="CS77">
            <v>13</v>
          </cell>
          <cell r="CU77">
            <v>62</v>
          </cell>
          <cell r="CV77">
            <v>9</v>
          </cell>
          <cell r="CW77">
            <v>71</v>
          </cell>
          <cell r="CY77">
            <v>1</v>
          </cell>
          <cell r="CZ77">
            <v>67</v>
          </cell>
          <cell r="DA77">
            <v>68</v>
          </cell>
          <cell r="DC77" t="str">
            <v xml:space="preserve"> 1Q</v>
          </cell>
          <cell r="DD77">
            <v>0</v>
          </cell>
          <cell r="DE77">
            <v>0</v>
          </cell>
          <cell r="DF77">
            <v>0</v>
          </cell>
          <cell r="DH77">
            <v>139</v>
          </cell>
          <cell r="DI77">
            <v>11</v>
          </cell>
          <cell r="DJ77">
            <v>150</v>
          </cell>
          <cell r="DL77">
            <v>1644</v>
          </cell>
          <cell r="DM77">
            <v>983</v>
          </cell>
          <cell r="DN77">
            <v>2627</v>
          </cell>
          <cell r="DP77">
            <v>114</v>
          </cell>
          <cell r="DQ77">
            <v>176</v>
          </cell>
          <cell r="DR77">
            <v>290</v>
          </cell>
          <cell r="DT77">
            <v>87</v>
          </cell>
          <cell r="DU77">
            <v>32</v>
          </cell>
          <cell r="DV77">
            <v>119</v>
          </cell>
          <cell r="DX77">
            <v>1845</v>
          </cell>
          <cell r="DY77">
            <v>1191</v>
          </cell>
          <cell r="DZ77">
            <v>3036</v>
          </cell>
        </row>
        <row r="78">
          <cell r="A78" t="str">
            <v xml:space="preserve"> 2Q</v>
          </cell>
          <cell r="B78">
            <v>157</v>
          </cell>
          <cell r="C78">
            <v>0</v>
          </cell>
          <cell r="D78">
            <v>157</v>
          </cell>
          <cell r="E78">
            <v>0</v>
          </cell>
          <cell r="F78">
            <v>280</v>
          </cell>
          <cell r="G78">
            <v>338</v>
          </cell>
          <cell r="H78">
            <v>618</v>
          </cell>
          <cell r="I78">
            <v>0</v>
          </cell>
          <cell r="J78">
            <v>69</v>
          </cell>
          <cell r="K78">
            <v>90</v>
          </cell>
          <cell r="L78">
            <v>159</v>
          </cell>
          <cell r="M78">
            <v>0</v>
          </cell>
          <cell r="N78">
            <v>22</v>
          </cell>
          <cell r="O78">
            <v>22</v>
          </cell>
          <cell r="Q78">
            <v>2</v>
          </cell>
          <cell r="R78">
            <v>25</v>
          </cell>
          <cell r="S78">
            <v>27</v>
          </cell>
          <cell r="U78">
            <v>508</v>
          </cell>
          <cell r="V78">
            <v>475</v>
          </cell>
          <cell r="W78">
            <v>983</v>
          </cell>
          <cell r="Y78">
            <v>312</v>
          </cell>
          <cell r="Z78">
            <v>86</v>
          </cell>
          <cell r="AA78">
            <v>398</v>
          </cell>
          <cell r="AC78">
            <v>0</v>
          </cell>
          <cell r="AD78">
            <v>0</v>
          </cell>
          <cell r="AE78">
            <v>0</v>
          </cell>
          <cell r="AG78">
            <v>3</v>
          </cell>
          <cell r="AH78">
            <v>16</v>
          </cell>
          <cell r="AI78">
            <v>19</v>
          </cell>
          <cell r="AK78">
            <v>315</v>
          </cell>
          <cell r="AL78">
            <v>102</v>
          </cell>
          <cell r="AM78">
            <v>417</v>
          </cell>
          <cell r="AO78" t="str">
            <v xml:space="preserve"> 2Q</v>
          </cell>
          <cell r="AP78">
            <v>91</v>
          </cell>
          <cell r="AQ78">
            <v>120</v>
          </cell>
          <cell r="AR78">
            <v>211</v>
          </cell>
          <cell r="AT78">
            <v>97</v>
          </cell>
          <cell r="AU78">
            <v>66</v>
          </cell>
          <cell r="AV78">
            <v>163</v>
          </cell>
          <cell r="AX78">
            <v>22</v>
          </cell>
          <cell r="AY78">
            <v>0</v>
          </cell>
          <cell r="AZ78">
            <v>22</v>
          </cell>
          <cell r="BB78">
            <v>30</v>
          </cell>
          <cell r="BC78">
            <v>141</v>
          </cell>
          <cell r="BD78">
            <v>171</v>
          </cell>
          <cell r="BF78">
            <v>240</v>
          </cell>
          <cell r="BG78">
            <v>327</v>
          </cell>
          <cell r="BH78">
            <v>567</v>
          </cell>
          <cell r="BJ78">
            <v>2</v>
          </cell>
          <cell r="BK78">
            <v>48</v>
          </cell>
          <cell r="BL78">
            <v>50</v>
          </cell>
          <cell r="BN78">
            <v>0</v>
          </cell>
          <cell r="BO78">
            <v>8</v>
          </cell>
          <cell r="BP78">
            <v>8</v>
          </cell>
          <cell r="BR78">
            <v>2</v>
          </cell>
          <cell r="BS78">
            <v>56</v>
          </cell>
          <cell r="BT78">
            <v>58</v>
          </cell>
          <cell r="BV78" t="str">
            <v xml:space="preserve"> 2Q</v>
          </cell>
          <cell r="BW78">
            <v>409</v>
          </cell>
          <cell r="BX78">
            <v>2</v>
          </cell>
          <cell r="BY78">
            <v>411</v>
          </cell>
          <cell r="CA78">
            <v>104</v>
          </cell>
          <cell r="CB78">
            <v>1</v>
          </cell>
          <cell r="CC78">
            <v>105</v>
          </cell>
          <cell r="CE78">
            <v>1</v>
          </cell>
          <cell r="CF78">
            <v>0</v>
          </cell>
          <cell r="CG78">
            <v>1</v>
          </cell>
          <cell r="CI78">
            <v>105</v>
          </cell>
          <cell r="CJ78">
            <v>1</v>
          </cell>
          <cell r="CK78">
            <v>106</v>
          </cell>
          <cell r="CM78">
            <v>48</v>
          </cell>
          <cell r="CN78">
            <v>2</v>
          </cell>
          <cell r="CO78">
            <v>50</v>
          </cell>
          <cell r="CQ78">
            <v>5</v>
          </cell>
          <cell r="CR78">
            <v>6</v>
          </cell>
          <cell r="CS78">
            <v>11</v>
          </cell>
          <cell r="CU78">
            <v>53</v>
          </cell>
          <cell r="CV78">
            <v>8</v>
          </cell>
          <cell r="CW78">
            <v>61</v>
          </cell>
          <cell r="CY78">
            <v>1</v>
          </cell>
          <cell r="CZ78">
            <v>48</v>
          </cell>
          <cell r="DA78">
            <v>49</v>
          </cell>
          <cell r="DC78" t="str">
            <v xml:space="preserve"> 2Q</v>
          </cell>
          <cell r="DD78">
            <v>0</v>
          </cell>
          <cell r="DE78">
            <v>0</v>
          </cell>
          <cell r="DF78">
            <v>0</v>
          </cell>
          <cell r="DH78">
            <v>180</v>
          </cell>
          <cell r="DI78">
            <v>18</v>
          </cell>
          <cell r="DJ78">
            <v>198</v>
          </cell>
          <cell r="DL78">
            <v>1813</v>
          </cell>
          <cell r="DM78">
            <v>1037</v>
          </cell>
          <cell r="DN78">
            <v>2850</v>
          </cell>
          <cell r="DP78">
            <v>133</v>
          </cell>
          <cell r="DQ78">
            <v>187</v>
          </cell>
          <cell r="DR78">
            <v>320</v>
          </cell>
          <cell r="DT78">
            <v>75</v>
          </cell>
          <cell r="DU78">
            <v>67</v>
          </cell>
          <cell r="DV78">
            <v>142</v>
          </cell>
          <cell r="DX78">
            <v>2021</v>
          </cell>
          <cell r="DY78">
            <v>1291</v>
          </cell>
          <cell r="DZ78">
            <v>3312</v>
          </cell>
        </row>
        <row r="79">
          <cell r="A79" t="str">
            <v xml:space="preserve"> 3Q</v>
          </cell>
          <cell r="B79">
            <v>191</v>
          </cell>
          <cell r="C79">
            <v>0</v>
          </cell>
          <cell r="D79">
            <v>191</v>
          </cell>
          <cell r="E79">
            <v>0</v>
          </cell>
          <cell r="F79">
            <v>342</v>
          </cell>
          <cell r="G79">
            <v>329</v>
          </cell>
          <cell r="H79">
            <v>671</v>
          </cell>
          <cell r="I79">
            <v>0</v>
          </cell>
          <cell r="J79">
            <v>87</v>
          </cell>
          <cell r="K79">
            <v>87</v>
          </cell>
          <cell r="L79">
            <v>174</v>
          </cell>
          <cell r="M79">
            <v>0</v>
          </cell>
          <cell r="N79">
            <v>27</v>
          </cell>
          <cell r="O79">
            <v>27</v>
          </cell>
          <cell r="Q79">
            <v>2</v>
          </cell>
          <cell r="R79">
            <v>25</v>
          </cell>
          <cell r="S79">
            <v>27</v>
          </cell>
          <cell r="U79">
            <v>622</v>
          </cell>
          <cell r="V79">
            <v>468</v>
          </cell>
          <cell r="W79">
            <v>1090</v>
          </cell>
          <cell r="Y79">
            <v>403</v>
          </cell>
          <cell r="Z79">
            <v>86</v>
          </cell>
          <cell r="AA79">
            <v>489</v>
          </cell>
          <cell r="AC79">
            <v>0</v>
          </cell>
          <cell r="AD79">
            <v>0</v>
          </cell>
          <cell r="AE79">
            <v>0</v>
          </cell>
          <cell r="AG79">
            <v>3</v>
          </cell>
          <cell r="AH79">
            <v>20</v>
          </cell>
          <cell r="AI79">
            <v>23</v>
          </cell>
          <cell r="AK79">
            <v>406</v>
          </cell>
          <cell r="AL79">
            <v>106</v>
          </cell>
          <cell r="AM79">
            <v>512</v>
          </cell>
          <cell r="AO79" t="str">
            <v xml:space="preserve"> 3Q</v>
          </cell>
          <cell r="AP79">
            <v>113</v>
          </cell>
          <cell r="AQ79">
            <v>115</v>
          </cell>
          <cell r="AR79">
            <v>228</v>
          </cell>
          <cell r="AT79">
            <v>141</v>
          </cell>
          <cell r="AU79">
            <v>52</v>
          </cell>
          <cell r="AV79">
            <v>193</v>
          </cell>
          <cell r="AX79">
            <v>41</v>
          </cell>
          <cell r="AY79">
            <v>0</v>
          </cell>
          <cell r="AZ79">
            <v>41</v>
          </cell>
          <cell r="BB79">
            <v>37</v>
          </cell>
          <cell r="BC79">
            <v>127</v>
          </cell>
          <cell r="BD79">
            <v>164</v>
          </cell>
          <cell r="BF79">
            <v>332</v>
          </cell>
          <cell r="BG79">
            <v>294</v>
          </cell>
          <cell r="BH79">
            <v>626</v>
          </cell>
          <cell r="BJ79">
            <v>3</v>
          </cell>
          <cell r="BK79">
            <v>45</v>
          </cell>
          <cell r="BL79">
            <v>48</v>
          </cell>
          <cell r="BN79">
            <v>0</v>
          </cell>
          <cell r="BO79">
            <v>8</v>
          </cell>
          <cell r="BP79">
            <v>8</v>
          </cell>
          <cell r="BR79">
            <v>3</v>
          </cell>
          <cell r="BS79">
            <v>53</v>
          </cell>
          <cell r="BT79">
            <v>56</v>
          </cell>
          <cell r="BV79" t="str">
            <v xml:space="preserve"> 3Q</v>
          </cell>
          <cell r="BW79">
            <v>115</v>
          </cell>
          <cell r="BX79">
            <v>26</v>
          </cell>
          <cell r="BY79">
            <v>141</v>
          </cell>
          <cell r="CA79">
            <v>118</v>
          </cell>
          <cell r="CB79">
            <v>1.65</v>
          </cell>
          <cell r="CC79">
            <v>119.65</v>
          </cell>
          <cell r="CE79">
            <v>1</v>
          </cell>
          <cell r="CF79">
            <v>0.35000000000000009</v>
          </cell>
          <cell r="CG79">
            <v>1.35</v>
          </cell>
          <cell r="CI79">
            <v>119</v>
          </cell>
          <cell r="CJ79">
            <v>2</v>
          </cell>
          <cell r="CK79">
            <v>121</v>
          </cell>
          <cell r="CM79">
            <v>56</v>
          </cell>
          <cell r="CN79">
            <v>2</v>
          </cell>
          <cell r="CO79">
            <v>58</v>
          </cell>
          <cell r="CQ79">
            <v>6</v>
          </cell>
          <cell r="CR79">
            <v>6</v>
          </cell>
          <cell r="CS79">
            <v>12</v>
          </cell>
          <cell r="CU79">
            <v>62</v>
          </cell>
          <cell r="CV79">
            <v>8</v>
          </cell>
          <cell r="CW79">
            <v>70</v>
          </cell>
          <cell r="CY79">
            <v>4</v>
          </cell>
          <cell r="CZ79">
            <v>46</v>
          </cell>
          <cell r="DA79">
            <v>50</v>
          </cell>
          <cell r="DC79" t="str">
            <v xml:space="preserve"> 3Q</v>
          </cell>
          <cell r="DD79">
            <v>0</v>
          </cell>
          <cell r="DE79">
            <v>0</v>
          </cell>
          <cell r="DF79">
            <v>0</v>
          </cell>
          <cell r="DH79">
            <v>197</v>
          </cell>
          <cell r="DI79">
            <v>23</v>
          </cell>
          <cell r="DJ79">
            <v>220</v>
          </cell>
          <cell r="DL79">
            <v>1860</v>
          </cell>
          <cell r="DM79">
            <v>1026</v>
          </cell>
          <cell r="DN79">
            <v>2886</v>
          </cell>
          <cell r="DP79">
            <v>155</v>
          </cell>
          <cell r="DQ79">
            <v>164</v>
          </cell>
          <cell r="DR79">
            <v>319</v>
          </cell>
          <cell r="DT79">
            <v>67</v>
          </cell>
          <cell r="DU79">
            <v>58</v>
          </cell>
          <cell r="DV79">
            <v>125</v>
          </cell>
          <cell r="DX79">
            <v>2082</v>
          </cell>
          <cell r="DY79">
            <v>1248</v>
          </cell>
          <cell r="DZ79">
            <v>3330</v>
          </cell>
        </row>
        <row r="80">
          <cell r="A80" t="str">
            <v xml:space="preserve"> 4Q</v>
          </cell>
          <cell r="B80">
            <v>172</v>
          </cell>
          <cell r="C80">
            <v>0</v>
          </cell>
          <cell r="D80">
            <v>172</v>
          </cell>
          <cell r="E80">
            <v>0</v>
          </cell>
          <cell r="F80">
            <v>324</v>
          </cell>
          <cell r="G80">
            <v>395</v>
          </cell>
          <cell r="H80">
            <v>719</v>
          </cell>
          <cell r="I80">
            <v>0</v>
          </cell>
          <cell r="J80">
            <v>82</v>
          </cell>
          <cell r="K80">
            <v>103</v>
          </cell>
          <cell r="L80">
            <v>185</v>
          </cell>
          <cell r="M80">
            <v>0</v>
          </cell>
          <cell r="N80">
            <v>38</v>
          </cell>
          <cell r="O80">
            <v>38</v>
          </cell>
          <cell r="Q80">
            <v>3</v>
          </cell>
          <cell r="R80">
            <v>27</v>
          </cell>
          <cell r="S80">
            <v>30</v>
          </cell>
          <cell r="U80">
            <v>581</v>
          </cell>
          <cell r="V80">
            <v>563</v>
          </cell>
          <cell r="W80">
            <v>1144</v>
          </cell>
          <cell r="Y80">
            <v>387</v>
          </cell>
          <cell r="Z80">
            <v>102</v>
          </cell>
          <cell r="AA80">
            <v>489</v>
          </cell>
          <cell r="AC80">
            <v>0</v>
          </cell>
          <cell r="AD80">
            <v>0</v>
          </cell>
          <cell r="AE80">
            <v>0</v>
          </cell>
          <cell r="AG80">
            <v>4</v>
          </cell>
          <cell r="AH80">
            <v>26</v>
          </cell>
          <cell r="AI80">
            <v>30</v>
          </cell>
          <cell r="AK80">
            <v>391</v>
          </cell>
          <cell r="AL80">
            <v>128</v>
          </cell>
          <cell r="AM80">
            <v>519</v>
          </cell>
          <cell r="AO80" t="str">
            <v xml:space="preserve"> 4Q</v>
          </cell>
          <cell r="AP80">
            <v>119</v>
          </cell>
          <cell r="AQ80">
            <v>129</v>
          </cell>
          <cell r="AR80">
            <v>248</v>
          </cell>
          <cell r="AT80">
            <v>304</v>
          </cell>
          <cell r="AU80">
            <v>75</v>
          </cell>
          <cell r="AV80">
            <v>379</v>
          </cell>
          <cell r="AX80">
            <v>50</v>
          </cell>
          <cell r="AY80">
            <v>5</v>
          </cell>
          <cell r="AZ80">
            <v>55</v>
          </cell>
          <cell r="BB80">
            <v>43</v>
          </cell>
          <cell r="BC80">
            <v>147</v>
          </cell>
          <cell r="BD80">
            <v>190</v>
          </cell>
          <cell r="BF80">
            <v>516</v>
          </cell>
          <cell r="BG80">
            <v>356</v>
          </cell>
          <cell r="BH80">
            <v>872</v>
          </cell>
          <cell r="BJ80">
            <v>4</v>
          </cell>
          <cell r="BK80">
            <v>52</v>
          </cell>
          <cell r="BL80">
            <v>56</v>
          </cell>
          <cell r="BN80">
            <v>0</v>
          </cell>
          <cell r="BO80">
            <v>9</v>
          </cell>
          <cell r="BP80">
            <v>9</v>
          </cell>
          <cell r="BR80">
            <v>4</v>
          </cell>
          <cell r="BS80">
            <v>61</v>
          </cell>
          <cell r="BT80">
            <v>65</v>
          </cell>
          <cell r="BV80" t="str">
            <v xml:space="preserve"> 4Q</v>
          </cell>
          <cell r="BW80">
            <v>131</v>
          </cell>
          <cell r="BX80">
            <v>105</v>
          </cell>
          <cell r="BY80">
            <v>236</v>
          </cell>
          <cell r="CA80">
            <v>108</v>
          </cell>
          <cell r="CB80">
            <v>1</v>
          </cell>
          <cell r="CC80">
            <v>109</v>
          </cell>
          <cell r="CE80">
            <v>1</v>
          </cell>
          <cell r="CF80">
            <v>0</v>
          </cell>
          <cell r="CG80">
            <v>1</v>
          </cell>
          <cell r="CI80">
            <v>109</v>
          </cell>
          <cell r="CJ80">
            <v>1</v>
          </cell>
          <cell r="CK80">
            <v>110</v>
          </cell>
          <cell r="CM80">
            <v>57</v>
          </cell>
          <cell r="CN80">
            <v>2</v>
          </cell>
          <cell r="CO80">
            <v>59</v>
          </cell>
          <cell r="CQ80">
            <v>6</v>
          </cell>
          <cell r="CR80">
            <v>7</v>
          </cell>
          <cell r="CS80">
            <v>13</v>
          </cell>
          <cell r="CU80">
            <v>63</v>
          </cell>
          <cell r="CV80">
            <v>9</v>
          </cell>
          <cell r="CW80">
            <v>72</v>
          </cell>
          <cell r="CY80">
            <v>-9</v>
          </cell>
          <cell r="CZ80">
            <v>51</v>
          </cell>
          <cell r="DA80">
            <v>42</v>
          </cell>
          <cell r="DC80" t="str">
            <v xml:space="preserve"> 4Q</v>
          </cell>
          <cell r="DD80">
            <v>0</v>
          </cell>
          <cell r="DE80">
            <v>0</v>
          </cell>
          <cell r="DF80">
            <v>0</v>
          </cell>
          <cell r="DH80">
            <v>264</v>
          </cell>
          <cell r="DI80">
            <v>35</v>
          </cell>
          <cell r="DJ80">
            <v>299</v>
          </cell>
          <cell r="DL80">
            <v>2050</v>
          </cell>
          <cell r="DM80">
            <v>1309</v>
          </cell>
          <cell r="DN80">
            <v>3359</v>
          </cell>
          <cell r="DP80">
            <v>156</v>
          </cell>
          <cell r="DQ80">
            <v>229</v>
          </cell>
          <cell r="DR80">
            <v>385</v>
          </cell>
          <cell r="DT80">
            <v>50</v>
          </cell>
          <cell r="DU80">
            <v>72</v>
          </cell>
          <cell r="DV80">
            <v>122</v>
          </cell>
          <cell r="DX80">
            <v>2256</v>
          </cell>
          <cell r="DY80">
            <v>1610</v>
          </cell>
          <cell r="DZ80">
            <v>3866</v>
          </cell>
        </row>
        <row r="82">
          <cell r="A82" t="str">
            <v>Year</v>
          </cell>
          <cell r="B82">
            <v>713</v>
          </cell>
          <cell r="C82">
            <v>0</v>
          </cell>
          <cell r="D82">
            <v>713</v>
          </cell>
          <cell r="F82">
            <v>1205</v>
          </cell>
          <cell r="G82">
            <v>1370</v>
          </cell>
          <cell r="H82">
            <v>2575</v>
          </cell>
          <cell r="J82">
            <v>322</v>
          </cell>
          <cell r="K82">
            <v>365</v>
          </cell>
          <cell r="L82">
            <v>687</v>
          </cell>
          <cell r="M82">
            <v>0</v>
          </cell>
          <cell r="N82">
            <v>100</v>
          </cell>
          <cell r="O82">
            <v>100</v>
          </cell>
          <cell r="Q82">
            <v>9</v>
          </cell>
          <cell r="R82">
            <v>102</v>
          </cell>
          <cell r="S82">
            <v>111</v>
          </cell>
          <cell r="U82">
            <v>2249</v>
          </cell>
          <cell r="V82">
            <v>1937</v>
          </cell>
          <cell r="W82">
            <v>4186</v>
          </cell>
          <cell r="Y82">
            <v>1483</v>
          </cell>
          <cell r="Z82">
            <v>353</v>
          </cell>
          <cell r="AA82">
            <v>1836</v>
          </cell>
          <cell r="AC82">
            <v>0</v>
          </cell>
          <cell r="AD82">
            <v>0</v>
          </cell>
          <cell r="AE82">
            <v>0</v>
          </cell>
          <cell r="AG82">
            <v>14</v>
          </cell>
          <cell r="AH82">
            <v>74</v>
          </cell>
          <cell r="AI82">
            <v>88</v>
          </cell>
          <cell r="AK82">
            <v>1497</v>
          </cell>
          <cell r="AL82">
            <v>427</v>
          </cell>
          <cell r="AM82">
            <v>1924</v>
          </cell>
          <cell r="AO82" t="str">
            <v>Year</v>
          </cell>
          <cell r="AP82">
            <v>441</v>
          </cell>
          <cell r="AQ82">
            <v>475</v>
          </cell>
          <cell r="AR82">
            <v>916</v>
          </cell>
          <cell r="AT82">
            <v>774</v>
          </cell>
          <cell r="AU82">
            <v>267</v>
          </cell>
          <cell r="AV82">
            <v>1041</v>
          </cell>
          <cell r="AX82">
            <v>154</v>
          </cell>
          <cell r="AY82">
            <v>5</v>
          </cell>
          <cell r="AZ82">
            <v>159</v>
          </cell>
          <cell r="BB82">
            <v>152</v>
          </cell>
          <cell r="BC82">
            <v>554</v>
          </cell>
          <cell r="BD82">
            <v>706</v>
          </cell>
          <cell r="BF82">
            <v>1521</v>
          </cell>
          <cell r="BG82">
            <v>1301</v>
          </cell>
          <cell r="BH82">
            <v>2822</v>
          </cell>
          <cell r="BJ82">
            <v>12</v>
          </cell>
          <cell r="BK82">
            <v>190</v>
          </cell>
          <cell r="BL82">
            <v>202</v>
          </cell>
          <cell r="BM82">
            <v>0</v>
          </cell>
          <cell r="BN82">
            <v>0</v>
          </cell>
          <cell r="BO82">
            <v>29</v>
          </cell>
          <cell r="BP82">
            <v>29</v>
          </cell>
          <cell r="BQ82">
            <v>0</v>
          </cell>
          <cell r="BR82">
            <v>12</v>
          </cell>
          <cell r="BS82">
            <v>219</v>
          </cell>
          <cell r="BT82">
            <v>231</v>
          </cell>
          <cell r="BV82" t="str">
            <v>Year</v>
          </cell>
          <cell r="BW82">
            <v>655</v>
          </cell>
          <cell r="BX82">
            <v>133</v>
          </cell>
          <cell r="BY82">
            <v>788</v>
          </cell>
          <cell r="CA82">
            <v>411</v>
          </cell>
          <cell r="CB82">
            <v>4.6500000000000004</v>
          </cell>
          <cell r="CC82">
            <v>415.65</v>
          </cell>
          <cell r="CE82">
            <v>5</v>
          </cell>
          <cell r="CF82">
            <v>0.35000000000000009</v>
          </cell>
          <cell r="CG82">
            <v>5.35</v>
          </cell>
          <cell r="CI82">
            <v>416</v>
          </cell>
          <cell r="CJ82">
            <v>5</v>
          </cell>
          <cell r="CK82">
            <v>421</v>
          </cell>
          <cell r="CM82">
            <v>217</v>
          </cell>
          <cell r="CN82">
            <v>8</v>
          </cell>
          <cell r="CO82">
            <v>225</v>
          </cell>
          <cell r="CQ82">
            <v>23</v>
          </cell>
          <cell r="CR82">
            <v>26</v>
          </cell>
          <cell r="CS82">
            <v>49</v>
          </cell>
          <cell r="CU82">
            <v>240</v>
          </cell>
          <cell r="CV82">
            <v>34</v>
          </cell>
          <cell r="CW82">
            <v>274</v>
          </cell>
          <cell r="CY82">
            <v>-3</v>
          </cell>
          <cell r="CZ82">
            <v>212</v>
          </cell>
          <cell r="DA82">
            <v>209</v>
          </cell>
          <cell r="DC82" t="str">
            <v>Year</v>
          </cell>
          <cell r="DD82">
            <v>0</v>
          </cell>
          <cell r="DE82">
            <v>0</v>
          </cell>
          <cell r="DF82">
            <v>0</v>
          </cell>
          <cell r="DH82">
            <v>780</v>
          </cell>
          <cell r="DI82">
            <v>87</v>
          </cell>
          <cell r="DJ82">
            <v>867</v>
          </cell>
          <cell r="DL82">
            <v>7367</v>
          </cell>
          <cell r="DM82">
            <v>4355</v>
          </cell>
          <cell r="DN82">
            <v>11722</v>
          </cell>
          <cell r="DP82">
            <v>558</v>
          </cell>
          <cell r="DQ82">
            <v>756</v>
          </cell>
          <cell r="DR82">
            <v>1314</v>
          </cell>
          <cell r="DT82">
            <v>279</v>
          </cell>
          <cell r="DU82">
            <v>229</v>
          </cell>
          <cell r="DV82">
            <v>508</v>
          </cell>
          <cell r="DX82">
            <v>8204</v>
          </cell>
          <cell r="DY82">
            <v>5340</v>
          </cell>
          <cell r="DZ82">
            <v>13544</v>
          </cell>
        </row>
        <row r="84">
          <cell r="A84" t="str">
            <v xml:space="preserve">1999/98 </v>
          </cell>
          <cell r="AO84" t="str">
            <v xml:space="preserve">1999/98 </v>
          </cell>
          <cell r="BV84" t="str">
            <v xml:space="preserve">1999/98 </v>
          </cell>
          <cell r="DC84" t="str">
            <v xml:space="preserve">1999/98 </v>
          </cell>
        </row>
        <row r="85">
          <cell r="A85" t="str">
            <v xml:space="preserve"> 1QA</v>
          </cell>
          <cell r="B85">
            <v>-0.26943005181347146</v>
          </cell>
          <cell r="C85" t="str">
            <v>NM</v>
          </cell>
          <cell r="D85">
            <v>-0.26943005181347146</v>
          </cell>
          <cell r="F85">
            <v>0.21235521235521237</v>
          </cell>
          <cell r="G85">
            <v>0.26298701298701288</v>
          </cell>
          <cell r="H85">
            <v>0.23985890652557318</v>
          </cell>
          <cell r="J85">
            <v>0.13095238095238093</v>
          </cell>
          <cell r="K85">
            <v>0.16470588235294126</v>
          </cell>
          <cell r="L85">
            <v>0.14792899408284033</v>
          </cell>
          <cell r="N85">
            <v>1.9230769230769229</v>
          </cell>
          <cell r="O85">
            <v>1.9230769230769229</v>
          </cell>
          <cell r="Q85">
            <v>-0.5</v>
          </cell>
          <cell r="R85">
            <v>-7.999999999999996E-2</v>
          </cell>
          <cell r="S85">
            <v>-0.11111111111111116</v>
          </cell>
          <cell r="U85">
            <v>2.4163568773234223E-2</v>
          </cell>
          <cell r="V85">
            <v>0.27378190255220414</v>
          </cell>
          <cell r="W85">
            <v>0.1351909184726523</v>
          </cell>
          <cell r="Y85">
            <v>0.13910761154855633</v>
          </cell>
          <cell r="Z85">
            <v>0.17721518987341778</v>
          </cell>
          <cell r="AA85">
            <v>0.14565217391304341</v>
          </cell>
          <cell r="AC85" t="str">
            <v xml:space="preserve">  NM</v>
          </cell>
          <cell r="AD85" t="str">
            <v xml:space="preserve">  NM</v>
          </cell>
          <cell r="AE85" t="str">
            <v xml:space="preserve">  NM</v>
          </cell>
          <cell r="AG85">
            <v>-0.25</v>
          </cell>
          <cell r="AH85" t="str">
            <v>NM</v>
          </cell>
          <cell r="AI85">
            <v>0.625</v>
          </cell>
          <cell r="AK85">
            <v>0.13506493506493511</v>
          </cell>
          <cell r="AL85">
            <v>0.27472527472527464</v>
          </cell>
          <cell r="AM85">
            <v>0.16176470588235303</v>
          </cell>
          <cell r="AO85" t="str">
            <v xml:space="preserve"> 1QA</v>
          </cell>
          <cell r="AP85">
            <v>5.0847457627118731E-2</v>
          </cell>
          <cell r="AQ85">
            <v>9.0090090090090058E-2</v>
          </cell>
          <cell r="AR85">
            <v>6.9868995633187714E-2</v>
          </cell>
          <cell r="AT85">
            <v>0.48275862068965525</v>
          </cell>
          <cell r="AU85">
            <v>0.31081081081081074</v>
          </cell>
          <cell r="AV85">
            <v>0.44117647058823528</v>
          </cell>
          <cell r="AX85">
            <v>0.31707317073170738</v>
          </cell>
          <cell r="AY85" t="str">
            <v>NM</v>
          </cell>
          <cell r="AZ85">
            <v>0.51219512195121952</v>
          </cell>
          <cell r="BB85">
            <v>-7.1428571428571397E-2</v>
          </cell>
          <cell r="BC85">
            <v>8.6330935251798468E-2</v>
          </cell>
          <cell r="BD85">
            <v>4.9723756906077332E-2</v>
          </cell>
          <cell r="BF85">
            <v>0.29561200923787534</v>
          </cell>
          <cell r="BG85">
            <v>0.16358024691358031</v>
          </cell>
          <cell r="BH85">
            <v>0.23910171730515195</v>
          </cell>
          <cell r="BJ85">
            <v>-0.33333333333333337</v>
          </cell>
          <cell r="BK85">
            <v>-4.4444444444444398E-2</v>
          </cell>
          <cell r="BL85">
            <v>-6.25E-2</v>
          </cell>
          <cell r="BN85" t="str">
            <v xml:space="preserve">  NM</v>
          </cell>
          <cell r="BO85">
            <v>0.25</v>
          </cell>
          <cell r="BP85">
            <v>0.25</v>
          </cell>
          <cell r="BR85">
            <v>-0.33333333333333337</v>
          </cell>
          <cell r="BS85">
            <v>-2.0408163265306145E-2</v>
          </cell>
          <cell r="BT85">
            <v>-3.8461538461538436E-2</v>
          </cell>
          <cell r="BV85" t="str">
            <v xml:space="preserve"> 1QA</v>
          </cell>
          <cell r="BW85" t="str">
            <v xml:space="preserve">  NM</v>
          </cell>
          <cell r="BX85" t="str">
            <v xml:space="preserve">  NM</v>
          </cell>
          <cell r="BY85" t="str">
            <v xml:space="preserve">  NM</v>
          </cell>
          <cell r="CA85">
            <v>0.54320987654320985</v>
          </cell>
          <cell r="CB85">
            <v>0</v>
          </cell>
          <cell r="CC85">
            <v>0.53658536585365857</v>
          </cell>
          <cell r="CE85">
            <v>0</v>
          </cell>
          <cell r="CF85" t="str">
            <v xml:space="preserve">  NM</v>
          </cell>
          <cell r="CG85">
            <v>0</v>
          </cell>
          <cell r="CI85">
            <v>0.53012048192771077</v>
          </cell>
          <cell r="CJ85">
            <v>0</v>
          </cell>
          <cell r="CK85">
            <v>0.52380952380952372</v>
          </cell>
          <cell r="CM85">
            <v>0.14285714285714279</v>
          </cell>
          <cell r="CN85">
            <v>0.5</v>
          </cell>
          <cell r="CO85">
            <v>0.15517241379310343</v>
          </cell>
          <cell r="CQ85">
            <v>-0.33333333333333337</v>
          </cell>
          <cell r="CR85">
            <v>-0.2857142857142857</v>
          </cell>
          <cell r="CS85">
            <v>-0.30769230769230771</v>
          </cell>
          <cell r="CU85">
            <v>9.6774193548387011E-2</v>
          </cell>
          <cell r="CV85">
            <v>-0.11111111111111116</v>
          </cell>
          <cell r="CW85">
            <v>7.0422535211267512E-2</v>
          </cell>
          <cell r="CY85" t="str">
            <v xml:space="preserve">  NM</v>
          </cell>
          <cell r="CZ85">
            <v>-0.20895522388059706</v>
          </cell>
          <cell r="DA85">
            <v>-0.22058823529411764</v>
          </cell>
          <cell r="DC85" t="str">
            <v xml:space="preserve"> 1QA</v>
          </cell>
          <cell r="DD85" t="str">
            <v xml:space="preserve">    NM</v>
          </cell>
          <cell r="DE85" t="str">
            <v xml:space="preserve">    NM</v>
          </cell>
          <cell r="DF85" t="str">
            <v xml:space="preserve">    NM</v>
          </cell>
          <cell r="DH85">
            <v>1.5899280575539567</v>
          </cell>
          <cell r="DI85">
            <v>2.9090909090909092</v>
          </cell>
          <cell r="DJ85">
            <v>1.6866666666666665</v>
          </cell>
          <cell r="DL85">
            <v>0.37165450121654509</v>
          </cell>
          <cell r="DM85">
            <v>0.26042726347914558</v>
          </cell>
          <cell r="DN85">
            <v>0.3300342596117245</v>
          </cell>
          <cell r="DP85">
            <v>2.6315789473684292E-2</v>
          </cell>
          <cell r="DQ85">
            <v>-3.9772727272727293E-2</v>
          </cell>
          <cell r="DR85">
            <v>-1.379310344827589E-2</v>
          </cell>
          <cell r="DT85">
            <v>4.5977011494252817E-2</v>
          </cell>
          <cell r="DU85">
            <v>0.75</v>
          </cell>
          <cell r="DV85">
            <v>0.23529411764705888</v>
          </cell>
          <cell r="DX85">
            <v>0.33495934959349594</v>
          </cell>
          <cell r="DY85">
            <v>0.22921914357682627</v>
          </cell>
          <cell r="DZ85">
            <v>0.29347826086956519</v>
          </cell>
        </row>
        <row r="86">
          <cell r="A86" t="str">
            <v xml:space="preserve"> 2QA</v>
          </cell>
          <cell r="B86">
            <v>-0.27388535031847139</v>
          </cell>
          <cell r="C86" t="str">
            <v>NM</v>
          </cell>
          <cell r="D86">
            <v>-0.27388535031847139</v>
          </cell>
          <cell r="F86">
            <v>0.11785714285714288</v>
          </cell>
          <cell r="G86">
            <v>0.21005917159763321</v>
          </cell>
          <cell r="H86">
            <v>0.16828478964401294</v>
          </cell>
          <cell r="J86">
            <v>0.14492753623188404</v>
          </cell>
          <cell r="K86">
            <v>0.21111111111111103</v>
          </cell>
          <cell r="L86">
            <v>0.1823899371069182</v>
          </cell>
          <cell r="N86">
            <v>0.95454545454545459</v>
          </cell>
          <cell r="O86">
            <v>0.95454545454545459</v>
          </cell>
          <cell r="Q86">
            <v>-1</v>
          </cell>
          <cell r="R86">
            <v>0</v>
          </cell>
          <cell r="S86">
            <v>-7.407407407407407E-2</v>
          </cell>
          <cell r="U86">
            <v>-3.937007874015741E-3</v>
          </cell>
          <cell r="V86">
            <v>0.23368421052631572</v>
          </cell>
          <cell r="W86">
            <v>0.11088504577823</v>
          </cell>
          <cell r="Y86">
            <v>0.15705128205128216</v>
          </cell>
          <cell r="Z86">
            <v>0.16279069767441867</v>
          </cell>
          <cell r="AA86">
            <v>0.15829145728643224</v>
          </cell>
          <cell r="AC86" t="str">
            <v xml:space="preserve">  NM</v>
          </cell>
          <cell r="AD86" t="str">
            <v xml:space="preserve">  NM</v>
          </cell>
          <cell r="AE86" t="str">
            <v xml:space="preserve">  NM</v>
          </cell>
          <cell r="AG86">
            <v>-0.33333333333333337</v>
          </cell>
          <cell r="AH86">
            <v>0.75</v>
          </cell>
          <cell r="AI86">
            <v>0.57894736842105265</v>
          </cell>
          <cell r="AK86">
            <v>0.15238095238095228</v>
          </cell>
          <cell r="AL86">
            <v>0.25490196078431371</v>
          </cell>
          <cell r="AM86">
            <v>0.17745803357314149</v>
          </cell>
          <cell r="AO86" t="str">
            <v xml:space="preserve"> 2QA</v>
          </cell>
          <cell r="AP86">
            <v>0.10989010989010994</v>
          </cell>
          <cell r="AQ86">
            <v>5.8333333333333348E-2</v>
          </cell>
          <cell r="AR86">
            <v>8.0568720379146974E-2</v>
          </cell>
          <cell r="AT86">
            <v>0.47422680412371143</v>
          </cell>
          <cell r="AU86">
            <v>-3.0303030303030276E-2</v>
          </cell>
          <cell r="AV86">
            <v>0.26993865030674846</v>
          </cell>
          <cell r="AX86">
            <v>9.0909090909090828E-2</v>
          </cell>
          <cell r="AY86" t="str">
            <v>NM</v>
          </cell>
          <cell r="AZ86">
            <v>0.59090909090909083</v>
          </cell>
          <cell r="BB86">
            <v>3.3333333333333437E-2</v>
          </cell>
          <cell r="BC86">
            <v>-3.546099290780147E-2</v>
          </cell>
          <cell r="BD86">
            <v>-2.3391812865497075E-2</v>
          </cell>
          <cell r="BF86">
            <v>0.24583333333333335</v>
          </cell>
          <cell r="BG86">
            <v>3.3639143730886945E-2</v>
          </cell>
          <cell r="BH86">
            <v>0.12345679012345689</v>
          </cell>
          <cell r="BJ86">
            <v>-0.5</v>
          </cell>
          <cell r="BK86">
            <v>-8.333333333333337E-2</v>
          </cell>
          <cell r="BL86">
            <v>-9.9999999999999978E-2</v>
          </cell>
          <cell r="BN86" t="str">
            <v xml:space="preserve">  NM</v>
          </cell>
          <cell r="BO86">
            <v>0.25</v>
          </cell>
          <cell r="BP86">
            <v>0.25</v>
          </cell>
          <cell r="BR86">
            <v>-0.5</v>
          </cell>
          <cell r="BS86">
            <v>-3.5714285714285698E-2</v>
          </cell>
          <cell r="BT86">
            <v>-5.1724137931034475E-2</v>
          </cell>
          <cell r="BV86" t="str">
            <v xml:space="preserve"> 2QA</v>
          </cell>
          <cell r="BW86">
            <v>-0.5158924205378973</v>
          </cell>
          <cell r="BX86" t="str">
            <v xml:space="preserve">  NM</v>
          </cell>
          <cell r="BY86">
            <v>-0.24574209245742096</v>
          </cell>
          <cell r="CA86">
            <v>0.375</v>
          </cell>
          <cell r="CB86">
            <v>0</v>
          </cell>
          <cell r="CC86">
            <v>0.37142857142857144</v>
          </cell>
          <cell r="CE86">
            <v>1</v>
          </cell>
          <cell r="CF86" t="str">
            <v xml:space="preserve">  NM</v>
          </cell>
          <cell r="CG86">
            <v>1</v>
          </cell>
          <cell r="CI86">
            <v>0.38095238095238093</v>
          </cell>
          <cell r="CJ86">
            <v>0</v>
          </cell>
          <cell r="CK86">
            <v>0.37735849056603765</v>
          </cell>
          <cell r="CM86">
            <v>0.14583333333333326</v>
          </cell>
          <cell r="CN86">
            <v>0</v>
          </cell>
          <cell r="CO86">
            <v>0.1399999999999999</v>
          </cell>
          <cell r="CQ86">
            <v>-0.4</v>
          </cell>
          <cell r="CR86">
            <v>0</v>
          </cell>
          <cell r="CS86">
            <v>-0.18181818181818177</v>
          </cell>
          <cell r="CU86">
            <v>9.4339622641509413E-2</v>
          </cell>
          <cell r="CV86">
            <v>0</v>
          </cell>
          <cell r="CW86">
            <v>8.1967213114754189E-2</v>
          </cell>
          <cell r="CY86" t="str">
            <v xml:space="preserve">  NM</v>
          </cell>
          <cell r="CZ86">
            <v>-0.16666666666666663</v>
          </cell>
          <cell r="DA86">
            <v>-0.1428571428571429</v>
          </cell>
          <cell r="DC86" t="str">
            <v xml:space="preserve"> 2QA</v>
          </cell>
          <cell r="DD86" t="str">
            <v xml:space="preserve">    NM</v>
          </cell>
          <cell r="DE86" t="str">
            <v xml:space="preserve">    NM</v>
          </cell>
          <cell r="DF86" t="str">
            <v xml:space="preserve">    NM</v>
          </cell>
          <cell r="DH86">
            <v>1.3222222222222224</v>
          </cell>
          <cell r="DI86">
            <v>2.5</v>
          </cell>
          <cell r="DJ86">
            <v>1.4292929292929295</v>
          </cell>
          <cell r="DL86">
            <v>9.7628240485383433E-2</v>
          </cell>
          <cell r="DM86">
            <v>0.28254580520732886</v>
          </cell>
          <cell r="DN86">
            <v>0.16491228070175445</v>
          </cell>
          <cell r="DP86">
            <v>2.2556390977443552E-2</v>
          </cell>
          <cell r="DQ86">
            <v>-9.6256684491978661E-2</v>
          </cell>
          <cell r="DR86">
            <v>-4.6875E-2</v>
          </cell>
          <cell r="DT86">
            <v>6.6666666666666652E-2</v>
          </cell>
          <cell r="DU86">
            <v>0.10447761194029859</v>
          </cell>
          <cell r="DV86">
            <v>8.4507042253521236E-2</v>
          </cell>
          <cell r="DX86">
            <v>9.1538842157347755E-2</v>
          </cell>
          <cell r="DY86">
            <v>0.21843532145623556</v>
          </cell>
          <cell r="DZ86">
            <v>0.1410024154589371</v>
          </cell>
        </row>
        <row r="87">
          <cell r="A87" t="str">
            <v xml:space="preserve"> 3QA</v>
          </cell>
          <cell r="B87">
            <v>-0.34554973821989532</v>
          </cell>
          <cell r="C87" t="str">
            <v>NM</v>
          </cell>
          <cell r="D87">
            <v>-0.34554973821989532</v>
          </cell>
          <cell r="F87">
            <v>7.0175438596491224E-2</v>
          </cell>
          <cell r="G87">
            <v>0.28571428571428581</v>
          </cell>
          <cell r="H87">
            <v>0.17585692995529056</v>
          </cell>
          <cell r="J87">
            <v>5.7471264367816133E-2</v>
          </cell>
          <cell r="K87">
            <v>0.21839080459770122</v>
          </cell>
          <cell r="L87">
            <v>0.13793103448275867</v>
          </cell>
          <cell r="N87">
            <v>0.7407407407407407</v>
          </cell>
          <cell r="O87">
            <v>0.7407407407407407</v>
          </cell>
          <cell r="Q87">
            <v>-0.5</v>
          </cell>
          <cell r="R87">
            <v>-4.0000000000000036E-2</v>
          </cell>
          <cell r="S87">
            <v>-7.407407407407407E-2</v>
          </cell>
          <cell r="U87">
            <v>-6.1093247588424382E-2</v>
          </cell>
          <cell r="V87">
            <v>0.28205128205128216</v>
          </cell>
          <cell r="W87">
            <v>8.6238532110091803E-2</v>
          </cell>
          <cell r="Y87">
            <v>5.7071960297766733E-2</v>
          </cell>
          <cell r="Z87">
            <v>0.20930232558139528</v>
          </cell>
          <cell r="AA87">
            <v>8.3844580777096223E-2</v>
          </cell>
          <cell r="AC87" t="str">
            <v xml:space="preserve">  NM</v>
          </cell>
          <cell r="AD87" t="str">
            <v xml:space="preserve">  NM</v>
          </cell>
          <cell r="AE87" t="str">
            <v xml:space="preserve">  NM</v>
          </cell>
          <cell r="AG87">
            <v>-0.33333333333333337</v>
          </cell>
          <cell r="AH87">
            <v>0.39999999999999991</v>
          </cell>
          <cell r="AI87">
            <v>0.30434782608695654</v>
          </cell>
          <cell r="AK87">
            <v>5.4187192118226646E-2</v>
          </cell>
          <cell r="AL87">
            <v>0.24528301886792447</v>
          </cell>
          <cell r="AM87">
            <v>9.375E-2</v>
          </cell>
          <cell r="AO87" t="str">
            <v xml:space="preserve"> 3QA</v>
          </cell>
          <cell r="AP87">
            <v>4.4247787610619538E-2</v>
          </cell>
          <cell r="AQ87">
            <v>0.13913043478260878</v>
          </cell>
          <cell r="AR87">
            <v>9.210526315789469E-2</v>
          </cell>
          <cell r="AT87">
            <v>0.23404255319148937</v>
          </cell>
          <cell r="AU87">
            <v>3.8461538461538547E-2</v>
          </cell>
          <cell r="AV87">
            <v>0.18134715025906734</v>
          </cell>
          <cell r="AX87" t="str">
            <v>NM</v>
          </cell>
          <cell r="AY87" t="str">
            <v>NM</v>
          </cell>
          <cell r="AZ87" t="str">
            <v>NM</v>
          </cell>
          <cell r="BB87">
            <v>0.18918918918918926</v>
          </cell>
          <cell r="BC87">
            <v>6.2992125984252079E-2</v>
          </cell>
          <cell r="BD87">
            <v>9.1463414634146423E-2</v>
          </cell>
          <cell r="BF87">
            <v>-9.0361445783132543E-3</v>
          </cell>
          <cell r="BG87">
            <v>8.503401360544216E-2</v>
          </cell>
          <cell r="BH87">
            <v>3.514376996805102E-2</v>
          </cell>
          <cell r="BJ87">
            <v>-0.33333333333333337</v>
          </cell>
          <cell r="BK87">
            <v>-6.6666666666666652E-2</v>
          </cell>
          <cell r="BL87">
            <v>-8.333333333333337E-2</v>
          </cell>
          <cell r="BN87" t="str">
            <v xml:space="preserve">  NM</v>
          </cell>
          <cell r="BO87">
            <v>0.375</v>
          </cell>
          <cell r="BP87">
            <v>0.375</v>
          </cell>
          <cell r="BR87">
            <v>-0.33333333333333337</v>
          </cell>
          <cell r="BS87">
            <v>0</v>
          </cell>
          <cell r="BT87">
            <v>-1.7857142857142905E-2</v>
          </cell>
          <cell r="BV87" t="str">
            <v xml:space="preserve"> 3QA</v>
          </cell>
          <cell r="BW87">
            <v>0.39999999999999991</v>
          </cell>
          <cell r="BX87">
            <v>2.3846153846153846</v>
          </cell>
          <cell r="BY87">
            <v>0.76595744680851063</v>
          </cell>
          <cell r="CA87">
            <v>0.22881355932203395</v>
          </cell>
          <cell r="CB87">
            <v>-0.15151515151515149</v>
          </cell>
          <cell r="CC87">
            <v>0.22356874216464684</v>
          </cell>
          <cell r="CE87">
            <v>0</v>
          </cell>
          <cell r="CF87" t="str">
            <v xml:space="preserve">  NM</v>
          </cell>
          <cell r="CG87">
            <v>-0.2592592592592593</v>
          </cell>
          <cell r="CI87">
            <v>0.22689075630252109</v>
          </cell>
          <cell r="CJ87">
            <v>-0.30000000000000004</v>
          </cell>
          <cell r="CK87">
            <v>0.21818181818181825</v>
          </cell>
          <cell r="CM87">
            <v>0.1785714285714286</v>
          </cell>
          <cell r="CN87">
            <v>0.5</v>
          </cell>
          <cell r="CO87">
            <v>0.18965517241379315</v>
          </cell>
          <cell r="CQ87">
            <v>-0.33333333333333337</v>
          </cell>
          <cell r="CR87">
            <v>-0.16666666666666663</v>
          </cell>
          <cell r="CS87">
            <v>-0.25</v>
          </cell>
          <cell r="CU87">
            <v>0.12903225806451624</v>
          </cell>
          <cell r="CV87">
            <v>0</v>
          </cell>
          <cell r="CW87">
            <v>0.11428571428571432</v>
          </cell>
          <cell r="CY87">
            <v>-2</v>
          </cell>
          <cell r="CZ87">
            <v>-0.16086956521739137</v>
          </cell>
          <cell r="DA87">
            <v>-0.30800000000000016</v>
          </cell>
          <cell r="DC87" t="str">
            <v xml:space="preserve"> 3QA</v>
          </cell>
          <cell r="DD87" t="str">
            <v xml:space="preserve">    NM</v>
          </cell>
          <cell r="DE87" t="str">
            <v xml:space="preserve">    NM</v>
          </cell>
          <cell r="DF87" t="str">
            <v xml:space="preserve">    NM</v>
          </cell>
          <cell r="DH87">
            <v>1.5583756345177666</v>
          </cell>
          <cell r="DI87">
            <v>1.8260869565217392</v>
          </cell>
          <cell r="DJ87">
            <v>1.5863636363636364</v>
          </cell>
          <cell r="DL87">
            <v>0.19354838709677424</v>
          </cell>
          <cell r="DM87">
            <v>0.27192982456140347</v>
          </cell>
          <cell r="DN87">
            <v>0.22141372141372151</v>
          </cell>
          <cell r="DP87">
            <v>0.16129032258064524</v>
          </cell>
          <cell r="DQ87">
            <v>-4.8780487804878092E-2</v>
          </cell>
          <cell r="DR87">
            <v>5.3291536050156685E-2</v>
          </cell>
          <cell r="DT87">
            <v>0.10447761194029859</v>
          </cell>
          <cell r="DU87">
            <v>-1.7241379310344862E-2</v>
          </cell>
          <cell r="DV87">
            <v>4.8000000000000043E-2</v>
          </cell>
          <cell r="DX87">
            <v>0.1882804995196925</v>
          </cell>
          <cell r="DY87">
            <v>0.21634615384615374</v>
          </cell>
          <cell r="DZ87">
            <v>0.19879879879879869</v>
          </cell>
        </row>
        <row r="88">
          <cell r="A88" t="str">
            <v xml:space="preserve"> 4Q</v>
          </cell>
          <cell r="B88">
            <v>-0.17441860465116277</v>
          </cell>
          <cell r="C88" t="str">
            <v>NM</v>
          </cell>
          <cell r="D88">
            <v>-0.17441860465116277</v>
          </cell>
          <cell r="F88">
            <v>0.14814814814814814</v>
          </cell>
          <cell r="G88">
            <v>0.12658227848101267</v>
          </cell>
          <cell r="H88">
            <v>0.18</v>
          </cell>
          <cell r="J88">
            <v>0.14634146341463405</v>
          </cell>
          <cell r="K88">
            <v>0.17475728155339798</v>
          </cell>
          <cell r="L88">
            <v>0.16216216216216206</v>
          </cell>
          <cell r="N88">
            <v>0.60526315789473695</v>
          </cell>
          <cell r="O88">
            <v>0.60526315789473695</v>
          </cell>
          <cell r="Q88">
            <v>-0.66666666666666674</v>
          </cell>
          <cell r="R88">
            <v>-0.14814814814814814</v>
          </cell>
          <cell r="S88">
            <v>-0.19999999999999996</v>
          </cell>
          <cell r="U88">
            <v>4.8192771084337283E-2</v>
          </cell>
          <cell r="V88">
            <v>0.15452930728241565</v>
          </cell>
          <cell r="W88">
            <v>0.10052447552447563</v>
          </cell>
          <cell r="Y88">
            <v>6.9767441860465018E-2</v>
          </cell>
          <cell r="Z88">
            <v>9.8039215686274161E-3</v>
          </cell>
          <cell r="AA88">
            <v>5.7259713701431458E-2</v>
          </cell>
          <cell r="AC88" t="str">
            <v xml:space="preserve">  NM</v>
          </cell>
          <cell r="AD88" t="str">
            <v xml:space="preserve">  NM</v>
          </cell>
          <cell r="AE88" t="str">
            <v xml:space="preserve">  NM</v>
          </cell>
          <cell r="AG88">
            <v>-0.25</v>
          </cell>
          <cell r="AH88">
            <v>0.23076923076923084</v>
          </cell>
          <cell r="AI88">
            <v>0.16666666666666674</v>
          </cell>
          <cell r="AK88">
            <v>6.6496163682864484E-2</v>
          </cell>
          <cell r="AL88">
            <v>5.46875E-2</v>
          </cell>
          <cell r="AM88">
            <v>6.3583815028901647E-2</v>
          </cell>
          <cell r="AO88" t="str">
            <v xml:space="preserve"> 4Q</v>
          </cell>
          <cell r="AP88">
            <v>0.15126050420168058</v>
          </cell>
          <cell r="AQ88">
            <v>0.10077519379844957</v>
          </cell>
          <cell r="AR88">
            <v>0.125</v>
          </cell>
          <cell r="AT88">
            <v>0.26644736842105265</v>
          </cell>
          <cell r="AU88">
            <v>-2.6666666666666616E-2</v>
          </cell>
          <cell r="AV88">
            <v>0.20844327176780997</v>
          </cell>
          <cell r="AX88">
            <v>-0.9</v>
          </cell>
          <cell r="AY88" t="str">
            <v>NM</v>
          </cell>
          <cell r="AZ88">
            <v>-0.88181818181818183</v>
          </cell>
          <cell r="BB88">
            <v>-0.20930232558139539</v>
          </cell>
          <cell r="BC88">
            <v>-1.7006802721088454E-2</v>
          </cell>
          <cell r="BD88">
            <v>-6.052631578947365E-2</v>
          </cell>
          <cell r="BF88">
            <v>8.7209302325581328E-2</v>
          </cell>
          <cell r="BG88">
            <v>1.4044943820224809E-2</v>
          </cell>
          <cell r="BH88">
            <v>5.7339449541284448E-2</v>
          </cell>
          <cell r="BJ88">
            <v>-0.5</v>
          </cell>
          <cell r="BK88">
            <v>-0.17307692307692313</v>
          </cell>
          <cell r="BL88">
            <v>-0.1964285714285714</v>
          </cell>
          <cell r="BN88" t="str">
            <v xml:space="preserve">  NM</v>
          </cell>
          <cell r="BO88">
            <v>0.44444444444444442</v>
          </cell>
          <cell r="BP88">
            <v>0.44444444444444442</v>
          </cell>
          <cell r="BR88">
            <v>-0.5</v>
          </cell>
          <cell r="BS88">
            <v>-8.1967213114754078E-2</v>
          </cell>
          <cell r="BT88">
            <v>-0.10769230769230764</v>
          </cell>
          <cell r="BV88" t="str">
            <v xml:space="preserve"> 4Q</v>
          </cell>
          <cell r="BW88">
            <v>0.25190839694656497</v>
          </cell>
          <cell r="BX88">
            <v>0.11428571428571432</v>
          </cell>
          <cell r="BY88">
            <v>0.19067796610169485</v>
          </cell>
          <cell r="CA88">
            <v>0.25</v>
          </cell>
          <cell r="CB88">
            <v>0</v>
          </cell>
          <cell r="CC88">
            <v>0.24770642201834869</v>
          </cell>
          <cell r="CE88">
            <v>0</v>
          </cell>
          <cell r="CF88" t="str">
            <v xml:space="preserve">  NM</v>
          </cell>
          <cell r="CG88">
            <v>0</v>
          </cell>
          <cell r="CI88">
            <v>0.24770642201834869</v>
          </cell>
          <cell r="CJ88">
            <v>0</v>
          </cell>
          <cell r="CK88">
            <v>0.24545454545454537</v>
          </cell>
          <cell r="CM88">
            <v>0.12280701754385959</v>
          </cell>
          <cell r="CN88">
            <v>1</v>
          </cell>
          <cell r="CO88">
            <v>0.15254237288135597</v>
          </cell>
          <cell r="CQ88">
            <v>-0.16666666666666663</v>
          </cell>
          <cell r="CR88">
            <v>-0.4285714285714286</v>
          </cell>
          <cell r="CS88">
            <v>-0.30769230769230771</v>
          </cell>
          <cell r="CU88">
            <v>9.5238095238095344E-2</v>
          </cell>
          <cell r="CV88">
            <v>-0.11111111111111116</v>
          </cell>
          <cell r="CW88">
            <v>6.944444444444442E-2</v>
          </cell>
          <cell r="CY88">
            <v>-1.4444444444444444</v>
          </cell>
          <cell r="CZ88">
            <v>1.9607843137254832E-2</v>
          </cell>
          <cell r="DA88">
            <v>0.33333333333333326</v>
          </cell>
          <cell r="DC88" t="str">
            <v xml:space="preserve"> 4Q</v>
          </cell>
          <cell r="DD88" t="str">
            <v xml:space="preserve">    NM</v>
          </cell>
          <cell r="DE88" t="str">
            <v xml:space="preserve">    NM</v>
          </cell>
          <cell r="DF88" t="str">
            <v xml:space="preserve">    NM</v>
          </cell>
          <cell r="DH88">
            <v>1.0265151515151514</v>
          </cell>
          <cell r="DI88">
            <v>1.4</v>
          </cell>
          <cell r="DJ88">
            <v>1.0702341137123748</v>
          </cell>
          <cell r="DL88">
            <v>0.21804878048780485</v>
          </cell>
          <cell r="DM88">
            <v>0.11841100076394184</v>
          </cell>
          <cell r="DN88">
            <v>0.17922000595415311</v>
          </cell>
          <cell r="DP88">
            <v>0.3141025641025641</v>
          </cell>
          <cell r="DQ88">
            <v>-7.423580786026196E-2</v>
          </cell>
          <cell r="DR88">
            <v>8.3116883116883145E-2</v>
          </cell>
          <cell r="DT88">
            <v>2.0000000000000018E-2</v>
          </cell>
          <cell r="DU88">
            <v>6.944444444444442E-2</v>
          </cell>
          <cell r="DV88">
            <v>4.9180327868852514E-2</v>
          </cell>
          <cell r="DX88">
            <v>0.22030141843971629</v>
          </cell>
          <cell r="DY88">
            <v>8.8819875776397605E-2</v>
          </cell>
          <cell r="DZ88">
            <v>0.16554578375582008</v>
          </cell>
        </row>
        <row r="90">
          <cell r="A90" t="str">
            <v>Year</v>
          </cell>
          <cell r="B90">
            <v>-0.26788218793828888</v>
          </cell>
          <cell r="C90" t="str">
            <v>NM</v>
          </cell>
          <cell r="D90">
            <v>-0.26788218793828888</v>
          </cell>
          <cell r="F90">
            <v>0.13278008298755184</v>
          </cell>
          <cell r="G90">
            <v>0.21605839416058403</v>
          </cell>
          <cell r="H90">
            <v>0.17708737864077673</v>
          </cell>
          <cell r="I90" t="e">
            <v>#DIV/0!</v>
          </cell>
          <cell r="J90">
            <v>0.11801242236024834</v>
          </cell>
          <cell r="K90">
            <v>0.19178082191780832</v>
          </cell>
          <cell r="L90">
            <v>0.15720524017467241</v>
          </cell>
          <cell r="N90">
            <v>0.8899999999999999</v>
          </cell>
          <cell r="O90">
            <v>0.8899999999999999</v>
          </cell>
          <cell r="Q90">
            <v>-0.66666666666666674</v>
          </cell>
          <cell r="R90">
            <v>-6.8627450980392135E-2</v>
          </cell>
          <cell r="S90">
            <v>-0.11711711711711714</v>
          </cell>
          <cell r="U90">
            <v>4.4464206313921117E-4</v>
          </cell>
          <cell r="V90">
            <v>0.23128549303045953</v>
          </cell>
          <cell r="W90">
            <v>0.1072623029144768</v>
          </cell>
          <cell r="Y90">
            <v>0.10249494268374915</v>
          </cell>
          <cell r="Z90">
            <v>0.13314447592067991</v>
          </cell>
          <cell r="AA90">
            <v>0.10838779956427014</v>
          </cell>
          <cell r="AC90" t="str">
            <v>NM</v>
          </cell>
          <cell r="AD90" t="str">
            <v>NM</v>
          </cell>
          <cell r="AE90" t="str">
            <v>NM</v>
          </cell>
          <cell r="AG90">
            <v>-0.2857142857142857</v>
          </cell>
          <cell r="AH90">
            <v>0.5</v>
          </cell>
          <cell r="AI90">
            <v>0.375</v>
          </cell>
          <cell r="AK90">
            <v>9.8864395457581855E-2</v>
          </cell>
          <cell r="AL90">
            <v>0.19672131147540983</v>
          </cell>
          <cell r="AM90">
            <v>0.12058212058212048</v>
          </cell>
          <cell r="AO90" t="str">
            <v>Year</v>
          </cell>
          <cell r="AP90">
            <v>8.8435374149659962E-2</v>
          </cell>
          <cell r="AQ90">
            <v>9.6842105263157841E-2</v>
          </cell>
          <cell r="AR90">
            <v>9.2794759825327588E-2</v>
          </cell>
          <cell r="AT90">
            <v>0.35142118863049099</v>
          </cell>
          <cell r="AU90">
            <v>7.8651685393258397E-2</v>
          </cell>
          <cell r="AV90">
            <v>0.28146013448607099</v>
          </cell>
          <cell r="AW90" t="e">
            <v>#DIV/0!</v>
          </cell>
          <cell r="AX90">
            <v>-0.50649350649350655</v>
          </cell>
          <cell r="AY90" t="str">
            <v>NM</v>
          </cell>
          <cell r="AZ90">
            <v>-0.39937106918238996</v>
          </cell>
          <cell r="BB90">
            <v>-2.6315789473684181E-2</v>
          </cell>
          <cell r="BC90">
            <v>2.2563176895306958E-2</v>
          </cell>
          <cell r="BD90">
            <v>1.2039660056657242E-2</v>
          </cell>
          <cell r="BF90">
            <v>0.1505588428665352</v>
          </cell>
          <cell r="BG90">
            <v>7.2252113758647152E-2</v>
          </cell>
          <cell r="BH90">
            <v>0.1144578313253013</v>
          </cell>
          <cell r="BJ90">
            <v>-0.41666666666666663</v>
          </cell>
          <cell r="BK90">
            <v>-9.4736842105263119E-2</v>
          </cell>
          <cell r="BL90">
            <v>-0.11386138613861385</v>
          </cell>
          <cell r="BN90" t="str">
            <v xml:space="preserve">  NM</v>
          </cell>
          <cell r="BO90">
            <v>0.34482758620689657</v>
          </cell>
          <cell r="BP90">
            <v>0.34482758620689657</v>
          </cell>
          <cell r="BR90">
            <v>-0.41666666666666663</v>
          </cell>
          <cell r="BS90">
            <v>-3.6529680365296802E-2</v>
          </cell>
          <cell r="BT90">
            <v>-5.6277056277056259E-2</v>
          </cell>
          <cell r="BV90" t="str">
            <v>Year</v>
          </cell>
          <cell r="BW90">
            <v>2.5954198473282508E-2</v>
          </cell>
          <cell r="BX90">
            <v>1.7142857142857144</v>
          </cell>
          <cell r="BY90">
            <v>0.31091370558375631</v>
          </cell>
          <cell r="CA90">
            <v>0.33333333333333326</v>
          </cell>
          <cell r="CB90">
            <v>-5.3763440860215006E-2</v>
          </cell>
          <cell r="CC90">
            <v>0.32900276675087214</v>
          </cell>
          <cell r="CE90">
            <v>0.19999999999999996</v>
          </cell>
          <cell r="CF90" t="str">
            <v xml:space="preserve">  NM</v>
          </cell>
          <cell r="CG90">
            <v>0.12149532710280386</v>
          </cell>
          <cell r="CI90">
            <v>0.33173076923076916</v>
          </cell>
          <cell r="CJ90">
            <v>-0.11999999999999988</v>
          </cell>
          <cell r="CK90">
            <v>0.32636579572446545</v>
          </cell>
          <cell r="CM90">
            <v>0.14746543778801846</v>
          </cell>
          <cell r="CN90" t="str">
            <v xml:space="preserve">  NM</v>
          </cell>
          <cell r="CO90">
            <v>0.15999999999999992</v>
          </cell>
          <cell r="CQ90">
            <v>-0.30434782608695654</v>
          </cell>
          <cell r="CR90">
            <v>-0.23076923076923073</v>
          </cell>
          <cell r="CS90">
            <v>-0.26530612244897955</v>
          </cell>
          <cell r="CU90">
            <v>0.10416666666666674</v>
          </cell>
          <cell r="CV90">
            <v>-5.8823529411764719E-2</v>
          </cell>
          <cell r="CW90">
            <v>8.3941605839416011E-2</v>
          </cell>
          <cell r="CY90">
            <v>-1.6666666666666665</v>
          </cell>
          <cell r="CZ90">
            <v>-0.13396226415094348</v>
          </cell>
          <cell r="DA90">
            <v>-0.11196172248803826</v>
          </cell>
          <cell r="DC90" t="str">
            <v>Year</v>
          </cell>
          <cell r="DD90" t="str">
            <v xml:space="preserve">    NM</v>
          </cell>
          <cell r="DE90" t="str">
            <v xml:space="preserve">    NM</v>
          </cell>
          <cell r="DF90" t="str">
            <v xml:space="preserve">    NM</v>
          </cell>
          <cell r="DH90">
            <v>1.3294871794871796</v>
          </cell>
          <cell r="DI90">
            <v>1.9310344827586206</v>
          </cell>
          <cell r="DJ90">
            <v>1.3898500576701269</v>
          </cell>
          <cell r="DL90">
            <v>0.21650604045065824</v>
          </cell>
          <cell r="DM90">
            <v>0.22571756601607351</v>
          </cell>
          <cell r="DN90">
            <v>0.21992833987374172</v>
          </cell>
          <cell r="DP90">
            <v>0.14336917562724016</v>
          </cell>
          <cell r="DQ90">
            <v>-6.6137566137566162E-2</v>
          </cell>
          <cell r="DR90">
            <v>2.2831050228310446E-2</v>
          </cell>
          <cell r="DS90" t="e">
            <v>#DIV/0!</v>
          </cell>
          <cell r="DT90">
            <v>6.0931899641577081E-2</v>
          </cell>
          <cell r="DU90">
            <v>0.15283842794759828</v>
          </cell>
          <cell r="DV90">
            <v>0.10236220472440949</v>
          </cell>
          <cell r="DW90" t="e">
            <v>#DIV/0!</v>
          </cell>
          <cell r="DX90">
            <v>0.20624085811799131</v>
          </cell>
          <cell r="DY90">
            <v>0.18127340823970028</v>
          </cell>
          <cell r="DZ90">
            <v>0.19639692852923796</v>
          </cell>
        </row>
        <row r="92">
          <cell r="A92" t="str">
            <v>1999</v>
          </cell>
          <cell r="X92">
            <v>0</v>
          </cell>
          <cell r="AO92" t="str">
            <v>1999</v>
          </cell>
          <cell r="BE92">
            <v>0</v>
          </cell>
          <cell r="BI92">
            <v>0</v>
          </cell>
          <cell r="BV92" t="str">
            <v>1999</v>
          </cell>
          <cell r="CL92">
            <v>0</v>
          </cell>
          <cell r="CX92">
            <v>0</v>
          </cell>
          <cell r="DC92" t="str">
            <v>1999</v>
          </cell>
          <cell r="DK92">
            <v>0</v>
          </cell>
        </row>
        <row r="93">
          <cell r="A93" t="str">
            <v xml:space="preserve"> 1QA</v>
          </cell>
          <cell r="B93">
            <v>141</v>
          </cell>
          <cell r="C93">
            <v>0</v>
          </cell>
          <cell r="D93">
            <v>141</v>
          </cell>
          <cell r="E93">
            <v>0</v>
          </cell>
          <cell r="F93">
            <v>314</v>
          </cell>
          <cell r="G93">
            <v>389</v>
          </cell>
          <cell r="H93">
            <v>703</v>
          </cell>
          <cell r="I93">
            <v>0</v>
          </cell>
          <cell r="J93">
            <v>95</v>
          </cell>
          <cell r="K93">
            <v>99</v>
          </cell>
          <cell r="L93">
            <v>194</v>
          </cell>
          <cell r="M93">
            <v>0</v>
          </cell>
          <cell r="N93">
            <v>38</v>
          </cell>
          <cell r="O93">
            <v>38</v>
          </cell>
          <cell r="Q93">
            <v>1</v>
          </cell>
          <cell r="R93">
            <v>23</v>
          </cell>
          <cell r="S93">
            <v>24</v>
          </cell>
          <cell r="U93">
            <v>551</v>
          </cell>
          <cell r="V93">
            <v>549</v>
          </cell>
          <cell r="W93">
            <v>1100</v>
          </cell>
          <cell r="Y93">
            <v>434</v>
          </cell>
          <cell r="Z93">
            <v>93</v>
          </cell>
          <cell r="AA93">
            <v>527</v>
          </cell>
          <cell r="AC93">
            <v>0</v>
          </cell>
          <cell r="AD93">
            <v>0</v>
          </cell>
          <cell r="AE93">
            <v>0</v>
          </cell>
          <cell r="AG93">
            <v>3</v>
          </cell>
          <cell r="AH93">
            <v>23</v>
          </cell>
          <cell r="AI93">
            <v>26</v>
          </cell>
          <cell r="AK93">
            <v>437</v>
          </cell>
          <cell r="AL93">
            <v>116</v>
          </cell>
          <cell r="AM93">
            <v>553</v>
          </cell>
          <cell r="AO93" t="str">
            <v xml:space="preserve"> 1QA</v>
          </cell>
          <cell r="AP93">
            <v>124</v>
          </cell>
          <cell r="AQ93">
            <v>121</v>
          </cell>
          <cell r="AR93">
            <v>245</v>
          </cell>
          <cell r="AT93">
            <v>344</v>
          </cell>
          <cell r="AU93">
            <v>97</v>
          </cell>
          <cell r="AV93">
            <v>441</v>
          </cell>
          <cell r="AX93">
            <v>54</v>
          </cell>
          <cell r="AY93">
            <v>8</v>
          </cell>
          <cell r="AZ93">
            <v>62</v>
          </cell>
          <cell r="BB93">
            <v>39</v>
          </cell>
          <cell r="BC93">
            <v>151</v>
          </cell>
          <cell r="BD93">
            <v>190</v>
          </cell>
          <cell r="BF93">
            <v>561</v>
          </cell>
          <cell r="BG93">
            <v>377</v>
          </cell>
          <cell r="BH93">
            <v>938</v>
          </cell>
          <cell r="BJ93">
            <v>2</v>
          </cell>
          <cell r="BK93">
            <v>43</v>
          </cell>
          <cell r="BL93">
            <v>45</v>
          </cell>
          <cell r="BN93">
            <v>0</v>
          </cell>
          <cell r="BO93">
            <v>5</v>
          </cell>
          <cell r="BP93">
            <v>5</v>
          </cell>
          <cell r="BR93">
            <v>2</v>
          </cell>
          <cell r="BS93">
            <v>48</v>
          </cell>
          <cell r="BT93">
            <v>50</v>
          </cell>
          <cell r="BV93" t="str">
            <v xml:space="preserve"> 1QA</v>
          </cell>
          <cell r="BW93">
            <v>149</v>
          </cell>
          <cell r="BX93">
            <v>44</v>
          </cell>
          <cell r="BY93">
            <v>193</v>
          </cell>
          <cell r="CA93">
            <v>125</v>
          </cell>
          <cell r="CB93">
            <v>1</v>
          </cell>
          <cell r="CC93">
            <v>126</v>
          </cell>
          <cell r="CE93">
            <v>2</v>
          </cell>
          <cell r="CF93">
            <v>0</v>
          </cell>
          <cell r="CG93">
            <v>2</v>
          </cell>
          <cell r="CI93">
            <v>127</v>
          </cell>
          <cell r="CJ93">
            <v>1</v>
          </cell>
          <cell r="CK93">
            <v>128</v>
          </cell>
          <cell r="CM93">
            <v>64</v>
          </cell>
          <cell r="CN93">
            <v>3</v>
          </cell>
          <cell r="CO93">
            <v>67</v>
          </cell>
          <cell r="CQ93">
            <v>4</v>
          </cell>
          <cell r="CR93">
            <v>5</v>
          </cell>
          <cell r="CS93">
            <v>9</v>
          </cell>
          <cell r="CU93">
            <v>68</v>
          </cell>
          <cell r="CV93">
            <v>8</v>
          </cell>
          <cell r="CW93">
            <v>76</v>
          </cell>
          <cell r="CY93">
            <v>0</v>
          </cell>
          <cell r="CZ93">
            <v>53</v>
          </cell>
          <cell r="DA93">
            <v>53</v>
          </cell>
          <cell r="DC93" t="str">
            <v xml:space="preserve"> 1QA</v>
          </cell>
          <cell r="DD93">
            <v>0</v>
          </cell>
          <cell r="DE93">
            <v>0</v>
          </cell>
          <cell r="DF93">
            <v>0</v>
          </cell>
          <cell r="DH93">
            <v>360</v>
          </cell>
          <cell r="DI93">
            <v>43</v>
          </cell>
          <cell r="DJ93">
            <v>403</v>
          </cell>
          <cell r="DL93">
            <v>2255</v>
          </cell>
          <cell r="DM93">
            <v>1239</v>
          </cell>
          <cell r="DN93">
            <v>3494</v>
          </cell>
          <cell r="DP93">
            <v>117</v>
          </cell>
          <cell r="DQ93">
            <v>169</v>
          </cell>
          <cell r="DR93">
            <v>286</v>
          </cell>
          <cell r="DT93">
            <v>91</v>
          </cell>
          <cell r="DU93">
            <v>56</v>
          </cell>
          <cell r="DV93">
            <v>147</v>
          </cell>
          <cell r="DX93">
            <v>2463</v>
          </cell>
          <cell r="DY93">
            <v>1464</v>
          </cell>
          <cell r="DZ93">
            <v>3927</v>
          </cell>
        </row>
        <row r="94">
          <cell r="A94" t="str">
            <v xml:space="preserve"> 2QA</v>
          </cell>
          <cell r="B94">
            <v>114</v>
          </cell>
          <cell r="C94">
            <v>0</v>
          </cell>
          <cell r="D94">
            <v>114</v>
          </cell>
          <cell r="E94">
            <v>0</v>
          </cell>
          <cell r="F94">
            <v>313</v>
          </cell>
          <cell r="G94">
            <v>409</v>
          </cell>
          <cell r="H94">
            <v>722</v>
          </cell>
          <cell r="J94">
            <v>79</v>
          </cell>
          <cell r="K94">
            <v>109</v>
          </cell>
          <cell r="L94">
            <v>188</v>
          </cell>
          <cell r="M94">
            <v>0</v>
          </cell>
          <cell r="N94">
            <v>43</v>
          </cell>
          <cell r="O94">
            <v>43</v>
          </cell>
          <cell r="Q94">
            <v>0</v>
          </cell>
          <cell r="R94">
            <v>25</v>
          </cell>
          <cell r="S94">
            <v>25</v>
          </cell>
          <cell r="U94">
            <v>506</v>
          </cell>
          <cell r="V94">
            <v>586</v>
          </cell>
          <cell r="W94">
            <v>1092</v>
          </cell>
          <cell r="Y94">
            <v>361</v>
          </cell>
          <cell r="Z94">
            <v>100</v>
          </cell>
          <cell r="AA94">
            <v>461</v>
          </cell>
          <cell r="AC94">
            <v>0</v>
          </cell>
          <cell r="AD94">
            <v>0</v>
          </cell>
          <cell r="AE94">
            <v>0</v>
          </cell>
          <cell r="AG94">
            <v>2</v>
          </cell>
          <cell r="AH94">
            <v>28</v>
          </cell>
          <cell r="AI94">
            <v>30</v>
          </cell>
          <cell r="AK94">
            <v>363</v>
          </cell>
          <cell r="AL94">
            <v>128</v>
          </cell>
          <cell r="AM94">
            <v>491</v>
          </cell>
          <cell r="AO94" t="str">
            <v xml:space="preserve"> 2QA</v>
          </cell>
          <cell r="AP94">
            <v>101</v>
          </cell>
          <cell r="AQ94">
            <v>127</v>
          </cell>
          <cell r="AR94">
            <v>228</v>
          </cell>
          <cell r="AT94">
            <v>143</v>
          </cell>
          <cell r="AU94">
            <v>64</v>
          </cell>
          <cell r="AV94">
            <v>207</v>
          </cell>
          <cell r="AX94">
            <v>24</v>
          </cell>
          <cell r="AY94">
            <v>11</v>
          </cell>
          <cell r="AZ94">
            <v>35</v>
          </cell>
          <cell r="BB94">
            <v>31</v>
          </cell>
          <cell r="BC94">
            <v>136</v>
          </cell>
          <cell r="BD94">
            <v>167</v>
          </cell>
          <cell r="BF94">
            <v>299</v>
          </cell>
          <cell r="BG94">
            <v>338</v>
          </cell>
          <cell r="BH94">
            <v>637</v>
          </cell>
          <cell r="BJ94">
            <v>1</v>
          </cell>
          <cell r="BK94">
            <v>44</v>
          </cell>
          <cell r="BL94">
            <v>45</v>
          </cell>
          <cell r="BN94">
            <v>0</v>
          </cell>
          <cell r="BO94">
            <v>10</v>
          </cell>
          <cell r="BP94">
            <v>10</v>
          </cell>
          <cell r="BR94">
            <v>1</v>
          </cell>
          <cell r="BS94">
            <v>54</v>
          </cell>
          <cell r="BT94">
            <v>55</v>
          </cell>
          <cell r="BV94" t="str">
            <v xml:space="preserve"> 2QA</v>
          </cell>
          <cell r="BW94">
            <v>198</v>
          </cell>
          <cell r="BX94">
            <v>112</v>
          </cell>
          <cell r="BY94">
            <v>310</v>
          </cell>
          <cell r="CA94">
            <v>143</v>
          </cell>
          <cell r="CB94">
            <v>1</v>
          </cell>
          <cell r="CC94">
            <v>144</v>
          </cell>
          <cell r="CE94">
            <v>2</v>
          </cell>
          <cell r="CF94">
            <v>0</v>
          </cell>
          <cell r="CG94">
            <v>2</v>
          </cell>
          <cell r="CI94">
            <v>145</v>
          </cell>
          <cell r="CJ94">
            <v>1</v>
          </cell>
          <cell r="CK94">
            <v>146</v>
          </cell>
          <cell r="CM94">
            <v>55</v>
          </cell>
          <cell r="CN94">
            <v>2</v>
          </cell>
          <cell r="CO94">
            <v>57</v>
          </cell>
          <cell r="CQ94">
            <v>3</v>
          </cell>
          <cell r="CR94">
            <v>6</v>
          </cell>
          <cell r="CS94">
            <v>9</v>
          </cell>
          <cell r="CU94">
            <v>58</v>
          </cell>
          <cell r="CV94">
            <v>8</v>
          </cell>
          <cell r="CW94">
            <v>66</v>
          </cell>
          <cell r="CY94">
            <v>2</v>
          </cell>
          <cell r="CZ94">
            <v>40</v>
          </cell>
          <cell r="DA94">
            <v>42</v>
          </cell>
          <cell r="DC94" t="str">
            <v xml:space="preserve"> 2QA</v>
          </cell>
          <cell r="DD94">
            <v>0</v>
          </cell>
          <cell r="DE94">
            <v>0</v>
          </cell>
          <cell r="DF94">
            <v>0</v>
          </cell>
          <cell r="DH94">
            <v>418</v>
          </cell>
          <cell r="DI94">
            <v>63</v>
          </cell>
          <cell r="DJ94">
            <v>481</v>
          </cell>
          <cell r="DL94">
            <v>1990</v>
          </cell>
          <cell r="DM94">
            <v>1330</v>
          </cell>
          <cell r="DN94">
            <v>3320</v>
          </cell>
          <cell r="DP94">
            <v>136</v>
          </cell>
          <cell r="DQ94">
            <v>169</v>
          </cell>
          <cell r="DR94">
            <v>305</v>
          </cell>
          <cell r="DT94">
            <v>80</v>
          </cell>
          <cell r="DU94">
            <v>74</v>
          </cell>
          <cell r="DV94">
            <v>154</v>
          </cell>
          <cell r="DX94">
            <v>2206</v>
          </cell>
          <cell r="DY94">
            <v>1573</v>
          </cell>
          <cell r="DZ94">
            <v>3779</v>
          </cell>
        </row>
        <row r="95">
          <cell r="A95" t="str">
            <v xml:space="preserve"> 3QA</v>
          </cell>
          <cell r="B95">
            <v>125</v>
          </cell>
          <cell r="C95">
            <v>0</v>
          </cell>
          <cell r="D95">
            <v>125</v>
          </cell>
          <cell r="E95">
            <v>0</v>
          </cell>
          <cell r="F95">
            <v>366</v>
          </cell>
          <cell r="G95">
            <v>423</v>
          </cell>
          <cell r="H95">
            <v>789</v>
          </cell>
          <cell r="I95">
            <v>0</v>
          </cell>
          <cell r="J95">
            <v>92</v>
          </cell>
          <cell r="K95">
            <v>106</v>
          </cell>
          <cell r="L95">
            <v>198</v>
          </cell>
          <cell r="M95">
            <v>0</v>
          </cell>
          <cell r="N95">
            <v>47</v>
          </cell>
          <cell r="O95">
            <v>47</v>
          </cell>
          <cell r="Q95">
            <v>1</v>
          </cell>
          <cell r="R95">
            <v>24</v>
          </cell>
          <cell r="S95">
            <v>25</v>
          </cell>
          <cell r="U95">
            <v>584</v>
          </cell>
          <cell r="V95">
            <v>600</v>
          </cell>
          <cell r="W95">
            <v>1184</v>
          </cell>
          <cell r="Y95">
            <v>426</v>
          </cell>
          <cell r="Z95">
            <v>104</v>
          </cell>
          <cell r="AA95">
            <v>530</v>
          </cell>
          <cell r="AC95">
            <v>0</v>
          </cell>
          <cell r="AD95">
            <v>0</v>
          </cell>
          <cell r="AE95">
            <v>0</v>
          </cell>
          <cell r="AG95">
            <v>2</v>
          </cell>
          <cell r="AH95">
            <v>28</v>
          </cell>
          <cell r="AI95">
            <v>30</v>
          </cell>
          <cell r="AK95">
            <v>428</v>
          </cell>
          <cell r="AL95">
            <v>132</v>
          </cell>
          <cell r="AM95">
            <v>560</v>
          </cell>
          <cell r="AO95" t="str">
            <v xml:space="preserve"> 3QA</v>
          </cell>
          <cell r="AP95">
            <v>118</v>
          </cell>
          <cell r="AQ95">
            <v>131</v>
          </cell>
          <cell r="AR95">
            <v>249</v>
          </cell>
          <cell r="AT95">
            <v>174</v>
          </cell>
          <cell r="AU95">
            <v>54</v>
          </cell>
          <cell r="AV95">
            <v>228</v>
          </cell>
          <cell r="AX95">
            <v>-7</v>
          </cell>
          <cell r="AY95">
            <v>-1</v>
          </cell>
          <cell r="AZ95">
            <v>-8</v>
          </cell>
          <cell r="BB95">
            <v>44</v>
          </cell>
          <cell r="BC95">
            <v>135</v>
          </cell>
          <cell r="BD95">
            <v>179</v>
          </cell>
          <cell r="BF95">
            <v>329</v>
          </cell>
          <cell r="BG95">
            <v>319</v>
          </cell>
          <cell r="BH95">
            <v>648</v>
          </cell>
          <cell r="BJ95">
            <v>2</v>
          </cell>
          <cell r="BK95">
            <v>42</v>
          </cell>
          <cell r="BL95">
            <v>44</v>
          </cell>
          <cell r="BN95">
            <v>0</v>
          </cell>
          <cell r="BO95">
            <v>11</v>
          </cell>
          <cell r="BP95">
            <v>11</v>
          </cell>
          <cell r="BR95">
            <v>2</v>
          </cell>
          <cell r="BS95">
            <v>53</v>
          </cell>
          <cell r="BT95">
            <v>55</v>
          </cell>
          <cell r="BV95" t="str">
            <v xml:space="preserve"> 3QA</v>
          </cell>
          <cell r="BW95">
            <v>161</v>
          </cell>
          <cell r="BX95">
            <v>88</v>
          </cell>
          <cell r="BY95">
            <v>249</v>
          </cell>
          <cell r="CA95">
            <v>145</v>
          </cell>
          <cell r="CB95">
            <v>1.4</v>
          </cell>
          <cell r="CC95">
            <v>146.4</v>
          </cell>
          <cell r="CE95">
            <v>1</v>
          </cell>
          <cell r="CF95">
            <v>0</v>
          </cell>
          <cell r="CG95">
            <v>1</v>
          </cell>
          <cell r="CI95">
            <v>146</v>
          </cell>
          <cell r="CJ95">
            <v>1.4</v>
          </cell>
          <cell r="CK95">
            <v>147.4</v>
          </cell>
          <cell r="CM95">
            <v>66</v>
          </cell>
          <cell r="CN95">
            <v>3</v>
          </cell>
          <cell r="CO95">
            <v>69</v>
          </cell>
          <cell r="CQ95">
            <v>4</v>
          </cell>
          <cell r="CR95">
            <v>5</v>
          </cell>
          <cell r="CS95">
            <v>9</v>
          </cell>
          <cell r="CU95">
            <v>70</v>
          </cell>
          <cell r="CV95">
            <v>8</v>
          </cell>
          <cell r="CW95">
            <v>78</v>
          </cell>
          <cell r="CY95">
            <v>-4</v>
          </cell>
          <cell r="CZ95">
            <v>38.599999999999994</v>
          </cell>
          <cell r="DA95">
            <v>34.599999999999994</v>
          </cell>
          <cell r="DC95" t="str">
            <v xml:space="preserve"> 3QA</v>
          </cell>
          <cell r="DD95">
            <v>0</v>
          </cell>
          <cell r="DE95">
            <v>0</v>
          </cell>
          <cell r="DF95">
            <v>0</v>
          </cell>
          <cell r="DH95">
            <v>504</v>
          </cell>
          <cell r="DI95">
            <v>65</v>
          </cell>
          <cell r="DJ95">
            <v>569</v>
          </cell>
          <cell r="DL95">
            <v>2220</v>
          </cell>
          <cell r="DM95">
            <v>1305</v>
          </cell>
          <cell r="DN95">
            <v>3525</v>
          </cell>
          <cell r="DP95">
            <v>180</v>
          </cell>
          <cell r="DQ95">
            <v>156</v>
          </cell>
          <cell r="DR95">
            <v>336</v>
          </cell>
          <cell r="DT95">
            <v>74</v>
          </cell>
          <cell r="DU95">
            <v>57</v>
          </cell>
          <cell r="DV95">
            <v>131</v>
          </cell>
          <cell r="DX95">
            <v>2474</v>
          </cell>
          <cell r="DY95">
            <v>1518</v>
          </cell>
          <cell r="DZ95">
            <v>3992</v>
          </cell>
        </row>
        <row r="96">
          <cell r="A96" t="str">
            <v xml:space="preserve"> 4Q</v>
          </cell>
          <cell r="B96">
            <v>142</v>
          </cell>
          <cell r="C96">
            <v>0</v>
          </cell>
          <cell r="D96">
            <v>142</v>
          </cell>
          <cell r="E96">
            <v>0</v>
          </cell>
          <cell r="F96">
            <v>372</v>
          </cell>
          <cell r="G96">
            <v>445</v>
          </cell>
          <cell r="H96">
            <v>817</v>
          </cell>
          <cell r="I96">
            <v>0</v>
          </cell>
          <cell r="J96">
            <v>94</v>
          </cell>
          <cell r="K96">
            <v>121</v>
          </cell>
          <cell r="L96">
            <v>215</v>
          </cell>
          <cell r="M96">
            <v>0</v>
          </cell>
          <cell r="N96">
            <v>61</v>
          </cell>
          <cell r="O96">
            <v>61</v>
          </cell>
          <cell r="Q96">
            <v>1</v>
          </cell>
          <cell r="R96">
            <v>23</v>
          </cell>
          <cell r="S96">
            <v>24</v>
          </cell>
          <cell r="U96">
            <v>609</v>
          </cell>
          <cell r="V96">
            <v>650</v>
          </cell>
          <cell r="W96">
            <v>1259</v>
          </cell>
          <cell r="Y96">
            <v>414</v>
          </cell>
          <cell r="Z96">
            <v>103</v>
          </cell>
          <cell r="AA96">
            <v>517</v>
          </cell>
          <cell r="AC96">
            <v>0</v>
          </cell>
          <cell r="AD96">
            <v>0</v>
          </cell>
          <cell r="AE96">
            <v>0</v>
          </cell>
          <cell r="AG96">
            <v>3</v>
          </cell>
          <cell r="AH96">
            <v>32</v>
          </cell>
          <cell r="AI96">
            <v>35</v>
          </cell>
          <cell r="AK96">
            <v>417</v>
          </cell>
          <cell r="AL96">
            <v>135</v>
          </cell>
          <cell r="AM96">
            <v>552</v>
          </cell>
          <cell r="AO96" t="str">
            <v xml:space="preserve"> 4Q</v>
          </cell>
          <cell r="AP96">
            <v>137</v>
          </cell>
          <cell r="AQ96">
            <v>142</v>
          </cell>
          <cell r="AR96">
            <v>279</v>
          </cell>
          <cell r="AT96">
            <v>385</v>
          </cell>
          <cell r="AU96">
            <v>73</v>
          </cell>
          <cell r="AV96">
            <v>458</v>
          </cell>
          <cell r="AX96">
            <v>4.9999999999999991</v>
          </cell>
          <cell r="AY96">
            <v>1.5</v>
          </cell>
          <cell r="AZ96">
            <v>6.4999999999999991</v>
          </cell>
          <cell r="BB96">
            <v>34</v>
          </cell>
          <cell r="BC96">
            <v>144.5</v>
          </cell>
          <cell r="BD96">
            <v>178.5</v>
          </cell>
          <cell r="BF96">
            <v>561</v>
          </cell>
          <cell r="BG96">
            <v>361</v>
          </cell>
          <cell r="BH96">
            <v>922</v>
          </cell>
          <cell r="BJ96">
            <v>2</v>
          </cell>
          <cell r="BK96">
            <v>43</v>
          </cell>
          <cell r="BL96">
            <v>45</v>
          </cell>
          <cell r="BN96">
            <v>0</v>
          </cell>
          <cell r="BO96">
            <v>13</v>
          </cell>
          <cell r="BP96">
            <v>13</v>
          </cell>
          <cell r="BR96">
            <v>2</v>
          </cell>
          <cell r="BS96">
            <v>56</v>
          </cell>
          <cell r="BT96">
            <v>58</v>
          </cell>
          <cell r="BV96" t="str">
            <v xml:space="preserve"> 4Q</v>
          </cell>
          <cell r="BW96">
            <v>164</v>
          </cell>
          <cell r="BX96">
            <v>117</v>
          </cell>
          <cell r="BY96">
            <v>281</v>
          </cell>
          <cell r="CA96">
            <v>135</v>
          </cell>
          <cell r="CB96">
            <v>1</v>
          </cell>
          <cell r="CC96">
            <v>136</v>
          </cell>
          <cell r="CE96">
            <v>1</v>
          </cell>
          <cell r="CF96">
            <v>0</v>
          </cell>
          <cell r="CG96">
            <v>1</v>
          </cell>
          <cell r="CI96">
            <v>136</v>
          </cell>
          <cell r="CJ96">
            <v>1</v>
          </cell>
          <cell r="CK96">
            <v>137</v>
          </cell>
          <cell r="CM96">
            <v>64</v>
          </cell>
          <cell r="CN96">
            <v>4</v>
          </cell>
          <cell r="CO96">
            <v>68</v>
          </cell>
          <cell r="CQ96">
            <v>5</v>
          </cell>
          <cell r="CR96">
            <v>4</v>
          </cell>
          <cell r="CS96">
            <v>9</v>
          </cell>
          <cell r="CU96">
            <v>69</v>
          </cell>
          <cell r="CV96">
            <v>8</v>
          </cell>
          <cell r="CW96">
            <v>77</v>
          </cell>
          <cell r="CY96">
            <v>4</v>
          </cell>
          <cell r="CZ96">
            <v>52</v>
          </cell>
          <cell r="DA96">
            <v>56</v>
          </cell>
          <cell r="DC96" t="str">
            <v xml:space="preserve"> 4Q</v>
          </cell>
          <cell r="DD96">
            <v>0</v>
          </cell>
          <cell r="DE96">
            <v>0</v>
          </cell>
          <cell r="DF96">
            <v>0</v>
          </cell>
          <cell r="DH96">
            <v>535</v>
          </cell>
          <cell r="DI96">
            <v>84</v>
          </cell>
          <cell r="DJ96">
            <v>619</v>
          </cell>
          <cell r="DL96">
            <v>2497</v>
          </cell>
          <cell r="DM96">
            <v>1464</v>
          </cell>
          <cell r="DN96">
            <v>3961</v>
          </cell>
          <cell r="DP96">
            <v>205</v>
          </cell>
          <cell r="DQ96">
            <v>212</v>
          </cell>
          <cell r="DR96">
            <v>417</v>
          </cell>
          <cell r="DT96">
            <v>51</v>
          </cell>
          <cell r="DU96">
            <v>77</v>
          </cell>
          <cell r="DV96">
            <v>128</v>
          </cell>
          <cell r="DX96">
            <v>2753</v>
          </cell>
          <cell r="DY96">
            <v>1753</v>
          </cell>
          <cell r="DZ96">
            <v>4506</v>
          </cell>
        </row>
        <row r="98">
          <cell r="A98" t="str">
            <v>Year</v>
          </cell>
          <cell r="B98">
            <v>522</v>
          </cell>
          <cell r="C98">
            <v>0</v>
          </cell>
          <cell r="D98">
            <v>522</v>
          </cell>
          <cell r="F98">
            <v>1365</v>
          </cell>
          <cell r="G98">
            <v>1666</v>
          </cell>
          <cell r="H98">
            <v>3031</v>
          </cell>
          <cell r="J98">
            <v>360</v>
          </cell>
          <cell r="K98">
            <v>435</v>
          </cell>
          <cell r="L98">
            <v>795</v>
          </cell>
          <cell r="M98">
            <v>0</v>
          </cell>
          <cell r="N98">
            <v>189</v>
          </cell>
          <cell r="O98">
            <v>189</v>
          </cell>
          <cell r="Q98">
            <v>3</v>
          </cell>
          <cell r="R98">
            <v>95</v>
          </cell>
          <cell r="S98">
            <v>98</v>
          </cell>
          <cell r="U98">
            <v>2250</v>
          </cell>
          <cell r="V98">
            <v>2385</v>
          </cell>
          <cell r="W98">
            <v>4635</v>
          </cell>
          <cell r="Y98">
            <v>1635</v>
          </cell>
          <cell r="Z98">
            <v>400</v>
          </cell>
          <cell r="AA98">
            <v>2035</v>
          </cell>
          <cell r="AC98">
            <v>0</v>
          </cell>
          <cell r="AD98">
            <v>0</v>
          </cell>
          <cell r="AE98">
            <v>0</v>
          </cell>
          <cell r="AG98">
            <v>10</v>
          </cell>
          <cell r="AH98">
            <v>111</v>
          </cell>
          <cell r="AI98">
            <v>121</v>
          </cell>
          <cell r="AK98">
            <v>1645</v>
          </cell>
          <cell r="AL98">
            <v>511</v>
          </cell>
          <cell r="AM98">
            <v>2156</v>
          </cell>
          <cell r="AO98" t="str">
            <v>Year</v>
          </cell>
          <cell r="AP98">
            <v>480</v>
          </cell>
          <cell r="AQ98">
            <v>521</v>
          </cell>
          <cell r="AR98">
            <v>1001</v>
          </cell>
          <cell r="AT98">
            <v>1046</v>
          </cell>
          <cell r="AU98">
            <v>288</v>
          </cell>
          <cell r="AV98">
            <v>1334</v>
          </cell>
          <cell r="AX98">
            <v>76</v>
          </cell>
          <cell r="AY98">
            <v>19.5</v>
          </cell>
          <cell r="AZ98">
            <v>95.5</v>
          </cell>
          <cell r="BB98">
            <v>148</v>
          </cell>
          <cell r="BC98">
            <v>566.5</v>
          </cell>
          <cell r="BD98">
            <v>714.5</v>
          </cell>
          <cell r="BF98">
            <v>1750</v>
          </cell>
          <cell r="BG98">
            <v>1395</v>
          </cell>
          <cell r="BH98">
            <v>3145</v>
          </cell>
          <cell r="BJ98">
            <v>7</v>
          </cell>
          <cell r="BK98">
            <v>172</v>
          </cell>
          <cell r="BL98">
            <v>179</v>
          </cell>
          <cell r="BM98">
            <v>0</v>
          </cell>
          <cell r="BN98">
            <v>0</v>
          </cell>
          <cell r="BO98">
            <v>39</v>
          </cell>
          <cell r="BP98">
            <v>39</v>
          </cell>
          <cell r="BQ98">
            <v>0</v>
          </cell>
          <cell r="BR98">
            <v>7</v>
          </cell>
          <cell r="BS98">
            <v>211</v>
          </cell>
          <cell r="BT98">
            <v>218</v>
          </cell>
          <cell r="BV98" t="str">
            <v>Year</v>
          </cell>
          <cell r="BW98">
            <v>672</v>
          </cell>
          <cell r="BX98">
            <v>361</v>
          </cell>
          <cell r="BY98">
            <v>1033</v>
          </cell>
          <cell r="CA98">
            <v>548</v>
          </cell>
          <cell r="CB98">
            <v>4.4000000000000004</v>
          </cell>
          <cell r="CC98">
            <v>552.4</v>
          </cell>
          <cell r="CE98">
            <v>6</v>
          </cell>
          <cell r="CF98">
            <v>0</v>
          </cell>
          <cell r="CG98">
            <v>6</v>
          </cell>
          <cell r="CI98">
            <v>554</v>
          </cell>
          <cell r="CJ98">
            <v>4.4000000000000004</v>
          </cell>
          <cell r="CK98">
            <v>558.4</v>
          </cell>
          <cell r="CM98">
            <v>249</v>
          </cell>
          <cell r="CN98">
            <v>12</v>
          </cell>
          <cell r="CO98">
            <v>261</v>
          </cell>
          <cell r="CQ98">
            <v>16</v>
          </cell>
          <cell r="CR98">
            <v>20</v>
          </cell>
          <cell r="CS98">
            <v>36</v>
          </cell>
          <cell r="CU98">
            <v>265</v>
          </cell>
          <cell r="CV98">
            <v>32</v>
          </cell>
          <cell r="CW98">
            <v>297</v>
          </cell>
          <cell r="CY98">
            <v>2</v>
          </cell>
          <cell r="CZ98">
            <v>183.6</v>
          </cell>
          <cell r="DA98">
            <v>185.6</v>
          </cell>
          <cell r="DC98" t="str">
            <v>Year</v>
          </cell>
          <cell r="DD98">
            <v>0</v>
          </cell>
          <cell r="DE98">
            <v>0</v>
          </cell>
          <cell r="DF98">
            <v>0</v>
          </cell>
          <cell r="DH98">
            <v>1817</v>
          </cell>
          <cell r="DI98">
            <v>255</v>
          </cell>
          <cell r="DJ98">
            <v>2072</v>
          </cell>
          <cell r="DL98">
            <v>8962</v>
          </cell>
          <cell r="DM98">
            <v>5338</v>
          </cell>
          <cell r="DN98">
            <v>14300</v>
          </cell>
          <cell r="DP98">
            <v>638</v>
          </cell>
          <cell r="DQ98">
            <v>706</v>
          </cell>
          <cell r="DR98">
            <v>1344</v>
          </cell>
          <cell r="DT98">
            <v>296</v>
          </cell>
          <cell r="DU98">
            <v>264</v>
          </cell>
          <cell r="DV98">
            <v>560</v>
          </cell>
          <cell r="DX98">
            <v>9896</v>
          </cell>
          <cell r="DY98">
            <v>6308</v>
          </cell>
          <cell r="DZ98">
            <v>16204</v>
          </cell>
        </row>
        <row r="100">
          <cell r="A100" t="str">
            <v>2000E</v>
          </cell>
          <cell r="AO100" t="str">
            <v>2000E</v>
          </cell>
          <cell r="BV100" t="str">
            <v>2000E</v>
          </cell>
          <cell r="DC100" t="str">
            <v>2000E</v>
          </cell>
        </row>
        <row r="101">
          <cell r="A101" t="str">
            <v xml:space="preserve"> 1QA</v>
          </cell>
          <cell r="B101">
            <v>-0.21985815602836878</v>
          </cell>
          <cell r="C101">
            <v>0</v>
          </cell>
          <cell r="D101">
            <v>-0.21985815602836878</v>
          </cell>
          <cell r="F101">
            <v>0.12738853503184711</v>
          </cell>
          <cell r="G101">
            <v>0.12596401028277637</v>
          </cell>
          <cell r="H101">
            <v>0.12660028449502136</v>
          </cell>
          <cell r="J101">
            <v>-5.2631578947368474E-2</v>
          </cell>
          <cell r="K101">
            <v>0.1515151515151516</v>
          </cell>
          <cell r="L101">
            <v>5.1546391752577359E-2</v>
          </cell>
          <cell r="M101">
            <v>0</v>
          </cell>
          <cell r="N101">
            <v>0.42105263157894735</v>
          </cell>
          <cell r="O101">
            <v>0.42105263157894735</v>
          </cell>
          <cell r="Q101">
            <v>0</v>
          </cell>
          <cell r="R101">
            <v>-8.6956521739130488E-2</v>
          </cell>
          <cell r="S101">
            <v>-8.333333333333337E-2</v>
          </cell>
          <cell r="U101">
            <v>7.2595281306715442E-3</v>
          </cell>
          <cell r="V101">
            <v>0.14207650273224037</v>
          </cell>
          <cell r="W101">
            <v>7.454545454545447E-2</v>
          </cell>
          <cell r="Y101">
            <v>-1.3824884792626779E-2</v>
          </cell>
          <cell r="Z101">
            <v>2.1505376344086002E-2</v>
          </cell>
          <cell r="AA101">
            <v>-7.5901328273244584E-3</v>
          </cell>
          <cell r="AG101">
            <v>0</v>
          </cell>
          <cell r="AH101">
            <v>0.30434782608695654</v>
          </cell>
          <cell r="AI101">
            <v>0.26923076923076916</v>
          </cell>
          <cell r="AK101">
            <v>-1.3729977116704761E-2</v>
          </cell>
          <cell r="AL101">
            <v>7.7586206896551824E-2</v>
          </cell>
          <cell r="AM101">
            <v>5.4249547920433017E-3</v>
          </cell>
          <cell r="AO101" t="str">
            <v xml:space="preserve"> 1QA</v>
          </cell>
          <cell r="AP101">
            <v>-1.6129032258064502E-2</v>
          </cell>
          <cell r="AQ101">
            <v>3.3057851239669311E-2</v>
          </cell>
          <cell r="AR101">
            <v>8.1632653061225469E-3</v>
          </cell>
          <cell r="AT101">
            <v>-4.9418604651162767E-2</v>
          </cell>
          <cell r="AU101">
            <v>-5.1546391752577359E-2</v>
          </cell>
          <cell r="AV101">
            <v>-4.9886621315192725E-2</v>
          </cell>
          <cell r="AX101">
            <v>-1.0185185185185186</v>
          </cell>
          <cell r="AY101">
            <v>-1.125</v>
          </cell>
          <cell r="AZ101">
            <v>-1.032258064516129</v>
          </cell>
          <cell r="BB101">
            <v>-7.6923076923076872E-2</v>
          </cell>
          <cell r="BC101">
            <v>-6.6225165562914245E-3</v>
          </cell>
          <cell r="BD101">
            <v>-2.1052631578947323E-2</v>
          </cell>
          <cell r="BF101">
            <v>-0.13725490196078427</v>
          </cell>
          <cell r="BG101">
            <v>-2.917771883289122E-2</v>
          </cell>
          <cell r="BH101">
            <v>-9.3816631130063999E-2</v>
          </cell>
          <cell r="BJ101">
            <v>0</v>
          </cell>
          <cell r="BK101">
            <v>-0.20930232558139539</v>
          </cell>
          <cell r="BL101">
            <v>-0.19999999999999996</v>
          </cell>
          <cell r="BN101">
            <v>0</v>
          </cell>
          <cell r="BO101">
            <v>2.4</v>
          </cell>
          <cell r="BP101">
            <v>2.4</v>
          </cell>
          <cell r="BR101">
            <v>0</v>
          </cell>
          <cell r="BS101">
            <v>6.25E-2</v>
          </cell>
          <cell r="BT101">
            <v>6.0000000000000053E-2</v>
          </cell>
          <cell r="BV101" t="str">
            <v xml:space="preserve"> 1QA</v>
          </cell>
          <cell r="BW101">
            <v>0.52348993288590595</v>
          </cell>
          <cell r="BX101">
            <v>1.4090909090909092</v>
          </cell>
          <cell r="BY101">
            <v>0.72538860103626934</v>
          </cell>
          <cell r="CA101">
            <v>0.20799999999999996</v>
          </cell>
          <cell r="CB101" t="str">
            <v>NA</v>
          </cell>
          <cell r="CC101">
            <v>0.19841269841269837</v>
          </cell>
          <cell r="CE101">
            <v>-0.5</v>
          </cell>
          <cell r="CF101">
            <v>0</v>
          </cell>
          <cell r="CG101">
            <v>-0.5</v>
          </cell>
          <cell r="CI101">
            <v>0.1968503937007875</v>
          </cell>
          <cell r="CJ101">
            <v>-1</v>
          </cell>
          <cell r="CK101">
            <v>0.1875</v>
          </cell>
          <cell r="CM101">
            <v>-1.5625E-2</v>
          </cell>
          <cell r="CN101">
            <v>0.33333333333333326</v>
          </cell>
          <cell r="CO101">
            <v>0</v>
          </cell>
          <cell r="CQ101">
            <v>0</v>
          </cell>
          <cell r="CR101">
            <v>-0.19999999999999996</v>
          </cell>
          <cell r="CS101">
            <v>-0.11111111111111116</v>
          </cell>
          <cell r="CU101">
            <v>-1.4705882352941124E-2</v>
          </cell>
          <cell r="CV101">
            <v>0</v>
          </cell>
          <cell r="CW101">
            <v>-1.3157894736842146E-2</v>
          </cell>
          <cell r="CY101" t="str">
            <v>NA</v>
          </cell>
          <cell r="CZ101">
            <v>-0.15094339622641506</v>
          </cell>
          <cell r="DA101">
            <v>-0.22641509433962259</v>
          </cell>
          <cell r="DC101" t="str">
            <v xml:space="preserve"> 1QA</v>
          </cell>
          <cell r="DH101">
            <v>0.62777777777777777</v>
          </cell>
          <cell r="DI101">
            <v>0.83720930232558133</v>
          </cell>
          <cell r="DJ101">
            <v>0.65012406947890811</v>
          </cell>
          <cell r="DL101">
            <v>0.10864745011086474</v>
          </cell>
          <cell r="DM101">
            <v>0.13559322033898313</v>
          </cell>
          <cell r="DN101">
            <v>0.118202633085289</v>
          </cell>
          <cell r="DP101">
            <v>0</v>
          </cell>
          <cell r="DQ101">
            <v>-0.10650887573964496</v>
          </cell>
          <cell r="DR101">
            <v>-6.2937062937062915E-2</v>
          </cell>
          <cell r="DT101">
            <v>-6.5934065934065922E-2</v>
          </cell>
          <cell r="DU101">
            <v>-1.7857142857142905E-2</v>
          </cell>
          <cell r="DV101">
            <v>-4.7619047619047672E-2</v>
          </cell>
          <cell r="DX101">
            <v>9.7036134794965534E-2</v>
          </cell>
          <cell r="DY101">
            <v>0.10177595628415292</v>
          </cell>
          <cell r="DZ101">
            <v>9.880315762668701E-2</v>
          </cell>
        </row>
        <row r="102">
          <cell r="A102" t="str">
            <v xml:space="preserve"> 2QE</v>
          </cell>
          <cell r="B102">
            <v>-0.19</v>
          </cell>
          <cell r="C102">
            <v>0</v>
          </cell>
          <cell r="D102">
            <v>-0.18999999999999995</v>
          </cell>
          <cell r="F102">
            <v>0.12</v>
          </cell>
          <cell r="G102">
            <v>0.1</v>
          </cell>
          <cell r="H102">
            <v>0.10867036011080344</v>
          </cell>
          <cell r="J102">
            <v>7.0000000000000007E-2</v>
          </cell>
          <cell r="K102">
            <v>0.03</v>
          </cell>
          <cell r="L102">
            <v>4.6808510638297829E-2</v>
          </cell>
          <cell r="M102">
            <v>0</v>
          </cell>
          <cell r="N102">
            <v>0.65</v>
          </cell>
          <cell r="O102">
            <v>0.65000000000000013</v>
          </cell>
          <cell r="Q102">
            <v>0</v>
          </cell>
          <cell r="R102">
            <v>-0.6</v>
          </cell>
          <cell r="S102">
            <v>-0.6</v>
          </cell>
          <cell r="U102">
            <v>4.2351778656126715E-2</v>
          </cell>
          <cell r="V102">
            <v>9.7474402730375553E-2</v>
          </cell>
          <cell r="W102">
            <v>7.1932234432234621E-2</v>
          </cell>
          <cell r="Y102">
            <v>0.15</v>
          </cell>
          <cell r="Z102">
            <v>0.16</v>
          </cell>
          <cell r="AA102">
            <v>0.152169197396963</v>
          </cell>
          <cell r="AG102">
            <v>2</v>
          </cell>
          <cell r="AH102">
            <v>0.17</v>
          </cell>
          <cell r="AI102">
            <v>0.29200000000000004</v>
          </cell>
          <cell r="AK102">
            <v>0.16019283746556479</v>
          </cell>
          <cell r="AL102">
            <v>0.16218749999999993</v>
          </cell>
          <cell r="AM102">
            <v>0.1607128309572301</v>
          </cell>
          <cell r="AO102" t="str">
            <v xml:space="preserve"> 2QE</v>
          </cell>
          <cell r="AP102">
            <v>0.05</v>
          </cell>
          <cell r="AQ102">
            <v>0.03</v>
          </cell>
          <cell r="AR102">
            <v>3.8859649122807038E-2</v>
          </cell>
          <cell r="AT102">
            <v>0.16</v>
          </cell>
          <cell r="AU102">
            <v>0.15</v>
          </cell>
          <cell r="AV102">
            <v>0.15690821256038645</v>
          </cell>
          <cell r="AX102">
            <v>-0.85</v>
          </cell>
          <cell r="AY102">
            <v>-0.8</v>
          </cell>
          <cell r="AZ102">
            <v>-0.8342857142857143</v>
          </cell>
          <cell r="BB102">
            <v>-0.05</v>
          </cell>
          <cell r="BC102">
            <v>-0.05</v>
          </cell>
          <cell r="BD102">
            <v>-5.0000000000000155E-2</v>
          </cell>
          <cell r="BF102">
            <v>2.0000000000000018E-2</v>
          </cell>
          <cell r="BG102">
            <v>-6.4792899408285809E-3</v>
          </cell>
          <cell r="BH102">
            <v>5.9497645211930017E-3</v>
          </cell>
          <cell r="BJ102">
            <v>-0.06</v>
          </cell>
          <cell r="BK102">
            <v>-0.11</v>
          </cell>
          <cell r="BL102">
            <v>-0.10888888888888881</v>
          </cell>
          <cell r="BN102">
            <v>0</v>
          </cell>
          <cell r="BO102">
            <v>-0.74</v>
          </cell>
          <cell r="BP102">
            <v>-0.74</v>
          </cell>
          <cell r="BR102">
            <v>-6.0000000000000053E-2</v>
          </cell>
          <cell r="BS102">
            <v>-0.22666666666666657</v>
          </cell>
          <cell r="BT102">
            <v>-0.22363636363636363</v>
          </cell>
          <cell r="BV102" t="str">
            <v xml:space="preserve"> 2QE</v>
          </cell>
          <cell r="BW102">
            <v>0.1</v>
          </cell>
          <cell r="BX102">
            <v>0.12</v>
          </cell>
          <cell r="BY102">
            <v>0.10722580645161295</v>
          </cell>
          <cell r="CA102">
            <v>0.2</v>
          </cell>
          <cell r="CB102">
            <v>0.18</v>
          </cell>
          <cell r="CC102">
            <v>0.19986111111111104</v>
          </cell>
          <cell r="CE102">
            <v>0</v>
          </cell>
          <cell r="CF102">
            <v>0</v>
          </cell>
          <cell r="CG102">
            <v>0</v>
          </cell>
          <cell r="CI102">
            <v>0.19724137931034469</v>
          </cell>
          <cell r="CJ102">
            <v>0.17999999999999994</v>
          </cell>
          <cell r="CK102">
            <v>0.19712328767123299</v>
          </cell>
          <cell r="CM102">
            <v>0.1</v>
          </cell>
          <cell r="CN102">
            <v>0.03</v>
          </cell>
          <cell r="CO102">
            <v>9.7543859649122933E-2</v>
          </cell>
          <cell r="CQ102">
            <v>0</v>
          </cell>
          <cell r="CR102">
            <v>0</v>
          </cell>
          <cell r="CS102">
            <v>0</v>
          </cell>
          <cell r="CU102">
            <v>9.4827586206896575E-2</v>
          </cell>
          <cell r="CV102">
            <v>7.5000000000000622E-3</v>
          </cell>
          <cell r="CW102">
            <v>8.424242424242423E-2</v>
          </cell>
          <cell r="CY102">
            <v>5</v>
          </cell>
          <cell r="CZ102">
            <v>0.05</v>
          </cell>
          <cell r="DA102">
            <v>0.28571428571428581</v>
          </cell>
          <cell r="DC102" t="str">
            <v xml:space="preserve"> 2QE</v>
          </cell>
          <cell r="DH102">
            <v>0.5</v>
          </cell>
          <cell r="DI102">
            <v>0.9</v>
          </cell>
          <cell r="DJ102">
            <v>0.55171077962577986</v>
          </cell>
          <cell r="DL102">
            <v>0.18010050251256282</v>
          </cell>
          <cell r="DM102">
            <v>0.1021278195488724</v>
          </cell>
          <cell r="DN102">
            <v>0.1488644578313254</v>
          </cell>
          <cell r="DP102">
            <v>0.14000000000000001</v>
          </cell>
          <cell r="DQ102">
            <v>0.04</v>
          </cell>
          <cell r="DR102">
            <v>8.4590163934426421E-2</v>
          </cell>
          <cell r="DT102">
            <v>0.04</v>
          </cell>
          <cell r="DU102">
            <v>0.04</v>
          </cell>
          <cell r="DV102">
            <v>4.0000000000000258E-2</v>
          </cell>
          <cell r="DX102">
            <v>0.17254759746146875</v>
          </cell>
          <cell r="DY102">
            <v>9.2530197075651799E-2</v>
          </cell>
          <cell r="DZ102">
            <v>0.13924053982535067</v>
          </cell>
        </row>
        <row r="103">
          <cell r="A103" t="str">
            <v xml:space="preserve"> 3QE</v>
          </cell>
          <cell r="B103">
            <v>-0.21</v>
          </cell>
          <cell r="C103">
            <v>0</v>
          </cell>
          <cell r="D103">
            <v>-0.20999999999999996</v>
          </cell>
          <cell r="F103">
            <v>0.11</v>
          </cell>
          <cell r="G103">
            <v>0.13</v>
          </cell>
          <cell r="H103">
            <v>0.12072243346007605</v>
          </cell>
          <cell r="J103">
            <v>0.04</v>
          </cell>
          <cell r="K103">
            <v>0.02</v>
          </cell>
          <cell r="L103">
            <v>2.9292929292929371E-2</v>
          </cell>
          <cell r="M103">
            <v>0</v>
          </cell>
          <cell r="N103">
            <v>0.35</v>
          </cell>
          <cell r="O103">
            <v>0.35000000000000009</v>
          </cell>
          <cell r="Q103">
            <v>0</v>
          </cell>
          <cell r="R103">
            <v>0</v>
          </cell>
          <cell r="S103">
            <v>0</v>
          </cell>
          <cell r="U103">
            <v>3.0291095890411013E-2</v>
          </cell>
          <cell r="V103">
            <v>0.12259999999999982</v>
          </cell>
          <cell r="W103">
            <v>7.7069256756756799E-2</v>
          </cell>
          <cell r="Y103">
            <v>0.06</v>
          </cell>
          <cell r="Z103">
            <v>0.18</v>
          </cell>
          <cell r="AA103">
            <v>8.3547169811320598E-2</v>
          </cell>
          <cell r="AG103">
            <v>2</v>
          </cell>
          <cell r="AH103">
            <v>0.17</v>
          </cell>
          <cell r="AI103">
            <v>0.29200000000000004</v>
          </cell>
          <cell r="AK103">
            <v>6.9065420560747715E-2</v>
          </cell>
          <cell r="AL103">
            <v>0.17787878787878775</v>
          </cell>
          <cell r="AM103">
            <v>9.4714285714285751E-2</v>
          </cell>
          <cell r="AO103" t="str">
            <v xml:space="preserve"> 3QE</v>
          </cell>
          <cell r="AP103">
            <v>0.05</v>
          </cell>
          <cell r="AQ103">
            <v>0.05</v>
          </cell>
          <cell r="AR103">
            <v>5.0000000000000266E-2</v>
          </cell>
          <cell r="AT103">
            <v>0.19</v>
          </cell>
          <cell r="AU103">
            <v>0.18</v>
          </cell>
          <cell r="AV103">
            <v>0.18763157894736837</v>
          </cell>
          <cell r="AX103" t="str">
            <v>NM</v>
          </cell>
          <cell r="AY103" t="str">
            <v>NM</v>
          </cell>
          <cell r="AZ103">
            <v>-1.625</v>
          </cell>
          <cell r="BB103">
            <v>-0.05</v>
          </cell>
          <cell r="BC103">
            <v>-0.05</v>
          </cell>
          <cell r="BD103">
            <v>-4.9999999999999933E-2</v>
          </cell>
          <cell r="BF103">
            <v>0.14516717325227968</v>
          </cell>
          <cell r="BG103">
            <v>3.6112852664576645E-2</v>
          </cell>
          <cell r="BH103">
            <v>9.1481481481481497E-2</v>
          </cell>
          <cell r="BJ103">
            <v>-0.05</v>
          </cell>
          <cell r="BK103">
            <v>-0.1</v>
          </cell>
          <cell r="BL103">
            <v>-9.7727272727272663E-2</v>
          </cell>
          <cell r="BN103">
            <v>0</v>
          </cell>
          <cell r="BO103">
            <v>-0.74</v>
          </cell>
          <cell r="BP103">
            <v>-0.74</v>
          </cell>
          <cell r="BR103">
            <v>-5.0000000000000044E-2</v>
          </cell>
          <cell r="BS103">
            <v>-0.23283018867924521</v>
          </cell>
          <cell r="BT103">
            <v>-0.22618181818181815</v>
          </cell>
          <cell r="BV103" t="str">
            <v xml:space="preserve"> 3QE</v>
          </cell>
          <cell r="BW103">
            <v>0.15</v>
          </cell>
          <cell r="BX103">
            <v>0.55000000000000004</v>
          </cell>
          <cell r="BY103">
            <v>0.29136546184738932</v>
          </cell>
          <cell r="CA103">
            <v>0.21</v>
          </cell>
          <cell r="CB103">
            <v>0.18</v>
          </cell>
          <cell r="CC103">
            <v>0.20971311475409804</v>
          </cell>
          <cell r="CE103">
            <v>0</v>
          </cell>
          <cell r="CF103">
            <v>0</v>
          </cell>
          <cell r="CG103">
            <v>0</v>
          </cell>
          <cell r="CI103">
            <v>0.20856164383561637</v>
          </cell>
          <cell r="CJ103">
            <v>0.17999999999999994</v>
          </cell>
          <cell r="CK103">
            <v>0.2082903663500677</v>
          </cell>
          <cell r="CM103">
            <v>0.09</v>
          </cell>
          <cell r="CN103">
            <v>0.03</v>
          </cell>
          <cell r="CO103">
            <v>8.7391304347826271E-2</v>
          </cell>
          <cell r="CQ103">
            <v>0</v>
          </cell>
          <cell r="CR103">
            <v>0</v>
          </cell>
          <cell r="CS103">
            <v>0</v>
          </cell>
          <cell r="CU103">
            <v>8.4857142857142964E-2</v>
          </cell>
          <cell r="CV103">
            <v>1.1249999999999982E-2</v>
          </cell>
          <cell r="CW103">
            <v>7.7307692307692522E-2</v>
          </cell>
          <cell r="CY103">
            <v>5</v>
          </cell>
          <cell r="CZ103">
            <v>0.05</v>
          </cell>
          <cell r="DA103">
            <v>-0.52225433526011567</v>
          </cell>
          <cell r="DC103" t="str">
            <v xml:space="preserve"> 3QE</v>
          </cell>
          <cell r="DF103" t="str">
            <v>NA</v>
          </cell>
          <cell r="DH103">
            <v>0.25</v>
          </cell>
          <cell r="DI103">
            <v>1.3</v>
          </cell>
          <cell r="DJ103">
            <v>0.41389905975395425</v>
          </cell>
          <cell r="DL103">
            <v>0.13353603603603625</v>
          </cell>
          <cell r="DM103">
            <v>0.18880613026819937</v>
          </cell>
          <cell r="DN103">
            <v>0.15399773049645415</v>
          </cell>
          <cell r="DP103">
            <v>0.14000000000000001</v>
          </cell>
          <cell r="DQ103">
            <v>0.04</v>
          </cell>
          <cell r="DR103">
            <v>9.3571428571428639E-2</v>
          </cell>
          <cell r="DT103">
            <v>0.04</v>
          </cell>
          <cell r="DU103">
            <v>0.1</v>
          </cell>
          <cell r="DV103">
            <v>6.6106870229007741E-2</v>
          </cell>
          <cell r="DX103">
            <v>0.13120856911883605</v>
          </cell>
          <cell r="DY103">
            <v>0.1701791831357049</v>
          </cell>
          <cell r="DZ103">
            <v>0.14602755511022036</v>
          </cell>
        </row>
        <row r="104">
          <cell r="A104" t="str">
            <v xml:space="preserve"> 4QE</v>
          </cell>
          <cell r="B104">
            <v>-0.32654929577464775</v>
          </cell>
          <cell r="C104">
            <v>0</v>
          </cell>
          <cell r="D104">
            <v>-0.32654929577464775</v>
          </cell>
          <cell r="F104">
            <v>8.6908602150537639E-2</v>
          </cell>
          <cell r="G104">
            <v>0.14238202247191012</v>
          </cell>
          <cell r="H104">
            <v>0.11712362301101575</v>
          </cell>
          <cell r="J104">
            <v>-0.46606382978723437</v>
          </cell>
          <cell r="K104">
            <v>-6.0661157024793133E-2</v>
          </cell>
          <cell r="L104">
            <v>-0.23790697674418604</v>
          </cell>
          <cell r="M104">
            <v>0</v>
          </cell>
          <cell r="N104">
            <v>0.86885245901639419</v>
          </cell>
          <cell r="O104">
            <v>0.86885245901639419</v>
          </cell>
          <cell r="Q104">
            <v>0</v>
          </cell>
          <cell r="R104">
            <v>-1.119565217391304</v>
          </cell>
          <cell r="S104">
            <v>-1.0729166666666663</v>
          </cell>
          <cell r="U104">
            <v>-9.499178981937606E-2</v>
          </cell>
          <cell r="V104">
            <v>0.12810769230769226</v>
          </cell>
          <cell r="W104">
            <v>2.0190627482128631E-2</v>
          </cell>
          <cell r="Y104">
            <v>0.13789855072463819</v>
          </cell>
          <cell r="Z104">
            <v>7.0679611650485974E-2</v>
          </cell>
          <cell r="AA104">
            <v>0.12450676982591924</v>
          </cell>
          <cell r="AG104">
            <v>4</v>
          </cell>
          <cell r="AH104">
            <v>7.7500000000000346E-2</v>
          </cell>
          <cell r="AI104">
            <v>0.41371428571428592</v>
          </cell>
          <cell r="AK104">
            <v>0.16568345323741052</v>
          </cell>
          <cell r="AL104">
            <v>7.2296296296296969E-2</v>
          </cell>
          <cell r="AM104">
            <v>0.14284420289855126</v>
          </cell>
          <cell r="AO104" t="str">
            <v xml:space="preserve"> 4QE</v>
          </cell>
          <cell r="AP104">
            <v>0.10985401459854005</v>
          </cell>
          <cell r="AQ104">
            <v>8.2323943661972265E-2</v>
          </cell>
          <cell r="AR104">
            <v>9.5842293906809983E-2</v>
          </cell>
          <cell r="AT104">
            <v>0.11620779220779243</v>
          </cell>
          <cell r="AU104">
            <v>0.15890410958904133</v>
          </cell>
          <cell r="AV104">
            <v>0.12301310043668146</v>
          </cell>
          <cell r="AX104">
            <v>2.2400000000000011</v>
          </cell>
          <cell r="AY104">
            <v>3.3833333333333329</v>
          </cell>
          <cell r="AZ104">
            <v>2.5038461538461547</v>
          </cell>
          <cell r="BB104">
            <v>-1.9117647058823684E-2</v>
          </cell>
          <cell r="BC104">
            <v>-9.5328719723183575E-2</v>
          </cell>
          <cell r="BD104">
            <v>-8.0812324929972257E-2</v>
          </cell>
          <cell r="BF104">
            <v>0.12538324420677394</v>
          </cell>
          <cell r="BG104">
            <v>4.0415512465374004E-2</v>
          </cell>
          <cell r="BH104">
            <v>9.2114967462039177E-2</v>
          </cell>
          <cell r="BJ104">
            <v>-9.5000000000000195E-2</v>
          </cell>
          <cell r="BK104">
            <v>1.9534883720930374E-2</v>
          </cell>
          <cell r="BL104">
            <v>1.4444444444444704E-2</v>
          </cell>
          <cell r="BN104">
            <v>0</v>
          </cell>
          <cell r="BO104">
            <v>-1.9584615384615385</v>
          </cell>
          <cell r="BP104">
            <v>-1.9584615384615385</v>
          </cell>
          <cell r="BR104">
            <v>-9.5000000000000195E-2</v>
          </cell>
          <cell r="BS104">
            <v>-0.439642857142857</v>
          </cell>
          <cell r="BT104">
            <v>-0.42775862068965498</v>
          </cell>
          <cell r="BV104" t="str">
            <v xml:space="preserve"> 4QE</v>
          </cell>
          <cell r="BW104">
            <v>0.23981707317073164</v>
          </cell>
          <cell r="BX104">
            <v>0.42871794871794866</v>
          </cell>
          <cell r="BY104">
            <v>0.31846975088967966</v>
          </cell>
          <cell r="CA104">
            <v>0.26303703703703651</v>
          </cell>
          <cell r="CB104">
            <v>1.3600000000000003</v>
          </cell>
          <cell r="CC104">
            <v>0.27110294117647027</v>
          </cell>
          <cell r="CE104">
            <v>1</v>
          </cell>
          <cell r="CF104">
            <v>0</v>
          </cell>
          <cell r="CG104">
            <v>1</v>
          </cell>
          <cell r="CI104">
            <v>0.2684558823529406</v>
          </cell>
          <cell r="CJ104">
            <v>1.3600000000000003</v>
          </cell>
          <cell r="CK104">
            <v>0.2764233576642332</v>
          </cell>
          <cell r="CM104">
            <v>0.22593750000000035</v>
          </cell>
          <cell r="CN104">
            <v>-0.19750000000000023</v>
          </cell>
          <cell r="CO104">
            <v>0.20102941176470601</v>
          </cell>
          <cell r="CQ104">
            <v>0</v>
          </cell>
          <cell r="CR104">
            <v>0</v>
          </cell>
          <cell r="CS104">
            <v>1.1111111111111112</v>
          </cell>
          <cell r="CU104">
            <v>0.2675362318840584</v>
          </cell>
          <cell r="CV104">
            <v>0.65124999999999988</v>
          </cell>
          <cell r="CW104">
            <v>0.30740259740259757</v>
          </cell>
          <cell r="CY104">
            <v>6</v>
          </cell>
          <cell r="CZ104">
            <v>0.25480769230769229</v>
          </cell>
          <cell r="DA104">
            <v>0.6651785714285714</v>
          </cell>
          <cell r="DC104" t="str">
            <v xml:space="preserve"> 4QE</v>
          </cell>
          <cell r="DD104" t="str">
            <v>NA</v>
          </cell>
          <cell r="DE104" t="str">
            <v>NA</v>
          </cell>
          <cell r="DF104" t="str">
            <v>NA</v>
          </cell>
          <cell r="DH104">
            <v>0.30584832074766344</v>
          </cell>
          <cell r="DI104">
            <v>1.4966491476190478</v>
          </cell>
          <cell r="DJ104">
            <v>0.35583005654281097</v>
          </cell>
          <cell r="DL104">
            <v>0.14750454609531438</v>
          </cell>
          <cell r="DM104">
            <v>0.21085965054644817</v>
          </cell>
          <cell r="DN104">
            <v>0.17092082302448874</v>
          </cell>
          <cell r="DP104">
            <v>0.12653658536585377</v>
          </cell>
          <cell r="DQ104">
            <v>9.0188679245283065E-2</v>
          </cell>
          <cell r="DR104">
            <v>0.1080575539568347</v>
          </cell>
          <cell r="DT104">
            <v>0.17098039215686267</v>
          </cell>
          <cell r="DU104">
            <v>3.3766233766234777E-3</v>
          </cell>
          <cell r="DV104">
            <v>7.0156250000000142E-2</v>
          </cell>
          <cell r="DX104">
            <v>0.14637807904104605</v>
          </cell>
          <cell r="DY104">
            <v>0.18715261175128362</v>
          </cell>
          <cell r="DZ104">
            <v>0.16224087438970258</v>
          </cell>
        </row>
        <row r="106">
          <cell r="A106" t="str">
            <v>Year</v>
          </cell>
          <cell r="B106">
            <v>-0.24</v>
          </cell>
          <cell r="C106" t="str">
            <v>NM</v>
          </cell>
          <cell r="D106">
            <v>-0.24</v>
          </cell>
          <cell r="F106">
            <v>0.11</v>
          </cell>
          <cell r="G106">
            <v>0.125</v>
          </cell>
          <cell r="H106">
            <v>0.11824480369515022</v>
          </cell>
          <cell r="J106">
            <v>-0.11</v>
          </cell>
          <cell r="K106">
            <v>0.03</v>
          </cell>
          <cell r="L106">
            <v>-3.3396226415094321E-2</v>
          </cell>
          <cell r="M106">
            <v>0</v>
          </cell>
          <cell r="N106">
            <v>0.6</v>
          </cell>
          <cell r="O106">
            <v>0.60000000000000009</v>
          </cell>
          <cell r="Q106">
            <v>0</v>
          </cell>
          <cell r="R106">
            <v>-0.45</v>
          </cell>
          <cell r="S106">
            <v>-0.43622448979591832</v>
          </cell>
          <cell r="U106">
            <v>-6.5466666666667006E-3</v>
          </cell>
          <cell r="V106">
            <v>0.12241090146750544</v>
          </cell>
          <cell r="W106">
            <v>5.9810140237324783E-2</v>
          </cell>
          <cell r="Y106">
            <v>0.08</v>
          </cell>
          <cell r="Z106">
            <v>0.11</v>
          </cell>
          <cell r="AA106">
            <v>8.5896805896805928E-2</v>
          </cell>
          <cell r="AC106" t="str">
            <v xml:space="preserve">  NM</v>
          </cell>
          <cell r="AD106" t="str">
            <v xml:space="preserve">  NM</v>
          </cell>
          <cell r="AE106" t="str">
            <v xml:space="preserve">  NM</v>
          </cell>
          <cell r="AG106">
            <v>2</v>
          </cell>
          <cell r="AH106">
            <v>0.1711711711711712</v>
          </cell>
          <cell r="AI106">
            <v>0.3223140495867769</v>
          </cell>
          <cell r="AK106">
            <v>9.1671732522796479E-2</v>
          </cell>
          <cell r="AL106">
            <v>0.12328767123287676</v>
          </cell>
          <cell r="AM106">
            <v>9.9165120593692091E-2</v>
          </cell>
          <cell r="AO106" t="str">
            <v>Year</v>
          </cell>
          <cell r="AP106">
            <v>0.05</v>
          </cell>
          <cell r="AQ106">
            <v>0.05</v>
          </cell>
          <cell r="AR106">
            <v>5.0000000000000266E-2</v>
          </cell>
          <cell r="AT106">
            <v>0.08</v>
          </cell>
          <cell r="AU106">
            <v>0.09</v>
          </cell>
          <cell r="AV106">
            <v>8.2158920539730174E-2</v>
          </cell>
          <cell r="AX106">
            <v>-0.7</v>
          </cell>
          <cell r="AY106">
            <v>-0.55000000000000004</v>
          </cell>
          <cell r="AZ106">
            <v>-0.66937172774869103</v>
          </cell>
          <cell r="BB106">
            <v>-0.05</v>
          </cell>
          <cell r="BC106">
            <v>-0.05</v>
          </cell>
          <cell r="BD106">
            <v>-5.0000000000000044E-2</v>
          </cell>
          <cell r="BF106">
            <v>2.6902857142857117E-2</v>
          </cell>
          <cell r="BG106">
            <v>9.2616487455197127E-3</v>
          </cell>
          <cell r="BH106">
            <v>1.9077901430842648E-2</v>
          </cell>
          <cell r="BJ106">
            <v>-0.05</v>
          </cell>
          <cell r="BK106">
            <v>-0.1</v>
          </cell>
          <cell r="BL106">
            <v>-9.8044692737430106E-2</v>
          </cell>
          <cell r="BN106" t="str">
            <v xml:space="preserve">  NM</v>
          </cell>
          <cell r="BO106">
            <v>-0.74358974358974361</v>
          </cell>
          <cell r="BP106">
            <v>-0.74358974358974361</v>
          </cell>
          <cell r="BR106">
            <v>-5.0000000000000044E-2</v>
          </cell>
          <cell r="BS106">
            <v>-0.21895734597156391</v>
          </cell>
          <cell r="BT106">
            <v>-0.213532110091743</v>
          </cell>
          <cell r="BV106" t="str">
            <v>Year</v>
          </cell>
          <cell r="BW106">
            <v>0.24</v>
          </cell>
          <cell r="BX106">
            <v>0.48199445983379507</v>
          </cell>
          <cell r="BY106">
            <v>0.32456921587608911</v>
          </cell>
          <cell r="CA106">
            <v>0.22</v>
          </cell>
          <cell r="CB106">
            <v>0.18</v>
          </cell>
          <cell r="CC106">
            <v>0.21968139029688638</v>
          </cell>
          <cell r="CE106">
            <v>0</v>
          </cell>
          <cell r="CF106" t="str">
            <v xml:space="preserve">  NM</v>
          </cell>
          <cell r="CG106">
            <v>0</v>
          </cell>
          <cell r="CI106">
            <v>0.21761732851985549</v>
          </cell>
          <cell r="CJ106">
            <v>0.17999999999999994</v>
          </cell>
          <cell r="CK106">
            <v>0.21732091690544419</v>
          </cell>
          <cell r="CM106">
            <v>0.1</v>
          </cell>
          <cell r="CN106">
            <v>0.03</v>
          </cell>
          <cell r="CO106">
            <v>9.6781609195402574E-2</v>
          </cell>
          <cell r="CQ106">
            <v>0.25</v>
          </cell>
          <cell r="CR106">
            <v>0.25</v>
          </cell>
          <cell r="CS106">
            <v>0.25</v>
          </cell>
          <cell r="CU106">
            <v>0.10905660377358495</v>
          </cell>
          <cell r="CV106">
            <v>0.16749999999999998</v>
          </cell>
          <cell r="CW106">
            <v>0.11535353535353554</v>
          </cell>
          <cell r="CY106">
            <v>5</v>
          </cell>
          <cell r="CZ106">
            <v>0.05</v>
          </cell>
          <cell r="DA106">
            <v>0.10334051724137927</v>
          </cell>
          <cell r="DC106" t="str">
            <v>Year</v>
          </cell>
          <cell r="DD106" t="str">
            <v xml:space="preserve">    NM</v>
          </cell>
          <cell r="DE106" t="str">
            <v xml:space="preserve">    NM</v>
          </cell>
          <cell r="DF106" t="str">
            <v xml:space="preserve">    NM</v>
          </cell>
          <cell r="DH106">
            <v>0.39880509168959821</v>
          </cell>
          <cell r="DI106">
            <v>1.1879157976470589</v>
          </cell>
          <cell r="DJ106">
            <v>0.49592055019305015</v>
          </cell>
          <cell r="DL106">
            <v>0.14150511622405704</v>
          </cell>
          <cell r="DM106">
            <v>0.16090680562008242</v>
          </cell>
          <cell r="DN106">
            <v>0.14874750909090895</v>
          </cell>
          <cell r="DP106">
            <v>0.11</v>
          </cell>
          <cell r="DQ106">
            <v>0.02</v>
          </cell>
          <cell r="DR106">
            <v>6.2723214285714368E-2</v>
          </cell>
          <cell r="DT106">
            <v>0.03</v>
          </cell>
          <cell r="DU106">
            <v>0.03</v>
          </cell>
          <cell r="DV106">
            <v>3.0000000000000027E-2</v>
          </cell>
          <cell r="DX106">
            <v>0.13613872793047688</v>
          </cell>
          <cell r="DY106">
            <v>0.13965766144578318</v>
          </cell>
          <cell r="DZ106">
            <v>0.13750860157985678</v>
          </cell>
        </row>
        <row r="108">
          <cell r="A108" t="str">
            <v>2000E</v>
          </cell>
          <cell r="AO108" t="str">
            <v>2000E</v>
          </cell>
          <cell r="BV108" t="str">
            <v>2000E</v>
          </cell>
          <cell r="DC108" t="str">
            <v>2000E</v>
          </cell>
        </row>
        <row r="109">
          <cell r="A109" t="str">
            <v xml:space="preserve"> 1QA</v>
          </cell>
          <cell r="B109">
            <v>110</v>
          </cell>
          <cell r="C109">
            <v>0</v>
          </cell>
          <cell r="D109">
            <v>110</v>
          </cell>
          <cell r="F109">
            <v>354</v>
          </cell>
          <cell r="G109">
            <v>438</v>
          </cell>
          <cell r="H109">
            <v>792</v>
          </cell>
          <cell r="J109">
            <v>90</v>
          </cell>
          <cell r="K109">
            <v>114</v>
          </cell>
          <cell r="L109">
            <v>204</v>
          </cell>
          <cell r="M109">
            <v>0</v>
          </cell>
          <cell r="N109">
            <v>54</v>
          </cell>
          <cell r="O109">
            <v>54</v>
          </cell>
          <cell r="Q109">
            <v>1</v>
          </cell>
          <cell r="R109">
            <v>21</v>
          </cell>
          <cell r="S109">
            <v>22</v>
          </cell>
          <cell r="U109">
            <v>555</v>
          </cell>
          <cell r="V109">
            <v>627</v>
          </cell>
          <cell r="W109">
            <v>1182</v>
          </cell>
          <cell r="Y109">
            <v>428</v>
          </cell>
          <cell r="Z109">
            <v>95</v>
          </cell>
          <cell r="AA109">
            <v>523</v>
          </cell>
          <cell r="AG109">
            <v>3</v>
          </cell>
          <cell r="AH109">
            <v>30</v>
          </cell>
          <cell r="AI109">
            <v>33</v>
          </cell>
          <cell r="AK109">
            <v>431</v>
          </cell>
          <cell r="AL109">
            <v>125</v>
          </cell>
          <cell r="AM109">
            <v>556</v>
          </cell>
          <cell r="AO109" t="str">
            <v xml:space="preserve"> 1QA</v>
          </cell>
          <cell r="AP109">
            <v>122</v>
          </cell>
          <cell r="AQ109">
            <v>125</v>
          </cell>
          <cell r="AR109">
            <v>247</v>
          </cell>
          <cell r="AT109">
            <v>327</v>
          </cell>
          <cell r="AU109">
            <v>92</v>
          </cell>
          <cell r="AV109">
            <v>419</v>
          </cell>
          <cell r="AX109">
            <v>-1</v>
          </cell>
          <cell r="AY109">
            <v>-1</v>
          </cell>
          <cell r="AZ109">
            <v>-2</v>
          </cell>
          <cell r="BB109">
            <v>36</v>
          </cell>
          <cell r="BC109">
            <v>150</v>
          </cell>
          <cell r="BD109">
            <v>186</v>
          </cell>
          <cell r="BF109">
            <v>484</v>
          </cell>
          <cell r="BG109">
            <v>366</v>
          </cell>
          <cell r="BH109">
            <v>850</v>
          </cell>
          <cell r="BJ109">
            <v>2</v>
          </cell>
          <cell r="BK109">
            <v>34</v>
          </cell>
          <cell r="BL109">
            <v>36</v>
          </cell>
          <cell r="BN109">
            <v>0</v>
          </cell>
          <cell r="BO109">
            <v>17</v>
          </cell>
          <cell r="BP109">
            <v>17</v>
          </cell>
          <cell r="BR109">
            <v>2</v>
          </cell>
          <cell r="BS109">
            <v>51</v>
          </cell>
          <cell r="BT109">
            <v>53</v>
          </cell>
          <cell r="BV109" t="str">
            <v xml:space="preserve"> 1QA</v>
          </cell>
          <cell r="BW109">
            <v>227</v>
          </cell>
          <cell r="BX109">
            <v>106</v>
          </cell>
          <cell r="BY109">
            <v>333</v>
          </cell>
          <cell r="CA109">
            <v>151</v>
          </cell>
          <cell r="CB109">
            <v>0</v>
          </cell>
          <cell r="CC109">
            <v>151</v>
          </cell>
          <cell r="CE109">
            <v>1</v>
          </cell>
          <cell r="CF109">
            <v>0</v>
          </cell>
          <cell r="CG109">
            <v>1</v>
          </cell>
          <cell r="CI109">
            <v>152</v>
          </cell>
          <cell r="CJ109">
            <v>0</v>
          </cell>
          <cell r="CK109">
            <v>152</v>
          </cell>
          <cell r="CM109">
            <v>63</v>
          </cell>
          <cell r="CN109">
            <v>4</v>
          </cell>
          <cell r="CO109">
            <v>67</v>
          </cell>
          <cell r="CQ109">
            <v>4</v>
          </cell>
          <cell r="CR109">
            <v>4</v>
          </cell>
          <cell r="CS109">
            <v>8</v>
          </cell>
          <cell r="CU109">
            <v>67</v>
          </cell>
          <cell r="CV109">
            <v>8</v>
          </cell>
          <cell r="CW109">
            <v>75</v>
          </cell>
          <cell r="CY109">
            <v>-4</v>
          </cell>
          <cell r="CZ109">
            <v>45</v>
          </cell>
          <cell r="DA109">
            <v>41</v>
          </cell>
          <cell r="DC109" t="str">
            <v xml:space="preserve"> 1QA</v>
          </cell>
          <cell r="DD109">
            <v>0</v>
          </cell>
          <cell r="DE109">
            <v>0</v>
          </cell>
          <cell r="DF109">
            <v>0</v>
          </cell>
          <cell r="DH109">
            <v>586</v>
          </cell>
          <cell r="DI109">
            <v>79</v>
          </cell>
          <cell r="DJ109">
            <v>665</v>
          </cell>
          <cell r="DL109">
            <v>2500</v>
          </cell>
          <cell r="DM109">
            <v>1407</v>
          </cell>
          <cell r="DN109">
            <v>3907</v>
          </cell>
          <cell r="DP109">
            <v>117</v>
          </cell>
          <cell r="DQ109">
            <v>151</v>
          </cell>
          <cell r="DR109">
            <v>268</v>
          </cell>
          <cell r="DT109">
            <v>85</v>
          </cell>
          <cell r="DU109">
            <v>55</v>
          </cell>
          <cell r="DV109">
            <v>140</v>
          </cell>
          <cell r="DX109">
            <v>2702</v>
          </cell>
          <cell r="DY109">
            <v>1613</v>
          </cell>
          <cell r="DZ109">
            <v>4315</v>
          </cell>
        </row>
        <row r="110">
          <cell r="A110" t="str">
            <v xml:space="preserve"> 2QE</v>
          </cell>
          <cell r="B110">
            <v>92.34</v>
          </cell>
          <cell r="C110">
            <v>0</v>
          </cell>
          <cell r="D110">
            <v>92.34</v>
          </cell>
          <cell r="F110">
            <v>350.56000000000006</v>
          </cell>
          <cell r="G110">
            <v>449.90000000000003</v>
          </cell>
          <cell r="H110">
            <v>800.46</v>
          </cell>
          <cell r="J110">
            <v>84.53</v>
          </cell>
          <cell r="K110">
            <v>112.27</v>
          </cell>
          <cell r="L110">
            <v>196.8</v>
          </cell>
          <cell r="M110">
            <v>0</v>
          </cell>
          <cell r="N110">
            <v>70.95</v>
          </cell>
          <cell r="O110">
            <v>70.95</v>
          </cell>
          <cell r="Q110">
            <v>0</v>
          </cell>
          <cell r="R110">
            <v>10</v>
          </cell>
          <cell r="S110">
            <v>10</v>
          </cell>
          <cell r="U110">
            <v>527.43000000000006</v>
          </cell>
          <cell r="V110">
            <v>643.12000000000012</v>
          </cell>
          <cell r="W110">
            <v>1170.5500000000002</v>
          </cell>
          <cell r="Y110">
            <v>415.15</v>
          </cell>
          <cell r="Z110">
            <v>115.99999999999999</v>
          </cell>
          <cell r="AA110">
            <v>531.15</v>
          </cell>
          <cell r="AG110">
            <v>6</v>
          </cell>
          <cell r="AH110">
            <v>32.76</v>
          </cell>
          <cell r="AI110">
            <v>38.76</v>
          </cell>
          <cell r="AK110">
            <v>421.15</v>
          </cell>
          <cell r="AL110">
            <v>148.76</v>
          </cell>
          <cell r="AM110">
            <v>569.91</v>
          </cell>
          <cell r="AO110" t="str">
            <v xml:space="preserve"> 2QE</v>
          </cell>
          <cell r="AP110">
            <v>106.05000000000001</v>
          </cell>
          <cell r="AQ110">
            <v>130.81</v>
          </cell>
          <cell r="AR110">
            <v>236.86</v>
          </cell>
          <cell r="AT110">
            <v>165.88</v>
          </cell>
          <cell r="AU110">
            <v>73.599999999999994</v>
          </cell>
          <cell r="AV110">
            <v>239.48</v>
          </cell>
          <cell r="AX110">
            <v>3.6000000000000005</v>
          </cell>
          <cell r="AY110">
            <v>2.1999999999999993</v>
          </cell>
          <cell r="AZ110">
            <v>5.8</v>
          </cell>
          <cell r="BB110">
            <v>29.45</v>
          </cell>
          <cell r="BC110">
            <v>129.19999999999999</v>
          </cell>
          <cell r="BD110">
            <v>158.64999999999998</v>
          </cell>
          <cell r="BF110">
            <v>304.98</v>
          </cell>
          <cell r="BG110">
            <v>335.80999999999995</v>
          </cell>
          <cell r="BH110">
            <v>640.79</v>
          </cell>
          <cell r="BJ110">
            <v>0.94</v>
          </cell>
          <cell r="BK110">
            <v>39.160000000000004</v>
          </cell>
          <cell r="BL110">
            <v>40.1</v>
          </cell>
          <cell r="BN110">
            <v>0</v>
          </cell>
          <cell r="BO110">
            <v>2.6</v>
          </cell>
          <cell r="BP110">
            <v>2.6</v>
          </cell>
          <cell r="BR110">
            <v>0.94</v>
          </cell>
          <cell r="BS110">
            <v>41.760000000000005</v>
          </cell>
          <cell r="BT110">
            <v>42.7</v>
          </cell>
          <cell r="BV110" t="str">
            <v xml:space="preserve"> 2QE</v>
          </cell>
          <cell r="BW110">
            <v>217.8</v>
          </cell>
          <cell r="BX110">
            <v>125.44000000000001</v>
          </cell>
          <cell r="BY110">
            <v>343.24</v>
          </cell>
          <cell r="CA110">
            <v>171.6</v>
          </cell>
          <cell r="CB110">
            <v>1.18</v>
          </cell>
          <cell r="CC110">
            <v>172.78</v>
          </cell>
          <cell r="CE110">
            <v>2</v>
          </cell>
          <cell r="CF110">
            <v>0</v>
          </cell>
          <cell r="CG110">
            <v>2</v>
          </cell>
          <cell r="CI110">
            <v>173.6</v>
          </cell>
          <cell r="CJ110">
            <v>1.18</v>
          </cell>
          <cell r="CK110">
            <v>174.78</v>
          </cell>
          <cell r="CM110">
            <v>60.500000000000007</v>
          </cell>
          <cell r="CN110">
            <v>2.06</v>
          </cell>
          <cell r="CO110">
            <v>62.560000000000009</v>
          </cell>
          <cell r="CQ110">
            <v>3</v>
          </cell>
          <cell r="CR110">
            <v>6</v>
          </cell>
          <cell r="CS110">
            <v>9</v>
          </cell>
          <cell r="CU110">
            <v>63.500000000000007</v>
          </cell>
          <cell r="CV110">
            <v>8.06</v>
          </cell>
          <cell r="CW110">
            <v>71.56</v>
          </cell>
          <cell r="CY110">
            <v>12</v>
          </cell>
          <cell r="CZ110">
            <v>42</v>
          </cell>
          <cell r="DA110">
            <v>54</v>
          </cell>
          <cell r="DC110" t="str">
            <v xml:space="preserve"> 2QE</v>
          </cell>
          <cell r="DD110">
            <v>0</v>
          </cell>
          <cell r="DE110">
            <v>0</v>
          </cell>
          <cell r="DF110">
            <v>0</v>
          </cell>
          <cell r="DH110">
            <v>627</v>
          </cell>
          <cell r="DI110">
            <v>119.69999999999999</v>
          </cell>
          <cell r="DJ110">
            <v>746.37288500000011</v>
          </cell>
          <cell r="DL110">
            <v>2348.4</v>
          </cell>
          <cell r="DM110">
            <v>1465.8300000000002</v>
          </cell>
          <cell r="DN110">
            <v>3814.2300000000005</v>
          </cell>
          <cell r="DP110">
            <v>155.04000000000002</v>
          </cell>
          <cell r="DQ110">
            <v>175.76000000000002</v>
          </cell>
          <cell r="DR110">
            <v>330.80000000000007</v>
          </cell>
          <cell r="DT110">
            <v>83.2</v>
          </cell>
          <cell r="DU110">
            <v>76.960000000000008</v>
          </cell>
          <cell r="DV110">
            <v>160.16000000000003</v>
          </cell>
          <cell r="DX110">
            <v>2586.64</v>
          </cell>
          <cell r="DY110">
            <v>1718.5500000000002</v>
          </cell>
          <cell r="DZ110">
            <v>4305.1900000000005</v>
          </cell>
        </row>
        <row r="111">
          <cell r="A111" t="str">
            <v xml:space="preserve"> 3QE</v>
          </cell>
          <cell r="B111">
            <v>98.75</v>
          </cell>
          <cell r="C111">
            <v>0</v>
          </cell>
          <cell r="D111">
            <v>98.75</v>
          </cell>
          <cell r="F111">
            <v>406.26000000000005</v>
          </cell>
          <cell r="G111">
            <v>477.98999999999995</v>
          </cell>
          <cell r="H111">
            <v>884.25</v>
          </cell>
          <cell r="J111">
            <v>95.68</v>
          </cell>
          <cell r="K111">
            <v>108.12</v>
          </cell>
          <cell r="L111">
            <v>203.8</v>
          </cell>
          <cell r="M111">
            <v>0</v>
          </cell>
          <cell r="N111">
            <v>63.45</v>
          </cell>
          <cell r="O111">
            <v>63.45</v>
          </cell>
          <cell r="Q111">
            <v>1</v>
          </cell>
          <cell r="R111">
            <v>24</v>
          </cell>
          <cell r="S111">
            <v>25</v>
          </cell>
          <cell r="U111">
            <v>601.69000000000005</v>
          </cell>
          <cell r="V111">
            <v>673.56</v>
          </cell>
          <cell r="W111">
            <v>1275.25</v>
          </cell>
          <cell r="Y111">
            <v>451.56</v>
          </cell>
          <cell r="Z111">
            <v>122.72</v>
          </cell>
          <cell r="AA111">
            <v>574.28</v>
          </cell>
          <cell r="AG111">
            <v>6</v>
          </cell>
          <cell r="AH111">
            <v>32.76</v>
          </cell>
          <cell r="AI111">
            <v>38.76</v>
          </cell>
          <cell r="AK111">
            <v>457.56</v>
          </cell>
          <cell r="AL111">
            <v>155.47999999999999</v>
          </cell>
          <cell r="AM111">
            <v>613.04</v>
          </cell>
          <cell r="AO111" t="str">
            <v xml:space="preserve"> 3QE</v>
          </cell>
          <cell r="AP111">
            <v>123.9</v>
          </cell>
          <cell r="AQ111">
            <v>137.55000000000001</v>
          </cell>
          <cell r="AR111">
            <v>261.45000000000005</v>
          </cell>
          <cell r="AT111">
            <v>207.06</v>
          </cell>
          <cell r="AU111">
            <v>63.72</v>
          </cell>
          <cell r="AV111">
            <v>270.77999999999997</v>
          </cell>
          <cell r="AX111">
            <v>4</v>
          </cell>
          <cell r="AY111">
            <v>1</v>
          </cell>
          <cell r="AZ111">
            <v>5</v>
          </cell>
          <cell r="BB111">
            <v>41.8</v>
          </cell>
          <cell r="BC111">
            <v>128.25</v>
          </cell>
          <cell r="BD111">
            <v>170.05</v>
          </cell>
          <cell r="BF111">
            <v>376.76000000000005</v>
          </cell>
          <cell r="BG111">
            <v>330.52</v>
          </cell>
          <cell r="BH111">
            <v>707.28</v>
          </cell>
          <cell r="BJ111">
            <v>1.9</v>
          </cell>
          <cell r="BK111">
            <v>37.800000000000004</v>
          </cell>
          <cell r="BL111">
            <v>39.700000000000003</v>
          </cell>
          <cell r="BN111">
            <v>0</v>
          </cell>
          <cell r="BO111">
            <v>2.8600000000000003</v>
          </cell>
          <cell r="BP111">
            <v>2.8600000000000003</v>
          </cell>
          <cell r="BR111">
            <v>1.9</v>
          </cell>
          <cell r="BS111">
            <v>40.660000000000004</v>
          </cell>
          <cell r="BT111">
            <v>42.56</v>
          </cell>
          <cell r="BV111" t="str">
            <v xml:space="preserve"> 3QE</v>
          </cell>
          <cell r="BW111">
            <v>185.14999999999998</v>
          </cell>
          <cell r="BX111">
            <v>136.4</v>
          </cell>
          <cell r="BY111">
            <v>321.54999999999995</v>
          </cell>
          <cell r="CA111">
            <v>175.45</v>
          </cell>
          <cell r="CB111">
            <v>1.6519999999999999</v>
          </cell>
          <cell r="CC111">
            <v>177.10199999999998</v>
          </cell>
          <cell r="CE111">
            <v>1</v>
          </cell>
          <cell r="CF111">
            <v>0</v>
          </cell>
          <cell r="CG111">
            <v>1</v>
          </cell>
          <cell r="CI111">
            <v>176.45</v>
          </cell>
          <cell r="CJ111">
            <v>1.6519999999999999</v>
          </cell>
          <cell r="CK111">
            <v>178.10199999999998</v>
          </cell>
          <cell r="CM111">
            <v>71.940000000000012</v>
          </cell>
          <cell r="CN111">
            <v>3.09</v>
          </cell>
          <cell r="CO111">
            <v>75.030000000000015</v>
          </cell>
          <cell r="CQ111">
            <v>4</v>
          </cell>
          <cell r="CR111">
            <v>5</v>
          </cell>
          <cell r="CS111">
            <v>9</v>
          </cell>
          <cell r="CU111">
            <v>75.940000000000012</v>
          </cell>
          <cell r="CV111">
            <v>8.09</v>
          </cell>
          <cell r="CW111">
            <v>84.030000000000015</v>
          </cell>
          <cell r="CY111">
            <v>-24</v>
          </cell>
          <cell r="CZ111">
            <v>40.529999999999994</v>
          </cell>
          <cell r="DA111">
            <v>16.529999999999994</v>
          </cell>
          <cell r="DC111" t="str">
            <v xml:space="preserve"> 3QE</v>
          </cell>
          <cell r="DD111">
            <v>35</v>
          </cell>
          <cell r="DE111">
            <v>15</v>
          </cell>
          <cell r="DF111">
            <v>50</v>
          </cell>
          <cell r="DH111">
            <v>630</v>
          </cell>
          <cell r="DI111">
            <v>149.5</v>
          </cell>
          <cell r="DJ111">
            <v>804.50856499999998</v>
          </cell>
          <cell r="DL111">
            <v>2516.4500000000003</v>
          </cell>
          <cell r="DM111">
            <v>1551.3920000000001</v>
          </cell>
          <cell r="DN111">
            <v>4067.8420000000006</v>
          </cell>
          <cell r="DP111">
            <v>205.20000000000002</v>
          </cell>
          <cell r="DQ111">
            <v>162.24</v>
          </cell>
          <cell r="DR111">
            <v>367.44000000000005</v>
          </cell>
          <cell r="DT111">
            <v>76.960000000000008</v>
          </cell>
          <cell r="DU111">
            <v>62.7</v>
          </cell>
          <cell r="DV111">
            <v>139.66000000000003</v>
          </cell>
          <cell r="DX111">
            <v>2798.61</v>
          </cell>
          <cell r="DY111">
            <v>1776.3320000000001</v>
          </cell>
          <cell r="DZ111">
            <v>4574.942</v>
          </cell>
        </row>
        <row r="112">
          <cell r="A112" t="str">
            <v xml:space="preserve"> 4QE</v>
          </cell>
          <cell r="B112">
            <v>95.630000000000024</v>
          </cell>
          <cell r="C112">
            <v>0</v>
          </cell>
          <cell r="D112">
            <v>95.630000000000024</v>
          </cell>
          <cell r="F112">
            <v>404.33</v>
          </cell>
          <cell r="G112">
            <v>508.35999999999996</v>
          </cell>
          <cell r="H112">
            <v>912.68999999999994</v>
          </cell>
          <cell r="J112">
            <v>50.189999999999969</v>
          </cell>
          <cell r="K112">
            <v>113.66000000000003</v>
          </cell>
          <cell r="L112">
            <v>163.85</v>
          </cell>
          <cell r="M112">
            <v>0</v>
          </cell>
          <cell r="N112">
            <v>114.00000000000004</v>
          </cell>
          <cell r="O112">
            <v>114.00000000000004</v>
          </cell>
          <cell r="Q112">
            <v>1</v>
          </cell>
          <cell r="R112">
            <v>-2.7499999999999929</v>
          </cell>
          <cell r="S112">
            <v>-1.7499999999999929</v>
          </cell>
          <cell r="U112">
            <v>551.15</v>
          </cell>
          <cell r="V112">
            <v>733.27</v>
          </cell>
          <cell r="W112">
            <v>1284.42</v>
          </cell>
          <cell r="Y112">
            <v>471.0900000000002</v>
          </cell>
          <cell r="Z112">
            <v>110.28000000000006</v>
          </cell>
          <cell r="AA112">
            <v>581.37000000000023</v>
          </cell>
          <cell r="AG112">
            <v>15</v>
          </cell>
          <cell r="AH112">
            <v>34.480000000000011</v>
          </cell>
          <cell r="AI112">
            <v>49.480000000000011</v>
          </cell>
          <cell r="AK112">
            <v>486.0900000000002</v>
          </cell>
          <cell r="AL112">
            <v>144.76000000000008</v>
          </cell>
          <cell r="AM112">
            <v>630.85000000000025</v>
          </cell>
          <cell r="AO112" t="str">
            <v xml:space="preserve"> 4QE</v>
          </cell>
          <cell r="AP112">
            <v>152.04999999999998</v>
          </cell>
          <cell r="AQ112">
            <v>153.69000000000005</v>
          </cell>
          <cell r="AR112">
            <v>305.74</v>
          </cell>
          <cell r="AT112">
            <v>429.74000000000007</v>
          </cell>
          <cell r="AU112">
            <v>84.600000000000023</v>
          </cell>
          <cell r="AV112">
            <v>514.34000000000015</v>
          </cell>
          <cell r="AX112">
            <v>16.200000000000003</v>
          </cell>
          <cell r="AY112">
            <v>6.5749999999999993</v>
          </cell>
          <cell r="AZ112">
            <v>22.775000000000002</v>
          </cell>
          <cell r="BB112">
            <v>33.349999999999994</v>
          </cell>
          <cell r="BC112">
            <v>130.72499999999997</v>
          </cell>
          <cell r="BD112">
            <v>164.07499999999996</v>
          </cell>
          <cell r="BF112">
            <v>631.34000000000015</v>
          </cell>
          <cell r="BG112">
            <v>375.59000000000003</v>
          </cell>
          <cell r="BH112">
            <v>974.93000000000018</v>
          </cell>
          <cell r="BJ112">
            <v>1.8099999999999996</v>
          </cell>
          <cell r="BK112">
            <v>43.840000000000011</v>
          </cell>
          <cell r="BL112">
            <v>45.650000000000013</v>
          </cell>
          <cell r="BN112">
            <v>0</v>
          </cell>
          <cell r="BO112">
            <v>-12.46</v>
          </cell>
          <cell r="BP112">
            <v>-12.46</v>
          </cell>
          <cell r="BR112">
            <v>1.8099999999999996</v>
          </cell>
          <cell r="BS112">
            <v>31.38000000000001</v>
          </cell>
          <cell r="BT112">
            <v>33.190000000000012</v>
          </cell>
          <cell r="BV112" t="str">
            <v xml:space="preserve"> 4QE</v>
          </cell>
          <cell r="BW112">
            <v>203.32999999999998</v>
          </cell>
          <cell r="BX112">
            <v>167.16</v>
          </cell>
          <cell r="BY112">
            <v>370.49</v>
          </cell>
          <cell r="CA112">
            <v>170.50999999999993</v>
          </cell>
          <cell r="CB112">
            <v>2.3600000000000003</v>
          </cell>
          <cell r="CC112">
            <v>172.86999999999995</v>
          </cell>
          <cell r="CE112">
            <v>2</v>
          </cell>
          <cell r="CF112">
            <v>0</v>
          </cell>
          <cell r="CG112">
            <v>2</v>
          </cell>
          <cell r="CI112">
            <v>172.50999999999993</v>
          </cell>
          <cell r="CJ112">
            <v>2.3600000000000003</v>
          </cell>
          <cell r="CK112">
            <v>174.86999999999995</v>
          </cell>
          <cell r="CM112">
            <v>78.460000000000022</v>
          </cell>
          <cell r="CN112">
            <v>3.2099999999999991</v>
          </cell>
          <cell r="CO112">
            <v>81.670000000000016</v>
          </cell>
          <cell r="CQ112">
            <v>9</v>
          </cell>
          <cell r="CR112">
            <v>10</v>
          </cell>
          <cell r="CS112">
            <v>19</v>
          </cell>
          <cell r="CU112">
            <v>87.460000000000022</v>
          </cell>
          <cell r="CV112">
            <v>13.209999999999999</v>
          </cell>
          <cell r="CW112">
            <v>100.67000000000002</v>
          </cell>
          <cell r="CY112">
            <v>28</v>
          </cell>
          <cell r="CZ112">
            <v>65.25</v>
          </cell>
          <cell r="DA112">
            <v>93.25</v>
          </cell>
          <cell r="DC112" t="str">
            <v xml:space="preserve"> 4QE</v>
          </cell>
          <cell r="DD112">
            <v>5</v>
          </cell>
          <cell r="DE112">
            <v>30</v>
          </cell>
          <cell r="DF112">
            <v>35</v>
          </cell>
          <cell r="DH112">
            <v>698.62885159999996</v>
          </cell>
          <cell r="DI112">
            <v>209.71852840000003</v>
          </cell>
          <cell r="DJ112">
            <v>839.25880500000005</v>
          </cell>
          <cell r="DL112">
            <v>2865.3188516</v>
          </cell>
          <cell r="DM112">
            <v>1772.6985284000002</v>
          </cell>
          <cell r="DN112">
            <v>4638.0173800000002</v>
          </cell>
          <cell r="DP112">
            <v>230.94000000000003</v>
          </cell>
          <cell r="DQ112">
            <v>231.12</v>
          </cell>
          <cell r="DR112">
            <v>462.06000000000006</v>
          </cell>
          <cell r="DT112">
            <v>59.72</v>
          </cell>
          <cell r="DU112">
            <v>77.260000000000005</v>
          </cell>
          <cell r="DV112">
            <v>136.98000000000002</v>
          </cell>
          <cell r="DX112">
            <v>3155.9788515999999</v>
          </cell>
          <cell r="DY112">
            <v>2081.0785284000003</v>
          </cell>
          <cell r="DZ112">
            <v>5237.0573800000002</v>
          </cell>
        </row>
        <row r="114">
          <cell r="A114" t="str">
            <v>Year</v>
          </cell>
          <cell r="B114">
            <v>396.72</v>
          </cell>
          <cell r="C114">
            <v>0</v>
          </cell>
          <cell r="D114">
            <v>396.72</v>
          </cell>
          <cell r="F114">
            <v>1515.15</v>
          </cell>
          <cell r="G114">
            <v>1874.25</v>
          </cell>
          <cell r="H114">
            <v>3389.4</v>
          </cell>
          <cell r="J114">
            <v>320.39999999999998</v>
          </cell>
          <cell r="K114">
            <v>448.05</v>
          </cell>
          <cell r="L114">
            <v>768.45</v>
          </cell>
          <cell r="M114">
            <v>0</v>
          </cell>
          <cell r="N114">
            <v>302.40000000000003</v>
          </cell>
          <cell r="O114">
            <v>302.40000000000003</v>
          </cell>
          <cell r="Q114">
            <v>3</v>
          </cell>
          <cell r="R114">
            <v>52.250000000000007</v>
          </cell>
          <cell r="S114">
            <v>55.250000000000007</v>
          </cell>
          <cell r="U114">
            <v>2235.27</v>
          </cell>
          <cell r="V114">
            <v>2676.9500000000003</v>
          </cell>
          <cell r="W114">
            <v>4912.22</v>
          </cell>
          <cell r="Y114">
            <v>1765.8000000000002</v>
          </cell>
          <cell r="Z114">
            <v>444.00000000000006</v>
          </cell>
          <cell r="AA114">
            <v>2209.8000000000002</v>
          </cell>
          <cell r="AC114">
            <v>0</v>
          </cell>
          <cell r="AD114">
            <v>0</v>
          </cell>
          <cell r="AE114">
            <v>0</v>
          </cell>
          <cell r="AG114">
            <v>30</v>
          </cell>
          <cell r="AH114">
            <v>130</v>
          </cell>
          <cell r="AI114">
            <v>160</v>
          </cell>
          <cell r="AK114">
            <v>1795.8000000000002</v>
          </cell>
          <cell r="AL114">
            <v>574</v>
          </cell>
          <cell r="AM114">
            <v>2369.8000000000002</v>
          </cell>
          <cell r="AO114" t="str">
            <v>Year</v>
          </cell>
          <cell r="AP114">
            <v>504</v>
          </cell>
          <cell r="AQ114">
            <v>547.05000000000007</v>
          </cell>
          <cell r="AR114">
            <v>1051.0500000000002</v>
          </cell>
          <cell r="AT114">
            <v>1129.68</v>
          </cell>
          <cell r="AU114">
            <v>313.92</v>
          </cell>
          <cell r="AV114">
            <v>1443.6000000000001</v>
          </cell>
          <cell r="AX114">
            <v>22.800000000000004</v>
          </cell>
          <cell r="AY114">
            <v>8.7749999999999986</v>
          </cell>
          <cell r="AZ114">
            <v>31.575000000000003</v>
          </cell>
          <cell r="BB114">
            <v>140.6</v>
          </cell>
          <cell r="BC114">
            <v>538.17499999999995</v>
          </cell>
          <cell r="BD114">
            <v>678.77499999999998</v>
          </cell>
          <cell r="BF114">
            <v>1797.08</v>
          </cell>
          <cell r="BG114">
            <v>1407.92</v>
          </cell>
          <cell r="BH114">
            <v>3205</v>
          </cell>
          <cell r="BJ114">
            <v>6.6499999999999995</v>
          </cell>
          <cell r="BK114">
            <v>154.80000000000001</v>
          </cell>
          <cell r="BL114">
            <v>161.45000000000002</v>
          </cell>
          <cell r="BN114">
            <v>0</v>
          </cell>
          <cell r="BO114">
            <v>10</v>
          </cell>
          <cell r="BP114">
            <v>10</v>
          </cell>
          <cell r="BR114">
            <v>6.6499999999999995</v>
          </cell>
          <cell r="BS114">
            <v>164.8</v>
          </cell>
          <cell r="BT114">
            <v>171.45000000000002</v>
          </cell>
          <cell r="BV114" t="str">
            <v>Year</v>
          </cell>
          <cell r="BW114">
            <v>833.28</v>
          </cell>
          <cell r="BX114">
            <v>535</v>
          </cell>
          <cell r="BY114">
            <v>1368.28</v>
          </cell>
          <cell r="CA114">
            <v>668.56</v>
          </cell>
          <cell r="CB114">
            <v>5.1920000000000002</v>
          </cell>
          <cell r="CC114">
            <v>673.75199999999995</v>
          </cell>
          <cell r="CE114">
            <v>6</v>
          </cell>
          <cell r="CF114">
            <v>0</v>
          </cell>
          <cell r="CG114">
            <v>6</v>
          </cell>
          <cell r="CI114">
            <v>674.56</v>
          </cell>
          <cell r="CJ114">
            <v>5.1920000000000002</v>
          </cell>
          <cell r="CK114">
            <v>679.75199999999995</v>
          </cell>
          <cell r="CM114">
            <v>273.90000000000003</v>
          </cell>
          <cell r="CN114">
            <v>12.36</v>
          </cell>
          <cell r="CO114">
            <v>286.26000000000005</v>
          </cell>
          <cell r="CQ114">
            <v>20</v>
          </cell>
          <cell r="CR114">
            <v>25</v>
          </cell>
          <cell r="CS114">
            <v>45</v>
          </cell>
          <cell r="CU114">
            <v>293.90000000000003</v>
          </cell>
          <cell r="CV114">
            <v>37.36</v>
          </cell>
          <cell r="CW114">
            <v>331.26000000000005</v>
          </cell>
          <cell r="CY114">
            <v>12</v>
          </cell>
          <cell r="CZ114">
            <v>192.78</v>
          </cell>
          <cell r="DA114">
            <v>204.78</v>
          </cell>
          <cell r="DC114" t="str">
            <v>Year</v>
          </cell>
          <cell r="DD114">
            <v>40</v>
          </cell>
          <cell r="DE114">
            <v>45</v>
          </cell>
          <cell r="DF114">
            <v>85</v>
          </cell>
          <cell r="DH114">
            <v>2541.6288516</v>
          </cell>
          <cell r="DI114">
            <v>557.91852840000001</v>
          </cell>
          <cell r="DJ114">
            <v>3099.54738</v>
          </cell>
          <cell r="DL114">
            <v>10230.168851599999</v>
          </cell>
          <cell r="DM114">
            <v>6196.9205284</v>
          </cell>
          <cell r="DN114">
            <v>16427.089379999998</v>
          </cell>
          <cell r="DP114">
            <v>708.18000000000006</v>
          </cell>
          <cell r="DQ114">
            <v>720.12</v>
          </cell>
          <cell r="DR114">
            <v>1428.3000000000002</v>
          </cell>
          <cell r="DT114">
            <v>304.88</v>
          </cell>
          <cell r="DU114">
            <v>271.92</v>
          </cell>
          <cell r="DV114">
            <v>576.79999999999995</v>
          </cell>
          <cell r="DX114">
            <v>11243.228851599999</v>
          </cell>
          <cell r="DY114">
            <v>7188.9605283999999</v>
          </cell>
          <cell r="DZ114">
            <v>18432.18938</v>
          </cell>
        </row>
        <row r="117">
          <cell r="A117" t="str">
            <v>2001E/00E</v>
          </cell>
          <cell r="B117">
            <v>-0.2</v>
          </cell>
          <cell r="C117" t="str">
            <v>NM</v>
          </cell>
          <cell r="D117">
            <v>-0.19999999999999996</v>
          </cell>
          <cell r="F117">
            <v>0.09</v>
          </cell>
          <cell r="G117">
            <v>0.11</v>
          </cell>
          <cell r="H117">
            <v>0.10105947955390326</v>
          </cell>
          <cell r="J117">
            <v>-0.5</v>
          </cell>
          <cell r="K117">
            <v>0.03</v>
          </cell>
          <cell r="L117">
            <v>-0.1909798945930119</v>
          </cell>
          <cell r="M117">
            <v>0</v>
          </cell>
          <cell r="N117">
            <v>0.2</v>
          </cell>
          <cell r="O117">
            <v>0.19999999999999996</v>
          </cell>
          <cell r="Q117">
            <v>0</v>
          </cell>
          <cell r="R117">
            <v>0</v>
          </cell>
          <cell r="S117">
            <v>0</v>
          </cell>
          <cell r="U117">
            <v>-4.6160195412634719E-2</v>
          </cell>
          <cell r="V117">
            <v>0.10462989596368999</v>
          </cell>
          <cell r="W117">
            <v>3.6013961101090786E-2</v>
          </cell>
          <cell r="Y117">
            <v>0.08</v>
          </cell>
          <cell r="Z117">
            <v>0.08</v>
          </cell>
          <cell r="AA117">
            <v>8.0000000000000071E-2</v>
          </cell>
          <cell r="AC117" t="str">
            <v xml:space="preserve">  NM</v>
          </cell>
          <cell r="AD117" t="str">
            <v xml:space="preserve">  NM</v>
          </cell>
          <cell r="AE117" t="str">
            <v xml:space="preserve">  NM</v>
          </cell>
          <cell r="AG117">
            <v>0</v>
          </cell>
          <cell r="AH117">
            <v>0.69230769230769229</v>
          </cell>
          <cell r="AI117">
            <v>0.5625</v>
          </cell>
          <cell r="AK117">
            <v>7.866354827931854E-2</v>
          </cell>
          <cell r="AL117">
            <v>0.21867595818815322</v>
          </cell>
          <cell r="AM117">
            <v>0.11257658874166609</v>
          </cell>
          <cell r="AO117" t="str">
            <v>2001E/00E</v>
          </cell>
          <cell r="AP117">
            <v>0.03</v>
          </cell>
          <cell r="AQ117">
            <v>0.02</v>
          </cell>
          <cell r="AR117">
            <v>2.4795204795204695E-2</v>
          </cell>
          <cell r="AT117">
            <v>0.18</v>
          </cell>
          <cell r="AU117">
            <v>0.12</v>
          </cell>
          <cell r="AV117">
            <v>0.16695261845386522</v>
          </cell>
          <cell r="AX117">
            <v>0.02</v>
          </cell>
          <cell r="AY117">
            <v>0</v>
          </cell>
          <cell r="AZ117">
            <v>1.4441805225653193E-2</v>
          </cell>
          <cell r="BB117">
            <v>-0.05</v>
          </cell>
          <cell r="BC117">
            <v>-0.05</v>
          </cell>
          <cell r="BD117">
            <v>-5.0000000000000044E-2</v>
          </cell>
          <cell r="BF117">
            <v>0.11790704921316819</v>
          </cell>
          <cell r="BG117">
            <v>1.5414689755099742E-2</v>
          </cell>
          <cell r="BH117">
            <v>7.2883322932917327E-2</v>
          </cell>
          <cell r="BJ117">
            <v>-0.05</v>
          </cell>
          <cell r="BK117">
            <v>-0.1</v>
          </cell>
          <cell r="BL117">
            <v>-9.7940538866522098E-2</v>
          </cell>
          <cell r="BN117" t="str">
            <v xml:space="preserve">  NM</v>
          </cell>
          <cell r="BO117">
            <v>0</v>
          </cell>
          <cell r="BP117">
            <v>0</v>
          </cell>
          <cell r="BR117">
            <v>-5.0000000000000044E-2</v>
          </cell>
          <cell r="BS117">
            <v>-9.3932038834951381E-2</v>
          </cell>
          <cell r="BT117">
            <v>-9.2228054826479999E-2</v>
          </cell>
          <cell r="BV117" t="str">
            <v>2001E/00E</v>
          </cell>
          <cell r="BW117">
            <v>0.14000000000000001</v>
          </cell>
          <cell r="BX117">
            <v>0.24</v>
          </cell>
          <cell r="BY117">
            <v>0.17910018417283013</v>
          </cell>
          <cell r="CA117">
            <v>0.14000000000000001</v>
          </cell>
          <cell r="CB117">
            <v>0.15</v>
          </cell>
          <cell r="CC117">
            <v>0.14007706099573736</v>
          </cell>
          <cell r="CE117">
            <v>0</v>
          </cell>
          <cell r="CF117" t="str">
            <v xml:space="preserve">  NM</v>
          </cell>
          <cell r="CG117">
            <v>0</v>
          </cell>
          <cell r="CI117">
            <v>0.138754743833017</v>
          </cell>
          <cell r="CJ117">
            <v>0.15000000000000013</v>
          </cell>
          <cell r="CK117">
            <v>0.13884063599665764</v>
          </cell>
          <cell r="CM117">
            <v>0.06</v>
          </cell>
          <cell r="CN117">
            <v>0.03</v>
          </cell>
          <cell r="CO117">
            <v>5.8704674072521446E-2</v>
          </cell>
          <cell r="CQ117">
            <v>0</v>
          </cell>
          <cell r="CR117">
            <v>0</v>
          </cell>
          <cell r="CS117">
            <v>0</v>
          </cell>
          <cell r="CU117">
            <v>5.5916978564137576E-2</v>
          </cell>
          <cell r="CV117">
            <v>9.9250535331907308E-3</v>
          </cell>
          <cell r="CW117">
            <v>5.0729940228219528E-2</v>
          </cell>
          <cell r="CY117">
            <v>0</v>
          </cell>
          <cell r="CZ117">
            <v>0.05</v>
          </cell>
          <cell r="DA117">
            <v>4.7070026369762763E-2</v>
          </cell>
          <cell r="DC117" t="str">
            <v>2001E/00E</v>
          </cell>
          <cell r="DD117">
            <v>9.625</v>
          </cell>
          <cell r="DE117">
            <v>2.8888888888888888</v>
          </cell>
          <cell r="DF117">
            <v>6.0588235294117645</v>
          </cell>
          <cell r="DH117">
            <v>0.29554338661489865</v>
          </cell>
          <cell r="DI117">
            <v>0.47547996808919013</v>
          </cell>
          <cell r="DJ117">
            <v>0.32793197128027129</v>
          </cell>
          <cell r="DL117">
            <v>0.157621308280538</v>
          </cell>
          <cell r="DM117">
            <v>0.15270477162700158</v>
          </cell>
          <cell r="DN117">
            <v>0.15576660436969036</v>
          </cell>
          <cell r="DP117">
            <v>0.12</v>
          </cell>
          <cell r="DQ117">
            <v>0.03</v>
          </cell>
          <cell r="DR117">
            <v>7.4623818525519831E-2</v>
          </cell>
          <cell r="DT117">
            <v>0.03</v>
          </cell>
          <cell r="DU117">
            <v>0.03</v>
          </cell>
          <cell r="DV117">
            <v>3.0000000000000155E-2</v>
          </cell>
          <cell r="DX117">
            <v>0.15179096866618846</v>
          </cell>
          <cell r="DY117">
            <v>0.13577213704597102</v>
          </cell>
          <cell r="DZ117">
            <v>0.1455432709101212</v>
          </cell>
        </row>
        <row r="118">
          <cell r="A118" t="str">
            <v>2002E/01E</v>
          </cell>
          <cell r="B118">
            <v>-0.2</v>
          </cell>
          <cell r="C118" t="str">
            <v>NM</v>
          </cell>
          <cell r="D118">
            <v>-0.19999999999999996</v>
          </cell>
          <cell r="F118">
            <v>0.08</v>
          </cell>
          <cell r="G118">
            <v>0.12</v>
          </cell>
          <cell r="H118">
            <v>0.10229856339787635</v>
          </cell>
          <cell r="J118">
            <v>-0.3</v>
          </cell>
          <cell r="K118">
            <v>0.03</v>
          </cell>
          <cell r="L118">
            <v>-5.5035745220901267E-2</v>
          </cell>
          <cell r="M118">
            <v>0</v>
          </cell>
          <cell r="N118">
            <v>0.15</v>
          </cell>
          <cell r="O118">
            <v>0.15000000000000013</v>
          </cell>
          <cell r="Q118">
            <v>0</v>
          </cell>
          <cell r="R118">
            <v>0</v>
          </cell>
          <cell r="S118">
            <v>0</v>
          </cell>
          <cell r="U118">
            <v>9.6552607195898865E-3</v>
          </cell>
          <cell r="V118">
            <v>0.10751526949762913</v>
          </cell>
          <cell r="W118">
            <v>6.651683583937773E-2</v>
          </cell>
          <cell r="Y118">
            <v>0.06</v>
          </cell>
          <cell r="Z118">
            <v>0.08</v>
          </cell>
          <cell r="AA118">
            <v>6.4018463209340348E-2</v>
          </cell>
          <cell r="AC118" t="str">
            <v xml:space="preserve">  NM</v>
          </cell>
          <cell r="AD118" t="str">
            <v xml:space="preserve">  NM</v>
          </cell>
          <cell r="AE118" t="str">
            <v xml:space="preserve">  NM</v>
          </cell>
          <cell r="AG118">
            <v>0</v>
          </cell>
          <cell r="AH118">
            <v>0</v>
          </cell>
          <cell r="AI118">
            <v>0</v>
          </cell>
          <cell r="AK118">
            <v>5.9070758632652209E-2</v>
          </cell>
          <cell r="AL118">
            <v>5.483989021043012E-2</v>
          </cell>
          <cell r="AM118">
            <v>5.7948254256265042E-2</v>
          </cell>
          <cell r="AO118" t="str">
            <v>2002E/01E</v>
          </cell>
          <cell r="AP118">
            <v>0.02</v>
          </cell>
          <cell r="AQ118">
            <v>0.02</v>
          </cell>
          <cell r="AR118">
            <v>2.0000000000000018E-2</v>
          </cell>
          <cell r="AT118">
            <v>0.14000000000000001</v>
          </cell>
          <cell r="AU118">
            <v>0.1</v>
          </cell>
          <cell r="AV118">
            <v>0.13165172198620345</v>
          </cell>
          <cell r="AX118">
            <v>0.03</v>
          </cell>
          <cell r="AY118">
            <v>0</v>
          </cell>
          <cell r="AZ118">
            <v>2.1781399269457546E-2</v>
          </cell>
          <cell r="BB118">
            <v>-0.05</v>
          </cell>
          <cell r="BC118">
            <v>-0.05</v>
          </cell>
          <cell r="BD118">
            <v>-5.0000000000000044E-2</v>
          </cell>
          <cell r="BF118">
            <v>9.5085973477731178E-2</v>
          </cell>
          <cell r="BG118">
            <v>1.4518199959968614E-2</v>
          </cell>
          <cell r="BH118">
            <v>6.1589255721467673E-2</v>
          </cell>
          <cell r="BJ118">
            <v>-0.05</v>
          </cell>
          <cell r="BK118">
            <v>-0.1</v>
          </cell>
          <cell r="BL118">
            <v>-9.7831087460303778E-2</v>
          </cell>
          <cell r="BN118" t="str">
            <v xml:space="preserve">  NM</v>
          </cell>
          <cell r="BO118">
            <v>0</v>
          </cell>
          <cell r="BP118">
            <v>0</v>
          </cell>
          <cell r="BR118">
            <v>-5.0000000000000044E-2</v>
          </cell>
          <cell r="BS118">
            <v>-9.3302973479774898E-2</v>
          </cell>
          <cell r="BT118">
            <v>-9.1545257409043401E-2</v>
          </cell>
          <cell r="BV118" t="str">
            <v>2002E/01E</v>
          </cell>
          <cell r="BW118">
            <v>0.12</v>
          </cell>
          <cell r="BX118">
            <v>0.15</v>
          </cell>
          <cell r="BY118">
            <v>0.13233590555538477</v>
          </cell>
          <cell r="CA118">
            <v>0.1</v>
          </cell>
          <cell r="CB118">
            <v>0.1</v>
          </cell>
          <cell r="CC118">
            <v>9.9999999999999867E-2</v>
          </cell>
          <cell r="CE118">
            <v>0</v>
          </cell>
          <cell r="CF118" t="str">
            <v xml:space="preserve">  NM</v>
          </cell>
          <cell r="CG118">
            <v>0</v>
          </cell>
          <cell r="CI118">
            <v>9.9218911099585583E-2</v>
          </cell>
          <cell r="CJ118">
            <v>0.10000000000000009</v>
          </cell>
          <cell r="CK118">
            <v>9.9224935579228735E-2</v>
          </cell>
          <cell r="CM118">
            <v>0.03</v>
          </cell>
          <cell r="CN118">
            <v>0.02</v>
          </cell>
          <cell r="CO118">
            <v>2.9579931420607108E-2</v>
          </cell>
          <cell r="CQ118">
            <v>0</v>
          </cell>
          <cell r="CR118">
            <v>0</v>
          </cell>
          <cell r="CS118">
            <v>0</v>
          </cell>
          <cell r="CU118">
            <v>2.8066599212461352E-2</v>
          </cell>
          <cell r="CV118">
            <v>6.7482269127607797E-3</v>
          </cell>
          <cell r="CW118">
            <v>2.575565239576072E-2</v>
          </cell>
          <cell r="CY118">
            <v>0</v>
          </cell>
          <cell r="CZ118">
            <v>0.05</v>
          </cell>
          <cell r="DA118">
            <v>4.7201740517398116E-2</v>
          </cell>
          <cell r="DC118" t="str">
            <v>2002E/01E</v>
          </cell>
          <cell r="DD118">
            <v>2.2117647058823531</v>
          </cell>
          <cell r="DE118">
            <v>0.88571428571428568</v>
          </cell>
          <cell r="DF118">
            <v>1.825</v>
          </cell>
          <cell r="DH118">
            <v>0.17891196463058034</v>
          </cell>
          <cell r="DI118">
            <v>0.17891196463058034</v>
          </cell>
          <cell r="DJ118">
            <v>0.17891196463058034</v>
          </cell>
          <cell r="DL118">
            <v>0.17342020137930003</v>
          </cell>
          <cell r="DM118">
            <v>0.10861692003956191</v>
          </cell>
          <cell r="DN118">
            <v>0.14903871079673925</v>
          </cell>
          <cell r="DP118">
            <v>0.1</v>
          </cell>
          <cell r="DQ118">
            <v>0.03</v>
          </cell>
          <cell r="DR118">
            <v>6.6172941142438435E-2</v>
          </cell>
          <cell r="DT118">
            <v>0.03</v>
          </cell>
          <cell r="DU118">
            <v>0.03</v>
          </cell>
          <cell r="DV118">
            <v>3.0000000000000027E-2</v>
          </cell>
          <cell r="DX118">
            <v>0.16544545122300525</v>
          </cell>
          <cell r="DY118">
            <v>9.8778505340809231E-2</v>
          </cell>
          <cell r="DZ118">
            <v>0.13966565697895916</v>
          </cell>
        </row>
        <row r="119">
          <cell r="A119" t="str">
            <v>2003E/02E</v>
          </cell>
          <cell r="B119">
            <v>-0.3</v>
          </cell>
          <cell r="C119" t="str">
            <v>NM</v>
          </cell>
          <cell r="D119">
            <v>-0.29999999999999993</v>
          </cell>
          <cell r="F119">
            <v>0.08</v>
          </cell>
          <cell r="G119">
            <v>0.1</v>
          </cell>
          <cell r="H119">
            <v>9.1328324210383061E-2</v>
          </cell>
          <cell r="J119">
            <v>-0.2</v>
          </cell>
          <cell r="K119">
            <v>0.03</v>
          </cell>
          <cell r="L119">
            <v>-1.3903392212905707E-2</v>
          </cell>
          <cell r="M119">
            <v>0</v>
          </cell>
          <cell r="N119">
            <v>0.15</v>
          </cell>
          <cell r="O119">
            <v>0.15000000000000013</v>
          </cell>
          <cell r="Q119">
            <v>0</v>
          </cell>
          <cell r="R119">
            <v>0</v>
          </cell>
          <cell r="S119">
            <v>0</v>
          </cell>
          <cell r="U119">
            <v>2.0482663949080715E-2</v>
          </cell>
          <cell r="V119">
            <v>9.4615840901998816E-2</v>
          </cell>
          <cell r="W119">
            <v>6.5213627628823323E-2</v>
          </cell>
          <cell r="Y119">
            <v>0.06</v>
          </cell>
          <cell r="Z119">
            <v>7.0000000000000007E-2</v>
          </cell>
          <cell r="AA119">
            <v>6.203941022461068E-2</v>
          </cell>
          <cell r="AC119" t="str">
            <v xml:space="preserve">  NM</v>
          </cell>
          <cell r="AD119" t="str">
            <v xml:space="preserve">  NM</v>
          </cell>
          <cell r="AE119" t="str">
            <v xml:space="preserve">  NM</v>
          </cell>
          <cell r="AG119">
            <v>0</v>
          </cell>
          <cell r="AH119">
            <v>0</v>
          </cell>
          <cell r="AI119">
            <v>0</v>
          </cell>
          <cell r="AK119">
            <v>5.9122588023724276E-2</v>
          </cell>
          <cell r="AL119">
            <v>4.9129442989227501E-2</v>
          </cell>
          <cell r="AM119">
            <v>5.6479066609405493E-2</v>
          </cell>
          <cell r="AO119" t="str">
            <v>2003E/02E</v>
          </cell>
          <cell r="AP119">
            <v>0.02</v>
          </cell>
          <cell r="AQ119">
            <v>0.02</v>
          </cell>
          <cell r="AR119">
            <v>1.9999999999999796E-2</v>
          </cell>
          <cell r="AT119">
            <v>0.12</v>
          </cell>
          <cell r="AU119">
            <v>0.06</v>
          </cell>
          <cell r="AV119">
            <v>0.10782782860208306</v>
          </cell>
          <cell r="AX119">
            <v>0.03</v>
          </cell>
          <cell r="AY119">
            <v>0</v>
          </cell>
          <cell r="AZ119">
            <v>2.1956595866377659E-2</v>
          </cell>
          <cell r="BB119">
            <v>-0.05</v>
          </cell>
          <cell r="BC119">
            <v>-0.05</v>
          </cell>
          <cell r="BD119">
            <v>-4.9999999999999933E-2</v>
          </cell>
          <cell r="BF119">
            <v>8.5146424485448069E-2</v>
          </cell>
          <cell r="BG119">
            <v>7.103551296316013E-3</v>
          </cell>
          <cell r="BH119">
            <v>5.4138159291942323E-2</v>
          </cell>
          <cell r="BJ119">
            <v>-0.05</v>
          </cell>
          <cell r="BK119">
            <v>-0.1</v>
          </cell>
          <cell r="BL119">
            <v>-9.7716096305168643E-2</v>
          </cell>
          <cell r="BN119" t="str">
            <v xml:space="preserve">  NM</v>
          </cell>
          <cell r="BO119">
            <v>0</v>
          </cell>
          <cell r="BP119">
            <v>0</v>
          </cell>
          <cell r="BR119">
            <v>-4.9999999999999933E-2</v>
          </cell>
          <cell r="BS119">
            <v>-9.2613821018110998E-2</v>
          </cell>
          <cell r="BT119">
            <v>-9.080497419807132E-2</v>
          </cell>
          <cell r="BV119" t="str">
            <v>2003E/02E</v>
          </cell>
          <cell r="BW119">
            <v>0.1</v>
          </cell>
          <cell r="BX119">
            <v>0.1</v>
          </cell>
          <cell r="BY119">
            <v>0.10000000000000009</v>
          </cell>
          <cell r="CA119">
            <v>0.1</v>
          </cell>
          <cell r="CB119">
            <v>0.1</v>
          </cell>
          <cell r="CC119">
            <v>0.10000000000000009</v>
          </cell>
          <cell r="CE119">
            <v>0</v>
          </cell>
          <cell r="CF119" t="str">
            <v xml:space="preserve">  NM</v>
          </cell>
          <cell r="CG119">
            <v>0</v>
          </cell>
          <cell r="CI119">
            <v>9.928941460838514E-2</v>
          </cell>
          <cell r="CJ119">
            <v>0.10000000000000009</v>
          </cell>
          <cell r="CK119">
            <v>9.9294899164234618E-2</v>
          </cell>
          <cell r="CM119">
            <v>0.03</v>
          </cell>
          <cell r="CN119">
            <v>0.01</v>
          </cell>
          <cell r="CO119">
            <v>2.9167680064646317E-2</v>
          </cell>
          <cell r="CQ119">
            <v>0</v>
          </cell>
          <cell r="CR119">
            <v>0</v>
          </cell>
          <cell r="CS119">
            <v>0</v>
          </cell>
          <cell r="CU119">
            <v>2.8119381770578267E-2</v>
          </cell>
          <cell r="CV119">
            <v>3.4185267314170709E-3</v>
          </cell>
          <cell r="CW119">
            <v>2.5491384861611399E-2</v>
          </cell>
          <cell r="CY119">
            <v>0</v>
          </cell>
          <cell r="CZ119">
            <v>0.05</v>
          </cell>
          <cell r="DA119">
            <v>4.7327869717615823E-2</v>
          </cell>
          <cell r="DC119" t="str">
            <v>2003E/02E</v>
          </cell>
          <cell r="DD119">
            <v>0.87820512820512819</v>
          </cell>
          <cell r="DE119">
            <v>0.51515151515151514</v>
          </cell>
          <cell r="DF119">
            <v>0.80752212389380529</v>
          </cell>
          <cell r="DH119">
            <v>0.17661022906047585</v>
          </cell>
          <cell r="DI119">
            <v>0.17661022906047563</v>
          </cell>
          <cell r="DJ119">
            <v>0.17661022906047585</v>
          </cell>
          <cell r="DL119">
            <v>0.1752926682780811</v>
          </cell>
          <cell r="DM119">
            <v>9.760968259004299E-2</v>
          </cell>
          <cell r="DN119">
            <v>0.14709351894622347</v>
          </cell>
          <cell r="DP119">
            <v>0.08</v>
          </cell>
          <cell r="DQ119">
            <v>0.03</v>
          </cell>
          <cell r="DR119">
            <v>5.6657585758518099E-2</v>
          </cell>
          <cell r="DT119">
            <v>0.03</v>
          </cell>
          <cell r="DU119">
            <v>0.03</v>
          </cell>
          <cell r="DV119">
            <v>2.9999999999999787E-2</v>
          </cell>
          <cell r="DX119">
            <v>0.16667006818420305</v>
          </cell>
          <cell r="DY119">
            <v>8.9678370017685083E-2</v>
          </cell>
          <cell r="DZ119">
            <v>0.13796586606812045</v>
          </cell>
        </row>
        <row r="120">
          <cell r="A120" t="str">
            <v>2004E/03E</v>
          </cell>
          <cell r="B120">
            <v>-0.3</v>
          </cell>
          <cell r="C120" t="str">
            <v>NM</v>
          </cell>
          <cell r="D120">
            <v>-0.29999999999999993</v>
          </cell>
          <cell r="F120">
            <v>7.0000000000000007E-2</v>
          </cell>
          <cell r="G120">
            <v>0.08</v>
          </cell>
          <cell r="H120">
            <v>7.5709169438279433E-2</v>
          </cell>
          <cell r="J120">
            <v>-0.1</v>
          </cell>
          <cell r="K120">
            <v>0.03</v>
          </cell>
          <cell r="L120">
            <v>9.8681300635017344E-3</v>
          </cell>
          <cell r="M120">
            <v>0</v>
          </cell>
          <cell r="N120">
            <v>0.1</v>
          </cell>
          <cell r="O120">
            <v>0.10000000000000009</v>
          </cell>
          <cell r="Q120">
            <v>0</v>
          </cell>
          <cell r="R120">
            <v>0</v>
          </cell>
          <cell r="S120">
            <v>0</v>
          </cell>
          <cell r="U120">
            <v>3.302688738151538E-2</v>
          </cell>
          <cell r="V120">
            <v>7.4682692535815942E-2</v>
          </cell>
          <cell r="W120">
            <v>5.8855209304623735E-2</v>
          </cell>
          <cell r="Y120">
            <v>0.05</v>
          </cell>
          <cell r="Z120">
            <v>0.06</v>
          </cell>
          <cell r="AA120">
            <v>5.205469676485186E-2</v>
          </cell>
          <cell r="AC120" t="str">
            <v xml:space="preserve">  NM</v>
          </cell>
          <cell r="AD120" t="str">
            <v xml:space="preserve">  NM</v>
          </cell>
          <cell r="AE120" t="str">
            <v xml:space="preserve">  NM</v>
          </cell>
          <cell r="AG120">
            <v>0</v>
          </cell>
          <cell r="AH120">
            <v>0</v>
          </cell>
          <cell r="AI120">
            <v>0</v>
          </cell>
          <cell r="AK120">
            <v>4.9309639266347238E-2</v>
          </cell>
          <cell r="AL120">
            <v>4.2948673315843733E-2</v>
          </cell>
          <cell r="AM120">
            <v>4.7638656802356349E-2</v>
          </cell>
          <cell r="AO120" t="str">
            <v>2004E/03E</v>
          </cell>
          <cell r="AP120">
            <v>-0.3</v>
          </cell>
          <cell r="AQ120">
            <v>0</v>
          </cell>
          <cell r="AR120">
            <v>-0.14458676960870331</v>
          </cell>
          <cell r="AT120">
            <v>0.12</v>
          </cell>
          <cell r="AU120">
            <v>0.04</v>
          </cell>
          <cell r="AV120">
            <v>0.10447111082465677</v>
          </cell>
          <cell r="AX120">
            <v>0.02</v>
          </cell>
          <cell r="AY120">
            <v>0</v>
          </cell>
          <cell r="AZ120">
            <v>1.4752938193163923E-2</v>
          </cell>
          <cell r="BB120">
            <v>-0.05</v>
          </cell>
          <cell r="BC120">
            <v>-0.05</v>
          </cell>
          <cell r="BD120">
            <v>-4.9999999999999933E-2</v>
          </cell>
          <cell r="BF120">
            <v>1.536400950985084E-2</v>
          </cell>
          <cell r="BG120">
            <v>-4.5682206604708009E-3</v>
          </cell>
          <cell r="BH120">
            <v>7.79782886540481E-3</v>
          </cell>
          <cell r="BJ120">
            <v>-0.05</v>
          </cell>
          <cell r="BK120">
            <v>-0.1</v>
          </cell>
          <cell r="BL120">
            <v>-9.7595315065241772E-2</v>
          </cell>
          <cell r="BN120" t="str">
            <v xml:space="preserve">  NM</v>
          </cell>
          <cell r="BO120">
            <v>0</v>
          </cell>
          <cell r="BP120">
            <v>0</v>
          </cell>
          <cell r="BR120">
            <v>-4.9999999999999933E-2</v>
          </cell>
          <cell r="BS120">
            <v>-9.1859938851860612E-2</v>
          </cell>
          <cell r="BT120">
            <v>-9.0003346927349126E-2</v>
          </cell>
          <cell r="BV120" t="str">
            <v>2004E/03E</v>
          </cell>
          <cell r="BW120">
            <v>0.1</v>
          </cell>
          <cell r="BX120">
            <v>0.08</v>
          </cell>
          <cell r="BY120">
            <v>9.1647772055922783E-2</v>
          </cell>
          <cell r="CA120">
            <v>0.1</v>
          </cell>
          <cell r="CB120">
            <v>0.1</v>
          </cell>
          <cell r="CC120">
            <v>0.10000000000000009</v>
          </cell>
          <cell r="CE120">
            <v>0</v>
          </cell>
          <cell r="CF120" t="str">
            <v xml:space="preserve">  NM</v>
          </cell>
          <cell r="CG120">
            <v>0</v>
          </cell>
          <cell r="CI120">
            <v>9.9353595711764386E-2</v>
          </cell>
          <cell r="CJ120">
            <v>0.10000000000000009</v>
          </cell>
          <cell r="CK120">
            <v>9.9358588094694555E-2</v>
          </cell>
          <cell r="CM120">
            <v>0</v>
          </cell>
          <cell r="CN120">
            <v>0</v>
          </cell>
          <cell r="CO120">
            <v>0</v>
          </cell>
          <cell r="CQ120">
            <v>0</v>
          </cell>
          <cell r="CR120">
            <v>0</v>
          </cell>
          <cell r="CS120">
            <v>0</v>
          </cell>
          <cell r="CU120">
            <v>0</v>
          </cell>
          <cell r="CV120">
            <v>0</v>
          </cell>
          <cell r="CW120">
            <v>0</v>
          </cell>
          <cell r="CY120">
            <v>0</v>
          </cell>
          <cell r="CZ120">
            <v>0.05</v>
          </cell>
          <cell r="DA120">
            <v>4.7448621048244988E-2</v>
          </cell>
          <cell r="DC120" t="str">
            <v>2004E/03E</v>
          </cell>
          <cell r="DD120">
            <v>0.53488542174549003</v>
          </cell>
          <cell r="DE120">
            <v>0.6</v>
          </cell>
          <cell r="DF120">
            <v>0.54551203590371278</v>
          </cell>
          <cell r="DH120">
            <v>-2.6458629046233084E-2</v>
          </cell>
          <cell r="DI120">
            <v>-2.6458629046232862E-2</v>
          </cell>
          <cell r="DJ120">
            <v>-2.6458629046232973E-2</v>
          </cell>
          <cell r="DL120">
            <v>0.1026062119048472</v>
          </cell>
          <cell r="DM120">
            <v>7.2689154902678688E-2</v>
          </cell>
          <cell r="DN120">
            <v>9.221471599966824E-2</v>
          </cell>
          <cell r="DP120">
            <v>7.0000000000000007E-2</v>
          </cell>
          <cell r="DQ120">
            <v>0.03</v>
          </cell>
          <cell r="DR120">
            <v>5.1797178580633492E-2</v>
          </cell>
          <cell r="DT120">
            <v>0.03</v>
          </cell>
          <cell r="DU120">
            <v>0.03</v>
          </cell>
          <cell r="DV120">
            <v>3.0000000000000044E-2</v>
          </cell>
          <cell r="DX120">
            <v>9.9487542864871159E-2</v>
          </cell>
          <cell r="DY120">
            <v>6.7955543303482635E-2</v>
          </cell>
          <cell r="DZ120">
            <v>8.8230555271552991E-2</v>
          </cell>
        </row>
        <row r="121">
          <cell r="A121" t="str">
            <v>2005E/04E</v>
          </cell>
          <cell r="B121">
            <v>-0.3</v>
          </cell>
          <cell r="C121" t="str">
            <v>NM</v>
          </cell>
          <cell r="D121">
            <v>-0.30000000000000004</v>
          </cell>
          <cell r="F121">
            <v>0.06</v>
          </cell>
          <cell r="G121">
            <v>0.06</v>
          </cell>
          <cell r="H121">
            <v>6.0000000000000053E-2</v>
          </cell>
          <cell r="J121">
            <v>-0.1</v>
          </cell>
          <cell r="K121">
            <v>0.03</v>
          </cell>
          <cell r="L121">
            <v>1.2058367420992422E-2</v>
          </cell>
          <cell r="M121">
            <v>0</v>
          </cell>
          <cell r="N121">
            <v>0.08</v>
          </cell>
          <cell r="O121">
            <v>8.0000000000000071E-2</v>
          </cell>
          <cell r="Q121">
            <v>0</v>
          </cell>
          <cell r="R121">
            <v>0</v>
          </cell>
          <cell r="S121">
            <v>0</v>
          </cell>
          <cell r="U121">
            <v>3.449164456979914E-2</v>
          </cell>
          <cell r="V121">
            <v>5.7999889775107283E-2</v>
          </cell>
          <cell r="W121">
            <v>4.9285608201385056E-2</v>
          </cell>
          <cell r="Y121">
            <v>0.05</v>
          </cell>
          <cell r="Z121">
            <v>0.05</v>
          </cell>
          <cell r="AA121">
            <v>4.9999999999999822E-2</v>
          </cell>
          <cell r="AC121" t="str">
            <v xml:space="preserve">  NM</v>
          </cell>
          <cell r="AD121" t="str">
            <v xml:space="preserve">  NM</v>
          </cell>
          <cell r="AE121" t="str">
            <v xml:space="preserve">  NM</v>
          </cell>
          <cell r="AG121">
            <v>0</v>
          </cell>
          <cell r="AH121">
            <v>0</v>
          </cell>
          <cell r="AI121">
            <v>0</v>
          </cell>
          <cell r="AK121">
            <v>4.9342081014203121E-2</v>
          </cell>
          <cell r="AL121">
            <v>3.6375706430223698E-2</v>
          </cell>
          <cell r="AM121">
            <v>4.5951151159111969E-2</v>
          </cell>
          <cell r="AO121" t="str">
            <v>2005E/04E</v>
          </cell>
          <cell r="AP121">
            <v>-0.25</v>
          </cell>
          <cell r="AQ121">
            <v>0</v>
          </cell>
          <cell r="AR121">
            <v>-9.8598290598290617E-2</v>
          </cell>
          <cell r="AT121">
            <v>0.1</v>
          </cell>
          <cell r="AU121">
            <v>0.04</v>
          </cell>
          <cell r="AV121">
            <v>8.9033182092265184E-2</v>
          </cell>
          <cell r="AX121">
            <v>0.02</v>
          </cell>
          <cell r="AY121">
            <v>0</v>
          </cell>
          <cell r="AZ121">
            <v>1.4829222356153915E-2</v>
          </cell>
          <cell r="BB121">
            <v>-0.05</v>
          </cell>
          <cell r="BC121">
            <v>-0.05</v>
          </cell>
          <cell r="BD121">
            <v>-4.9999999999999933E-2</v>
          </cell>
          <cell r="BF121">
            <v>3.7494117697708829E-2</v>
          </cell>
          <cell r="BG121">
            <v>-3.3447138376391239E-3</v>
          </cell>
          <cell r="BH121">
            <v>2.2182107726498979E-2</v>
          </cell>
          <cell r="BJ121">
            <v>-0.05</v>
          </cell>
          <cell r="BK121">
            <v>-0.1</v>
          </cell>
          <cell r="BL121">
            <v>-9.7468485341268618E-2</v>
          </cell>
          <cell r="BN121" t="str">
            <v xml:space="preserve">  NM</v>
          </cell>
          <cell r="BO121">
            <v>0</v>
          </cell>
          <cell r="BP121">
            <v>0</v>
          </cell>
          <cell r="BR121">
            <v>-5.0000000000000044E-2</v>
          </cell>
          <cell r="BS121">
            <v>-9.1036557579182165E-2</v>
          </cell>
          <cell r="BT121">
            <v>-8.9136474458674897E-2</v>
          </cell>
          <cell r="BV121" t="str">
            <v>2005E/04E</v>
          </cell>
          <cell r="BW121">
            <v>0.08</v>
          </cell>
          <cell r="BX121">
            <v>7.0000000000000007E-2</v>
          </cell>
          <cell r="BY121">
            <v>7.5868444744491725E-2</v>
          </cell>
          <cell r="CA121">
            <v>0.08</v>
          </cell>
          <cell r="CB121">
            <v>0.08</v>
          </cell>
          <cell r="CC121">
            <v>8.0000000000000071E-2</v>
          </cell>
          <cell r="CE121">
            <v>0</v>
          </cell>
          <cell r="CF121" t="str">
            <v xml:space="preserve">  NM</v>
          </cell>
          <cell r="CG121">
            <v>0</v>
          </cell>
          <cell r="CI121">
            <v>7.9529611371077058E-2</v>
          </cell>
          <cell r="CJ121">
            <v>8.0000000000000071E-2</v>
          </cell>
          <cell r="CK121">
            <v>7.9533246449519757E-2</v>
          </cell>
          <cell r="CM121">
            <v>0</v>
          </cell>
          <cell r="CN121">
            <v>0</v>
          </cell>
          <cell r="CO121">
            <v>0</v>
          </cell>
          <cell r="CQ121">
            <v>0</v>
          </cell>
          <cell r="CR121">
            <v>0</v>
          </cell>
          <cell r="CS121">
            <v>0</v>
          </cell>
          <cell r="CU121">
            <v>0</v>
          </cell>
          <cell r="CV121">
            <v>0</v>
          </cell>
          <cell r="CW121">
            <v>0</v>
          </cell>
          <cell r="CY121">
            <v>0</v>
          </cell>
          <cell r="CZ121">
            <v>0.05</v>
          </cell>
          <cell r="DA121">
            <v>4.7564196562498884E-2</v>
          </cell>
          <cell r="DC121" t="str">
            <v>2005E/04E</v>
          </cell>
          <cell r="DD121">
            <v>0.36048267975413362</v>
          </cell>
          <cell r="DE121">
            <v>0.25</v>
          </cell>
          <cell r="DF121">
            <v>0.34181636990008057</v>
          </cell>
          <cell r="DH121">
            <v>0.10570604507868819</v>
          </cell>
          <cell r="DI121">
            <v>0.10570604507868797</v>
          </cell>
          <cell r="DJ121">
            <v>0.10570604507868797</v>
          </cell>
          <cell r="DL121">
            <v>0.13072326607649076</v>
          </cell>
          <cell r="DM121">
            <v>6.7686532523902887E-2</v>
          </cell>
          <cell r="DN121">
            <v>0.10921928997423525</v>
          </cell>
          <cell r="DP121">
            <v>0.06</v>
          </cell>
          <cell r="DQ121">
            <v>0.03</v>
          </cell>
          <cell r="DR121">
            <v>4.6630806934245393E-2</v>
          </cell>
          <cell r="DT121">
            <v>0.03</v>
          </cell>
          <cell r="DU121">
            <v>0.03</v>
          </cell>
          <cell r="DV121">
            <v>3.000000000000011E-2</v>
          </cell>
          <cell r="DX121">
            <v>0.1252547275801561</v>
          </cell>
          <cell r="DY121">
            <v>6.3656159029472859E-2</v>
          </cell>
          <cell r="DZ121">
            <v>0.10367362872603003</v>
          </cell>
        </row>
        <row r="123">
          <cell r="A123" t="str">
            <v>2001E</v>
          </cell>
          <cell r="B123">
            <v>317.37600000000003</v>
          </cell>
          <cell r="C123">
            <v>0</v>
          </cell>
          <cell r="D123">
            <v>317.37600000000003</v>
          </cell>
          <cell r="F123">
            <v>1651.5135</v>
          </cell>
          <cell r="G123">
            <v>2080.4175</v>
          </cell>
          <cell r="H123">
            <v>3731.931</v>
          </cell>
          <cell r="J123">
            <v>160.19999999999999</v>
          </cell>
          <cell r="K123">
            <v>461.49150000000003</v>
          </cell>
          <cell r="L123">
            <v>621.69150000000002</v>
          </cell>
          <cell r="M123">
            <v>0</v>
          </cell>
          <cell r="N123">
            <v>362.88000000000005</v>
          </cell>
          <cell r="O123">
            <v>362.88000000000005</v>
          </cell>
          <cell r="Q123">
            <v>3</v>
          </cell>
          <cell r="R123">
            <v>52.250000000000007</v>
          </cell>
          <cell r="S123">
            <v>55.250000000000007</v>
          </cell>
          <cell r="U123">
            <v>2132.0895</v>
          </cell>
          <cell r="V123">
            <v>2957.0390000000002</v>
          </cell>
          <cell r="W123">
            <v>5089.1285000000007</v>
          </cell>
          <cell r="Y123">
            <v>1907.0640000000003</v>
          </cell>
          <cell r="Z123">
            <v>479.52000000000004</v>
          </cell>
          <cell r="AA123">
            <v>2386.5840000000003</v>
          </cell>
          <cell r="AC123">
            <v>0</v>
          </cell>
          <cell r="AD123">
            <v>0</v>
          </cell>
          <cell r="AE123">
            <v>0</v>
          </cell>
          <cell r="AG123">
            <v>30</v>
          </cell>
          <cell r="AH123">
            <v>220</v>
          </cell>
          <cell r="AI123">
            <v>250</v>
          </cell>
          <cell r="AK123">
            <v>1937.0640000000003</v>
          </cell>
          <cell r="AL123">
            <v>699.52</v>
          </cell>
          <cell r="AM123">
            <v>2636.5840000000003</v>
          </cell>
          <cell r="AO123" t="str">
            <v>2001E</v>
          </cell>
          <cell r="AP123">
            <v>519.12</v>
          </cell>
          <cell r="AQ123">
            <v>557.9910000000001</v>
          </cell>
          <cell r="AR123">
            <v>1077.1110000000001</v>
          </cell>
          <cell r="AT123">
            <v>1333.0224000000001</v>
          </cell>
          <cell r="AU123">
            <v>351.59040000000005</v>
          </cell>
          <cell r="AV123">
            <v>1684.6128000000001</v>
          </cell>
          <cell r="AX123">
            <v>23.256000000000004</v>
          </cell>
          <cell r="AY123">
            <v>8.7749999999999986</v>
          </cell>
          <cell r="AZ123">
            <v>32.031000000000006</v>
          </cell>
          <cell r="BB123">
            <v>133.57</v>
          </cell>
          <cell r="BC123">
            <v>511.26624999999996</v>
          </cell>
          <cell r="BD123">
            <v>644.83624999999995</v>
          </cell>
          <cell r="BF123">
            <v>2008.9684000000002</v>
          </cell>
          <cell r="BG123">
            <v>1429.62265</v>
          </cell>
          <cell r="BH123">
            <v>3438.59105</v>
          </cell>
          <cell r="BJ123">
            <v>6.317499999999999</v>
          </cell>
          <cell r="BK123">
            <v>139.32000000000002</v>
          </cell>
          <cell r="BL123">
            <v>145.63750000000002</v>
          </cell>
          <cell r="BN123">
            <v>0</v>
          </cell>
          <cell r="BO123">
            <v>10</v>
          </cell>
          <cell r="BP123">
            <v>10</v>
          </cell>
          <cell r="BR123">
            <v>6.317499999999999</v>
          </cell>
          <cell r="BS123">
            <v>149.32000000000002</v>
          </cell>
          <cell r="BT123">
            <v>155.63750000000002</v>
          </cell>
          <cell r="BV123" t="str">
            <v>2001E</v>
          </cell>
          <cell r="BW123">
            <v>949.93920000000003</v>
          </cell>
          <cell r="BX123">
            <v>663.4</v>
          </cell>
          <cell r="BY123">
            <v>1613.3391999999999</v>
          </cell>
          <cell r="CA123">
            <v>762.15839999999992</v>
          </cell>
          <cell r="CB123">
            <v>5.9708000000000006</v>
          </cell>
          <cell r="CC123">
            <v>768.12919999999997</v>
          </cell>
          <cell r="CE123">
            <v>6</v>
          </cell>
          <cell r="CF123">
            <v>0</v>
          </cell>
          <cell r="CG123">
            <v>6</v>
          </cell>
          <cell r="CI123">
            <v>768.15839999999992</v>
          </cell>
          <cell r="CJ123">
            <v>5.9708000000000006</v>
          </cell>
          <cell r="CK123">
            <v>774.12919999999997</v>
          </cell>
          <cell r="CM123">
            <v>290.33400000000006</v>
          </cell>
          <cell r="CN123">
            <v>12.730799999999999</v>
          </cell>
          <cell r="CO123">
            <v>303.06480000000005</v>
          </cell>
          <cell r="CQ123">
            <v>20</v>
          </cell>
          <cell r="CR123">
            <v>25</v>
          </cell>
          <cell r="CS123">
            <v>45</v>
          </cell>
          <cell r="CU123">
            <v>310.33400000000006</v>
          </cell>
          <cell r="CV123">
            <v>37.730800000000002</v>
          </cell>
          <cell r="CW123">
            <v>348.06480000000005</v>
          </cell>
          <cell r="CY123">
            <v>12</v>
          </cell>
          <cell r="CZ123">
            <v>202.41900000000001</v>
          </cell>
          <cell r="DA123">
            <v>214.41900000000001</v>
          </cell>
          <cell r="DC123" t="str">
            <v>2001E</v>
          </cell>
          <cell r="DD123">
            <v>425</v>
          </cell>
          <cell r="DE123">
            <v>175</v>
          </cell>
          <cell r="DF123">
            <v>600</v>
          </cell>
          <cell r="DH123">
            <v>3292.7904499199999</v>
          </cell>
          <cell r="DI123">
            <v>823.19761247999998</v>
          </cell>
          <cell r="DJ123">
            <v>4115.9880623999998</v>
          </cell>
          <cell r="DL123">
            <v>11842.66144992</v>
          </cell>
          <cell r="DM123">
            <v>7143.2198624800003</v>
          </cell>
          <cell r="DN123">
            <v>18985.881312400001</v>
          </cell>
          <cell r="DP123">
            <v>793.16160000000002</v>
          </cell>
          <cell r="DQ123">
            <v>741.72360000000003</v>
          </cell>
          <cell r="DR123">
            <v>1534.8852000000002</v>
          </cell>
          <cell r="DT123">
            <v>314.02639999999997</v>
          </cell>
          <cell r="DU123">
            <v>280.07760000000002</v>
          </cell>
          <cell r="DV123">
            <v>594.10400000000004</v>
          </cell>
          <cell r="DX123">
            <v>12949.849449920001</v>
          </cell>
          <cell r="DY123">
            <v>8165.0210624800002</v>
          </cell>
          <cell r="DZ123">
            <v>21114.870512400001</v>
          </cell>
        </row>
        <row r="124">
          <cell r="A124" t="str">
            <v>2002E</v>
          </cell>
          <cell r="B124">
            <v>253.90080000000003</v>
          </cell>
          <cell r="C124">
            <v>0</v>
          </cell>
          <cell r="D124">
            <v>253.90080000000003</v>
          </cell>
          <cell r="F124">
            <v>1783.6345799999999</v>
          </cell>
          <cell r="G124">
            <v>2330.0675999999999</v>
          </cell>
          <cell r="H124">
            <v>4113.7021800000002</v>
          </cell>
          <cell r="J124">
            <v>112.13999999999999</v>
          </cell>
          <cell r="K124">
            <v>475.33624500000002</v>
          </cell>
          <cell r="L124">
            <v>587.47624500000006</v>
          </cell>
          <cell r="M124">
            <v>0</v>
          </cell>
          <cell r="N124">
            <v>417.31200000000007</v>
          </cell>
          <cell r="O124">
            <v>417.31200000000007</v>
          </cell>
          <cell r="Q124">
            <v>3</v>
          </cell>
          <cell r="R124">
            <v>52.250000000000007</v>
          </cell>
          <cell r="S124">
            <v>55.250000000000007</v>
          </cell>
          <cell r="U124">
            <v>2152.6753800000001</v>
          </cell>
          <cell r="V124">
            <v>3274.9658449999997</v>
          </cell>
          <cell r="W124">
            <v>5427.6412249999994</v>
          </cell>
          <cell r="Y124">
            <v>2021.4878400000002</v>
          </cell>
          <cell r="Z124">
            <v>517.88160000000005</v>
          </cell>
          <cell r="AA124">
            <v>2539.3694400000004</v>
          </cell>
          <cell r="AC124">
            <v>0</v>
          </cell>
          <cell r="AD124">
            <v>0</v>
          </cell>
          <cell r="AE124">
            <v>0</v>
          </cell>
          <cell r="AG124">
            <v>30</v>
          </cell>
          <cell r="AH124">
            <v>220</v>
          </cell>
          <cell r="AI124">
            <v>250</v>
          </cell>
          <cell r="AK124">
            <v>2051.4878400000002</v>
          </cell>
          <cell r="AL124">
            <v>737.88160000000005</v>
          </cell>
          <cell r="AM124">
            <v>2789.3694400000004</v>
          </cell>
          <cell r="AO124" t="str">
            <v>2002E</v>
          </cell>
          <cell r="AP124">
            <v>529.50239999999997</v>
          </cell>
          <cell r="AQ124">
            <v>569.15082000000007</v>
          </cell>
          <cell r="AR124">
            <v>1098.6532200000001</v>
          </cell>
          <cell r="AT124">
            <v>1519.645536</v>
          </cell>
          <cell r="AU124">
            <v>386.74944000000005</v>
          </cell>
          <cell r="AV124">
            <v>1906.394976</v>
          </cell>
          <cell r="AX124">
            <v>23.953680000000006</v>
          </cell>
          <cell r="AY124">
            <v>8.7749999999999986</v>
          </cell>
          <cell r="AZ124">
            <v>32.728680000000004</v>
          </cell>
          <cell r="BB124">
            <v>126.89149999999999</v>
          </cell>
          <cell r="BC124">
            <v>485.70293749999996</v>
          </cell>
          <cell r="BD124">
            <v>612.59443749999991</v>
          </cell>
          <cell r="BF124">
            <v>2199.9931160000001</v>
          </cell>
          <cell r="BG124">
            <v>1450.3781975000002</v>
          </cell>
          <cell r="BH124">
            <v>3650.3713135000003</v>
          </cell>
          <cell r="BJ124">
            <v>6.0016249999999989</v>
          </cell>
          <cell r="BK124">
            <v>125.38800000000002</v>
          </cell>
          <cell r="BL124">
            <v>131.38962500000002</v>
          </cell>
          <cell r="BN124">
            <v>0</v>
          </cell>
          <cell r="BO124">
            <v>10</v>
          </cell>
          <cell r="BP124">
            <v>10</v>
          </cell>
          <cell r="BR124">
            <v>6.0016249999999989</v>
          </cell>
          <cell r="BS124">
            <v>135.38800000000003</v>
          </cell>
          <cell r="BT124">
            <v>141.38962500000002</v>
          </cell>
          <cell r="BV124" t="str">
            <v>2002E</v>
          </cell>
          <cell r="BW124">
            <v>1063.931904</v>
          </cell>
          <cell r="BX124">
            <v>762.91</v>
          </cell>
          <cell r="BY124">
            <v>1826.8419039999999</v>
          </cell>
          <cell r="CA124">
            <v>838.37423999999987</v>
          </cell>
          <cell r="CB124">
            <v>6.5678800000000006</v>
          </cell>
          <cell r="CC124">
            <v>844.94211999999982</v>
          </cell>
          <cell r="CE124">
            <v>6</v>
          </cell>
          <cell r="CF124">
            <v>0</v>
          </cell>
          <cell r="CG124">
            <v>6</v>
          </cell>
          <cell r="CI124">
            <v>844.37423999999987</v>
          </cell>
          <cell r="CJ124">
            <v>6.5678800000000006</v>
          </cell>
          <cell r="CK124">
            <v>850.94211999999982</v>
          </cell>
          <cell r="CM124">
            <v>299.04402000000005</v>
          </cell>
          <cell r="CN124">
            <v>12.985415999999999</v>
          </cell>
          <cell r="CO124">
            <v>312.02943600000003</v>
          </cell>
          <cell r="CQ124">
            <v>20</v>
          </cell>
          <cell r="CR124">
            <v>25</v>
          </cell>
          <cell r="CS124">
            <v>45</v>
          </cell>
          <cell r="CU124">
            <v>319.04402000000005</v>
          </cell>
          <cell r="CV124">
            <v>37.985416000000001</v>
          </cell>
          <cell r="CW124">
            <v>357.02943600000003</v>
          </cell>
          <cell r="CY124">
            <v>12</v>
          </cell>
          <cell r="CZ124">
            <v>212.53995</v>
          </cell>
          <cell r="DA124">
            <v>224.53995</v>
          </cell>
          <cell r="DC124" t="str">
            <v>2002E</v>
          </cell>
          <cell r="DD124">
            <v>1365</v>
          </cell>
          <cell r="DE124">
            <v>330</v>
          </cell>
          <cell r="DF124">
            <v>1695</v>
          </cell>
          <cell r="DH124">
            <v>3881.9100584319995</v>
          </cell>
          <cell r="DI124">
            <v>970.47751460799998</v>
          </cell>
          <cell r="DJ124">
            <v>4852.3875730399996</v>
          </cell>
          <cell r="DL124">
            <v>13896.418183432001</v>
          </cell>
          <cell r="DM124">
            <v>7919.0944031080007</v>
          </cell>
          <cell r="DN124">
            <v>21815.51258654</v>
          </cell>
          <cell r="DP124">
            <v>872.47775999999999</v>
          </cell>
          <cell r="DQ124">
            <v>763.97530800000004</v>
          </cell>
          <cell r="DR124">
            <v>1636.453068</v>
          </cell>
          <cell r="DT124">
            <v>323.44719199999997</v>
          </cell>
          <cell r="DU124">
            <v>288.47992800000003</v>
          </cell>
          <cell r="DV124">
            <v>611.92712000000006</v>
          </cell>
          <cell r="DX124">
            <v>15092.343135432</v>
          </cell>
          <cell r="DY124">
            <v>8971.5496391080014</v>
          </cell>
          <cell r="DZ124">
            <v>24063.89277454</v>
          </cell>
        </row>
        <row r="125">
          <cell r="A125" t="str">
            <v>2003E</v>
          </cell>
          <cell r="B125">
            <v>177.73056000000003</v>
          </cell>
          <cell r="C125">
            <v>0</v>
          </cell>
          <cell r="D125">
            <v>177.73056000000003</v>
          </cell>
          <cell r="F125">
            <v>1926.3253463999999</v>
          </cell>
          <cell r="G125">
            <v>2563.0743599999996</v>
          </cell>
          <cell r="H125">
            <v>4489.3997063999996</v>
          </cell>
          <cell r="J125">
            <v>89.711999999999989</v>
          </cell>
          <cell r="K125">
            <v>489.59633235000001</v>
          </cell>
          <cell r="L125">
            <v>579.30833235</v>
          </cell>
          <cell r="M125">
            <v>0</v>
          </cell>
          <cell r="N125">
            <v>479.9088000000001</v>
          </cell>
          <cell r="O125">
            <v>479.9088000000001</v>
          </cell>
          <cell r="Q125">
            <v>3</v>
          </cell>
          <cell r="R125">
            <v>52.250000000000007</v>
          </cell>
          <cell r="S125">
            <v>55.250000000000007</v>
          </cell>
          <cell r="U125">
            <v>2196.7679063999999</v>
          </cell>
          <cell r="V125">
            <v>3584.8294923499998</v>
          </cell>
          <cell r="W125">
            <v>5781.5973987500001</v>
          </cell>
          <cell r="Y125">
            <v>2142.7771104000003</v>
          </cell>
          <cell r="Z125">
            <v>554.13331200000005</v>
          </cell>
          <cell r="AA125">
            <v>2696.9104224000002</v>
          </cell>
          <cell r="AC125">
            <v>0</v>
          </cell>
          <cell r="AD125">
            <v>0</v>
          </cell>
          <cell r="AE125">
            <v>0</v>
          </cell>
          <cell r="AG125">
            <v>30</v>
          </cell>
          <cell r="AH125">
            <v>220</v>
          </cell>
          <cell r="AI125">
            <v>250</v>
          </cell>
          <cell r="AK125">
            <v>2172.7771104000003</v>
          </cell>
          <cell r="AL125">
            <v>774.13331200000005</v>
          </cell>
          <cell r="AM125">
            <v>2946.9104224000002</v>
          </cell>
          <cell r="AO125" t="str">
            <v>2003E</v>
          </cell>
          <cell r="AP125">
            <v>540.09244799999999</v>
          </cell>
          <cell r="AQ125">
            <v>580.53383640000004</v>
          </cell>
          <cell r="AR125">
            <v>1120.6262844</v>
          </cell>
          <cell r="AT125">
            <v>1702.00300032</v>
          </cell>
          <cell r="AU125">
            <v>409.95440640000004</v>
          </cell>
          <cell r="AV125">
            <v>2111.9574067200001</v>
          </cell>
          <cell r="AX125">
            <v>24.672290400000005</v>
          </cell>
          <cell r="AY125">
            <v>8.7749999999999986</v>
          </cell>
          <cell r="AZ125">
            <v>33.4472904</v>
          </cell>
          <cell r="BB125">
            <v>120.54692499999999</v>
          </cell>
          <cell r="BC125">
            <v>461.41779062499995</v>
          </cell>
          <cell r="BD125">
            <v>581.96471562499994</v>
          </cell>
          <cell r="BF125">
            <v>2387.3146637199998</v>
          </cell>
          <cell r="BG125">
            <v>1460.6810334249999</v>
          </cell>
          <cell r="BH125">
            <v>3847.9956971449997</v>
          </cell>
          <cell r="BJ125">
            <v>5.701543749999999</v>
          </cell>
          <cell r="BK125">
            <v>112.84920000000002</v>
          </cell>
          <cell r="BL125">
            <v>118.55074375000002</v>
          </cell>
          <cell r="BN125">
            <v>0</v>
          </cell>
          <cell r="BO125">
            <v>10</v>
          </cell>
          <cell r="BP125">
            <v>10</v>
          </cell>
          <cell r="BR125">
            <v>5.701543749999999</v>
          </cell>
          <cell r="BS125">
            <v>122.84920000000002</v>
          </cell>
          <cell r="BT125">
            <v>128.55074375000004</v>
          </cell>
          <cell r="BV125" t="str">
            <v>2003E</v>
          </cell>
          <cell r="BW125">
            <v>1170.3250944000001</v>
          </cell>
          <cell r="BX125">
            <v>839.20100000000002</v>
          </cell>
          <cell r="BY125">
            <v>2009.5260944000001</v>
          </cell>
          <cell r="CA125">
            <v>922.21166399999993</v>
          </cell>
          <cell r="CB125">
            <v>7.2246680000000012</v>
          </cell>
          <cell r="CC125">
            <v>929.43633199999988</v>
          </cell>
          <cell r="CE125">
            <v>6</v>
          </cell>
          <cell r="CF125">
            <v>0</v>
          </cell>
          <cell r="CG125">
            <v>6</v>
          </cell>
          <cell r="CI125">
            <v>928.21166399999993</v>
          </cell>
          <cell r="CJ125">
            <v>7.2246680000000012</v>
          </cell>
          <cell r="CK125">
            <v>935.43633199999988</v>
          </cell>
          <cell r="CM125">
            <v>308.01534060000006</v>
          </cell>
          <cell r="CN125">
            <v>13.11527016</v>
          </cell>
          <cell r="CO125">
            <v>321.13061076000008</v>
          </cell>
          <cell r="CQ125">
            <v>20</v>
          </cell>
          <cell r="CR125">
            <v>25</v>
          </cell>
          <cell r="CS125">
            <v>45</v>
          </cell>
          <cell r="CU125">
            <v>328.01534060000006</v>
          </cell>
          <cell r="CV125">
            <v>38.115270160000001</v>
          </cell>
          <cell r="CW125">
            <v>366.13061076000008</v>
          </cell>
          <cell r="CY125">
            <v>12</v>
          </cell>
          <cell r="CZ125">
            <v>223.16694749999999</v>
          </cell>
          <cell r="DA125">
            <v>235.16694749999999</v>
          </cell>
          <cell r="DC125" t="str">
            <v>2003E</v>
          </cell>
          <cell r="DD125">
            <v>2563.75</v>
          </cell>
          <cell r="DE125">
            <v>500</v>
          </cell>
          <cell r="DF125">
            <v>3063.75</v>
          </cell>
          <cell r="DH125">
            <v>4567.4950830438402</v>
          </cell>
          <cell r="DI125">
            <v>1141.87377076096</v>
          </cell>
          <cell r="DJ125">
            <v>5709.3688538048</v>
          </cell>
          <cell r="DL125">
            <v>16332.358406313841</v>
          </cell>
          <cell r="DM125">
            <v>8692.0746941959587</v>
          </cell>
          <cell r="DN125">
            <v>25024.433100509799</v>
          </cell>
          <cell r="DP125">
            <v>942.27598079999996</v>
          </cell>
          <cell r="DQ125">
            <v>786.89456724000001</v>
          </cell>
          <cell r="DR125">
            <v>1729.1705480400001</v>
          </cell>
          <cell r="DT125">
            <v>333.15060775999996</v>
          </cell>
          <cell r="DU125">
            <v>297.13432584000003</v>
          </cell>
          <cell r="DV125">
            <v>630.28493359999993</v>
          </cell>
          <cell r="DX125">
            <v>17607.78499487384</v>
          </cell>
          <cell r="DY125">
            <v>9776.1035872759585</v>
          </cell>
          <cell r="DZ125">
            <v>27383.888582149797</v>
          </cell>
        </row>
        <row r="126">
          <cell r="A126" t="str">
            <v>2004E</v>
          </cell>
          <cell r="B126">
            <v>124.41139200000002</v>
          </cell>
          <cell r="C126">
            <v>0</v>
          </cell>
          <cell r="D126">
            <v>124.41139200000002</v>
          </cell>
          <cell r="F126">
            <v>2061.1681206479998</v>
          </cell>
          <cell r="G126">
            <v>2768.1203087999997</v>
          </cell>
          <cell r="H126">
            <v>4829.2884294479991</v>
          </cell>
          <cell r="J126">
            <v>80.740799999999993</v>
          </cell>
          <cell r="K126">
            <v>504.28422232050002</v>
          </cell>
          <cell r="L126">
            <v>585.02502232050006</v>
          </cell>
          <cell r="M126">
            <v>0</v>
          </cell>
          <cell r="N126">
            <v>527.8996800000001</v>
          </cell>
          <cell r="O126">
            <v>527.8996800000001</v>
          </cell>
          <cell r="Q126">
            <v>3</v>
          </cell>
          <cell r="R126">
            <v>52.250000000000007</v>
          </cell>
          <cell r="S126">
            <v>55.250000000000007</v>
          </cell>
          <cell r="U126">
            <v>2269.3203126479998</v>
          </cell>
          <cell r="V126">
            <v>3852.5542111205</v>
          </cell>
          <cell r="W126">
            <v>6121.8745237684998</v>
          </cell>
          <cell r="Y126">
            <v>2249.9159659200004</v>
          </cell>
          <cell r="Z126">
            <v>587.3813107200001</v>
          </cell>
          <cell r="AA126">
            <v>2837.2972766400007</v>
          </cell>
          <cell r="AC126">
            <v>0</v>
          </cell>
          <cell r="AD126">
            <v>0</v>
          </cell>
          <cell r="AE126">
            <v>0</v>
          </cell>
          <cell r="AG126">
            <v>30</v>
          </cell>
          <cell r="AH126">
            <v>220</v>
          </cell>
          <cell r="AI126">
            <v>250</v>
          </cell>
          <cell r="AK126">
            <v>2279.9159659200004</v>
          </cell>
          <cell r="AL126">
            <v>807.3813107200001</v>
          </cell>
          <cell r="AM126">
            <v>3087.2972766400007</v>
          </cell>
          <cell r="AO126" t="str">
            <v>2004E</v>
          </cell>
          <cell r="AP126">
            <v>378.0647136</v>
          </cell>
          <cell r="AQ126">
            <v>580.53383640000004</v>
          </cell>
          <cell r="AR126">
            <v>958.59855000000005</v>
          </cell>
          <cell r="AT126">
            <v>1906.2433603584</v>
          </cell>
          <cell r="AU126">
            <v>426.35258265600004</v>
          </cell>
          <cell r="AV126">
            <v>2332.5959430143998</v>
          </cell>
          <cell r="AX126">
            <v>25.165736208000006</v>
          </cell>
          <cell r="AY126">
            <v>8.7749999999999986</v>
          </cell>
          <cell r="AZ126">
            <v>33.940736208000004</v>
          </cell>
          <cell r="BB126">
            <v>114.51957874999999</v>
          </cell>
          <cell r="BC126">
            <v>438.34690109374998</v>
          </cell>
          <cell r="BD126">
            <v>552.86647984374997</v>
          </cell>
          <cell r="BF126">
            <v>2423.9933889164004</v>
          </cell>
          <cell r="BG126">
            <v>1454.00832014975</v>
          </cell>
          <cell r="BH126">
            <v>3878.0017090661504</v>
          </cell>
          <cell r="BJ126">
            <v>5.4164665624999992</v>
          </cell>
          <cell r="BK126">
            <v>101.56428000000002</v>
          </cell>
          <cell r="BL126">
            <v>106.98074656250003</v>
          </cell>
          <cell r="BN126">
            <v>0</v>
          </cell>
          <cell r="BO126">
            <v>10</v>
          </cell>
          <cell r="BP126">
            <v>10</v>
          </cell>
          <cell r="BR126">
            <v>5.4164665624999992</v>
          </cell>
          <cell r="BS126">
            <v>111.56428000000002</v>
          </cell>
          <cell r="BT126">
            <v>116.98074656250003</v>
          </cell>
          <cell r="BV126" t="str">
            <v>2004E</v>
          </cell>
          <cell r="BW126">
            <v>1287.3576038400001</v>
          </cell>
          <cell r="BX126">
            <v>906.33708000000001</v>
          </cell>
          <cell r="BY126">
            <v>2193.6946838399999</v>
          </cell>
          <cell r="CA126">
            <v>1014.4328303999999</v>
          </cell>
          <cell r="CB126">
            <v>7.9471348000000015</v>
          </cell>
          <cell r="CC126">
            <v>1022.3799651999999</v>
          </cell>
          <cell r="CE126">
            <v>6</v>
          </cell>
          <cell r="CF126">
            <v>0</v>
          </cell>
          <cell r="CG126">
            <v>6</v>
          </cell>
          <cell r="CI126">
            <v>1020.4328303999999</v>
          </cell>
          <cell r="CJ126">
            <v>7.9471348000000015</v>
          </cell>
          <cell r="CK126">
            <v>1028.3799651999998</v>
          </cell>
          <cell r="CM126">
            <v>308.01534060000006</v>
          </cell>
          <cell r="CN126">
            <v>13.11527016</v>
          </cell>
          <cell r="CO126">
            <v>321.13061076000008</v>
          </cell>
          <cell r="CQ126">
            <v>20</v>
          </cell>
          <cell r="CR126">
            <v>25</v>
          </cell>
          <cell r="CS126">
            <v>45</v>
          </cell>
          <cell r="CU126">
            <v>328.01534060000006</v>
          </cell>
          <cell r="CV126">
            <v>38.115270160000001</v>
          </cell>
          <cell r="CW126">
            <v>366.13061076000008</v>
          </cell>
          <cell r="CY126">
            <v>12</v>
          </cell>
          <cell r="CZ126">
            <v>234.325294875</v>
          </cell>
          <cell r="DA126">
            <v>246.325294875</v>
          </cell>
          <cell r="DC126" t="str">
            <v>2004E</v>
          </cell>
          <cell r="DD126">
            <v>3935.0625</v>
          </cell>
          <cell r="DE126">
            <v>800</v>
          </cell>
          <cell r="DF126">
            <v>4735.0625</v>
          </cell>
          <cell r="DH126">
            <v>4446.6454249710896</v>
          </cell>
          <cell r="DI126">
            <v>1111.6613562427726</v>
          </cell>
          <cell r="DJ126">
            <v>5558.3067812138625</v>
          </cell>
          <cell r="DL126">
            <v>18008.15983385799</v>
          </cell>
          <cell r="DM126">
            <v>9323.8942580680214</v>
          </cell>
          <cell r="DN126">
            <v>27332.054091926009</v>
          </cell>
          <cell r="DP126">
            <v>1008.235299456</v>
          </cell>
          <cell r="DQ126">
            <v>810.50140425719997</v>
          </cell>
          <cell r="DR126">
            <v>1818.7367037131999</v>
          </cell>
          <cell r="DT126">
            <v>343.14512599279993</v>
          </cell>
          <cell r="DU126">
            <v>306.04835561520002</v>
          </cell>
          <cell r="DV126">
            <v>649.19348160799996</v>
          </cell>
          <cell r="DX126">
            <v>19359.540259306788</v>
          </cell>
          <cell r="DY126">
            <v>10440.444017940421</v>
          </cell>
          <cell r="DZ126">
            <v>29799.984277247211</v>
          </cell>
        </row>
        <row r="127">
          <cell r="A127" t="str">
            <v>2005E</v>
          </cell>
          <cell r="B127">
            <v>87.087974400000007</v>
          </cell>
          <cell r="C127">
            <v>0</v>
          </cell>
          <cell r="D127">
            <v>87.087974400000007</v>
          </cell>
          <cell r="F127">
            <v>2184.8382078868799</v>
          </cell>
          <cell r="G127">
            <v>2934.2075273279997</v>
          </cell>
          <cell r="H127">
            <v>5119.0457352148796</v>
          </cell>
          <cell r="J127">
            <v>72.666719999999998</v>
          </cell>
          <cell r="K127">
            <v>519.41274899011501</v>
          </cell>
          <cell r="L127">
            <v>592.07946899011495</v>
          </cell>
          <cell r="M127">
            <v>0</v>
          </cell>
          <cell r="N127">
            <v>570.13165440000012</v>
          </cell>
          <cell r="O127">
            <v>570.13165440000012</v>
          </cell>
          <cell r="Q127">
            <v>3</v>
          </cell>
          <cell r="R127">
            <v>52.250000000000007</v>
          </cell>
          <cell r="S127">
            <v>55.250000000000007</v>
          </cell>
          <cell r="U127">
            <v>2347.59290228688</v>
          </cell>
          <cell r="V127">
            <v>4076.0019307181146</v>
          </cell>
          <cell r="W127">
            <v>6423.5948330049941</v>
          </cell>
          <cell r="Y127">
            <v>2362.4117642160004</v>
          </cell>
          <cell r="Z127">
            <v>616.7503762560001</v>
          </cell>
          <cell r="AA127">
            <v>2979.1621404720004</v>
          </cell>
          <cell r="AC127">
            <v>0</v>
          </cell>
          <cell r="AD127">
            <v>0</v>
          </cell>
          <cell r="AE127">
            <v>0</v>
          </cell>
          <cell r="AG127">
            <v>30</v>
          </cell>
          <cell r="AH127">
            <v>220</v>
          </cell>
          <cell r="AI127">
            <v>250</v>
          </cell>
          <cell r="AK127">
            <v>2392.4117642160004</v>
          </cell>
          <cell r="AL127">
            <v>836.7503762560001</v>
          </cell>
          <cell r="AM127">
            <v>3229.1621404720004</v>
          </cell>
          <cell r="AO127" t="str">
            <v>2005E</v>
          </cell>
          <cell r="AP127">
            <v>283.5485352</v>
          </cell>
          <cell r="AQ127">
            <v>580.53383640000004</v>
          </cell>
          <cell r="AR127">
            <v>864.08237159999999</v>
          </cell>
          <cell r="AT127">
            <v>2096.8676963942398</v>
          </cell>
          <cell r="AU127">
            <v>443.40668596224003</v>
          </cell>
          <cell r="AV127">
            <v>2540.2743823564797</v>
          </cell>
          <cell r="AX127">
            <v>25.669050932160005</v>
          </cell>
          <cell r="AY127">
            <v>8.7749999999999986</v>
          </cell>
          <cell r="AZ127">
            <v>34.444050932160003</v>
          </cell>
          <cell r="BB127">
            <v>108.79359981249999</v>
          </cell>
          <cell r="BC127">
            <v>416.4295560390625</v>
          </cell>
          <cell r="BD127">
            <v>525.22315585156252</v>
          </cell>
          <cell r="BF127">
            <v>2514.8788823389</v>
          </cell>
          <cell r="BG127">
            <v>1449.1450784013027</v>
          </cell>
          <cell r="BH127">
            <v>3964.0239607402027</v>
          </cell>
          <cell r="BJ127">
            <v>5.1456432343749992</v>
          </cell>
          <cell r="BK127">
            <v>91.40785200000002</v>
          </cell>
          <cell r="BL127">
            <v>96.553495234375021</v>
          </cell>
          <cell r="BN127">
            <v>0</v>
          </cell>
          <cell r="BO127">
            <v>10</v>
          </cell>
          <cell r="BP127">
            <v>10</v>
          </cell>
          <cell r="BR127">
            <v>5.1456432343749992</v>
          </cell>
          <cell r="BS127">
            <v>101.40785200000002</v>
          </cell>
          <cell r="BT127">
            <v>106.55349523437502</v>
          </cell>
          <cell r="BV127" t="str">
            <v>2005E</v>
          </cell>
          <cell r="BW127">
            <v>1390.3462121472</v>
          </cell>
          <cell r="BX127">
            <v>969.7806756</v>
          </cell>
          <cell r="BY127">
            <v>2360.1268877472003</v>
          </cell>
          <cell r="CA127">
            <v>1095.587456832</v>
          </cell>
          <cell r="CB127">
            <v>8.5829055840000024</v>
          </cell>
          <cell r="CC127">
            <v>1104.170362416</v>
          </cell>
          <cell r="CE127">
            <v>6</v>
          </cell>
          <cell r="CF127">
            <v>0</v>
          </cell>
          <cell r="CG127">
            <v>6</v>
          </cell>
          <cell r="CI127">
            <v>1101.587456832</v>
          </cell>
          <cell r="CJ127">
            <v>8.5829055840000024</v>
          </cell>
          <cell r="CK127">
            <v>1110.170362416</v>
          </cell>
          <cell r="CM127">
            <v>308.01534060000006</v>
          </cell>
          <cell r="CN127">
            <v>13.11527016</v>
          </cell>
          <cell r="CO127">
            <v>321.13061076000008</v>
          </cell>
          <cell r="CQ127">
            <v>20</v>
          </cell>
          <cell r="CR127">
            <v>25</v>
          </cell>
          <cell r="CS127">
            <v>45</v>
          </cell>
          <cell r="CU127">
            <v>328.01534060000006</v>
          </cell>
          <cell r="CV127">
            <v>38.115270160000001</v>
          </cell>
          <cell r="CW127">
            <v>366.13061076000008</v>
          </cell>
          <cell r="CY127">
            <v>12</v>
          </cell>
          <cell r="CZ127">
            <v>246.04155961875</v>
          </cell>
          <cell r="DA127">
            <v>258.04155961875</v>
          </cell>
          <cell r="DC127" t="str">
            <v>2005E</v>
          </cell>
          <cell r="DD127">
            <v>5353.5843750000004</v>
          </cell>
          <cell r="DE127">
            <v>1000</v>
          </cell>
          <cell r="DF127">
            <v>6353.5843750000004</v>
          </cell>
          <cell r="DH127">
            <v>4916.6827267120261</v>
          </cell>
          <cell r="DI127">
            <v>1229.1706816780065</v>
          </cell>
          <cell r="DJ127">
            <v>6145.8534083900322</v>
          </cell>
          <cell r="DL127">
            <v>20362.245303367381</v>
          </cell>
          <cell r="DM127">
            <v>9954.9963300161744</v>
          </cell>
          <cell r="DN127">
            <v>30317.241633383557</v>
          </cell>
          <cell r="DP127">
            <v>1068.72941742336</v>
          </cell>
          <cell r="DQ127">
            <v>834.81644638491593</v>
          </cell>
          <cell r="DR127">
            <v>1903.545863808276</v>
          </cell>
          <cell r="DT127">
            <v>353.43947977258392</v>
          </cell>
          <cell r="DU127">
            <v>315.22980628365605</v>
          </cell>
          <cell r="DV127">
            <v>668.66928605624003</v>
          </cell>
          <cell r="DX127">
            <v>21784.414200563326</v>
          </cell>
          <cell r="DY127">
            <v>11105.042582684746</v>
          </cell>
          <cell r="DZ127">
            <v>32889.456783248068</v>
          </cell>
        </row>
        <row r="129">
          <cell r="A129" t="str">
            <v>Notes:</v>
          </cell>
          <cell r="AO129" t="str">
            <v>Notes:</v>
          </cell>
          <cell r="BV129" t="str">
            <v>Notes:</v>
          </cell>
        </row>
        <row r="130">
          <cell r="A130" t="str">
            <v>(a) Other Cardio includes Minipress/-zide/XL.</v>
          </cell>
          <cell r="AO130" t="str">
            <v>(c) Other Anti-Infectives include Unasyn and Sulperazon.</v>
          </cell>
          <cell r="BV130" t="str">
            <v xml:space="preserve">(d) International sales are in Canada only.  OTC version in Canada included in Consumer Health segment. </v>
          </cell>
        </row>
        <row r="131">
          <cell r="A131" t="str">
            <v>(b) Other CNS include Navane, Sinequan, and Atarax/Vistaril.</v>
          </cell>
          <cell r="BV131" t="str">
            <v>(e) Other Diabetes includes Diabinese.</v>
          </cell>
        </row>
        <row r="132">
          <cell r="A132" t="str">
            <v>(c) Includes revenues from Lipitor, Aricept and Celebrex</v>
          </cell>
        </row>
        <row r="133">
          <cell r="A133" t="str">
            <v xml:space="preserve">E = Morgan Stanley Dean Witter Research Estimates       A = Actual </v>
          </cell>
          <cell r="AO133" t="str">
            <v xml:space="preserve">E = Morgan Stanley Dean Witter Research Estimates       A = Actual </v>
          </cell>
          <cell r="BV133" t="str">
            <v xml:space="preserve">E = Morgan Stanley Dean Witter Research Estimates       A = Actual </v>
          </cell>
          <cell r="DC133" t="str">
            <v xml:space="preserve">E = Morgan Stanley Dean Witter Research Estimates       A = Actual </v>
          </cell>
        </row>
      </sheetData>
      <sheetData sheetId="5" refreshError="1">
        <row r="1">
          <cell r="A1" t="str">
            <v>Table 3</v>
          </cell>
        </row>
        <row r="2">
          <cell r="A2" t="str">
            <v>Pfizer</v>
          </cell>
        </row>
        <row r="3">
          <cell r="A3" t="str">
            <v>Quarterly Income Statement Analysis 1998-2005E</v>
          </cell>
        </row>
        <row r="4">
          <cell r="A4" t="str">
            <v>($ Millions Except EPS)</v>
          </cell>
        </row>
        <row r="5">
          <cell r="C5" t="str">
            <v>Alliance</v>
          </cell>
          <cell r="F5" t="str">
            <v xml:space="preserve">  Gross</v>
          </cell>
          <cell r="I5" t="str">
            <v>Oper.</v>
          </cell>
          <cell r="J5" t="str">
            <v>Non-Operating Items</v>
          </cell>
          <cell r="U5" t="str">
            <v xml:space="preserve">   Avg.</v>
          </cell>
        </row>
        <row r="6">
          <cell r="C6" t="str">
            <v xml:space="preserve">   Rev.</v>
          </cell>
          <cell r="D6" t="str">
            <v xml:space="preserve">   Total</v>
          </cell>
          <cell r="E6" t="str">
            <v xml:space="preserve"> Cost of</v>
          </cell>
          <cell r="F6" t="str">
            <v xml:space="preserve">  Profit</v>
          </cell>
          <cell r="I6" t="str">
            <v>Income</v>
          </cell>
          <cell r="J6" t="str">
            <v>Interest</v>
          </cell>
          <cell r="P6" t="str">
            <v xml:space="preserve">  Pretax</v>
          </cell>
          <cell r="Q6" t="str">
            <v xml:space="preserve">    Tax</v>
          </cell>
          <cell r="S6" t="str">
            <v>Min.</v>
          </cell>
          <cell r="T6" t="str">
            <v xml:space="preserve">   Net  </v>
          </cell>
          <cell r="U6" t="str">
            <v xml:space="preserve">     Shs</v>
          </cell>
          <cell r="V6" t="str">
            <v>Oper</v>
          </cell>
        </row>
        <row r="7">
          <cell r="B7" t="str">
            <v>Sales</v>
          </cell>
          <cell r="C7" t="str">
            <v xml:space="preserve"> (b)</v>
          </cell>
          <cell r="D7" t="str">
            <v xml:space="preserve">   Sales</v>
          </cell>
          <cell r="E7" t="str">
            <v xml:space="preserve">   Goods</v>
          </cell>
          <cell r="F7" t="str">
            <v xml:space="preserve"> (c)  </v>
          </cell>
          <cell r="G7" t="str">
            <v xml:space="preserve">   SG&amp;A</v>
          </cell>
          <cell r="H7" t="str">
            <v xml:space="preserve">    R&amp;D</v>
          </cell>
          <cell r="I7" t="str">
            <v xml:space="preserve">(d)  </v>
          </cell>
          <cell r="J7" t="str">
            <v>Income</v>
          </cell>
          <cell r="K7" t="str">
            <v>Exp.</v>
          </cell>
          <cell r="L7" t="str">
            <v>Amort</v>
          </cell>
          <cell r="M7" t="str">
            <v>FX</v>
          </cell>
          <cell r="N7" t="str">
            <v xml:space="preserve">  Other</v>
          </cell>
          <cell r="O7" t="str">
            <v xml:space="preserve">  Total</v>
          </cell>
          <cell r="P7" t="str">
            <v>Income</v>
          </cell>
          <cell r="Q7" t="str">
            <v xml:space="preserve">   Rate</v>
          </cell>
          <cell r="R7" t="str">
            <v xml:space="preserve">   Taxes</v>
          </cell>
          <cell r="S7" t="str">
            <v>Int.</v>
          </cell>
          <cell r="T7" t="str">
            <v xml:space="preserve"> Income</v>
          </cell>
          <cell r="U7" t="str">
            <v xml:space="preserve"> (Mil.)</v>
          </cell>
          <cell r="V7" t="str">
            <v xml:space="preserve">   EPS</v>
          </cell>
        </row>
        <row r="9">
          <cell r="A9" t="str">
            <v>1989</v>
          </cell>
          <cell r="E9">
            <v>2062.3000000000002</v>
          </cell>
          <cell r="F9">
            <v>3609</v>
          </cell>
          <cell r="G9">
            <v>2109.8000000000002</v>
          </cell>
          <cell r="H9">
            <v>531.20000000000005</v>
          </cell>
          <cell r="I9">
            <v>986.2</v>
          </cell>
          <cell r="J9">
            <v>78.8</v>
          </cell>
          <cell r="K9">
            <v>-130.5</v>
          </cell>
          <cell r="L9">
            <v>-51.7</v>
          </cell>
          <cell r="M9">
            <v>916.5</v>
          </cell>
          <cell r="N9">
            <v>0.25237315875613747</v>
          </cell>
          <cell r="O9">
            <v>231.3</v>
          </cell>
          <cell r="P9">
            <v>4.0999999999999996</v>
          </cell>
          <cell r="Q9">
            <v>681.1</v>
          </cell>
          <cell r="R9">
            <v>678.8</v>
          </cell>
          <cell r="S9">
            <v>1.01</v>
          </cell>
        </row>
        <row r="10">
          <cell r="A10" t="str">
            <v>1990</v>
          </cell>
          <cell r="E10">
            <v>2259.4</v>
          </cell>
          <cell r="F10">
            <v>4146.6000000000004</v>
          </cell>
          <cell r="G10">
            <v>2452.6999999999998</v>
          </cell>
          <cell r="H10">
            <v>640.1</v>
          </cell>
          <cell r="I10">
            <v>1053.8</v>
          </cell>
          <cell r="J10">
            <v>61.2</v>
          </cell>
          <cell r="K10">
            <v>-11.7</v>
          </cell>
          <cell r="L10">
            <v>49.5</v>
          </cell>
          <cell r="M10">
            <v>1103.3</v>
          </cell>
          <cell r="N10">
            <v>0.27000815734614336</v>
          </cell>
          <cell r="O10">
            <v>297.89999999999998</v>
          </cell>
          <cell r="P10">
            <v>4.2</v>
          </cell>
          <cell r="Q10">
            <v>801.2</v>
          </cell>
          <cell r="R10">
            <v>674.8</v>
          </cell>
          <cell r="S10">
            <v>1.19</v>
          </cell>
        </row>
        <row r="11">
          <cell r="A11" t="str">
            <v>1991</v>
          </cell>
          <cell r="E11">
            <v>2200.6</v>
          </cell>
          <cell r="F11">
            <v>4749.7</v>
          </cell>
          <cell r="G11">
            <v>2739.1</v>
          </cell>
          <cell r="H11">
            <v>756.8</v>
          </cell>
          <cell r="I11">
            <v>1253.8</v>
          </cell>
          <cell r="J11">
            <v>63.7</v>
          </cell>
          <cell r="K11">
            <v>-73.5</v>
          </cell>
          <cell r="L11">
            <v>-9.7999999999999936</v>
          </cell>
          <cell r="M11">
            <v>1244</v>
          </cell>
          <cell r="N11">
            <v>0.25998392282958199</v>
          </cell>
          <cell r="O11">
            <v>323.42</v>
          </cell>
          <cell r="P11">
            <v>3.15</v>
          </cell>
          <cell r="Q11">
            <v>917.43</v>
          </cell>
          <cell r="R11">
            <v>676.4</v>
          </cell>
          <cell r="S11">
            <v>1.36</v>
          </cell>
        </row>
        <row r="13">
          <cell r="A13" t="str">
            <v xml:space="preserve">1990/89 </v>
          </cell>
          <cell r="E13">
            <v>9.5572904039179507E-2</v>
          </cell>
          <cell r="F13">
            <v>0.14896093100581889</v>
          </cell>
          <cell r="G13">
            <v>0.16252725376812949</v>
          </cell>
          <cell r="H13">
            <v>0.20500753012048187</v>
          </cell>
          <cell r="I13">
            <v>6.8545933887649471E-2</v>
          </cell>
          <cell r="J13">
            <v>-0.22335025380710655</v>
          </cell>
          <cell r="K13">
            <v>-0.91034482758620683</v>
          </cell>
          <cell r="L13">
            <v>-1.9574468085106382</v>
          </cell>
          <cell r="M13">
            <v>0.20381887615930164</v>
          </cell>
          <cell r="N13" t="str">
            <v xml:space="preserve">--  </v>
          </cell>
          <cell r="O13" t="str">
            <v xml:space="preserve">--  </v>
          </cell>
          <cell r="P13" t="str">
            <v xml:space="preserve">--  </v>
          </cell>
          <cell r="Q13">
            <v>0.17633240346498313</v>
          </cell>
          <cell r="R13">
            <v>-5.8927519151443725E-3</v>
          </cell>
          <cell r="S13">
            <v>0.17821782178217815</v>
          </cell>
        </row>
        <row r="14">
          <cell r="A14" t="str">
            <v>1991/90</v>
          </cell>
          <cell r="E14">
            <v>-2.6024608303089395E-2</v>
          </cell>
          <cell r="F14">
            <v>0.14544446052187321</v>
          </cell>
          <cell r="G14">
            <v>0.11676927467688675</v>
          </cell>
          <cell r="H14">
            <v>0.18231526324011862</v>
          </cell>
          <cell r="I14">
            <v>0.18978933383943825</v>
          </cell>
          <cell r="J14">
            <v>4.084967320261438E-2</v>
          </cell>
          <cell r="K14">
            <v>5.2820512820512819</v>
          </cell>
          <cell r="L14" t="str">
            <v xml:space="preserve">--  </v>
          </cell>
          <cell r="M14">
            <v>0.12752651137496607</v>
          </cell>
          <cell r="N14" t="str">
            <v xml:space="preserve">--  </v>
          </cell>
          <cell r="O14" t="str">
            <v xml:space="preserve">--  </v>
          </cell>
          <cell r="P14" t="str">
            <v xml:space="preserve">--  </v>
          </cell>
          <cell r="Q14">
            <v>0.14506989515726398</v>
          </cell>
          <cell r="R14">
            <v>2.3710729104920313E-3</v>
          </cell>
          <cell r="S14">
            <v>0.14285714285714299</v>
          </cell>
        </row>
        <row r="15">
          <cell r="A15" t="str">
            <v>1992/91</v>
          </cell>
          <cell r="E15">
            <v>-8.0114514223393607E-2</v>
          </cell>
          <cell r="F15">
            <v>0.15289386698107246</v>
          </cell>
          <cell r="G15">
            <v>5.8486364134204764E-2</v>
          </cell>
          <cell r="H15">
            <v>0.14059196617336164</v>
          </cell>
          <cell r="I15">
            <v>0.36656564045302292</v>
          </cell>
          <cell r="J15">
            <v>0.27472527472527469</v>
          </cell>
          <cell r="K15">
            <v>0.364625850340136</v>
          </cell>
          <cell r="L15" t="str">
            <v xml:space="preserve">--  </v>
          </cell>
          <cell r="M15">
            <v>0.36197749196141493</v>
          </cell>
          <cell r="N15" t="str">
            <v xml:space="preserve">--  </v>
          </cell>
          <cell r="O15" t="str">
            <v xml:space="preserve">--  </v>
          </cell>
          <cell r="P15" t="str">
            <v xml:space="preserve">--  </v>
          </cell>
          <cell r="Q15">
            <v>0.36368115278549856</v>
          </cell>
          <cell r="R15">
            <v>-4.4352454169130692E-3</v>
          </cell>
          <cell r="S15">
            <v>0.36836181478241348</v>
          </cell>
        </row>
        <row r="17">
          <cell r="A17" t="str">
            <v>1992 (a)</v>
          </cell>
        </row>
        <row r="18">
          <cell r="A18" t="str">
            <v xml:space="preserve"> 1Q</v>
          </cell>
          <cell r="E18">
            <v>491.2</v>
          </cell>
          <cell r="F18">
            <v>1319.1</v>
          </cell>
          <cell r="G18">
            <v>685.9</v>
          </cell>
          <cell r="H18">
            <v>189.3</v>
          </cell>
          <cell r="I18">
            <v>443.9</v>
          </cell>
          <cell r="J18">
            <v>16</v>
          </cell>
          <cell r="K18">
            <v>-25.7</v>
          </cell>
          <cell r="L18">
            <v>-9.6999999999999993</v>
          </cell>
          <cell r="M18">
            <v>434.2</v>
          </cell>
          <cell r="N18">
            <v>0.26</v>
          </cell>
          <cell r="O18">
            <v>112.89200000000002</v>
          </cell>
          <cell r="P18">
            <v>0.2</v>
          </cell>
          <cell r="Q18">
            <v>321.10800000000012</v>
          </cell>
          <cell r="R18">
            <v>676.8</v>
          </cell>
          <cell r="S18">
            <v>0.47474586288416093</v>
          </cell>
        </row>
        <row r="19">
          <cell r="A19" t="str">
            <v xml:space="preserve"> 2Q </v>
          </cell>
          <cell r="E19">
            <v>494.4</v>
          </cell>
          <cell r="F19">
            <v>1199.8</v>
          </cell>
          <cell r="G19">
            <v>711.4</v>
          </cell>
          <cell r="H19">
            <v>214</v>
          </cell>
          <cell r="I19">
            <v>274.39999999999998</v>
          </cell>
          <cell r="J19">
            <v>20.6</v>
          </cell>
          <cell r="K19">
            <v>-23.3</v>
          </cell>
          <cell r="L19">
            <v>-2.7</v>
          </cell>
          <cell r="M19">
            <v>271.7</v>
          </cell>
          <cell r="N19">
            <v>0.26</v>
          </cell>
          <cell r="O19">
            <v>70.642000000000024</v>
          </cell>
          <cell r="P19">
            <v>0.3</v>
          </cell>
          <cell r="Q19">
            <v>200.75800000000007</v>
          </cell>
          <cell r="R19">
            <v>674</v>
          </cell>
          <cell r="S19">
            <v>0.29815727002967368</v>
          </cell>
        </row>
        <row r="20">
          <cell r="A20" t="str">
            <v xml:space="preserve"> 3Q </v>
          </cell>
          <cell r="E20">
            <v>521.5</v>
          </cell>
          <cell r="F20">
            <v>1306.0999999999999</v>
          </cell>
          <cell r="G20">
            <v>690.3</v>
          </cell>
          <cell r="H20">
            <v>212.8</v>
          </cell>
          <cell r="I20">
            <v>403</v>
          </cell>
          <cell r="J20">
            <v>22.7</v>
          </cell>
          <cell r="K20">
            <v>-23.3</v>
          </cell>
          <cell r="L20">
            <v>-0.60000000000000142</v>
          </cell>
          <cell r="M20">
            <v>402.4</v>
          </cell>
          <cell r="N20">
            <v>0.26</v>
          </cell>
          <cell r="O20">
            <v>104.624</v>
          </cell>
          <cell r="P20">
            <v>0.3</v>
          </cell>
          <cell r="Q20">
            <v>297.47599999999994</v>
          </cell>
          <cell r="R20">
            <v>675.2</v>
          </cell>
          <cell r="S20">
            <v>0.44087085308056861</v>
          </cell>
        </row>
        <row r="21">
          <cell r="A21" t="str">
            <v xml:space="preserve"> 4Q</v>
          </cell>
          <cell r="E21">
            <v>517.20000000000005</v>
          </cell>
          <cell r="F21">
            <v>1650.9</v>
          </cell>
          <cell r="G21">
            <v>811.7</v>
          </cell>
          <cell r="H21">
            <v>247.1</v>
          </cell>
          <cell r="I21">
            <v>592.1</v>
          </cell>
          <cell r="J21">
            <v>21.9</v>
          </cell>
          <cell r="K21">
            <v>-28</v>
          </cell>
          <cell r="L21">
            <v>-6.1</v>
          </cell>
          <cell r="M21">
            <v>586</v>
          </cell>
          <cell r="N21">
            <v>0.26</v>
          </cell>
          <cell r="O21">
            <v>152.36000000000001</v>
          </cell>
          <cell r="P21">
            <v>1.9</v>
          </cell>
          <cell r="Q21">
            <v>431.74</v>
          </cell>
          <cell r="R21">
            <v>667.4</v>
          </cell>
          <cell r="S21">
            <v>0.64719808210967922</v>
          </cell>
        </row>
        <row r="23">
          <cell r="A23" t="str">
            <v>1993</v>
          </cell>
        </row>
        <row r="24">
          <cell r="A24" t="str">
            <v xml:space="preserve"> 1Q (b)</v>
          </cell>
          <cell r="E24">
            <v>423.4</v>
          </cell>
          <cell r="F24">
            <v>1443.9</v>
          </cell>
          <cell r="G24">
            <v>740.7</v>
          </cell>
          <cell r="H24">
            <v>215.4</v>
          </cell>
          <cell r="I24">
            <v>487.8</v>
          </cell>
          <cell r="J24">
            <v>15.1</v>
          </cell>
          <cell r="K24">
            <v>-29.8</v>
          </cell>
          <cell r="L24">
            <v>-14.7</v>
          </cell>
          <cell r="M24">
            <v>473.1</v>
          </cell>
          <cell r="N24">
            <v>0.25998731769181987</v>
          </cell>
          <cell r="O24">
            <v>123</v>
          </cell>
          <cell r="P24">
            <v>0.2</v>
          </cell>
          <cell r="Q24">
            <v>349.9</v>
          </cell>
          <cell r="R24">
            <v>652.79999999999995</v>
          </cell>
          <cell r="S24">
            <v>0.53599877450980404</v>
          </cell>
        </row>
        <row r="25">
          <cell r="A25" t="str">
            <v xml:space="preserve"> 2Q</v>
          </cell>
          <cell r="E25">
            <v>437.1</v>
          </cell>
          <cell r="F25">
            <v>1311.6</v>
          </cell>
          <cell r="G25">
            <v>757.9</v>
          </cell>
          <cell r="H25">
            <v>230.8</v>
          </cell>
          <cell r="I25">
            <v>322.89999999999998</v>
          </cell>
          <cell r="J25">
            <v>15.2</v>
          </cell>
          <cell r="K25">
            <v>-21</v>
          </cell>
          <cell r="L25">
            <v>-5.8</v>
          </cell>
          <cell r="M25">
            <v>317.10000000000002</v>
          </cell>
          <cell r="N25">
            <v>0.26</v>
          </cell>
          <cell r="O25">
            <v>82.445999999999984</v>
          </cell>
          <cell r="P25">
            <v>0.5</v>
          </cell>
          <cell r="Q25">
            <v>234.15399999999994</v>
          </cell>
          <cell r="R25">
            <v>642.79999999999995</v>
          </cell>
          <cell r="S25">
            <v>0.36427193528313623</v>
          </cell>
        </row>
        <row r="26">
          <cell r="A26" t="str">
            <v xml:space="preserve"> 3Q</v>
          </cell>
          <cell r="E26">
            <v>436.4</v>
          </cell>
          <cell r="F26">
            <v>1436.1</v>
          </cell>
          <cell r="G26">
            <v>745.3</v>
          </cell>
          <cell r="H26">
            <v>242.6</v>
          </cell>
          <cell r="I26">
            <v>448.2</v>
          </cell>
          <cell r="J26">
            <v>9.5</v>
          </cell>
          <cell r="K26">
            <v>-36</v>
          </cell>
          <cell r="L26">
            <v>-26.5</v>
          </cell>
          <cell r="M26">
            <v>421.7</v>
          </cell>
          <cell r="N26">
            <v>0.2596632677258715</v>
          </cell>
          <cell r="O26">
            <v>109.5</v>
          </cell>
          <cell r="P26">
            <v>1.4</v>
          </cell>
          <cell r="Q26">
            <v>310.8</v>
          </cell>
          <cell r="R26">
            <v>635</v>
          </cell>
          <cell r="S26">
            <v>0.48944881889763775</v>
          </cell>
        </row>
        <row r="27">
          <cell r="A27" t="str">
            <v xml:space="preserve"> 4Q</v>
          </cell>
          <cell r="E27">
            <v>472.6</v>
          </cell>
          <cell r="F27">
            <v>1514.1</v>
          </cell>
          <cell r="G27">
            <v>822.1</v>
          </cell>
          <cell r="H27">
            <v>285.60000000000002</v>
          </cell>
          <cell r="I27">
            <v>406.4</v>
          </cell>
          <cell r="J27">
            <v>17.2</v>
          </cell>
          <cell r="K27">
            <v>-32.1</v>
          </cell>
          <cell r="L27">
            <v>-14.9</v>
          </cell>
          <cell r="M27">
            <v>391.5</v>
          </cell>
          <cell r="N27">
            <v>0.25977011494252883</v>
          </cell>
          <cell r="O27">
            <v>101.7</v>
          </cell>
          <cell r="P27">
            <v>1</v>
          </cell>
          <cell r="Q27">
            <v>288.8</v>
          </cell>
          <cell r="R27">
            <v>632.4</v>
          </cell>
          <cell r="S27">
            <v>0.46</v>
          </cell>
        </row>
        <row r="29">
          <cell r="A29" t="str">
            <v>1992 (a)</v>
          </cell>
          <cell r="E29">
            <v>2024.3</v>
          </cell>
          <cell r="F29">
            <v>5475.9</v>
          </cell>
          <cell r="G29">
            <v>2899.3</v>
          </cell>
          <cell r="H29">
            <v>863.2</v>
          </cell>
          <cell r="I29">
            <v>1713.4</v>
          </cell>
          <cell r="J29">
            <v>81.2</v>
          </cell>
          <cell r="K29">
            <v>-100.3</v>
          </cell>
          <cell r="L29">
            <v>-19.100000000000001</v>
          </cell>
          <cell r="M29">
            <v>1694.3</v>
          </cell>
          <cell r="N29">
            <v>0.26</v>
          </cell>
          <cell r="O29">
            <v>440.51800000000003</v>
          </cell>
          <cell r="P29">
            <v>2.7</v>
          </cell>
          <cell r="Q29">
            <v>1251.0819999999999</v>
          </cell>
          <cell r="R29">
            <v>673.4</v>
          </cell>
          <cell r="S29">
            <v>1.8609720681040824</v>
          </cell>
        </row>
        <row r="30">
          <cell r="A30" t="str">
            <v>1993</v>
          </cell>
          <cell r="E30">
            <v>1769.5</v>
          </cell>
          <cell r="F30">
            <v>5705.7</v>
          </cell>
          <cell r="G30">
            <v>3066</v>
          </cell>
          <cell r="H30">
            <v>974.4</v>
          </cell>
          <cell r="I30">
            <v>1665.3</v>
          </cell>
          <cell r="J30">
            <v>57</v>
          </cell>
          <cell r="K30">
            <v>-118.9</v>
          </cell>
          <cell r="L30">
            <v>-61.9</v>
          </cell>
          <cell r="M30">
            <v>1603.4</v>
          </cell>
          <cell r="N30">
            <v>0.25985156542347509</v>
          </cell>
          <cell r="O30">
            <v>416.64599999999996</v>
          </cell>
          <cell r="P30">
            <v>3.1</v>
          </cell>
          <cell r="Q30">
            <v>1183.654</v>
          </cell>
          <cell r="R30">
            <v>640.75</v>
          </cell>
          <cell r="S30">
            <v>1.8497195286905781</v>
          </cell>
        </row>
        <row r="31">
          <cell r="A31" t="str">
            <v>1994 (a)</v>
          </cell>
        </row>
        <row r="32">
          <cell r="A32" t="str">
            <v xml:space="preserve"> 1Q</v>
          </cell>
          <cell r="B32">
            <v>1911.1</v>
          </cell>
          <cell r="C32">
            <v>0</v>
          </cell>
          <cell r="D32">
            <v>1911.1</v>
          </cell>
          <cell r="E32">
            <v>383.5</v>
          </cell>
          <cell r="F32">
            <v>1527.6</v>
          </cell>
          <cell r="G32">
            <v>715.8</v>
          </cell>
          <cell r="H32">
            <v>251.5</v>
          </cell>
          <cell r="I32">
            <v>560.29999999999995</v>
          </cell>
          <cell r="J32">
            <v>23</v>
          </cell>
          <cell r="K32">
            <v>-34</v>
          </cell>
          <cell r="L32">
            <v>-3</v>
          </cell>
          <cell r="M32">
            <v>-2</v>
          </cell>
          <cell r="N32">
            <v>-20.100000000000001</v>
          </cell>
          <cell r="O32">
            <v>-36.1</v>
          </cell>
          <cell r="P32">
            <v>524.19999999999993</v>
          </cell>
          <cell r="Q32">
            <v>0.30026707363601685</v>
          </cell>
          <cell r="R32">
            <v>157.4</v>
          </cell>
          <cell r="S32">
            <v>0.3</v>
          </cell>
          <cell r="T32">
            <v>366.49999999999994</v>
          </cell>
          <cell r="U32">
            <v>3762</v>
          </cell>
          <cell r="V32">
            <v>9.7421584263689506E-2</v>
          </cell>
        </row>
        <row r="33">
          <cell r="A33" t="str">
            <v xml:space="preserve"> 2Q</v>
          </cell>
          <cell r="B33">
            <v>1846.2</v>
          </cell>
          <cell r="C33">
            <v>0</v>
          </cell>
          <cell r="D33">
            <v>1846.2</v>
          </cell>
          <cell r="E33">
            <v>415</v>
          </cell>
          <cell r="F33">
            <v>1431.2</v>
          </cell>
          <cell r="G33">
            <v>783.4</v>
          </cell>
          <cell r="H33">
            <v>258.8</v>
          </cell>
          <cell r="I33">
            <v>389.00000000000006</v>
          </cell>
          <cell r="J33">
            <v>28</v>
          </cell>
          <cell r="K33">
            <v>-30</v>
          </cell>
          <cell r="L33">
            <v>-3</v>
          </cell>
          <cell r="M33">
            <v>-4</v>
          </cell>
          <cell r="N33">
            <v>-21.3</v>
          </cell>
          <cell r="O33">
            <v>-30.3</v>
          </cell>
          <cell r="P33">
            <v>358.70000000000005</v>
          </cell>
          <cell r="Q33">
            <v>0.30052969054920542</v>
          </cell>
          <cell r="R33">
            <v>107.8</v>
          </cell>
          <cell r="S33">
            <v>1.7</v>
          </cell>
          <cell r="T33">
            <v>249.20000000000005</v>
          </cell>
          <cell r="U33">
            <v>3691.2000000000003</v>
          </cell>
          <cell r="V33">
            <v>6.7511920242739498E-2</v>
          </cell>
        </row>
        <row r="34">
          <cell r="A34" t="str">
            <v xml:space="preserve"> 3Q</v>
          </cell>
          <cell r="B34">
            <v>2006.7</v>
          </cell>
          <cell r="C34">
            <v>0</v>
          </cell>
          <cell r="D34">
            <v>2006.7</v>
          </cell>
          <cell r="E34">
            <v>430.5</v>
          </cell>
          <cell r="F34">
            <v>1576.2</v>
          </cell>
          <cell r="G34">
            <v>780.2</v>
          </cell>
          <cell r="H34">
            <v>292.7</v>
          </cell>
          <cell r="I34">
            <v>503.3</v>
          </cell>
          <cell r="J34">
            <v>34</v>
          </cell>
          <cell r="K34">
            <v>-32</v>
          </cell>
          <cell r="L34">
            <v>-4</v>
          </cell>
          <cell r="M34">
            <v>1</v>
          </cell>
          <cell r="N34">
            <v>-22.2</v>
          </cell>
          <cell r="O34">
            <v>-23.2</v>
          </cell>
          <cell r="P34">
            <v>480.1</v>
          </cell>
          <cell r="Q34">
            <v>0.29931264319933343</v>
          </cell>
          <cell r="R34">
            <v>143.69999999999999</v>
          </cell>
          <cell r="S34">
            <v>1.4</v>
          </cell>
          <cell r="T34">
            <v>335.00000000000006</v>
          </cell>
          <cell r="U34">
            <v>3719.3999999999996</v>
          </cell>
          <cell r="V34">
            <v>9.00682905845029E-2</v>
          </cell>
        </row>
        <row r="35">
          <cell r="A35" t="str">
            <v xml:space="preserve"> 4Q </v>
          </cell>
          <cell r="B35">
            <v>2213.3000000000002</v>
          </cell>
          <cell r="C35">
            <v>0</v>
          </cell>
          <cell r="D35">
            <v>2213.3000000000002</v>
          </cell>
          <cell r="E35">
            <v>493.2</v>
          </cell>
          <cell r="F35">
            <v>1720.1000000000001</v>
          </cell>
          <cell r="G35">
            <v>904.7</v>
          </cell>
          <cell r="H35">
            <v>323.10000000000002</v>
          </cell>
          <cell r="I35">
            <v>492.30000000000007</v>
          </cell>
          <cell r="J35">
            <v>38</v>
          </cell>
          <cell r="K35">
            <v>-31</v>
          </cell>
          <cell r="L35">
            <v>-4</v>
          </cell>
          <cell r="M35">
            <v>0</v>
          </cell>
          <cell r="N35">
            <v>-27.8</v>
          </cell>
          <cell r="O35">
            <v>-24.8</v>
          </cell>
          <cell r="P35">
            <v>467.50000000000006</v>
          </cell>
          <cell r="Q35">
            <v>0.30010695187165776</v>
          </cell>
          <cell r="R35">
            <v>140.30000000000001</v>
          </cell>
          <cell r="S35">
            <v>1.2</v>
          </cell>
          <cell r="T35">
            <v>326.00000000000006</v>
          </cell>
          <cell r="U35">
            <v>3726</v>
          </cell>
          <cell r="V35">
            <v>8.749329039184113E-2</v>
          </cell>
        </row>
        <row r="37">
          <cell r="A37" t="str">
            <v>1994 (a)</v>
          </cell>
          <cell r="B37">
            <v>7977.3</v>
          </cell>
          <cell r="C37">
            <v>0</v>
          </cell>
          <cell r="D37">
            <v>7977.3</v>
          </cell>
          <cell r="E37">
            <v>1722.2</v>
          </cell>
          <cell r="F37">
            <v>6255.1</v>
          </cell>
          <cell r="G37">
            <v>3184.0999999999995</v>
          </cell>
          <cell r="H37">
            <v>1126.0999999999999</v>
          </cell>
          <cell r="I37">
            <v>1944.9</v>
          </cell>
          <cell r="J37">
            <v>123</v>
          </cell>
          <cell r="K37">
            <v>-127</v>
          </cell>
          <cell r="L37">
            <v>-14</v>
          </cell>
          <cell r="M37">
            <v>-5</v>
          </cell>
          <cell r="N37">
            <v>-91.4</v>
          </cell>
          <cell r="O37">
            <v>-114.4</v>
          </cell>
          <cell r="P37">
            <v>1830.5</v>
          </cell>
          <cell r="Q37">
            <v>0.30002731494127288</v>
          </cell>
          <cell r="R37">
            <v>549.20000000000005</v>
          </cell>
          <cell r="S37">
            <v>4.5999999999999996</v>
          </cell>
          <cell r="T37">
            <v>1276.7</v>
          </cell>
          <cell r="U37">
            <v>3729</v>
          </cell>
          <cell r="V37">
            <v>0.34237060874229019</v>
          </cell>
        </row>
        <row r="39">
          <cell r="A39" t="str">
            <v xml:space="preserve">1995/94 </v>
          </cell>
        </row>
        <row r="40">
          <cell r="A40" t="str">
            <v xml:space="preserve"> 1Q</v>
          </cell>
          <cell r="B40">
            <v>0.22337920569305642</v>
          </cell>
          <cell r="C40" t="str">
            <v>NM</v>
          </cell>
          <cell r="D40">
            <v>0.22337920569305642</v>
          </cell>
          <cell r="E40">
            <v>0.32724902216427643</v>
          </cell>
          <cell r="F40">
            <v>0.19730295888976179</v>
          </cell>
          <cell r="G40">
            <v>0.18608549874266561</v>
          </cell>
          <cell r="H40">
            <v>0.24453280318091453</v>
          </cell>
          <cell r="I40">
            <v>0.19043369623416037</v>
          </cell>
          <cell r="J40">
            <v>1.0869565217391304</v>
          </cell>
          <cell r="K40">
            <v>0.47058823529411764</v>
          </cell>
          <cell r="L40" t="str">
            <v>NM</v>
          </cell>
          <cell r="M40" t="str">
            <v>NM</v>
          </cell>
          <cell r="N40">
            <v>0.49253731343283569</v>
          </cell>
          <cell r="O40">
            <v>8.0332409972299124E-2</v>
          </cell>
          <cell r="P40">
            <v>0.19801602441816116</v>
          </cell>
          <cell r="Q40">
            <v>9.7748848728137702E-2</v>
          </cell>
          <cell r="R40">
            <v>0.315120711562897</v>
          </cell>
          <cell r="S40" t="str">
            <v xml:space="preserve">NM </v>
          </cell>
          <cell r="T40">
            <v>0.14324693042291969</v>
          </cell>
          <cell r="U40">
            <v>-7.0175438596490258E-3</v>
          </cell>
          <cell r="V40">
            <v>0.15132641403014871</v>
          </cell>
        </row>
        <row r="41">
          <cell r="A41" t="str">
            <v xml:space="preserve"> 2Q</v>
          </cell>
          <cell r="B41">
            <v>0.30050915393781819</v>
          </cell>
          <cell r="C41" t="str">
            <v>NM</v>
          </cell>
          <cell r="D41">
            <v>0.30050915393781819</v>
          </cell>
          <cell r="E41">
            <v>0.33012048192771082</v>
          </cell>
          <cell r="F41">
            <v>0.29192286193404132</v>
          </cell>
          <cell r="G41">
            <v>0.23436303293336741</v>
          </cell>
          <cell r="H41">
            <v>0.36785162287480672</v>
          </cell>
          <cell r="I41">
            <v>0.35732647814910007</v>
          </cell>
          <cell r="J41">
            <v>0.35714285714285715</v>
          </cell>
          <cell r="K41">
            <v>0.8666666666666667</v>
          </cell>
          <cell r="L41" t="str">
            <v>NM</v>
          </cell>
          <cell r="M41" t="str">
            <v>NM</v>
          </cell>
          <cell r="N41">
            <v>0.54929577464788726</v>
          </cell>
          <cell r="O41">
            <v>0.98019801980198018</v>
          </cell>
          <cell r="P41">
            <v>0.30471145804293265</v>
          </cell>
          <cell r="Q41">
            <v>0.10204279847137003</v>
          </cell>
          <cell r="R41">
            <v>0.43784786641929502</v>
          </cell>
          <cell r="S41" t="str">
            <v xml:space="preserve">NM </v>
          </cell>
          <cell r="T41">
            <v>0.24799357945425338</v>
          </cell>
          <cell r="U41">
            <v>1.2028608582574795E-2</v>
          </cell>
          <cell r="V41">
            <v>0.23316037597214362</v>
          </cell>
        </row>
        <row r="42">
          <cell r="A42" t="str">
            <v xml:space="preserve"> 3Q</v>
          </cell>
          <cell r="B42">
            <v>0.26476304380325905</v>
          </cell>
          <cell r="C42" t="str">
            <v>NM</v>
          </cell>
          <cell r="D42">
            <v>0.26476304380325905</v>
          </cell>
          <cell r="E42">
            <v>0.24506387921022069</v>
          </cell>
          <cell r="F42">
            <v>0.27014338281943912</v>
          </cell>
          <cell r="G42">
            <v>0.23045372981286844</v>
          </cell>
          <cell r="H42">
            <v>0.19918004783054327</v>
          </cell>
          <cell r="I42">
            <v>0.3729386052056427</v>
          </cell>
          <cell r="J42">
            <v>5.8823529411764705E-2</v>
          </cell>
          <cell r="K42">
            <v>0.4375</v>
          </cell>
          <cell r="L42" t="str">
            <v>NM</v>
          </cell>
          <cell r="M42" t="str">
            <v>NM</v>
          </cell>
          <cell r="N42">
            <v>0.35135135135135137</v>
          </cell>
          <cell r="O42">
            <v>1.8017241379310345</v>
          </cell>
          <cell r="P42">
            <v>0.30389502187044359</v>
          </cell>
          <cell r="Q42">
            <v>9.9430611786625211E-2</v>
          </cell>
          <cell r="R42">
            <v>0.43354210160055684</v>
          </cell>
          <cell r="S42" t="str">
            <v xml:space="preserve">NM </v>
          </cell>
          <cell r="T42">
            <v>0.25074626865671623</v>
          </cell>
          <cell r="U42">
            <v>2.2745604129698439E-2</v>
          </cell>
          <cell r="V42">
            <v>0.22292998728753671</v>
          </cell>
        </row>
        <row r="43">
          <cell r="A43" t="str">
            <v xml:space="preserve"> 4Q</v>
          </cell>
          <cell r="B43">
            <v>0.23977770749559471</v>
          </cell>
          <cell r="C43" t="str">
            <v>NM</v>
          </cell>
          <cell r="D43">
            <v>0.23977770749559471</v>
          </cell>
          <cell r="E43">
            <v>0.1496350364963504</v>
          </cell>
          <cell r="F43">
            <v>0.26562409162257999</v>
          </cell>
          <cell r="G43">
            <v>0.19266055045871552</v>
          </cell>
          <cell r="H43">
            <v>0.31228721757969657</v>
          </cell>
          <cell r="I43">
            <v>0.36908389193581131</v>
          </cell>
          <cell r="J43">
            <v>-5.2631578947368418E-2</v>
          </cell>
          <cell r="K43">
            <v>0.32258064516129031</v>
          </cell>
          <cell r="L43" t="str">
            <v>NM</v>
          </cell>
          <cell r="M43" t="str">
            <v>NM</v>
          </cell>
          <cell r="N43">
            <v>2.0215827338129495</v>
          </cell>
          <cell r="O43">
            <v>2.911290322580645</v>
          </cell>
          <cell r="P43">
            <v>0.23422459893048114</v>
          </cell>
          <cell r="Q43">
            <v>-1.8258720172544318E-2</v>
          </cell>
          <cell r="R43">
            <v>0.21168923734853876</v>
          </cell>
          <cell r="S43" t="str">
            <v xml:space="preserve">NM </v>
          </cell>
          <cell r="T43">
            <v>0.24233128834355808</v>
          </cell>
          <cell r="U43">
            <v>2.6570048309178744E-2</v>
          </cell>
          <cell r="V43">
            <v>0.21017683146878363</v>
          </cell>
        </row>
        <row r="45">
          <cell r="A45" t="str">
            <v xml:space="preserve">1995/94 </v>
          </cell>
          <cell r="B45">
            <v>0.25618943752898848</v>
          </cell>
          <cell r="C45" t="str">
            <v>NM</v>
          </cell>
          <cell r="D45">
            <v>0.25618943752898848</v>
          </cell>
          <cell r="E45">
            <v>0.25653234235280453</v>
          </cell>
          <cell r="F45">
            <v>0.25609502645840987</v>
          </cell>
          <cell r="G45">
            <v>0.21070318143274416</v>
          </cell>
          <cell r="H45">
            <v>0.28052570819643025</v>
          </cell>
          <cell r="I45">
            <v>0.3162630469432875</v>
          </cell>
          <cell r="J45">
            <v>0.28455284552845528</v>
          </cell>
          <cell r="K45">
            <v>0.51968503937007871</v>
          </cell>
          <cell r="L45" t="str">
            <v>NM</v>
          </cell>
          <cell r="M45" t="str">
            <v>NM</v>
          </cell>
          <cell r="N45">
            <v>0.93654266958424492</v>
          </cell>
          <cell r="O45">
            <v>1.2814685314685315</v>
          </cell>
          <cell r="P45">
            <v>0.25594099972685058</v>
          </cell>
          <cell r="Q45">
            <v>6.9933030827868753E-2</v>
          </cell>
          <cell r="R45">
            <v>0.34377276037873261</v>
          </cell>
          <cell r="S45" t="str">
            <v>NM</v>
          </cell>
          <cell r="T45">
            <v>0.21720059528471838</v>
          </cell>
          <cell r="U45">
            <v>1.2872083668543845E-2</v>
          </cell>
          <cell r="V45">
            <v>0.20173180296974166</v>
          </cell>
        </row>
        <row r="47">
          <cell r="A47" t="str">
            <v>1995 (a)</v>
          </cell>
        </row>
        <row r="48">
          <cell r="A48" t="str">
            <v xml:space="preserve"> 1Q</v>
          </cell>
          <cell r="B48">
            <v>2338</v>
          </cell>
          <cell r="C48">
            <v>0</v>
          </cell>
          <cell r="D48">
            <v>2338</v>
          </cell>
          <cell r="E48">
            <v>509</v>
          </cell>
          <cell r="F48">
            <v>1829</v>
          </cell>
          <cell r="G48">
            <v>849</v>
          </cell>
          <cell r="H48">
            <v>313</v>
          </cell>
          <cell r="I48">
            <v>667</v>
          </cell>
          <cell r="J48">
            <v>48</v>
          </cell>
          <cell r="K48">
            <v>-50</v>
          </cell>
          <cell r="L48">
            <v>-9</v>
          </cell>
          <cell r="M48">
            <v>2</v>
          </cell>
          <cell r="N48">
            <v>-30</v>
          </cell>
          <cell r="O48">
            <v>-39</v>
          </cell>
          <cell r="P48">
            <v>628</v>
          </cell>
          <cell r="Q48">
            <v>0.32961783439490444</v>
          </cell>
          <cell r="R48">
            <v>207</v>
          </cell>
          <cell r="S48">
            <v>2</v>
          </cell>
          <cell r="T48">
            <v>419</v>
          </cell>
          <cell r="U48">
            <v>3735.6000000000004</v>
          </cell>
          <cell r="V48">
            <v>0.11216404325944961</v>
          </cell>
        </row>
        <row r="49">
          <cell r="A49" t="str">
            <v xml:space="preserve"> 2Q</v>
          </cell>
          <cell r="B49">
            <v>2401</v>
          </cell>
          <cell r="C49">
            <v>0</v>
          </cell>
          <cell r="D49">
            <v>2401</v>
          </cell>
          <cell r="E49">
            <v>552</v>
          </cell>
          <cell r="F49">
            <v>1849</v>
          </cell>
          <cell r="G49">
            <v>967</v>
          </cell>
          <cell r="H49">
            <v>354</v>
          </cell>
          <cell r="I49">
            <v>528</v>
          </cell>
          <cell r="J49">
            <v>38</v>
          </cell>
          <cell r="K49">
            <v>-56</v>
          </cell>
          <cell r="L49">
            <v>-13</v>
          </cell>
          <cell r="M49">
            <v>4</v>
          </cell>
          <cell r="N49">
            <v>-33</v>
          </cell>
          <cell r="O49">
            <v>-60</v>
          </cell>
          <cell r="P49">
            <v>468</v>
          </cell>
          <cell r="Q49">
            <v>0.33119658119658119</v>
          </cell>
          <cell r="R49">
            <v>155</v>
          </cell>
          <cell r="S49">
            <v>2</v>
          </cell>
          <cell r="T49">
            <v>311</v>
          </cell>
          <cell r="U49">
            <v>3735.6000000000004</v>
          </cell>
          <cell r="V49">
            <v>8.3253024949138013E-2</v>
          </cell>
        </row>
        <row r="50">
          <cell r="A50" t="str">
            <v xml:space="preserve"> 3Q</v>
          </cell>
          <cell r="B50">
            <v>2538</v>
          </cell>
          <cell r="C50">
            <v>0</v>
          </cell>
          <cell r="D50">
            <v>2538</v>
          </cell>
          <cell r="E50">
            <v>536</v>
          </cell>
          <cell r="F50">
            <v>2002</v>
          </cell>
          <cell r="G50">
            <v>960</v>
          </cell>
          <cell r="H50">
            <v>351</v>
          </cell>
          <cell r="I50">
            <v>691</v>
          </cell>
          <cell r="J50">
            <v>36</v>
          </cell>
          <cell r="K50">
            <v>-46</v>
          </cell>
          <cell r="L50">
            <v>-16</v>
          </cell>
          <cell r="M50">
            <v>-9</v>
          </cell>
          <cell r="N50">
            <v>-30</v>
          </cell>
          <cell r="O50">
            <v>-65</v>
          </cell>
          <cell r="P50">
            <v>626</v>
          </cell>
          <cell r="Q50">
            <v>0.32907348242811502</v>
          </cell>
          <cell r="R50">
            <v>206</v>
          </cell>
          <cell r="S50">
            <v>1</v>
          </cell>
          <cell r="T50">
            <v>419</v>
          </cell>
          <cell r="U50">
            <v>3804</v>
          </cell>
          <cell r="V50">
            <v>0.11014721345951629</v>
          </cell>
        </row>
        <row r="51">
          <cell r="A51" t="str">
            <v xml:space="preserve"> 4Q </v>
          </cell>
          <cell r="B51">
            <v>2744</v>
          </cell>
          <cell r="C51">
            <v>0</v>
          </cell>
          <cell r="D51">
            <v>2744</v>
          </cell>
          <cell r="E51">
            <v>567</v>
          </cell>
          <cell r="F51">
            <v>2177</v>
          </cell>
          <cell r="G51">
            <v>1079</v>
          </cell>
          <cell r="H51">
            <v>424</v>
          </cell>
          <cell r="I51">
            <v>674</v>
          </cell>
          <cell r="J51">
            <v>36</v>
          </cell>
          <cell r="K51">
            <v>-41</v>
          </cell>
          <cell r="L51">
            <v>-8</v>
          </cell>
          <cell r="M51">
            <v>0</v>
          </cell>
          <cell r="N51">
            <v>-84</v>
          </cell>
          <cell r="O51">
            <v>-97</v>
          </cell>
          <cell r="P51">
            <v>577</v>
          </cell>
          <cell r="Q51">
            <v>0.29462738301559793</v>
          </cell>
          <cell r="R51">
            <v>170</v>
          </cell>
          <cell r="S51">
            <v>2</v>
          </cell>
          <cell r="T51">
            <v>405</v>
          </cell>
          <cell r="U51">
            <v>3825</v>
          </cell>
          <cell r="V51">
            <v>0.10588235294117647</v>
          </cell>
        </row>
        <row r="53">
          <cell r="A53" t="str">
            <v>1995 (a)</v>
          </cell>
          <cell r="B53">
            <v>10021</v>
          </cell>
          <cell r="C53">
            <v>0</v>
          </cell>
          <cell r="D53">
            <v>10021</v>
          </cell>
          <cell r="E53">
            <v>2164</v>
          </cell>
          <cell r="F53">
            <v>7857</v>
          </cell>
          <cell r="G53">
            <v>3855</v>
          </cell>
          <cell r="H53">
            <v>1442</v>
          </cell>
          <cell r="I53">
            <v>2560</v>
          </cell>
          <cell r="J53">
            <v>158</v>
          </cell>
          <cell r="K53">
            <v>-193</v>
          </cell>
          <cell r="L53">
            <v>-46</v>
          </cell>
          <cell r="M53">
            <v>-3</v>
          </cell>
          <cell r="N53">
            <v>-177</v>
          </cell>
          <cell r="O53">
            <v>-261</v>
          </cell>
          <cell r="P53">
            <v>2299</v>
          </cell>
          <cell r="Q53">
            <v>0.32100913440626361</v>
          </cell>
          <cell r="R53">
            <v>738</v>
          </cell>
          <cell r="S53">
            <v>7</v>
          </cell>
          <cell r="T53">
            <v>1554</v>
          </cell>
          <cell r="U53">
            <v>3777</v>
          </cell>
          <cell r="V53">
            <v>0.41143764892772039</v>
          </cell>
        </row>
        <row r="55">
          <cell r="A55" t="str">
            <v xml:space="preserve">1996/95 </v>
          </cell>
        </row>
        <row r="56">
          <cell r="A56" t="str">
            <v xml:space="preserve"> 1Q</v>
          </cell>
          <cell r="B56">
            <v>0.14713430282292558</v>
          </cell>
          <cell r="C56" t="str">
            <v>NM</v>
          </cell>
          <cell r="D56">
            <v>0.14713430282292558</v>
          </cell>
          <cell r="E56">
            <v>7.8585461689587421E-3</v>
          </cell>
          <cell r="F56">
            <v>0.1858939311098961</v>
          </cell>
          <cell r="G56">
            <v>0.17078916372202591</v>
          </cell>
          <cell r="H56">
            <v>0.16932907348242812</v>
          </cell>
          <cell r="I56">
            <v>0.21289355322338829</v>
          </cell>
          <cell r="J56">
            <v>-0.39583333333333331</v>
          </cell>
          <cell r="K56">
            <v>-0.24</v>
          </cell>
          <cell r="L56">
            <v>0.55555555555555558</v>
          </cell>
          <cell r="M56" t="str">
            <v>NM</v>
          </cell>
          <cell r="N56">
            <v>0</v>
          </cell>
          <cell r="O56">
            <v>0.46153846153846156</v>
          </cell>
          <cell r="P56">
            <v>0.19745222929936307</v>
          </cell>
          <cell r="Q56">
            <v>-6.0001027854866898E-2</v>
          </cell>
          <cell r="R56">
            <v>0.12560386473429952</v>
          </cell>
          <cell r="S56" t="str">
            <v xml:space="preserve">     NM </v>
          </cell>
          <cell r="T56">
            <v>0.23389021479713604</v>
          </cell>
          <cell r="U56">
            <v>2.9071635078702189E-2</v>
          </cell>
          <cell r="V56">
            <v>0.19903238291352721</v>
          </cell>
        </row>
        <row r="57">
          <cell r="A57" t="str">
            <v xml:space="preserve"> 2Q</v>
          </cell>
          <cell r="B57">
            <v>0.10828821324448147</v>
          </cell>
          <cell r="C57" t="str">
            <v>NM</v>
          </cell>
          <cell r="D57">
            <v>0.10828821324448147</v>
          </cell>
          <cell r="E57">
            <v>-5.6159420289855072E-2</v>
          </cell>
          <cell r="F57">
            <v>0.15738236884802595</v>
          </cell>
          <cell r="G57">
            <v>0.11995863495346432</v>
          </cell>
          <cell r="H57">
            <v>0.19209039548022599</v>
          </cell>
          <cell r="I57">
            <v>0.20265151515151514</v>
          </cell>
          <cell r="J57">
            <v>-0.18421052631578946</v>
          </cell>
          <cell r="K57">
            <v>-0.25</v>
          </cell>
          <cell r="L57">
            <v>7.6923076923076927E-2</v>
          </cell>
          <cell r="M57" t="str">
            <v>NM</v>
          </cell>
          <cell r="N57">
            <v>-3.0303030303030304E-2</v>
          </cell>
          <cell r="O57">
            <v>1.6666666666666666E-2</v>
          </cell>
          <cell r="P57">
            <v>0.2264957264957265</v>
          </cell>
          <cell r="Q57">
            <v>-6.3684387995953648E-2</v>
          </cell>
          <cell r="R57">
            <v>0.14838709677419354</v>
          </cell>
          <cell r="S57" t="str">
            <v xml:space="preserve">     NM </v>
          </cell>
          <cell r="T57">
            <v>0.26688102893890675</v>
          </cell>
          <cell r="U57">
            <v>3.2605203983295659E-2</v>
          </cell>
          <cell r="V57">
            <v>0.22687840817757585</v>
          </cell>
        </row>
        <row r="58">
          <cell r="A58" t="str">
            <v xml:space="preserve"> 3Q</v>
          </cell>
          <cell r="B58">
            <v>0.10441292356185973</v>
          </cell>
          <cell r="C58" t="str">
            <v>NM</v>
          </cell>
          <cell r="D58">
            <v>0.10441292356185973</v>
          </cell>
          <cell r="E58">
            <v>-2.6119402985074626E-2</v>
          </cell>
          <cell r="F58">
            <v>0.13936063936063936</v>
          </cell>
          <cell r="G58">
            <v>8.3333333333333329E-2</v>
          </cell>
          <cell r="H58">
            <v>0.15669515669515668</v>
          </cell>
          <cell r="I58">
            <v>0.20839363241678727</v>
          </cell>
          <cell r="J58">
            <v>-8.3333333333333329E-2</v>
          </cell>
          <cell r="K58">
            <v>-0.15217391304347827</v>
          </cell>
          <cell r="L58">
            <v>0.25</v>
          </cell>
          <cell r="M58" t="str">
            <v>NM</v>
          </cell>
          <cell r="N58">
            <v>0.83333333333333337</v>
          </cell>
          <cell r="O58">
            <v>0.32307692307692309</v>
          </cell>
          <cell r="P58">
            <v>0.19648562300319489</v>
          </cell>
          <cell r="Q58">
            <v>-5.8732031057591366E-2</v>
          </cell>
          <cell r="R58">
            <v>0.12621359223300971</v>
          </cell>
          <cell r="S58" t="str">
            <v xml:space="preserve">     NM </v>
          </cell>
          <cell r="T58">
            <v>0.22673031026252982</v>
          </cell>
          <cell r="U58">
            <v>1.7350157728706624E-2</v>
          </cell>
          <cell r="V58">
            <v>0.20580932822704481</v>
          </cell>
        </row>
        <row r="59">
          <cell r="A59" t="str">
            <v xml:space="preserve"> 4Q</v>
          </cell>
          <cell r="B59">
            <v>0.15160349854227406</v>
          </cell>
          <cell r="C59" t="str">
            <v>NM</v>
          </cell>
          <cell r="D59">
            <v>0.15160349854227406</v>
          </cell>
          <cell r="E59">
            <v>9.3474426807760136E-2</v>
          </cell>
          <cell r="F59">
            <v>0.16674322462103813</v>
          </cell>
          <cell r="G59">
            <v>0.15755329008341057</v>
          </cell>
          <cell r="H59">
            <v>0.15566037735849056</v>
          </cell>
          <cell r="I59">
            <v>0.18842729970326411</v>
          </cell>
          <cell r="J59">
            <v>0.16666666666666666</v>
          </cell>
          <cell r="K59">
            <v>0.12195121951219512</v>
          </cell>
          <cell r="L59">
            <v>1.25</v>
          </cell>
          <cell r="M59" t="str">
            <v>NM</v>
          </cell>
          <cell r="N59">
            <v>-0.42857142857142855</v>
          </cell>
          <cell r="O59">
            <v>-0.25773195876288657</v>
          </cell>
          <cell r="P59">
            <v>0.2634315424610052</v>
          </cell>
          <cell r="Q59">
            <v>5.2223029129347155E-2</v>
          </cell>
          <cell r="R59">
            <v>0.32941176470588235</v>
          </cell>
          <cell r="S59" t="str">
            <v xml:space="preserve">     NM </v>
          </cell>
          <cell r="T59">
            <v>0.24444444444444444</v>
          </cell>
          <cell r="U59">
            <v>1.7254901960784313E-2</v>
          </cell>
          <cell r="V59">
            <v>0.22333590336674369</v>
          </cell>
        </row>
        <row r="61">
          <cell r="A61" t="str">
            <v xml:space="preserve">1996/95 </v>
          </cell>
          <cell r="B61">
            <v>0.12823071549745535</v>
          </cell>
          <cell r="C61" t="str">
            <v>NM</v>
          </cell>
          <cell r="D61">
            <v>0.12823071549745535</v>
          </cell>
          <cell r="E61">
            <v>5.5452865064695009E-3</v>
          </cell>
          <cell r="F61">
            <v>0.16202112765686649</v>
          </cell>
          <cell r="G61">
            <v>0.13255512321660182</v>
          </cell>
          <cell r="H61">
            <v>0.16782246879334259</v>
          </cell>
          <cell r="I61">
            <v>0.203125</v>
          </cell>
          <cell r="J61">
            <v>-0.14556962025316456</v>
          </cell>
          <cell r="K61">
            <v>-0.14507772020725387</v>
          </cell>
          <cell r="L61">
            <v>0.43478260869565216</v>
          </cell>
          <cell r="M61" t="str">
            <v>NM</v>
          </cell>
          <cell r="N61">
            <v>-6.7796610169491525E-2</v>
          </cell>
          <cell r="O61">
            <v>5.7471264367816091E-2</v>
          </cell>
          <cell r="P61">
            <v>0.21966072205306655</v>
          </cell>
          <cell r="Q61">
            <v>-3.4562027146662434E-2</v>
          </cell>
          <cell r="R61">
            <v>0.17750677506775067</v>
          </cell>
          <cell r="S61" t="str">
            <v>NM</v>
          </cell>
          <cell r="T61">
            <v>0.2413127413127413</v>
          </cell>
          <cell r="U61">
            <v>2.3034154090548053E-2</v>
          </cell>
          <cell r="V61">
            <v>0.21276183996814779</v>
          </cell>
        </row>
        <row r="63">
          <cell r="A63" t="str">
            <v>1996</v>
          </cell>
        </row>
        <row r="64">
          <cell r="A64" t="str">
            <v xml:space="preserve"> 1Q</v>
          </cell>
          <cell r="B64">
            <v>2682</v>
          </cell>
          <cell r="C64">
            <v>0</v>
          </cell>
          <cell r="D64">
            <v>2682</v>
          </cell>
          <cell r="E64">
            <v>513</v>
          </cell>
          <cell r="F64">
            <v>2169</v>
          </cell>
          <cell r="G64">
            <v>994</v>
          </cell>
          <cell r="H64">
            <v>366</v>
          </cell>
          <cell r="I64">
            <v>809</v>
          </cell>
          <cell r="J64">
            <v>29</v>
          </cell>
          <cell r="K64">
            <v>-38</v>
          </cell>
          <cell r="L64">
            <v>-14</v>
          </cell>
          <cell r="M64">
            <v>-4</v>
          </cell>
          <cell r="N64">
            <v>-30</v>
          </cell>
          <cell r="O64">
            <v>-57</v>
          </cell>
          <cell r="P64">
            <v>752</v>
          </cell>
          <cell r="Q64">
            <v>0.30984042553191488</v>
          </cell>
          <cell r="R64">
            <v>233</v>
          </cell>
          <cell r="S64">
            <v>2</v>
          </cell>
          <cell r="T64">
            <v>517</v>
          </cell>
          <cell r="U64">
            <v>3844.2000000000003</v>
          </cell>
          <cell r="V64">
            <v>0.13448832006659381</v>
          </cell>
        </row>
        <row r="65">
          <cell r="A65" t="str">
            <v xml:space="preserve"> 2Q</v>
          </cell>
          <cell r="B65">
            <v>2661</v>
          </cell>
          <cell r="C65">
            <v>0</v>
          </cell>
          <cell r="D65">
            <v>2661</v>
          </cell>
          <cell r="E65">
            <v>521</v>
          </cell>
          <cell r="F65">
            <v>2140</v>
          </cell>
          <cell r="G65">
            <v>1083</v>
          </cell>
          <cell r="H65">
            <v>422</v>
          </cell>
          <cell r="I65">
            <v>635</v>
          </cell>
          <cell r="J65">
            <v>31</v>
          </cell>
          <cell r="K65">
            <v>-42</v>
          </cell>
          <cell r="L65">
            <v>-14</v>
          </cell>
          <cell r="M65">
            <v>-4</v>
          </cell>
          <cell r="N65">
            <v>-32</v>
          </cell>
          <cell r="O65">
            <v>-61</v>
          </cell>
          <cell r="P65">
            <v>574</v>
          </cell>
          <cell r="Q65">
            <v>0.31010452961672474</v>
          </cell>
          <cell r="R65">
            <v>178</v>
          </cell>
          <cell r="S65">
            <v>2</v>
          </cell>
          <cell r="T65">
            <v>394</v>
          </cell>
          <cell r="U65">
            <v>3857.3999999999996</v>
          </cell>
          <cell r="V65">
            <v>0.10214133872556645</v>
          </cell>
        </row>
        <row r="66">
          <cell r="A66" t="str">
            <v xml:space="preserve"> 3Q</v>
          </cell>
          <cell r="B66">
            <v>2803</v>
          </cell>
          <cell r="C66">
            <v>0</v>
          </cell>
          <cell r="D66">
            <v>2803</v>
          </cell>
          <cell r="E66">
            <v>522</v>
          </cell>
          <cell r="F66">
            <v>2281</v>
          </cell>
          <cell r="G66">
            <v>1040</v>
          </cell>
          <cell r="H66">
            <v>406</v>
          </cell>
          <cell r="I66">
            <v>835</v>
          </cell>
          <cell r="J66">
            <v>33</v>
          </cell>
          <cell r="K66">
            <v>-39</v>
          </cell>
          <cell r="L66">
            <v>-20</v>
          </cell>
          <cell r="M66">
            <v>-5</v>
          </cell>
          <cell r="N66">
            <v>-55</v>
          </cell>
          <cell r="O66">
            <v>-86</v>
          </cell>
          <cell r="P66">
            <v>749</v>
          </cell>
          <cell r="Q66">
            <v>0.30974632843791722</v>
          </cell>
          <cell r="R66">
            <v>232</v>
          </cell>
          <cell r="S66">
            <v>3</v>
          </cell>
          <cell r="T66">
            <v>514</v>
          </cell>
          <cell r="U66">
            <v>3870</v>
          </cell>
          <cell r="V66">
            <v>0.13281653746770025</v>
          </cell>
        </row>
        <row r="67">
          <cell r="A67" t="str">
            <v xml:space="preserve"> 4Q</v>
          </cell>
          <cell r="B67">
            <v>3160</v>
          </cell>
          <cell r="C67">
            <v>0</v>
          </cell>
          <cell r="D67">
            <v>3160</v>
          </cell>
          <cell r="E67">
            <v>620</v>
          </cell>
          <cell r="F67">
            <v>2540</v>
          </cell>
          <cell r="G67">
            <v>1249</v>
          </cell>
          <cell r="H67">
            <v>490</v>
          </cell>
          <cell r="I67">
            <v>801</v>
          </cell>
          <cell r="J67">
            <v>42</v>
          </cell>
          <cell r="K67">
            <v>-46</v>
          </cell>
          <cell r="L67">
            <v>-18</v>
          </cell>
          <cell r="M67">
            <v>-2</v>
          </cell>
          <cell r="N67">
            <v>-48</v>
          </cell>
          <cell r="O67">
            <v>-72</v>
          </cell>
          <cell r="P67">
            <v>729</v>
          </cell>
          <cell r="Q67">
            <v>0.31001371742112482</v>
          </cell>
          <cell r="R67">
            <v>226</v>
          </cell>
          <cell r="S67">
            <v>-1</v>
          </cell>
          <cell r="T67">
            <v>504</v>
          </cell>
          <cell r="U67">
            <v>3891</v>
          </cell>
          <cell r="V67">
            <v>0.12952968388589051</v>
          </cell>
        </row>
        <row r="69">
          <cell r="A69" t="str">
            <v>1996 (a)</v>
          </cell>
          <cell r="B69">
            <v>11306</v>
          </cell>
          <cell r="C69">
            <v>0</v>
          </cell>
          <cell r="D69">
            <v>11306</v>
          </cell>
          <cell r="E69">
            <v>2176</v>
          </cell>
          <cell r="F69">
            <v>9130</v>
          </cell>
          <cell r="G69">
            <v>4366</v>
          </cell>
          <cell r="H69">
            <v>1684</v>
          </cell>
          <cell r="I69">
            <v>3080</v>
          </cell>
          <cell r="J69">
            <v>135</v>
          </cell>
          <cell r="K69">
            <v>-165</v>
          </cell>
          <cell r="L69">
            <v>-66</v>
          </cell>
          <cell r="M69">
            <v>-15</v>
          </cell>
          <cell r="N69">
            <v>-165</v>
          </cell>
          <cell r="O69">
            <v>-276</v>
          </cell>
          <cell r="P69">
            <v>2804</v>
          </cell>
          <cell r="Q69">
            <v>0.30991440798858771</v>
          </cell>
          <cell r="R69">
            <v>869</v>
          </cell>
          <cell r="S69">
            <v>6</v>
          </cell>
          <cell r="T69">
            <v>1929</v>
          </cell>
          <cell r="U69">
            <v>3864</v>
          </cell>
          <cell r="V69">
            <v>0.49897588014575101</v>
          </cell>
        </row>
        <row r="71">
          <cell r="A71" t="str">
            <v xml:space="preserve">1997/96 </v>
          </cell>
        </row>
        <row r="72">
          <cell r="A72" t="str">
            <v xml:space="preserve"> 1Q</v>
          </cell>
          <cell r="B72">
            <v>1.4914243102162564E-3</v>
          </cell>
          <cell r="C72" t="str">
            <v>NM</v>
          </cell>
          <cell r="D72">
            <v>1.1185682326621924E-3</v>
          </cell>
          <cell r="E72">
            <v>-0.15594541910331383</v>
          </cell>
          <cell r="F72">
            <v>3.8727524204702629E-2</v>
          </cell>
          <cell r="G72">
            <v>-9.0543259557344068E-3</v>
          </cell>
          <cell r="H72">
            <v>6.0109289617486336E-2</v>
          </cell>
          <cell r="I72">
            <v>8.6526576019777507E-2</v>
          </cell>
          <cell r="J72">
            <v>0.17241379310344829</v>
          </cell>
          <cell r="K72">
            <v>-2.6315789473684209E-2</v>
          </cell>
          <cell r="L72">
            <v>0.2857142857142857</v>
          </cell>
          <cell r="M72" t="str">
            <v xml:space="preserve">   NM </v>
          </cell>
          <cell r="N72">
            <v>0.16666666666666666</v>
          </cell>
          <cell r="O72">
            <v>8.771929824561403E-2</v>
          </cell>
          <cell r="P72">
            <v>8.6436170212765964E-2</v>
          </cell>
          <cell r="Q72">
            <v>-4.4005862545374225E-2</v>
          </cell>
          <cell r="R72">
            <v>3.8626609442060089E-2</v>
          </cell>
          <cell r="S72" t="str">
            <v xml:space="preserve">   NM </v>
          </cell>
          <cell r="T72">
            <v>0.1102514506769826</v>
          </cell>
          <cell r="U72">
            <v>1.404713594506009E-2</v>
          </cell>
          <cell r="V72">
            <v>9.4871639908792965E-2</v>
          </cell>
        </row>
        <row r="73">
          <cell r="A73" t="str">
            <v xml:space="preserve"> 2Q</v>
          </cell>
          <cell r="B73">
            <v>-6.3509958662157084E-2</v>
          </cell>
          <cell r="C73" t="str">
            <v>NM</v>
          </cell>
          <cell r="D73">
            <v>-4.1337842916196917E-2</v>
          </cell>
          <cell r="E73">
            <v>-0.25335892514395392</v>
          </cell>
          <cell r="F73">
            <v>-1.7289719626168223E-2</v>
          </cell>
          <cell r="G73">
            <v>1.7543859649122806E-2</v>
          </cell>
          <cell r="H73">
            <v>1.8957345971563982E-2</v>
          </cell>
          <cell r="I73">
            <v>-7.874015748031496E-3</v>
          </cell>
          <cell r="J73">
            <v>0.22580645161290322</v>
          </cell>
          <cell r="K73">
            <v>-0.11904761904761904</v>
          </cell>
          <cell r="L73">
            <v>0.14285714285714285</v>
          </cell>
          <cell r="M73" t="str">
            <v xml:space="preserve">   NM </v>
          </cell>
          <cell r="N73">
            <v>6.25E-2</v>
          </cell>
          <cell r="O73">
            <v>-0.14754098360655737</v>
          </cell>
          <cell r="P73">
            <v>6.9686411149825784E-3</v>
          </cell>
          <cell r="Q73">
            <v>-0.15197698378756666</v>
          </cell>
          <cell r="R73">
            <v>-0.14606741573033707</v>
          </cell>
          <cell r="S73" t="str">
            <v xml:space="preserve">   NM </v>
          </cell>
          <cell r="T73">
            <v>7.1065989847715741E-2</v>
          </cell>
          <cell r="U73">
            <v>1.1821434126613876E-2</v>
          </cell>
          <cell r="V73">
            <v>5.8552382587388777E-2</v>
          </cell>
        </row>
        <row r="74">
          <cell r="A74" t="str">
            <v xml:space="preserve"> 3Q</v>
          </cell>
          <cell r="B74">
            <v>-5.3870852657866571E-2</v>
          </cell>
          <cell r="C74" t="str">
            <v>NM</v>
          </cell>
          <cell r="D74">
            <v>-1.9978594363182306E-2</v>
          </cell>
          <cell r="E74">
            <v>-0.18965517241379309</v>
          </cell>
          <cell r="F74">
            <v>-2.2797018851380975E-2</v>
          </cell>
          <cell r="G74">
            <v>1.0576923076923078E-2</v>
          </cell>
          <cell r="H74">
            <v>0.10098522167487685</v>
          </cell>
          <cell r="I74">
            <v>-1.0778443113772455E-2</v>
          </cell>
          <cell r="J74">
            <v>0.18181818181818182</v>
          </cell>
          <cell r="K74">
            <v>0</v>
          </cell>
          <cell r="L74">
            <v>-0.1</v>
          </cell>
          <cell r="M74" t="str">
            <v xml:space="preserve">   NM </v>
          </cell>
          <cell r="N74">
            <v>-0.6</v>
          </cell>
          <cell r="O74">
            <v>-0.39534883720930231</v>
          </cell>
          <cell r="P74">
            <v>3.3377837116154871E-2</v>
          </cell>
          <cell r="Q74">
            <v>-0.19914461373964182</v>
          </cell>
          <cell r="R74">
            <v>-0.17241379310344829</v>
          </cell>
          <cell r="S74" t="str">
            <v xml:space="preserve">   NM </v>
          </cell>
          <cell r="T74">
            <v>0.12645914396887159</v>
          </cell>
          <cell r="U74">
            <v>8.5271317829457363E-3</v>
          </cell>
          <cell r="V74">
            <v>0.11693489294376982</v>
          </cell>
        </row>
        <row r="75">
          <cell r="A75" t="str">
            <v xml:space="preserve"> 4Q</v>
          </cell>
          <cell r="B75">
            <v>-7.9430379746835436E-2</v>
          </cell>
          <cell r="C75" t="str">
            <v>NM</v>
          </cell>
          <cell r="D75">
            <v>-2.7848101265822784E-2</v>
          </cell>
          <cell r="E75">
            <v>-0.1435483870967742</v>
          </cell>
          <cell r="F75">
            <v>-6.3779527559055124E-2</v>
          </cell>
          <cell r="G75">
            <v>1.120896717373899E-2</v>
          </cell>
          <cell r="H75">
            <v>0.10204081632653061</v>
          </cell>
          <cell r="I75">
            <v>-7.8651685393258425E-2</v>
          </cell>
          <cell r="J75">
            <v>7.1428571428571425E-2</v>
          </cell>
          <cell r="K75">
            <v>-0.2608695652173913</v>
          </cell>
          <cell r="L75">
            <v>-0.1111111111111111</v>
          </cell>
          <cell r="M75" t="str">
            <v xml:space="preserve">   NM </v>
          </cell>
          <cell r="N75">
            <v>-0.20833333333333334</v>
          </cell>
          <cell r="O75">
            <v>-0.30555555555555558</v>
          </cell>
          <cell r="P75">
            <v>-5.6241426611796985E-2</v>
          </cell>
          <cell r="Q75">
            <v>-0.12794556493105583</v>
          </cell>
          <cell r="R75">
            <v>-0.17699115044247787</v>
          </cell>
          <cell r="S75" t="str">
            <v xml:space="preserve">   NM </v>
          </cell>
          <cell r="T75">
            <v>-7.9365079365079361E-3</v>
          </cell>
          <cell r="U75">
            <v>4.6260601387818042E-3</v>
          </cell>
          <cell r="V75">
            <v>-1.2504720486301475E-2</v>
          </cell>
        </row>
        <row r="77">
          <cell r="A77" t="str">
            <v>Year</v>
          </cell>
          <cell r="B77">
            <v>-5.0150362639306563E-2</v>
          </cell>
          <cell r="C77" t="str">
            <v>NM</v>
          </cell>
          <cell r="D77">
            <v>-2.2200601450557227E-2</v>
          </cell>
          <cell r="E77">
            <v>-0.18382352941176472</v>
          </cell>
          <cell r="F77">
            <v>-1.8291347207009857E-2</v>
          </cell>
          <cell r="G77">
            <v>8.0164910673385242E-3</v>
          </cell>
          <cell r="H77">
            <v>7.1852731591448935E-2</v>
          </cell>
          <cell r="I77">
            <v>-2.2727272727272726E-3</v>
          </cell>
          <cell r="J77">
            <v>0.15555555555555556</v>
          </cell>
          <cell r="K77">
            <v>-0.10909090909090909</v>
          </cell>
          <cell r="L77">
            <v>3.0303030303030304E-2</v>
          </cell>
          <cell r="M77" t="str">
            <v xml:space="preserve">   NM </v>
          </cell>
          <cell r="N77">
            <v>-0.21818181818181817</v>
          </cell>
          <cell r="O77">
            <v>-0.21739130434782608</v>
          </cell>
          <cell r="P77">
            <v>1.8901569186875893E-2</v>
          </cell>
          <cell r="Q77">
            <v>-0.12810278028285757</v>
          </cell>
          <cell r="R77">
            <v>-0.11162255466052934</v>
          </cell>
          <cell r="S77" t="str">
            <v xml:space="preserve">   NM </v>
          </cell>
          <cell r="T77">
            <v>7.5686884396060139E-2</v>
          </cell>
          <cell r="U77">
            <v>1.1645962732919254E-2</v>
          </cell>
          <cell r="V77">
            <v>6.543583089643977E-2</v>
          </cell>
        </row>
        <row r="79">
          <cell r="A79">
            <v>1997</v>
          </cell>
        </row>
        <row r="80">
          <cell r="A80" t="str">
            <v xml:space="preserve"> 1Q</v>
          </cell>
          <cell r="B80">
            <v>2686</v>
          </cell>
          <cell r="C80">
            <v>-1</v>
          </cell>
          <cell r="D80">
            <v>2685</v>
          </cell>
          <cell r="E80">
            <v>433</v>
          </cell>
          <cell r="F80">
            <v>2253</v>
          </cell>
          <cell r="G80">
            <v>985</v>
          </cell>
          <cell r="H80">
            <v>388</v>
          </cell>
          <cell r="I80">
            <v>879</v>
          </cell>
          <cell r="J80">
            <v>34</v>
          </cell>
          <cell r="K80">
            <v>-37</v>
          </cell>
          <cell r="L80">
            <v>-18</v>
          </cell>
          <cell r="M80">
            <v>-6</v>
          </cell>
          <cell r="N80">
            <v>-35</v>
          </cell>
          <cell r="O80">
            <v>-62</v>
          </cell>
          <cell r="P80">
            <v>817</v>
          </cell>
          <cell r="Q80">
            <v>0.29620563035495717</v>
          </cell>
          <cell r="R80">
            <v>242</v>
          </cell>
          <cell r="S80">
            <v>1</v>
          </cell>
          <cell r="T80">
            <v>574</v>
          </cell>
          <cell r="U80">
            <v>3898.2000000000003</v>
          </cell>
          <cell r="V80">
            <v>0.14724744753989019</v>
          </cell>
        </row>
        <row r="81">
          <cell r="A81" t="str">
            <v xml:space="preserve"> 2Q</v>
          </cell>
          <cell r="B81">
            <v>2492</v>
          </cell>
          <cell r="C81">
            <v>59</v>
          </cell>
          <cell r="D81">
            <v>2551</v>
          </cell>
          <cell r="E81">
            <v>389</v>
          </cell>
          <cell r="F81">
            <v>2103</v>
          </cell>
          <cell r="G81">
            <v>1102</v>
          </cell>
          <cell r="H81">
            <v>430</v>
          </cell>
          <cell r="I81">
            <v>630</v>
          </cell>
          <cell r="J81">
            <v>38</v>
          </cell>
          <cell r="K81">
            <v>-37</v>
          </cell>
          <cell r="L81">
            <v>-16</v>
          </cell>
          <cell r="M81">
            <v>-3</v>
          </cell>
          <cell r="N81">
            <v>-34</v>
          </cell>
          <cell r="O81">
            <v>-52</v>
          </cell>
          <cell r="P81">
            <v>578</v>
          </cell>
          <cell r="Q81">
            <v>0.26297577854671278</v>
          </cell>
          <cell r="R81">
            <v>152</v>
          </cell>
          <cell r="S81">
            <v>4</v>
          </cell>
          <cell r="T81">
            <v>422</v>
          </cell>
          <cell r="U81">
            <v>3903</v>
          </cell>
          <cell r="V81">
            <v>0.10812195746861389</v>
          </cell>
        </row>
        <row r="82">
          <cell r="A82" t="str">
            <v xml:space="preserve"> 3Q</v>
          </cell>
          <cell r="B82">
            <v>2652</v>
          </cell>
          <cell r="C82">
            <v>95</v>
          </cell>
          <cell r="D82">
            <v>2747</v>
          </cell>
          <cell r="E82">
            <v>423</v>
          </cell>
          <cell r="F82">
            <v>2229</v>
          </cell>
          <cell r="G82">
            <v>1051</v>
          </cell>
          <cell r="H82">
            <v>447</v>
          </cell>
          <cell r="I82">
            <v>826</v>
          </cell>
          <cell r="J82">
            <v>39</v>
          </cell>
          <cell r="K82">
            <v>-39</v>
          </cell>
          <cell r="L82">
            <v>-18</v>
          </cell>
          <cell r="M82">
            <v>-12</v>
          </cell>
          <cell r="N82">
            <v>-22</v>
          </cell>
          <cell r="O82">
            <v>-52</v>
          </cell>
          <cell r="P82">
            <v>774</v>
          </cell>
          <cell r="Q82">
            <v>0.24806201550387597</v>
          </cell>
          <cell r="R82">
            <v>192</v>
          </cell>
          <cell r="S82">
            <v>3</v>
          </cell>
          <cell r="T82">
            <v>579</v>
          </cell>
          <cell r="U82">
            <v>3903</v>
          </cell>
          <cell r="V82">
            <v>0.14834742505764797</v>
          </cell>
        </row>
        <row r="83">
          <cell r="A83" t="str">
            <v xml:space="preserve"> 4Q</v>
          </cell>
          <cell r="B83">
            <v>2909</v>
          </cell>
          <cell r="C83">
            <v>163</v>
          </cell>
          <cell r="D83">
            <v>3072</v>
          </cell>
          <cell r="E83">
            <v>531</v>
          </cell>
          <cell r="F83">
            <v>2378</v>
          </cell>
          <cell r="G83">
            <v>1263</v>
          </cell>
          <cell r="H83">
            <v>540</v>
          </cell>
          <cell r="I83">
            <v>738</v>
          </cell>
          <cell r="J83">
            <v>45</v>
          </cell>
          <cell r="K83">
            <v>-34</v>
          </cell>
          <cell r="L83">
            <v>-16</v>
          </cell>
          <cell r="M83">
            <v>-7</v>
          </cell>
          <cell r="N83">
            <v>-38</v>
          </cell>
          <cell r="O83">
            <v>-50</v>
          </cell>
          <cell r="P83">
            <v>688</v>
          </cell>
          <cell r="Q83">
            <v>0.27034883720930231</v>
          </cell>
          <cell r="R83">
            <v>186</v>
          </cell>
          <cell r="S83">
            <v>2</v>
          </cell>
          <cell r="T83">
            <v>500</v>
          </cell>
          <cell r="U83">
            <v>3909</v>
          </cell>
          <cell r="V83">
            <v>0.12790995139421846</v>
          </cell>
        </row>
        <row r="85">
          <cell r="A85" t="str">
            <v>Year</v>
          </cell>
          <cell r="B85">
            <v>10739</v>
          </cell>
          <cell r="C85">
            <v>316</v>
          </cell>
          <cell r="D85">
            <v>11055</v>
          </cell>
          <cell r="E85">
            <v>1776</v>
          </cell>
          <cell r="F85">
            <v>8963</v>
          </cell>
          <cell r="G85">
            <v>4401</v>
          </cell>
          <cell r="H85">
            <v>1805</v>
          </cell>
          <cell r="I85">
            <v>3073</v>
          </cell>
          <cell r="J85">
            <v>156</v>
          </cell>
          <cell r="K85">
            <v>-147</v>
          </cell>
          <cell r="L85">
            <v>-68</v>
          </cell>
          <cell r="M85">
            <v>-28</v>
          </cell>
          <cell r="N85">
            <v>-129</v>
          </cell>
          <cell r="O85">
            <v>-216</v>
          </cell>
          <cell r="P85">
            <v>2857</v>
          </cell>
          <cell r="Q85">
            <v>0.27021351067553379</v>
          </cell>
          <cell r="R85">
            <v>772</v>
          </cell>
          <cell r="S85">
            <v>10</v>
          </cell>
          <cell r="T85">
            <v>2075</v>
          </cell>
          <cell r="U85">
            <v>3909</v>
          </cell>
          <cell r="V85">
            <v>0.53162678146037057</v>
          </cell>
        </row>
        <row r="87">
          <cell r="A87" t="str">
            <v xml:space="preserve">1998/97 </v>
          </cell>
        </row>
        <row r="88">
          <cell r="A88" t="str">
            <v xml:space="preserve"> 1Q</v>
          </cell>
          <cell r="B88">
            <v>7.4460163812360383E-2</v>
          </cell>
          <cell r="C88" t="str">
            <v>NM</v>
          </cell>
          <cell r="D88">
            <v>0.13072625698324022</v>
          </cell>
          <cell r="E88">
            <v>-1.1547344110854504E-2</v>
          </cell>
          <cell r="F88">
            <v>9.0989791389258765E-2</v>
          </cell>
          <cell r="G88">
            <v>0.21725888324873097</v>
          </cell>
          <cell r="H88">
            <v>0.23969072164948454</v>
          </cell>
          <cell r="I88">
            <v>5.5745164960182024E-2</v>
          </cell>
          <cell r="J88">
            <v>5.8823529411764705E-2</v>
          </cell>
          <cell r="K88">
            <v>-0.27027027027027029</v>
          </cell>
          <cell r="L88">
            <v>-0.33333333333333331</v>
          </cell>
          <cell r="M88" t="str">
            <v xml:space="preserve">   NM </v>
          </cell>
          <cell r="N88" t="str">
            <v xml:space="preserve">   NM </v>
          </cell>
          <cell r="O88" t="str">
            <v xml:space="preserve">   NM </v>
          </cell>
          <cell r="P88">
            <v>9.7919216646266835E-2</v>
          </cell>
          <cell r="Q88">
            <v>-4.0258160811520609E-2</v>
          </cell>
          <cell r="R88">
            <v>5.3719008264462811E-2</v>
          </cell>
          <cell r="S88" t="str">
            <v xml:space="preserve">   NM </v>
          </cell>
          <cell r="T88">
            <v>0.11672473867595819</v>
          </cell>
          <cell r="U88">
            <v>1.1928582422656609E-2</v>
          </cell>
          <cell r="V88">
            <v>0.10356082244698472</v>
          </cell>
        </row>
        <row r="89">
          <cell r="A89" t="str">
            <v xml:space="preserve"> 2Q</v>
          </cell>
          <cell r="B89">
            <v>0.24959871589085073</v>
          </cell>
          <cell r="C89" t="str">
            <v>NM</v>
          </cell>
          <cell r="D89">
            <v>0.29831438651509212</v>
          </cell>
          <cell r="E89">
            <v>0.21593830334190231</v>
          </cell>
          <cell r="F89">
            <v>0.25582501188777934</v>
          </cell>
          <cell r="G89">
            <v>0.24047186932849365</v>
          </cell>
          <cell r="H89">
            <v>0.27906976744186046</v>
          </cell>
          <cell r="I89">
            <v>0.46349206349206351</v>
          </cell>
          <cell r="J89">
            <v>5.2631578947368418E-2</v>
          </cell>
          <cell r="K89">
            <v>-8.1081081081081086E-2</v>
          </cell>
          <cell r="L89">
            <v>-0.25</v>
          </cell>
          <cell r="M89" t="str">
            <v xml:space="preserve">   NM </v>
          </cell>
          <cell r="N89" t="str">
            <v xml:space="preserve">   NM </v>
          </cell>
          <cell r="O89" t="str">
            <v xml:space="preserve">   NM </v>
          </cell>
          <cell r="P89">
            <v>0.5017301038062284</v>
          </cell>
          <cell r="Q89">
            <v>0.13465619694397299</v>
          </cell>
          <cell r="R89">
            <v>0.70394736842105265</v>
          </cell>
          <cell r="S89" t="str">
            <v xml:space="preserve">   NM </v>
          </cell>
          <cell r="T89">
            <v>0.44075829383886256</v>
          </cell>
          <cell r="U89">
            <v>1.2605687932359793E-2</v>
          </cell>
          <cell r="V89">
            <v>0.42282263571000461</v>
          </cell>
        </row>
        <row r="90">
          <cell r="A90" t="str">
            <v xml:space="preserve"> 3Q</v>
          </cell>
          <cell r="B90">
            <v>0.1726998491704374</v>
          </cell>
          <cell r="C90" t="str">
            <v>NM</v>
          </cell>
          <cell r="D90">
            <v>0.21223152530032763</v>
          </cell>
          <cell r="E90">
            <v>0.12056737588652482</v>
          </cell>
          <cell r="F90">
            <v>0.18259309107222971</v>
          </cell>
          <cell r="G90">
            <v>0.25880114176974311</v>
          </cell>
          <cell r="H90">
            <v>0.23042505592841164</v>
          </cell>
          <cell r="I90">
            <v>0.19007263922518161</v>
          </cell>
          <cell r="J90">
            <v>7.6923076923076927E-2</v>
          </cell>
          <cell r="K90">
            <v>-0.10256410256410256</v>
          </cell>
          <cell r="L90">
            <v>-0.33333333333333331</v>
          </cell>
          <cell r="M90" t="str">
            <v xml:space="preserve">   NM </v>
          </cell>
          <cell r="N90" t="str">
            <v xml:space="preserve">   NM </v>
          </cell>
          <cell r="O90" t="str">
            <v xml:space="preserve">   NM </v>
          </cell>
          <cell r="P90">
            <v>0.18604651162790697</v>
          </cell>
          <cell r="Q90">
            <v>0.18566176470588241</v>
          </cell>
          <cell r="R90">
            <v>0.40625</v>
          </cell>
          <cell r="S90" t="str">
            <v xml:space="preserve">   NM </v>
          </cell>
          <cell r="T90">
            <v>0.11744386873920552</v>
          </cell>
          <cell r="U90">
            <v>1.1324622085575269E-2</v>
          </cell>
          <cell r="V90">
            <v>0.10493094337482727</v>
          </cell>
        </row>
        <row r="91">
          <cell r="A91" t="str">
            <v xml:space="preserve"> 4Q</v>
          </cell>
          <cell r="B91">
            <v>0.22619456858026812</v>
          </cell>
          <cell r="C91" t="str">
            <v>NM</v>
          </cell>
          <cell r="D91">
            <v>0.25846354166666669</v>
          </cell>
          <cell r="E91">
            <v>0.14500941619585686</v>
          </cell>
          <cell r="F91">
            <v>0.24432296047098401</v>
          </cell>
          <cell r="G91">
            <v>0.30562153602533648</v>
          </cell>
          <cell r="H91">
            <v>0.27962962962962962</v>
          </cell>
          <cell r="I91">
            <v>0.24390243902439024</v>
          </cell>
          <cell r="J91">
            <v>0.22222222222222221</v>
          </cell>
          <cell r="K91">
            <v>2.9411764705882353E-2</v>
          </cell>
          <cell r="L91">
            <v>-0.25</v>
          </cell>
          <cell r="M91" t="str">
            <v xml:space="preserve">   NM </v>
          </cell>
          <cell r="N91" t="str">
            <v xml:space="preserve">   NM </v>
          </cell>
          <cell r="O91" t="str">
            <v xml:space="preserve">   NM </v>
          </cell>
          <cell r="P91">
            <v>0.37645348837209303</v>
          </cell>
          <cell r="Q91">
            <v>-7.4292332322785051E-2</v>
          </cell>
          <cell r="R91">
            <v>0.27419354838709675</v>
          </cell>
          <cell r="S91" t="str">
            <v xml:space="preserve">   NM </v>
          </cell>
          <cell r="T91">
            <v>0.42199999999999999</v>
          </cell>
          <cell r="U91">
            <v>9.2862624712201913E-3</v>
          </cell>
          <cell r="V91">
            <v>0.40891643221047852</v>
          </cell>
        </row>
        <row r="93">
          <cell r="A93" t="str">
            <v>Year</v>
          </cell>
          <cell r="B93">
            <v>0.18046373032870844</v>
          </cell>
          <cell r="C93" t="str">
            <v>NM</v>
          </cell>
          <cell r="D93">
            <v>0.22514699231117141</v>
          </cell>
          <cell r="E93">
            <v>0.11655405405405406</v>
          </cell>
          <cell r="F93">
            <v>0.19312730112685486</v>
          </cell>
          <cell r="G93">
            <v>0.25835037491479207</v>
          </cell>
          <cell r="H93">
            <v>0.25872576177285317</v>
          </cell>
          <cell r="I93">
            <v>0.22063130491376506</v>
          </cell>
          <cell r="J93">
            <v>0.10897435897435898</v>
          </cell>
          <cell r="K93">
            <v>-0.10884353741496598</v>
          </cell>
          <cell r="L93">
            <v>-0.29411764705882354</v>
          </cell>
          <cell r="M93" t="str">
            <v xml:space="preserve">   NM </v>
          </cell>
          <cell r="N93" t="str">
            <v xml:space="preserve">   NM </v>
          </cell>
          <cell r="O93" t="str">
            <v xml:space="preserve">   NM </v>
          </cell>
          <cell r="P93">
            <v>0.27056352817640883</v>
          </cell>
          <cell r="Q93">
            <v>4.0907306698639678E-2</v>
          </cell>
          <cell r="R93">
            <v>0.32253886010362692</v>
          </cell>
          <cell r="S93" t="str">
            <v xml:space="preserve">   NM </v>
          </cell>
          <cell r="T93">
            <v>0.25638554216867471</v>
          </cell>
          <cell r="U93">
            <v>9.8106932719365329E-3</v>
          </cell>
          <cell r="V93">
            <v>0.24234331024183653</v>
          </cell>
        </row>
        <row r="95">
          <cell r="A95">
            <v>1998</v>
          </cell>
        </row>
        <row r="96">
          <cell r="A96" t="str">
            <v xml:space="preserve"> 1Q</v>
          </cell>
          <cell r="B96">
            <v>2886</v>
          </cell>
          <cell r="C96">
            <v>150</v>
          </cell>
          <cell r="D96">
            <v>3036</v>
          </cell>
          <cell r="E96">
            <v>428</v>
          </cell>
          <cell r="F96">
            <v>2458</v>
          </cell>
          <cell r="G96">
            <v>1199</v>
          </cell>
          <cell r="H96">
            <v>481</v>
          </cell>
          <cell r="I96">
            <v>928</v>
          </cell>
          <cell r="J96">
            <v>36</v>
          </cell>
          <cell r="K96">
            <v>-27</v>
          </cell>
          <cell r="L96">
            <v>-12</v>
          </cell>
          <cell r="M96">
            <v>5</v>
          </cell>
          <cell r="N96">
            <v>-33</v>
          </cell>
          <cell r="O96">
            <v>-31</v>
          </cell>
          <cell r="P96">
            <v>897</v>
          </cell>
          <cell r="Q96">
            <v>0.28428093645484948</v>
          </cell>
          <cell r="R96">
            <v>255</v>
          </cell>
          <cell r="S96">
            <v>1</v>
          </cell>
          <cell r="T96">
            <v>641</v>
          </cell>
          <cell r="U96">
            <v>3944.7000000000003</v>
          </cell>
          <cell r="V96">
            <v>0.16249651431034046</v>
          </cell>
        </row>
        <row r="97">
          <cell r="A97" t="str">
            <v xml:space="preserve"> 2Q</v>
          </cell>
          <cell r="B97">
            <v>3114</v>
          </cell>
          <cell r="C97">
            <v>198</v>
          </cell>
          <cell r="D97">
            <v>3312</v>
          </cell>
          <cell r="E97">
            <v>473</v>
          </cell>
          <cell r="F97">
            <v>2641</v>
          </cell>
          <cell r="G97">
            <v>1367</v>
          </cell>
          <cell r="H97">
            <v>550</v>
          </cell>
          <cell r="I97">
            <v>922</v>
          </cell>
          <cell r="J97">
            <v>40</v>
          </cell>
          <cell r="K97">
            <v>-34</v>
          </cell>
          <cell r="L97">
            <v>-12</v>
          </cell>
          <cell r="M97">
            <v>-4</v>
          </cell>
          <cell r="N97">
            <v>-44</v>
          </cell>
          <cell r="O97">
            <v>-54</v>
          </cell>
          <cell r="P97">
            <v>868</v>
          </cell>
          <cell r="Q97">
            <v>0.29838709677419356</v>
          </cell>
          <cell r="R97">
            <v>259</v>
          </cell>
          <cell r="S97">
            <v>1</v>
          </cell>
          <cell r="T97">
            <v>608</v>
          </cell>
          <cell r="U97">
            <v>3952.2000000000003</v>
          </cell>
          <cell r="V97">
            <v>0.15383836850361823</v>
          </cell>
        </row>
        <row r="98">
          <cell r="A98" t="str">
            <v xml:space="preserve"> 3Q</v>
          </cell>
          <cell r="B98">
            <v>3110</v>
          </cell>
          <cell r="C98">
            <v>220</v>
          </cell>
          <cell r="D98">
            <v>3330</v>
          </cell>
          <cell r="E98">
            <v>474</v>
          </cell>
          <cell r="F98">
            <v>2636</v>
          </cell>
          <cell r="G98">
            <v>1323</v>
          </cell>
          <cell r="H98">
            <v>550</v>
          </cell>
          <cell r="I98">
            <v>983</v>
          </cell>
          <cell r="J98">
            <v>42</v>
          </cell>
          <cell r="K98">
            <v>-35</v>
          </cell>
          <cell r="L98">
            <v>-12</v>
          </cell>
          <cell r="M98">
            <v>-10</v>
          </cell>
          <cell r="N98">
            <v>-50</v>
          </cell>
          <cell r="O98">
            <v>-65</v>
          </cell>
          <cell r="P98">
            <v>918</v>
          </cell>
          <cell r="Q98">
            <v>0.29411764705882354</v>
          </cell>
          <cell r="R98">
            <v>270</v>
          </cell>
          <cell r="S98">
            <v>1</v>
          </cell>
          <cell r="T98">
            <v>647</v>
          </cell>
          <cell r="U98">
            <v>3947.2000000000003</v>
          </cell>
          <cell r="V98">
            <v>0.16391366031617347</v>
          </cell>
        </row>
        <row r="99">
          <cell r="A99" t="str">
            <v xml:space="preserve"> 4Q</v>
          </cell>
          <cell r="B99">
            <v>3567</v>
          </cell>
          <cell r="C99">
            <v>299</v>
          </cell>
          <cell r="D99">
            <v>3866</v>
          </cell>
          <cell r="E99">
            <v>608</v>
          </cell>
          <cell r="F99">
            <v>2959</v>
          </cell>
          <cell r="G99">
            <v>1649</v>
          </cell>
          <cell r="H99">
            <v>691</v>
          </cell>
          <cell r="I99">
            <v>918</v>
          </cell>
          <cell r="J99">
            <v>55</v>
          </cell>
          <cell r="K99">
            <v>-35</v>
          </cell>
          <cell r="L99">
            <v>-12</v>
          </cell>
          <cell r="M99">
            <v>10</v>
          </cell>
          <cell r="N99">
            <v>11</v>
          </cell>
          <cell r="O99">
            <v>29</v>
          </cell>
          <cell r="P99">
            <v>947</v>
          </cell>
          <cell r="Q99">
            <v>0.2502639915522703</v>
          </cell>
          <cell r="R99">
            <v>237</v>
          </cell>
          <cell r="S99">
            <v>-1</v>
          </cell>
          <cell r="T99">
            <v>711</v>
          </cell>
          <cell r="U99">
            <v>3945.2999999999997</v>
          </cell>
          <cell r="V99">
            <v>0.18021443236255799</v>
          </cell>
        </row>
        <row r="101">
          <cell r="A101" t="str">
            <v>Year</v>
          </cell>
          <cell r="B101">
            <v>12677</v>
          </cell>
          <cell r="C101">
            <v>867</v>
          </cell>
          <cell r="D101">
            <v>13544</v>
          </cell>
          <cell r="E101">
            <v>1983</v>
          </cell>
          <cell r="F101">
            <v>10694</v>
          </cell>
          <cell r="G101">
            <v>5538</v>
          </cell>
          <cell r="H101">
            <v>2272</v>
          </cell>
          <cell r="I101">
            <v>3751</v>
          </cell>
          <cell r="J101">
            <v>173</v>
          </cell>
          <cell r="K101">
            <v>-131</v>
          </cell>
          <cell r="L101">
            <v>-48</v>
          </cell>
          <cell r="M101">
            <v>1</v>
          </cell>
          <cell r="N101">
            <v>-116</v>
          </cell>
          <cell r="O101">
            <v>-121</v>
          </cell>
          <cell r="P101">
            <v>3630</v>
          </cell>
          <cell r="Q101">
            <v>0.28126721763085399</v>
          </cell>
          <cell r="R101">
            <v>1021</v>
          </cell>
          <cell r="S101">
            <v>2</v>
          </cell>
          <cell r="T101">
            <v>2607</v>
          </cell>
          <cell r="U101">
            <v>3947.35</v>
          </cell>
          <cell r="V101">
            <v>0.66046297549269017</v>
          </cell>
        </row>
        <row r="103">
          <cell r="A103" t="str">
            <v xml:space="preserve">1999/98 </v>
          </cell>
        </row>
        <row r="104">
          <cell r="A104" t="str">
            <v xml:space="preserve"> 1Q</v>
          </cell>
          <cell r="B104">
            <v>0.22106722106722107</v>
          </cell>
          <cell r="C104">
            <v>1.6866666666666668</v>
          </cell>
          <cell r="D104">
            <v>0.29347826086956524</v>
          </cell>
          <cell r="E104">
            <v>0.27570093457943923</v>
          </cell>
          <cell r="F104">
            <v>0.21155410903173311</v>
          </cell>
          <cell r="G104">
            <v>0.30942452043369473</v>
          </cell>
          <cell r="H104">
            <v>0.36174636174636177</v>
          </cell>
          <cell r="I104">
            <v>0.24568965517241378</v>
          </cell>
          <cell r="J104">
            <v>0.83333333333333337</v>
          </cell>
          <cell r="K104">
            <v>0.51851851851851849</v>
          </cell>
          <cell r="L104">
            <v>-8.3333333333333329E-2</v>
          </cell>
          <cell r="M104" t="str">
            <v xml:space="preserve">   NM </v>
          </cell>
          <cell r="N104" t="str">
            <v xml:space="preserve">   NM </v>
          </cell>
          <cell r="O104" t="str">
            <v xml:space="preserve">   NM </v>
          </cell>
          <cell r="P104">
            <v>0.28316610925306579</v>
          </cell>
          <cell r="Q104">
            <v>1.770327592374929E-2</v>
          </cell>
          <cell r="R104">
            <v>0.30588235294117649</v>
          </cell>
          <cell r="S104" t="str">
            <v xml:space="preserve">   NM </v>
          </cell>
          <cell r="T104">
            <v>0.27457098283931358</v>
          </cell>
          <cell r="U104">
            <v>-3.1181078409006097E-3</v>
          </cell>
          <cell r="V104">
            <v>0.27855766351496303</v>
          </cell>
        </row>
        <row r="105">
          <cell r="A105" t="str">
            <v xml:space="preserve"> 2Q</v>
          </cell>
          <cell r="B105">
            <v>5.9087989723827873E-2</v>
          </cell>
          <cell r="C105">
            <v>1.4292929292929293</v>
          </cell>
          <cell r="D105">
            <v>0.14100241545893719</v>
          </cell>
          <cell r="E105">
            <v>6.3424947145877377E-3</v>
          </cell>
          <cell r="F105">
            <v>6.853464596743658E-2</v>
          </cell>
          <cell r="G105">
            <v>0.14484272128749084</v>
          </cell>
          <cell r="H105">
            <v>0.21272727272727274</v>
          </cell>
          <cell r="I105">
            <v>0.1616052060737527</v>
          </cell>
          <cell r="J105">
            <v>0.8</v>
          </cell>
          <cell r="K105">
            <v>0.55882352941176472</v>
          </cell>
          <cell r="L105">
            <v>-0.16666666666666666</v>
          </cell>
          <cell r="M105" t="str">
            <v xml:space="preserve">   NM </v>
          </cell>
          <cell r="N105" t="str">
            <v xml:space="preserve">   NM </v>
          </cell>
          <cell r="O105" t="str">
            <v xml:space="preserve">   NM </v>
          </cell>
          <cell r="P105">
            <v>0.18433179723502305</v>
          </cell>
          <cell r="Q105">
            <v>-2.8499316437059587E-2</v>
          </cell>
          <cell r="R105">
            <v>0.15057915057915058</v>
          </cell>
          <cell r="S105" t="str">
            <v xml:space="preserve">   NM </v>
          </cell>
          <cell r="T105">
            <v>0.19901315789473684</v>
          </cell>
          <cell r="U105">
            <v>-1.0171550022772195E-2</v>
          </cell>
          <cell r="V105">
            <v>0.21133430537617057</v>
          </cell>
        </row>
        <row r="106">
          <cell r="A106" t="str">
            <v xml:space="preserve"> 3Q</v>
          </cell>
          <cell r="B106">
            <v>0.10064308681672025</v>
          </cell>
          <cell r="C106">
            <v>1.5863636363636364</v>
          </cell>
          <cell r="D106">
            <v>0.1987987987987988</v>
          </cell>
          <cell r="E106">
            <v>5.2742616033755275E-2</v>
          </cell>
          <cell r="F106">
            <v>0.10925644916540213</v>
          </cell>
          <cell r="G106">
            <v>0.1126228269085412</v>
          </cell>
          <cell r="H106">
            <v>0.26181818181818184</v>
          </cell>
          <cell r="I106">
            <v>0.34994913530010174</v>
          </cell>
          <cell r="J106">
            <v>0.80952380952380953</v>
          </cell>
          <cell r="K106">
            <v>0.74285714285714288</v>
          </cell>
          <cell r="L106">
            <v>-8.3333333333333329E-2</v>
          </cell>
          <cell r="M106" t="str">
            <v xml:space="preserve">   NM </v>
          </cell>
          <cell r="N106" t="str">
            <v xml:space="preserve">   NM </v>
          </cell>
          <cell r="O106" t="str">
            <v xml:space="preserve">   NM </v>
          </cell>
          <cell r="P106">
            <v>0.39106753812636164</v>
          </cell>
          <cell r="Q106">
            <v>-1.4878621769773004E-2</v>
          </cell>
          <cell r="R106">
            <v>0.37037037037037035</v>
          </cell>
          <cell r="S106" t="str">
            <v xml:space="preserve">   NM </v>
          </cell>
          <cell r="T106">
            <v>0.40030911901081917</v>
          </cell>
          <cell r="U106">
            <v>-1.3731252533441495E-2</v>
          </cell>
          <cell r="V106">
            <v>0.41980481750822152</v>
          </cell>
        </row>
        <row r="107">
          <cell r="A107" t="str">
            <v xml:space="preserve"> 4Q</v>
          </cell>
          <cell r="B107">
            <v>8.9711241940005612E-2</v>
          </cell>
          <cell r="C107">
            <v>1.0702341137123745</v>
          </cell>
          <cell r="D107">
            <v>0.16554578375581996</v>
          </cell>
          <cell r="E107">
            <v>0.14473684210526316</v>
          </cell>
          <cell r="F107">
            <v>7.8404866508955728E-2</v>
          </cell>
          <cell r="G107">
            <v>5.8217101273499092E-2</v>
          </cell>
          <cell r="H107">
            <v>9.9855282199710571E-2</v>
          </cell>
          <cell r="I107">
            <v>0.42156862745098039</v>
          </cell>
          <cell r="J107">
            <v>-1</v>
          </cell>
          <cell r="K107">
            <v>-1</v>
          </cell>
          <cell r="L107">
            <v>-1</v>
          </cell>
          <cell r="M107" t="str">
            <v xml:space="preserve">   NM </v>
          </cell>
          <cell r="N107" t="str">
            <v xml:space="preserve">   NM </v>
          </cell>
          <cell r="O107" t="str">
            <v xml:space="preserve">   NM </v>
          </cell>
          <cell r="P107">
            <v>0.37697993664202745</v>
          </cell>
          <cell r="Q107">
            <v>6.6358623903083169E-2</v>
          </cell>
          <cell r="R107">
            <v>0.46835443037974683</v>
          </cell>
          <cell r="S107" t="str">
            <v xml:space="preserve">   NM </v>
          </cell>
          <cell r="T107">
            <v>0.34177215189873417</v>
          </cell>
          <cell r="U107">
            <v>-1.7058271867791987E-2</v>
          </cell>
          <cell r="V107">
            <v>0.36505767686592977</v>
          </cell>
        </row>
        <row r="109">
          <cell r="A109" t="str">
            <v>Year</v>
          </cell>
          <cell r="B109">
            <v>0.11477478898793089</v>
          </cell>
          <cell r="C109">
            <v>1.3898500576701269</v>
          </cell>
          <cell r="D109">
            <v>0.19639692852923804</v>
          </cell>
          <cell r="E109">
            <v>0.11800302571860817</v>
          </cell>
          <cell r="F109">
            <v>0.11417617355526463</v>
          </cell>
          <cell r="G109">
            <v>0.14698447092813291</v>
          </cell>
          <cell r="H109">
            <v>0.22183098591549297</v>
          </cell>
          <cell r="I109">
            <v>0.29538789656091707</v>
          </cell>
          <cell r="J109">
            <v>0.23699421965317918</v>
          </cell>
          <cell r="K109">
            <v>0.18320610687022901</v>
          </cell>
          <cell r="L109">
            <v>-0.33333333333333331</v>
          </cell>
          <cell r="M109" t="str">
            <v xml:space="preserve">   NM </v>
          </cell>
          <cell r="N109" t="str">
            <v xml:space="preserve">   NM </v>
          </cell>
          <cell r="O109" t="str">
            <v xml:space="preserve">   NM </v>
          </cell>
          <cell r="P109">
            <v>0.31129476584022037</v>
          </cell>
          <cell r="Q109">
            <v>7.5947127136848612E-3</v>
          </cell>
          <cell r="R109">
            <v>0.32125367286973555</v>
          </cell>
          <cell r="S109" t="str">
            <v xml:space="preserve">   NM </v>
          </cell>
          <cell r="T109">
            <v>0.30648254698887611</v>
          </cell>
          <cell r="U109">
            <v>-1.1020051426906659E-2</v>
          </cell>
          <cell r="V109">
            <v>0.32155682946076608</v>
          </cell>
        </row>
        <row r="111">
          <cell r="A111">
            <v>1999</v>
          </cell>
        </row>
        <row r="112">
          <cell r="A112" t="str">
            <v xml:space="preserve"> 1Q</v>
          </cell>
          <cell r="B112">
            <v>3524</v>
          </cell>
          <cell r="C112">
            <v>403</v>
          </cell>
          <cell r="D112">
            <v>3927</v>
          </cell>
          <cell r="E112">
            <v>546</v>
          </cell>
          <cell r="F112">
            <v>2978</v>
          </cell>
          <cell r="G112">
            <v>1570</v>
          </cell>
          <cell r="H112">
            <v>655</v>
          </cell>
          <cell r="I112">
            <v>1156</v>
          </cell>
          <cell r="J112">
            <v>66</v>
          </cell>
          <cell r="K112">
            <v>-41</v>
          </cell>
          <cell r="L112">
            <v>-11</v>
          </cell>
          <cell r="M112">
            <v>7</v>
          </cell>
          <cell r="N112">
            <v>-26</v>
          </cell>
          <cell r="O112">
            <v>-5</v>
          </cell>
          <cell r="P112">
            <v>1151</v>
          </cell>
          <cell r="Q112">
            <v>0.28931364031277151</v>
          </cell>
          <cell r="R112">
            <v>333</v>
          </cell>
          <cell r="S112">
            <v>1</v>
          </cell>
          <cell r="T112">
            <v>817</v>
          </cell>
          <cell r="U112">
            <v>3932.3999999999996</v>
          </cell>
          <cell r="V112">
            <v>0.20776116366595465</v>
          </cell>
        </row>
        <row r="113">
          <cell r="A113" t="str">
            <v xml:space="preserve"> 2Q (e)</v>
          </cell>
          <cell r="B113">
            <v>3298</v>
          </cell>
          <cell r="C113">
            <v>481</v>
          </cell>
          <cell r="D113">
            <v>3779</v>
          </cell>
          <cell r="E113">
            <v>476</v>
          </cell>
          <cell r="F113">
            <v>2822</v>
          </cell>
          <cell r="G113">
            <v>1565</v>
          </cell>
          <cell r="H113">
            <v>667</v>
          </cell>
          <cell r="I113">
            <v>1071</v>
          </cell>
          <cell r="J113">
            <v>72</v>
          </cell>
          <cell r="K113">
            <v>-53</v>
          </cell>
          <cell r="L113">
            <v>-10</v>
          </cell>
          <cell r="M113">
            <v>4</v>
          </cell>
          <cell r="N113">
            <v>-56</v>
          </cell>
          <cell r="O113">
            <v>-43</v>
          </cell>
          <cell r="P113">
            <v>1028</v>
          </cell>
          <cell r="Q113">
            <v>0.2898832684824903</v>
          </cell>
          <cell r="R113">
            <v>298</v>
          </cell>
          <cell r="S113">
            <v>1</v>
          </cell>
          <cell r="T113">
            <v>729</v>
          </cell>
          <cell r="U113">
            <v>3912</v>
          </cell>
          <cell r="V113">
            <v>0.18634969325153375</v>
          </cell>
        </row>
        <row r="114">
          <cell r="A114" t="str">
            <v xml:space="preserve"> 3Q</v>
          </cell>
          <cell r="B114">
            <v>3423</v>
          </cell>
          <cell r="C114">
            <v>569</v>
          </cell>
          <cell r="D114">
            <v>3992</v>
          </cell>
          <cell r="E114">
            <v>499</v>
          </cell>
          <cell r="F114">
            <v>2924</v>
          </cell>
          <cell r="G114">
            <v>1472</v>
          </cell>
          <cell r="H114">
            <v>694</v>
          </cell>
          <cell r="I114">
            <v>1327</v>
          </cell>
          <cell r="J114">
            <v>76</v>
          </cell>
          <cell r="K114">
            <v>-61</v>
          </cell>
          <cell r="L114">
            <v>-11</v>
          </cell>
          <cell r="M114">
            <v>-14</v>
          </cell>
          <cell r="N114">
            <v>-40</v>
          </cell>
          <cell r="O114">
            <v>-50</v>
          </cell>
          <cell r="P114">
            <v>1277</v>
          </cell>
          <cell r="Q114">
            <v>0.28974158183241971</v>
          </cell>
          <cell r="R114">
            <v>370</v>
          </cell>
          <cell r="S114">
            <v>1</v>
          </cell>
          <cell r="T114">
            <v>906</v>
          </cell>
          <cell r="U114">
            <v>3893</v>
          </cell>
          <cell r="V114">
            <v>0.23272540457230928</v>
          </cell>
        </row>
        <row r="115">
          <cell r="A115" t="str">
            <v xml:space="preserve"> 4Q</v>
          </cell>
          <cell r="B115">
            <v>3887</v>
          </cell>
          <cell r="C115">
            <v>619</v>
          </cell>
          <cell r="D115">
            <v>4506</v>
          </cell>
          <cell r="E115">
            <v>696</v>
          </cell>
          <cell r="F115">
            <v>3191</v>
          </cell>
          <cell r="G115">
            <v>1745</v>
          </cell>
          <cell r="H115">
            <v>760</v>
          </cell>
          <cell r="I115">
            <v>1305</v>
          </cell>
          <cell r="J115">
            <v>0</v>
          </cell>
          <cell r="K115">
            <v>0</v>
          </cell>
          <cell r="L115">
            <v>0</v>
          </cell>
          <cell r="M115">
            <v>0</v>
          </cell>
          <cell r="N115">
            <v>-1</v>
          </cell>
          <cell r="O115">
            <v>-1</v>
          </cell>
          <cell r="P115">
            <v>1304</v>
          </cell>
          <cell r="Q115">
            <v>0.26687116564417179</v>
          </cell>
          <cell r="R115">
            <v>348</v>
          </cell>
          <cell r="S115">
            <v>2</v>
          </cell>
          <cell r="T115">
            <v>954</v>
          </cell>
          <cell r="U115">
            <v>3878</v>
          </cell>
          <cell r="V115">
            <v>0.24600309437854564</v>
          </cell>
        </row>
        <row r="117">
          <cell r="A117" t="str">
            <v>Year</v>
          </cell>
          <cell r="B117">
            <v>14132</v>
          </cell>
          <cell r="C117">
            <v>2072</v>
          </cell>
          <cell r="D117">
            <v>16204</v>
          </cell>
          <cell r="E117">
            <v>2217</v>
          </cell>
          <cell r="F117">
            <v>11915</v>
          </cell>
          <cell r="G117">
            <v>6352</v>
          </cell>
          <cell r="H117">
            <v>2776</v>
          </cell>
          <cell r="I117">
            <v>4859</v>
          </cell>
          <cell r="J117">
            <v>214</v>
          </cell>
          <cell r="K117">
            <v>-155</v>
          </cell>
          <cell r="L117">
            <v>-32</v>
          </cell>
          <cell r="M117">
            <v>-3</v>
          </cell>
          <cell r="N117">
            <v>-123</v>
          </cell>
          <cell r="O117">
            <v>-99</v>
          </cell>
          <cell r="P117">
            <v>4760</v>
          </cell>
          <cell r="Q117">
            <v>0.28340336134453781</v>
          </cell>
          <cell r="R117">
            <v>1349</v>
          </cell>
          <cell r="S117">
            <v>5</v>
          </cell>
          <cell r="T117">
            <v>3406</v>
          </cell>
          <cell r="U117">
            <v>3903.85</v>
          </cell>
          <cell r="V117">
            <v>0.87283935586834327</v>
          </cell>
        </row>
        <row r="120">
          <cell r="A120" t="str">
            <v>2000E/99</v>
          </cell>
        </row>
        <row r="121">
          <cell r="A121" t="str">
            <v xml:space="preserve"> 1QA</v>
          </cell>
          <cell r="B121">
            <v>3.5754824063564117E-2</v>
          </cell>
          <cell r="C121">
            <v>0.65012406947890811</v>
          </cell>
          <cell r="D121">
            <v>9.880315762668701E-2</v>
          </cell>
          <cell r="E121">
            <v>-0.10256410256410253</v>
          </cell>
          <cell r="F121">
            <v>6.1114842175957085E-2</v>
          </cell>
          <cell r="G121">
            <v>5.9235668789809015E-2</v>
          </cell>
          <cell r="H121">
            <v>8.7022900763358724E-2</v>
          </cell>
          <cell r="I121">
            <v>0.25432525951557095</v>
          </cell>
          <cell r="J121" t="str">
            <v xml:space="preserve">   NM </v>
          </cell>
          <cell r="K121" t="str">
            <v xml:space="preserve">   NM </v>
          </cell>
          <cell r="L121" t="str">
            <v xml:space="preserve">   NM </v>
          </cell>
          <cell r="M121" t="str">
            <v xml:space="preserve">   NM </v>
          </cell>
          <cell r="N121" t="str">
            <v xml:space="preserve">   NM </v>
          </cell>
          <cell r="O121" t="str">
            <v xml:space="preserve">   NM </v>
          </cell>
          <cell r="P121">
            <v>0.28410078192875754</v>
          </cell>
          <cell r="Q121">
            <v>-0.10665333804711341</v>
          </cell>
          <cell r="R121">
            <v>0.14714714714714705</v>
          </cell>
          <cell r="S121">
            <v>0</v>
          </cell>
          <cell r="T121">
            <v>0.34026927784577721</v>
          </cell>
          <cell r="U121">
            <v>-1.8512867460075189E-2</v>
          </cell>
          <cell r="V121">
            <v>0.3655495150276542</v>
          </cell>
        </row>
        <row r="122">
          <cell r="A122" t="str">
            <v xml:space="preserve"> 2QE</v>
          </cell>
          <cell r="B122">
            <v>7.9083418738629563E-2</v>
          </cell>
          <cell r="C122">
            <v>0.55171077962577986</v>
          </cell>
          <cell r="D122">
            <v>0.13924053982535067</v>
          </cell>
          <cell r="E122">
            <v>7.6616942352941031E-2</v>
          </cell>
          <cell r="F122">
            <v>7.9499450900070823E-2</v>
          </cell>
          <cell r="G122">
            <v>0.13337909265175729</v>
          </cell>
          <cell r="H122">
            <v>0.15536583208395816</v>
          </cell>
          <cell r="I122">
            <v>0.16559574737628435</v>
          </cell>
          <cell r="J122" t="str">
            <v xml:space="preserve">   NM </v>
          </cell>
          <cell r="K122" t="str">
            <v xml:space="preserve">   NM </v>
          </cell>
          <cell r="L122" t="str">
            <v xml:space="preserve">   NM </v>
          </cell>
          <cell r="M122" t="str">
            <v xml:space="preserve">   NM </v>
          </cell>
          <cell r="N122" t="str">
            <v xml:space="preserve">   NM </v>
          </cell>
          <cell r="O122" t="str">
            <v xml:space="preserve">   NM </v>
          </cell>
          <cell r="P122">
            <v>0.17544070568093439</v>
          </cell>
          <cell r="Q122">
            <v>-7.5489932885906108E-2</v>
          </cell>
          <cell r="R122">
            <v>8.6706765697718735E-2</v>
          </cell>
          <cell r="S122">
            <v>1</v>
          </cell>
          <cell r="T122">
            <v>0.21058220749256584</v>
          </cell>
          <cell r="U122">
            <v>-1.5000000000000013E-2</v>
          </cell>
          <cell r="V122">
            <v>0.22901746953559976</v>
          </cell>
        </row>
        <row r="123">
          <cell r="A123" t="str">
            <v xml:space="preserve"> 3QE</v>
          </cell>
          <cell r="B123">
            <v>0.10149968886941285</v>
          </cell>
          <cell r="C123">
            <v>0.41389905975395425</v>
          </cell>
          <cell r="D123">
            <v>0.14602755511022036</v>
          </cell>
          <cell r="E123">
            <v>0.10317290883767538</v>
          </cell>
          <cell r="F123">
            <v>0.10121414278043783</v>
          </cell>
          <cell r="G123">
            <v>0.18103122282608686</v>
          </cell>
          <cell r="H123">
            <v>0.14043943227665689</v>
          </cell>
          <cell r="I123">
            <v>0.12623646758854568</v>
          </cell>
          <cell r="J123" t="str">
            <v xml:space="preserve">   NM </v>
          </cell>
          <cell r="K123" t="str">
            <v xml:space="preserve">   NM </v>
          </cell>
          <cell r="L123" t="str">
            <v xml:space="preserve">   NM </v>
          </cell>
          <cell r="M123" t="str">
            <v xml:space="preserve">   NM </v>
          </cell>
          <cell r="N123" t="str">
            <v xml:space="preserve">   NM </v>
          </cell>
          <cell r="O123" t="str">
            <v xml:space="preserve">   NM </v>
          </cell>
          <cell r="P123">
            <v>0.1390100176115896</v>
          </cell>
          <cell r="Q123">
            <v>-7.5037837837837684E-2</v>
          </cell>
          <cell r="R123">
            <v>5.354116861437852E-2</v>
          </cell>
          <cell r="S123">
            <v>0</v>
          </cell>
          <cell r="T123">
            <v>0.17406794713320095</v>
          </cell>
          <cell r="U123">
            <v>-1.361417929617259E-2</v>
          </cell>
          <cell r="V123">
            <v>0.1902725307785289</v>
          </cell>
        </row>
        <row r="124">
          <cell r="A124" t="str">
            <v xml:space="preserve"> 4QE</v>
          </cell>
          <cell r="B124">
            <v>0.11998750964754312</v>
          </cell>
          <cell r="C124">
            <v>0.42757016155088823</v>
          </cell>
          <cell r="D124">
            <v>0.16224087438970236</v>
          </cell>
          <cell r="E124">
            <v>7.1054998994251051E-3</v>
          </cell>
          <cell r="F124">
            <v>0.1446085935662802</v>
          </cell>
          <cell r="G124">
            <v>0.15800028306704883</v>
          </cell>
          <cell r="H124">
            <v>0.22777233699999977</v>
          </cell>
          <cell r="I124">
            <v>0.2124861931019153</v>
          </cell>
          <cell r="J124" t="str">
            <v xml:space="preserve">   NM </v>
          </cell>
          <cell r="K124" t="str">
            <v xml:space="preserve">   NM </v>
          </cell>
          <cell r="L124" t="str">
            <v xml:space="preserve">   NM </v>
          </cell>
          <cell r="M124" t="str">
            <v xml:space="preserve">   NM </v>
          </cell>
          <cell r="N124" t="str">
            <v xml:space="preserve">   NM </v>
          </cell>
          <cell r="O124" t="str">
            <v xml:space="preserve">   NM </v>
          </cell>
          <cell r="P124">
            <v>0.18274116717637989</v>
          </cell>
          <cell r="Q124">
            <v>-3.264367816091962E-3</v>
          </cell>
          <cell r="R124">
            <v>0.17888026497548237</v>
          </cell>
          <cell r="S124">
            <v>-0.5</v>
          </cell>
          <cell r="T124">
            <v>0.18558086979720279</v>
          </cell>
          <cell r="U124">
            <v>-1.1088189788550751E-2</v>
          </cell>
          <cell r="V124">
            <v>0.1988742146215261</v>
          </cell>
        </row>
        <row r="126">
          <cell r="A126" t="str">
            <v>Year</v>
          </cell>
          <cell r="B126">
            <v>8.4959099915086322E-2</v>
          </cell>
          <cell r="C126">
            <v>0.4959205501930502</v>
          </cell>
          <cell r="D126">
            <v>0.13750860157985681</v>
          </cell>
          <cell r="E126">
            <v>1.6643380243572339E-2</v>
          </cell>
          <cell r="F126">
            <v>9.7670467981535836E-2</v>
          </cell>
          <cell r="G126">
            <v>0.13286000219647359</v>
          </cell>
          <cell r="H126">
            <v>0.15533175508645525</v>
          </cell>
          <cell r="I126">
            <v>0.18854976742704233</v>
          </cell>
          <cell r="J126" t="str">
            <v xml:space="preserve">   NM </v>
          </cell>
          <cell r="K126" t="str">
            <v xml:space="preserve">   NM </v>
          </cell>
          <cell r="L126" t="str">
            <v xml:space="preserve">   NM </v>
          </cell>
          <cell r="M126" t="str">
            <v xml:space="preserve">   NM </v>
          </cell>
          <cell r="N126" t="str">
            <v xml:space="preserve">     NM </v>
          </cell>
          <cell r="O126" t="str">
            <v xml:space="preserve">     NM </v>
          </cell>
          <cell r="P126">
            <v>0.19394187393445347</v>
          </cell>
          <cell r="Q126">
            <v>-6.5023353595336938E-2</v>
          </cell>
          <cell r="R126">
            <v>0.11630776929333425</v>
          </cell>
          <cell r="S126">
            <v>0</v>
          </cell>
          <cell r="T126">
            <v>0.22497479129515288</v>
          </cell>
          <cell r="U126">
            <v>-1.4567670376679387E-2</v>
          </cell>
          <cell r="V126">
            <v>0.24256050820838912</v>
          </cell>
        </row>
        <row r="128">
          <cell r="A128" t="str">
            <v>2000E</v>
          </cell>
        </row>
        <row r="129">
          <cell r="A129" t="str">
            <v xml:space="preserve"> 1QA</v>
          </cell>
          <cell r="B129">
            <v>3650</v>
          </cell>
          <cell r="C129">
            <v>665</v>
          </cell>
          <cell r="D129">
            <v>4315</v>
          </cell>
          <cell r="E129">
            <v>490</v>
          </cell>
          <cell r="F129">
            <v>3160</v>
          </cell>
          <cell r="G129">
            <v>1663</v>
          </cell>
          <cell r="H129">
            <v>712</v>
          </cell>
          <cell r="I129">
            <v>1450</v>
          </cell>
          <cell r="J129">
            <v>75</v>
          </cell>
          <cell r="N129">
            <v>-47</v>
          </cell>
          <cell r="O129">
            <v>28</v>
          </cell>
          <cell r="P129">
            <v>1478</v>
          </cell>
          <cell r="Q129">
            <v>0.25845737483085252</v>
          </cell>
          <cell r="R129">
            <v>382</v>
          </cell>
          <cell r="S129">
            <v>1</v>
          </cell>
          <cell r="T129">
            <v>1095</v>
          </cell>
          <cell r="U129">
            <v>3859.6</v>
          </cell>
          <cell r="V129">
            <v>0.28370815628562546</v>
          </cell>
        </row>
        <row r="130">
          <cell r="A130" t="str">
            <v xml:space="preserve"> 2QE</v>
          </cell>
          <cell r="B130">
            <v>3558.8171150000003</v>
          </cell>
          <cell r="C130">
            <v>746.37288500000011</v>
          </cell>
          <cell r="D130">
            <v>4305.1900000000005</v>
          </cell>
          <cell r="E130">
            <v>512.46966455999996</v>
          </cell>
          <cell r="F130">
            <v>3046.3474504400001</v>
          </cell>
          <cell r="G130">
            <v>1773.73828</v>
          </cell>
          <cell r="H130">
            <v>770.62901000000011</v>
          </cell>
          <cell r="I130">
            <v>1248.3530454400006</v>
          </cell>
          <cell r="J130">
            <v>45</v>
          </cell>
          <cell r="K130">
            <v>0</v>
          </cell>
          <cell r="L130">
            <v>0</v>
          </cell>
          <cell r="M130">
            <v>0</v>
          </cell>
          <cell r="N130">
            <v>-85</v>
          </cell>
          <cell r="O130">
            <v>-40</v>
          </cell>
          <cell r="P130">
            <v>1208.3530454400006</v>
          </cell>
          <cell r="Q130">
            <v>0.26800000000000002</v>
          </cell>
          <cell r="R130">
            <v>323.83861617792019</v>
          </cell>
          <cell r="S130">
            <v>2</v>
          </cell>
          <cell r="T130">
            <v>882.51442926208051</v>
          </cell>
          <cell r="U130">
            <v>3853.32</v>
          </cell>
          <cell r="V130">
            <v>0.22902702844873524</v>
          </cell>
        </row>
        <row r="131">
          <cell r="A131" t="str">
            <v xml:space="preserve"> 3QE</v>
          </cell>
          <cell r="B131">
            <v>3770.4334349999999</v>
          </cell>
          <cell r="C131">
            <v>804.50856499999998</v>
          </cell>
          <cell r="D131">
            <v>4574.942</v>
          </cell>
          <cell r="E131">
            <v>550.48328150999998</v>
          </cell>
          <cell r="F131">
            <v>3219.95015349</v>
          </cell>
          <cell r="G131">
            <v>1738.4779599999999</v>
          </cell>
          <cell r="H131">
            <v>791.46496599999989</v>
          </cell>
          <cell r="I131">
            <v>1494.51579249</v>
          </cell>
          <cell r="J131">
            <v>40</v>
          </cell>
          <cell r="K131">
            <v>0</v>
          </cell>
          <cell r="L131">
            <v>0</v>
          </cell>
          <cell r="M131">
            <v>0</v>
          </cell>
          <cell r="N131">
            <v>-80</v>
          </cell>
          <cell r="O131">
            <v>-40</v>
          </cell>
          <cell r="P131">
            <v>1454.51579249</v>
          </cell>
          <cell r="Q131">
            <v>0.26800000000000002</v>
          </cell>
          <cell r="R131">
            <v>389.81023238732001</v>
          </cell>
          <cell r="S131">
            <v>1</v>
          </cell>
          <cell r="T131">
            <v>1063.70556010268</v>
          </cell>
          <cell r="U131">
            <v>3840</v>
          </cell>
          <cell r="V131">
            <v>0.27700665627673959</v>
          </cell>
        </row>
        <row r="132">
          <cell r="A132" t="str">
            <v xml:space="preserve"> 4QE</v>
          </cell>
          <cell r="B132">
            <v>4353.3914500000001</v>
          </cell>
          <cell r="C132">
            <v>883.66592999999978</v>
          </cell>
          <cell r="D132">
            <v>5237.0573799999993</v>
          </cell>
          <cell r="E132">
            <v>700.94542792999994</v>
          </cell>
          <cell r="F132">
            <v>3652.4460220700003</v>
          </cell>
          <cell r="G132">
            <v>2020.7104939520002</v>
          </cell>
          <cell r="H132">
            <v>933.10697611999979</v>
          </cell>
          <cell r="I132">
            <v>1582.2944819979994</v>
          </cell>
          <cell r="J132">
            <v>45</v>
          </cell>
          <cell r="K132">
            <v>0</v>
          </cell>
          <cell r="L132">
            <v>0</v>
          </cell>
          <cell r="M132">
            <v>0</v>
          </cell>
          <cell r="N132">
            <v>-85</v>
          </cell>
          <cell r="O132">
            <v>-40</v>
          </cell>
          <cell r="P132">
            <v>1542.2944819979994</v>
          </cell>
          <cell r="Q132">
            <v>0.26600000000000001</v>
          </cell>
          <cell r="R132">
            <v>410.25033221146788</v>
          </cell>
          <cell r="S132">
            <v>1</v>
          </cell>
          <cell r="T132">
            <v>1131.0441497865315</v>
          </cell>
          <cell r="U132">
            <v>3835</v>
          </cell>
          <cell r="V132">
            <v>0.29492676656754407</v>
          </cell>
        </row>
        <row r="134">
          <cell r="A134" t="str">
            <v>Year</v>
          </cell>
          <cell r="B134">
            <v>15332.642</v>
          </cell>
          <cell r="C134">
            <v>3099.54738</v>
          </cell>
          <cell r="D134">
            <v>18432.18938</v>
          </cell>
          <cell r="E134">
            <v>2253.8983739999999</v>
          </cell>
          <cell r="F134">
            <v>13078.743625999999</v>
          </cell>
          <cell r="G134">
            <v>7195.9267339520002</v>
          </cell>
          <cell r="H134">
            <v>3207.2009521199998</v>
          </cell>
          <cell r="I134">
            <v>5775.1633199279986</v>
          </cell>
          <cell r="J134">
            <v>205</v>
          </cell>
          <cell r="K134">
            <v>0</v>
          </cell>
          <cell r="L134">
            <v>0</v>
          </cell>
          <cell r="M134">
            <v>0</v>
          </cell>
          <cell r="N134">
            <v>-297</v>
          </cell>
          <cell r="O134">
            <v>-92</v>
          </cell>
          <cell r="P134">
            <v>5683.1633199279986</v>
          </cell>
          <cell r="Q134">
            <v>0.26497552436972488</v>
          </cell>
          <cell r="R134">
            <v>1505.8991807767079</v>
          </cell>
          <cell r="S134">
            <v>5</v>
          </cell>
          <cell r="T134">
            <v>4172.2641391512907</v>
          </cell>
          <cell r="U134">
            <v>3846.98</v>
          </cell>
          <cell r="V134">
            <v>1.0845557136120516</v>
          </cell>
        </row>
        <row r="137">
          <cell r="A137" t="str">
            <v>2001E/00E</v>
          </cell>
          <cell r="B137">
            <v>0.10867275515856961</v>
          </cell>
          <cell r="C137">
            <v>0.32793197128027118</v>
          </cell>
          <cell r="D137">
            <v>0.14554327091012131</v>
          </cell>
          <cell r="E137">
            <v>0.10414756023955513</v>
          </cell>
          <cell r="F137">
            <v>0.1094525953146015</v>
          </cell>
          <cell r="G137">
            <v>0.13967470907144239</v>
          </cell>
          <cell r="H137">
            <v>0.13895968889339649</v>
          </cell>
          <cell r="I137">
            <v>0.17266741058035989</v>
          </cell>
          <cell r="J137" t="str">
            <v xml:space="preserve">   NM </v>
          </cell>
          <cell r="K137" t="str">
            <v xml:space="preserve">   NM </v>
          </cell>
          <cell r="L137" t="str">
            <v xml:space="preserve">   NM </v>
          </cell>
          <cell r="M137" t="str">
            <v xml:space="preserve">   NM </v>
          </cell>
          <cell r="N137" t="str">
            <v xml:space="preserve">     NM </v>
          </cell>
          <cell r="O137" t="str">
            <v xml:space="preserve">     NM </v>
          </cell>
          <cell r="P137">
            <v>0.19165074709562299</v>
          </cell>
          <cell r="Q137">
            <v>0</v>
          </cell>
          <cell r="R137">
            <v>0.19165074709562296</v>
          </cell>
          <cell r="S137">
            <v>0</v>
          </cell>
          <cell r="T137">
            <v>0.19188041945181109</v>
          </cell>
          <cell r="U137">
            <v>-9.8778782317558191E-3</v>
          </cell>
          <cell r="V137">
            <v>0.20377112403392217</v>
          </cell>
        </row>
        <row r="138">
          <cell r="A138" t="str">
            <v>2002E/01E</v>
          </cell>
          <cell r="B138">
            <v>0.13016283617515098</v>
          </cell>
          <cell r="C138">
            <v>0.17891196463058037</v>
          </cell>
          <cell r="D138">
            <v>0.13966565697895919</v>
          </cell>
          <cell r="E138">
            <v>0.11935526806965083</v>
          </cell>
          <cell r="F138">
            <v>0.13201643033007737</v>
          </cell>
          <cell r="G138">
            <v>0.1267549234807423</v>
          </cell>
          <cell r="H138">
            <v>0.11331500595054401</v>
          </cell>
          <cell r="I138">
            <v>0.17697649123310238</v>
          </cell>
          <cell r="J138" t="str">
            <v xml:space="preserve">   NM </v>
          </cell>
          <cell r="K138" t="str">
            <v xml:space="preserve">   NM </v>
          </cell>
          <cell r="L138" t="str">
            <v xml:space="preserve">   NM </v>
          </cell>
          <cell r="M138" t="str">
            <v xml:space="preserve">   NM </v>
          </cell>
          <cell r="N138" t="str">
            <v xml:space="preserve">     NM </v>
          </cell>
          <cell r="O138" t="str">
            <v xml:space="preserve">     NM </v>
          </cell>
          <cell r="P138">
            <v>0.17697649123310238</v>
          </cell>
          <cell r="Q138">
            <v>0</v>
          </cell>
          <cell r="R138">
            <v>0.17697649123310233</v>
          </cell>
          <cell r="S138">
            <v>0</v>
          </cell>
          <cell r="T138">
            <v>0.17715443431356026</v>
          </cell>
          <cell r="U138">
            <v>-2.6253747722487387E-3</v>
          </cell>
          <cell r="V138">
            <v>0.18025304087193528</v>
          </cell>
        </row>
        <row r="139">
          <cell r="A139" t="str">
            <v>2003E/02E</v>
          </cell>
          <cell r="B139">
            <v>0.12820518231193506</v>
          </cell>
          <cell r="C139">
            <v>0.17661022906047577</v>
          </cell>
          <cell r="D139">
            <v>0.13796586606812047</v>
          </cell>
          <cell r="E139">
            <v>0.11264373152142552</v>
          </cell>
          <cell r="F139">
            <v>0.13084425876178751</v>
          </cell>
          <cell r="G139">
            <v>0.12611205496324418</v>
          </cell>
          <cell r="H139">
            <v>0.11103176272923007</v>
          </cell>
          <cell r="I139">
            <v>0.17429933811594653</v>
          </cell>
          <cell r="J139" t="str">
            <v xml:space="preserve">   NM </v>
          </cell>
          <cell r="K139" t="str">
            <v xml:space="preserve">   NM </v>
          </cell>
          <cell r="L139" t="str">
            <v xml:space="preserve">   NM </v>
          </cell>
          <cell r="M139" t="str">
            <v xml:space="preserve">   NM </v>
          </cell>
          <cell r="N139" t="str">
            <v xml:space="preserve">     NM </v>
          </cell>
          <cell r="O139" t="str">
            <v xml:space="preserve">     NM </v>
          </cell>
          <cell r="P139">
            <v>0.17429933811594653</v>
          </cell>
          <cell r="Q139">
            <v>0</v>
          </cell>
          <cell r="R139">
            <v>0.17429933811594664</v>
          </cell>
          <cell r="S139">
            <v>0</v>
          </cell>
          <cell r="T139">
            <v>0.17444821518804049</v>
          </cell>
          <cell r="U139">
            <v>-2.6322855082153629E-3</v>
          </cell>
          <cell r="V139">
            <v>0.17754785734816803</v>
          </cell>
        </row>
        <row r="140">
          <cell r="A140" t="str">
            <v>2004E/03E</v>
          </cell>
          <cell r="B140">
            <v>0.11844127574052477</v>
          </cell>
          <cell r="C140">
            <v>-2.6458629046232973E-2</v>
          </cell>
          <cell r="D140">
            <v>8.8230555271552907E-2</v>
          </cell>
          <cell r="E140">
            <v>0.11062000807800365</v>
          </cell>
          <cell r="F140">
            <v>0.11974634140649977</v>
          </cell>
          <cell r="G140">
            <v>7.9639261414146012E-2</v>
          </cell>
          <cell r="H140">
            <v>7.1742213525014115E-2</v>
          </cell>
          <cell r="I140">
            <v>9.8326990327150865E-2</v>
          </cell>
          <cell r="J140" t="str">
            <v xml:space="preserve">   NM </v>
          </cell>
          <cell r="K140" t="str">
            <v xml:space="preserve">   NM </v>
          </cell>
          <cell r="L140" t="str">
            <v xml:space="preserve">   NM </v>
          </cell>
          <cell r="M140" t="str">
            <v xml:space="preserve">   NM </v>
          </cell>
          <cell r="N140" t="str">
            <v xml:space="preserve">     NM </v>
          </cell>
          <cell r="O140" t="str">
            <v xml:space="preserve">     NM </v>
          </cell>
          <cell r="P140">
            <v>9.8326990327150865E-2</v>
          </cell>
          <cell r="Q140">
            <v>0</v>
          </cell>
          <cell r="R140">
            <v>9.832699032715092E-2</v>
          </cell>
          <cell r="S140">
            <v>0</v>
          </cell>
          <cell r="T140">
            <v>9.8398501014935288E-2</v>
          </cell>
          <cell r="U140">
            <v>-2.6392327222629838E-3</v>
          </cell>
          <cell r="V140">
            <v>0.10130510147594585</v>
          </cell>
        </row>
        <row r="141">
          <cell r="A141" t="str">
            <v>2005E/04E</v>
          </cell>
          <cell r="B141">
            <v>0.10320762163567586</v>
          </cell>
          <cell r="C141">
            <v>0.105706045078688</v>
          </cell>
          <cell r="D141">
            <v>0.10367362872602993</v>
          </cell>
          <cell r="E141">
            <v>0.10320762163567578</v>
          </cell>
          <cell r="F141">
            <v>0.10320762163567582</v>
          </cell>
          <cell r="G141">
            <v>9.781859621289446E-2</v>
          </cell>
          <cell r="H141">
            <v>8.6694034437937217E-2</v>
          </cell>
          <cell r="I141">
            <v>0.11822599634044012</v>
          </cell>
          <cell r="J141" t="str">
            <v xml:space="preserve">   NM </v>
          </cell>
          <cell r="K141" t="str">
            <v xml:space="preserve">   NM </v>
          </cell>
          <cell r="L141" t="str">
            <v xml:space="preserve">   NM </v>
          </cell>
          <cell r="M141" t="str">
            <v xml:space="preserve">   NM </v>
          </cell>
          <cell r="N141" t="str">
            <v xml:space="preserve">     NM </v>
          </cell>
          <cell r="O141" t="str">
            <v xml:space="preserve">     NM </v>
          </cell>
          <cell r="P141">
            <v>0.11822599634044012</v>
          </cell>
          <cell r="Q141">
            <v>0</v>
          </cell>
          <cell r="R141">
            <v>0.11822599634044002</v>
          </cell>
          <cell r="S141">
            <v>0</v>
          </cell>
          <cell r="T141">
            <v>0.11830427642030758</v>
          </cell>
          <cell r="U141">
            <v>-2.6462167039783221E-3</v>
          </cell>
          <cell r="V141">
            <v>0.1212714035380431</v>
          </cell>
        </row>
        <row r="143">
          <cell r="A143" t="str">
            <v>2001E</v>
          </cell>
          <cell r="B143">
            <v>16998.882450000001</v>
          </cell>
          <cell r="C143">
            <v>4115.9880623999998</v>
          </cell>
          <cell r="D143">
            <v>21114.870512400001</v>
          </cell>
          <cell r="E143">
            <v>2488.6363906800002</v>
          </cell>
          <cell r="F143">
            <v>14510.246059320001</v>
          </cell>
          <cell r="G143">
            <v>8201.0157070161604</v>
          </cell>
          <cell r="H143">
            <v>3652.8725986452</v>
          </cell>
          <cell r="I143">
            <v>6772.3458160586406</v>
          </cell>
          <cell r="J143">
            <v>0</v>
          </cell>
          <cell r="K143">
            <v>0</v>
          </cell>
          <cell r="L143">
            <v>0</v>
          </cell>
          <cell r="M143">
            <v>0</v>
          </cell>
          <cell r="N143">
            <v>0</v>
          </cell>
          <cell r="O143">
            <v>0</v>
          </cell>
          <cell r="P143">
            <v>6772.3458160586406</v>
          </cell>
          <cell r="Q143">
            <v>0.26497552436972488</v>
          </cell>
          <cell r="R143">
            <v>1794.5058838232505</v>
          </cell>
          <cell r="S143">
            <v>5</v>
          </cell>
          <cell r="T143">
            <v>4972.8399322353898</v>
          </cell>
          <cell r="U143">
            <v>3808.98</v>
          </cell>
          <cell r="V143">
            <v>1.3055568504521919</v>
          </cell>
        </row>
        <row r="144">
          <cell r="A144" t="str">
            <v>2002E</v>
          </cell>
          <cell r="B144">
            <v>19211.5052015</v>
          </cell>
          <cell r="C144">
            <v>4852.3875730399996</v>
          </cell>
          <cell r="D144">
            <v>24063.89277454</v>
          </cell>
          <cell r="E144">
            <v>2785.6682542174999</v>
          </cell>
          <cell r="F144">
            <v>16425.8369472825</v>
          </cell>
          <cell r="G144">
            <v>9240.5348254233595</v>
          </cell>
          <cell r="H144">
            <v>4066.79787889726</v>
          </cell>
          <cell r="I144">
            <v>7970.8918160018802</v>
          </cell>
          <cell r="J144">
            <v>0</v>
          </cell>
          <cell r="K144">
            <v>0</v>
          </cell>
          <cell r="L144">
            <v>0</v>
          </cell>
          <cell r="M144">
            <v>0</v>
          </cell>
          <cell r="N144">
            <v>0</v>
          </cell>
          <cell r="O144">
            <v>0</v>
          </cell>
          <cell r="P144">
            <v>7970.8918160018802</v>
          </cell>
          <cell r="Q144">
            <v>0.26497552436972488</v>
          </cell>
          <cell r="R144">
            <v>2112.0912386394466</v>
          </cell>
          <cell r="S144">
            <v>5</v>
          </cell>
          <cell r="T144">
            <v>5853.8005773624336</v>
          </cell>
          <cell r="U144">
            <v>3798.98</v>
          </cell>
          <cell r="V144">
            <v>1.540887442777386</v>
          </cell>
        </row>
        <row r="145">
          <cell r="A145" t="str">
            <v>2003E</v>
          </cell>
          <cell r="B145">
            <v>21674.519728344996</v>
          </cell>
          <cell r="C145">
            <v>5709.3688538048</v>
          </cell>
          <cell r="D145">
            <v>27383.888582149797</v>
          </cell>
          <cell r="E145">
            <v>3099.4563211533341</v>
          </cell>
          <cell r="F145">
            <v>18575.063407191661</v>
          </cell>
          <cell r="G145">
            <v>10405.877661216922</v>
          </cell>
          <cell r="H145">
            <v>4518.3416160547167</v>
          </cell>
          <cell r="I145">
            <v>9360.2129837248231</v>
          </cell>
          <cell r="J145">
            <v>0</v>
          </cell>
          <cell r="K145">
            <v>0</v>
          </cell>
          <cell r="L145">
            <v>0</v>
          </cell>
          <cell r="M145">
            <v>0</v>
          </cell>
          <cell r="N145">
            <v>0</v>
          </cell>
          <cell r="O145">
            <v>0</v>
          </cell>
          <cell r="P145">
            <v>9360.2129837248231</v>
          </cell>
          <cell r="Q145">
            <v>0.26497552436972488</v>
          </cell>
          <cell r="R145">
            <v>2480.227343574792</v>
          </cell>
          <cell r="S145">
            <v>5</v>
          </cell>
          <cell r="T145">
            <v>6874.985640150031</v>
          </cell>
          <cell r="U145">
            <v>3788.98</v>
          </cell>
          <cell r="V145">
            <v>1.8144687066572087</v>
          </cell>
        </row>
        <row r="146">
          <cell r="A146" t="str">
            <v>2004E</v>
          </cell>
          <cell r="B146">
            <v>24241.67749603335</v>
          </cell>
          <cell r="C146">
            <v>5558.3067812138625</v>
          </cell>
          <cell r="D146">
            <v>29799.984277247211</v>
          </cell>
          <cell r="E146">
            <v>3442.3182044367354</v>
          </cell>
          <cell r="F146">
            <v>20799.359291596615</v>
          </cell>
          <cell r="G146">
            <v>11234.594072522199</v>
          </cell>
          <cell r="H146">
            <v>4842.4974450526715</v>
          </cell>
          <cell r="I146">
            <v>10280.574555235606</v>
          </cell>
          <cell r="J146">
            <v>0</v>
          </cell>
          <cell r="K146">
            <v>0</v>
          </cell>
          <cell r="L146">
            <v>0</v>
          </cell>
          <cell r="M146">
            <v>0</v>
          </cell>
          <cell r="N146">
            <v>0</v>
          </cell>
          <cell r="O146">
            <v>0</v>
          </cell>
          <cell r="P146">
            <v>10280.574555235606</v>
          </cell>
          <cell r="Q146">
            <v>0.26497552436972488</v>
          </cell>
          <cell r="R146">
            <v>2724.1006335956058</v>
          </cell>
          <cell r="S146">
            <v>5</v>
          </cell>
          <cell r="T146">
            <v>7551.4739216399994</v>
          </cell>
          <cell r="U146">
            <v>3778.98</v>
          </cell>
          <cell r="V146">
            <v>1.9982836431100455</v>
          </cell>
        </row>
        <row r="147">
          <cell r="A147" t="str">
            <v>2005E</v>
          </cell>
          <cell r="B147">
            <v>26743.603374858038</v>
          </cell>
          <cell r="C147">
            <v>6145.8534083900322</v>
          </cell>
          <cell r="D147">
            <v>32889.456783248068</v>
          </cell>
          <cell r="E147">
            <v>3797.5916792298408</v>
          </cell>
          <cell r="F147">
            <v>22946.011695628196</v>
          </cell>
          <cell r="G147">
            <v>12333.546293718025</v>
          </cell>
          <cell r="H147">
            <v>5262.3130853196908</v>
          </cell>
          <cell r="I147">
            <v>11496.005724980512</v>
          </cell>
          <cell r="J147">
            <v>0</v>
          </cell>
          <cell r="K147">
            <v>0</v>
          </cell>
          <cell r="L147">
            <v>0</v>
          </cell>
          <cell r="M147">
            <v>0</v>
          </cell>
          <cell r="N147">
            <v>0</v>
          </cell>
          <cell r="O147">
            <v>0</v>
          </cell>
          <cell r="P147">
            <v>11496.005724980512</v>
          </cell>
          <cell r="Q147">
            <v>0.26497552436972488</v>
          </cell>
          <cell r="R147">
            <v>3046.1601451340703</v>
          </cell>
          <cell r="S147">
            <v>5</v>
          </cell>
          <cell r="T147">
            <v>8444.845579846442</v>
          </cell>
          <cell r="U147">
            <v>3768.98</v>
          </cell>
          <cell r="V147">
            <v>2.2406183051771147</v>
          </cell>
        </row>
        <row r="149">
          <cell r="A149" t="str">
            <v>Notes:</v>
          </cell>
        </row>
        <row r="150">
          <cell r="A150" t="str">
            <v>(a)  1994 and 1995 quarters have been restated for the divestiture of the Food Science Group, but not for the Medical Technology group.</v>
          </cell>
        </row>
        <row r="151">
          <cell r="A151" t="str">
            <v>(b) Alliance revenues include Lipitor, Aricept, and Celebrex profits.</v>
          </cell>
        </row>
        <row r="152">
          <cell r="A152" t="str">
            <v>(c)  Gross Profit excludes Alliance Revenues.</v>
          </cell>
        </row>
        <row r="153">
          <cell r="A153" t="str">
            <v>(d) Operating Income includes Alliance Revenues.</v>
          </cell>
        </row>
        <row r="154">
          <cell r="A154" t="str">
            <v>(e) In 2Q99, fine of $20 million aftertax paid to settle antitrust charges related to former Food Science Group.  It is reflected in discontinued operations.</v>
          </cell>
        </row>
        <row r="156">
          <cell r="A156" t="str">
            <v>E = Morgan Stanley Dean Witter Research Estimates       A = Actual       NM = Not Meaningful</v>
          </cell>
        </row>
      </sheetData>
      <sheetData sheetId="6" refreshError="1">
        <row r="1">
          <cell r="A1" t="str">
            <v>Table 4</v>
          </cell>
        </row>
        <row r="2">
          <cell r="A2" t="str">
            <v>Pfizer</v>
          </cell>
        </row>
        <row r="3">
          <cell r="A3" t="str">
            <v>Quarterly Margin Analysis 1998-2005E</v>
          </cell>
        </row>
        <row r="5">
          <cell r="D5" t="str">
            <v xml:space="preserve">  Gross</v>
          </cell>
          <cell r="G5" t="str">
            <v xml:space="preserve">Oper. </v>
          </cell>
          <cell r="H5" t="str">
            <v>Non-Operating Items</v>
          </cell>
        </row>
        <row r="6">
          <cell r="B6" t="str">
            <v xml:space="preserve">Total </v>
          </cell>
          <cell r="C6" t="str">
            <v xml:space="preserve"> Cost of</v>
          </cell>
          <cell r="D6" t="str">
            <v xml:space="preserve">  Profit</v>
          </cell>
          <cell r="G6" t="str">
            <v>Income</v>
          </cell>
          <cell r="H6" t="str">
            <v>Interest</v>
          </cell>
          <cell r="I6" t="str">
            <v>Interest</v>
          </cell>
          <cell r="L6" t="str">
            <v xml:space="preserve">  Other</v>
          </cell>
          <cell r="N6" t="str">
            <v>Pretax</v>
          </cell>
          <cell r="O6" t="str">
            <v xml:space="preserve">   Net</v>
          </cell>
        </row>
        <row r="7">
          <cell r="B7" t="str">
            <v>Sales</v>
          </cell>
          <cell r="C7" t="str">
            <v xml:space="preserve">   Goods</v>
          </cell>
          <cell r="D7" t="str">
            <v xml:space="preserve"> (c)</v>
          </cell>
          <cell r="E7" t="str">
            <v xml:space="preserve">   SG&amp;A</v>
          </cell>
          <cell r="F7" t="str">
            <v xml:space="preserve">    R&amp;D</v>
          </cell>
          <cell r="G7" t="str">
            <v xml:space="preserve">(d)    </v>
          </cell>
          <cell r="H7" t="str">
            <v>Income</v>
          </cell>
          <cell r="I7" t="str">
            <v>Expense</v>
          </cell>
          <cell r="J7" t="str">
            <v>Amort</v>
          </cell>
          <cell r="K7" t="str">
            <v>FX</v>
          </cell>
          <cell r="L7" t="str">
            <v xml:space="preserve">  (d)</v>
          </cell>
          <cell r="M7" t="str">
            <v xml:space="preserve">  Total</v>
          </cell>
          <cell r="N7" t="str">
            <v xml:space="preserve"> Income</v>
          </cell>
          <cell r="O7" t="str">
            <v xml:space="preserve"> Income</v>
          </cell>
        </row>
        <row r="9">
          <cell r="A9" t="str">
            <v>1994 (a)</v>
          </cell>
        </row>
        <row r="10">
          <cell r="A10" t="str">
            <v xml:space="preserve"> 1Q</v>
          </cell>
          <cell r="B10">
            <v>1</v>
          </cell>
          <cell r="C10">
            <v>0.20066977133587988</v>
          </cell>
          <cell r="D10">
            <v>0.79933022866412018</v>
          </cell>
          <cell r="E10">
            <v>0.37454868923656531</v>
          </cell>
          <cell r="F10">
            <v>0.13159960232326934</v>
          </cell>
          <cell r="H10">
            <v>1.2034953691591231E-2</v>
          </cell>
          <cell r="I10">
            <v>-1.7790801109308776E-2</v>
          </cell>
          <cell r="J10">
            <v>-1.5697765684684214E-3</v>
          </cell>
          <cell r="K10">
            <v>-1.0465177123122808E-3</v>
          </cell>
          <cell r="L10">
            <v>-1.0517503008738424E-2</v>
          </cell>
          <cell r="M10">
            <v>-1.8889644707236673E-2</v>
          </cell>
          <cell r="N10">
            <v>0.27429229239704878</v>
          </cell>
          <cell r="O10">
            <v>0.19177437078122545</v>
          </cell>
        </row>
        <row r="11">
          <cell r="A11" t="str">
            <v xml:space="preserve"> 2Q</v>
          </cell>
          <cell r="B11">
            <v>1</v>
          </cell>
          <cell r="C11">
            <v>0.22478604701549126</v>
          </cell>
          <cell r="D11">
            <v>0.77521395298450879</v>
          </cell>
          <cell r="E11">
            <v>0.42433105839020691</v>
          </cell>
          <cell r="F11">
            <v>0.1401798288376124</v>
          </cell>
          <cell r="H11">
            <v>1.516628750947893E-2</v>
          </cell>
          <cell r="I11">
            <v>-1.6249593760155997E-2</v>
          </cell>
          <cell r="J11">
            <v>-1.6249593760155996E-3</v>
          </cell>
          <cell r="K11">
            <v>-2.1666125013541327E-3</v>
          </cell>
          <cell r="L11">
            <v>-1.1537211569710758E-2</v>
          </cell>
          <cell r="M11">
            <v>-1.6412089697757554E-2</v>
          </cell>
          <cell r="N11">
            <v>0.19429097605893189</v>
          </cell>
          <cell r="O11">
            <v>0.13497995883436251</v>
          </cell>
        </row>
        <row r="12">
          <cell r="A12" t="str">
            <v xml:space="preserve"> 3Q</v>
          </cell>
          <cell r="B12">
            <v>1</v>
          </cell>
          <cell r="C12">
            <v>0.21453132007773956</v>
          </cell>
          <cell r="D12">
            <v>0.78546867992226044</v>
          </cell>
          <cell r="E12">
            <v>0.38879752828026115</v>
          </cell>
          <cell r="F12">
            <v>0.14586136442916231</v>
          </cell>
          <cell r="H12">
            <v>1.6943240145512534E-2</v>
          </cell>
          <cell r="I12">
            <v>-1.5946578960482384E-2</v>
          </cell>
          <cell r="J12">
            <v>-1.993322370060298E-3</v>
          </cell>
          <cell r="K12">
            <v>4.983305925150745E-4</v>
          </cell>
          <cell r="L12">
            <v>-1.1062939153834654E-2</v>
          </cell>
          <cell r="M12">
            <v>-1.1561269746349728E-2</v>
          </cell>
          <cell r="N12">
            <v>0.23924851746648729</v>
          </cell>
          <cell r="O12">
            <v>0.16694074849254997</v>
          </cell>
        </row>
        <row r="13">
          <cell r="A13" t="str">
            <v xml:space="preserve"> 4Q</v>
          </cell>
          <cell r="B13">
            <v>1</v>
          </cell>
          <cell r="C13">
            <v>0.22283468124519945</v>
          </cell>
          <cell r="D13">
            <v>0.77716531875480055</v>
          </cell>
          <cell r="E13">
            <v>0.40875615596620429</v>
          </cell>
          <cell r="F13">
            <v>0.14598111417340623</v>
          </cell>
          <cell r="H13">
            <v>1.7168933267067275E-2</v>
          </cell>
          <cell r="I13">
            <v>-1.4006235033660145E-2</v>
          </cell>
          <cell r="J13">
            <v>-1.8072561333755024E-3</v>
          </cell>
          <cell r="K13">
            <v>0</v>
          </cell>
          <cell r="L13">
            <v>-1.2560430126959742E-2</v>
          </cell>
          <cell r="M13">
            <v>-1.1204988026928115E-2</v>
          </cell>
          <cell r="N13">
            <v>0.21122306058826187</v>
          </cell>
          <cell r="O13">
            <v>0.14729137487010349</v>
          </cell>
        </row>
        <row r="15">
          <cell r="A15" t="str">
            <v>1994 (a)</v>
          </cell>
          <cell r="B15">
            <v>1</v>
          </cell>
          <cell r="C15">
            <v>0.21588758101111905</v>
          </cell>
          <cell r="D15">
            <v>0.78411241898888095</v>
          </cell>
          <cell r="E15">
            <v>0.39914507414789457</v>
          </cell>
          <cell r="F15">
            <v>0.14116305015481428</v>
          </cell>
          <cell r="G15">
            <v>0.24380429468617201</v>
          </cell>
          <cell r="H15">
            <v>1.5418750705125795E-2</v>
          </cell>
          <cell r="I15">
            <v>-1.5920173492284355E-2</v>
          </cell>
          <cell r="J15">
            <v>-1.7549797550549685E-3</v>
          </cell>
          <cell r="K15">
            <v>-6.2677848394820305E-4</v>
          </cell>
          <cell r="L15">
            <v>-1.1457510686573151E-2</v>
          </cell>
          <cell r="M15">
            <v>-1.4340691712734886E-2</v>
          </cell>
          <cell r="N15">
            <v>0.22946360297343713</v>
          </cell>
          <cell r="O15">
            <v>0.16004161809133416</v>
          </cell>
        </row>
        <row r="17">
          <cell r="A17" t="str">
            <v>1995 (a)</v>
          </cell>
        </row>
        <row r="18">
          <cell r="A18" t="str">
            <v xml:space="preserve"> 1Q</v>
          </cell>
          <cell r="B18">
            <v>1</v>
          </cell>
          <cell r="C18">
            <v>0.21770744225834046</v>
          </cell>
          <cell r="D18">
            <v>0.78229255774165951</v>
          </cell>
          <cell r="E18">
            <v>0.36313088109495295</v>
          </cell>
          <cell r="F18">
            <v>0.13387510692899915</v>
          </cell>
          <cell r="G18">
            <v>0.28528656971770738</v>
          </cell>
          <cell r="H18">
            <v>2.0530367835757058E-2</v>
          </cell>
          <cell r="I18">
            <v>-2.1385799828913601E-2</v>
          </cell>
          <cell r="J18">
            <v>-3.8494439692044482E-3</v>
          </cell>
          <cell r="K18">
            <v>8.5543199315654401E-4</v>
          </cell>
          <cell r="L18">
            <v>-1.2831479897348161E-2</v>
          </cell>
          <cell r="M18">
            <v>-1.6680923866552608E-2</v>
          </cell>
          <cell r="N18">
            <v>0.26860564585115482</v>
          </cell>
          <cell r="O18">
            <v>0.17921300256629599</v>
          </cell>
        </row>
        <row r="19">
          <cell r="A19" t="str">
            <v xml:space="preserve"> 2Q</v>
          </cell>
          <cell r="B19">
            <v>1</v>
          </cell>
          <cell r="C19">
            <v>0.22990420658059141</v>
          </cell>
          <cell r="D19">
            <v>0.77009579341940859</v>
          </cell>
          <cell r="E19">
            <v>0.40274885464389837</v>
          </cell>
          <cell r="F19">
            <v>0.14743856726364016</v>
          </cell>
          <cell r="G19">
            <v>0.21990837151187007</v>
          </cell>
          <cell r="H19">
            <v>1.582673885880883E-2</v>
          </cell>
          <cell r="I19">
            <v>-2.3323615160349854E-2</v>
          </cell>
          <cell r="J19">
            <v>-5.414410662224073E-3</v>
          </cell>
          <cell r="K19">
            <v>1.6659725114535611E-3</v>
          </cell>
          <cell r="L19">
            <v>-1.3744273219491879E-2</v>
          </cell>
          <cell r="M19">
            <v>-2.4989587671803416E-2</v>
          </cell>
          <cell r="N19">
            <v>0.19491878384006664</v>
          </cell>
          <cell r="O19">
            <v>0.12952936276551436</v>
          </cell>
        </row>
        <row r="20">
          <cell r="A20" t="str">
            <v xml:space="preserve"> 3Q</v>
          </cell>
          <cell r="B20">
            <v>1</v>
          </cell>
          <cell r="C20">
            <v>0.21118991331757289</v>
          </cell>
          <cell r="D20">
            <v>0.78881008668242714</v>
          </cell>
          <cell r="E20">
            <v>0.37825059101654845</v>
          </cell>
          <cell r="F20">
            <v>0.13829787234042554</v>
          </cell>
          <cell r="G20">
            <v>0.27226162332545312</v>
          </cell>
          <cell r="H20">
            <v>1.4184397163120567E-2</v>
          </cell>
          <cell r="I20">
            <v>-1.8124507486209612E-2</v>
          </cell>
          <cell r="J20">
            <v>-6.3041765169424748E-3</v>
          </cell>
          <cell r="K20">
            <v>-3.5460992907801418E-3</v>
          </cell>
          <cell r="L20">
            <v>-1.1820330969267139E-2</v>
          </cell>
          <cell r="M20">
            <v>-2.5610717100078801E-2</v>
          </cell>
          <cell r="N20">
            <v>0.24665090622537431</v>
          </cell>
          <cell r="O20">
            <v>0.16509062253743104</v>
          </cell>
        </row>
        <row r="21">
          <cell r="A21" t="str">
            <v xml:space="preserve"> 4Q</v>
          </cell>
          <cell r="B21">
            <v>1</v>
          </cell>
          <cell r="C21">
            <v>0.2066326530612245</v>
          </cell>
          <cell r="D21">
            <v>0.79336734693877553</v>
          </cell>
          <cell r="E21">
            <v>0.39322157434402333</v>
          </cell>
          <cell r="F21">
            <v>0.15451895043731778</v>
          </cell>
          <cell r="G21">
            <v>0.24562682215743442</v>
          </cell>
          <cell r="H21">
            <v>1.3119533527696793E-2</v>
          </cell>
          <cell r="I21">
            <v>-1.4941690962099125E-2</v>
          </cell>
          <cell r="J21">
            <v>-2.9154518950437317E-3</v>
          </cell>
          <cell r="K21">
            <v>0</v>
          </cell>
          <cell r="L21">
            <v>-3.0612244897959183E-2</v>
          </cell>
          <cell r="M21">
            <v>-3.5349854227405247E-2</v>
          </cell>
          <cell r="N21">
            <v>0.21027696793002915</v>
          </cell>
          <cell r="O21">
            <v>0.14759475218658893</v>
          </cell>
        </row>
        <row r="23">
          <cell r="A23" t="str">
            <v>1995 (a)</v>
          </cell>
          <cell r="B23">
            <v>1</v>
          </cell>
          <cell r="C23">
            <v>0.21594651232411935</v>
          </cell>
          <cell r="D23">
            <v>0.78405348767588068</v>
          </cell>
          <cell r="E23">
            <v>0.38469214649236605</v>
          </cell>
          <cell r="F23">
            <v>0.14389781458936235</v>
          </cell>
          <cell r="G23">
            <v>0.25546352659415228</v>
          </cell>
          <cell r="H23">
            <v>1.5766889531982835E-2</v>
          </cell>
          <cell r="I23">
            <v>-1.9259554934637262E-2</v>
          </cell>
          <cell r="J23">
            <v>-4.5903602434886736E-3</v>
          </cell>
          <cell r="K23">
            <v>-2.9937132022752222E-4</v>
          </cell>
          <cell r="L23">
            <v>-1.7662907893423809E-2</v>
          </cell>
          <cell r="M23">
            <v>-2.6045304859794432E-2</v>
          </cell>
          <cell r="N23">
            <v>0.22941822173435786</v>
          </cell>
          <cell r="O23">
            <v>0.15507434387785651</v>
          </cell>
        </row>
        <row r="25">
          <cell r="A25" t="str">
            <v>1996 (a)</v>
          </cell>
        </row>
        <row r="26">
          <cell r="A26" t="str">
            <v xml:space="preserve"> 1Q</v>
          </cell>
          <cell r="B26">
            <v>1</v>
          </cell>
          <cell r="C26">
            <v>0.1912751677852349</v>
          </cell>
          <cell r="D26">
            <v>0.8087248322147651</v>
          </cell>
          <cell r="E26">
            <v>0.37061894108873977</v>
          </cell>
          <cell r="F26">
            <v>0.13646532438478748</v>
          </cell>
          <cell r="G26">
            <v>0.3016405667412379</v>
          </cell>
          <cell r="H26">
            <v>1.0812826249067859E-2</v>
          </cell>
          <cell r="I26">
            <v>-1.4168530947054437E-2</v>
          </cell>
          <cell r="J26">
            <v>-5.219985085756898E-3</v>
          </cell>
          <cell r="K26">
            <v>-1.4914243102162564E-3</v>
          </cell>
          <cell r="L26">
            <v>-1.1185682326621925E-2</v>
          </cell>
          <cell r="M26">
            <v>-2.1252796420581657E-2</v>
          </cell>
          <cell r="N26">
            <v>0.2803877703206562</v>
          </cell>
          <cell r="O26">
            <v>0.19276659209545116</v>
          </cell>
        </row>
        <row r="27">
          <cell r="A27" t="str">
            <v xml:space="preserve"> 2Q</v>
          </cell>
          <cell r="B27">
            <v>1</v>
          </cell>
          <cell r="C27">
            <v>0.19579105599398722</v>
          </cell>
          <cell r="D27">
            <v>0.80420894400601273</v>
          </cell>
          <cell r="E27">
            <v>0.40698985343855693</v>
          </cell>
          <cell r="F27">
            <v>0.15858699736941001</v>
          </cell>
          <cell r="G27">
            <v>0.23863209319804585</v>
          </cell>
          <cell r="H27">
            <v>1.1649755730928222E-2</v>
          </cell>
          <cell r="I27">
            <v>-1.5783540022547914E-2</v>
          </cell>
          <cell r="J27">
            <v>-5.2611800075159712E-3</v>
          </cell>
          <cell r="K27">
            <v>-1.5031942878617061E-3</v>
          </cell>
          <cell r="L27">
            <v>-1.2025554302893648E-2</v>
          </cell>
          <cell r="M27">
            <v>-2.2923712889891017E-2</v>
          </cell>
          <cell r="N27">
            <v>0.21570838030815484</v>
          </cell>
          <cell r="O27">
            <v>0.14806463735437805</v>
          </cell>
        </row>
        <row r="28">
          <cell r="A28" t="str">
            <v xml:space="preserve"> 3Q</v>
          </cell>
          <cell r="B28">
            <v>1</v>
          </cell>
          <cell r="C28">
            <v>0.18622904031394935</v>
          </cell>
          <cell r="D28">
            <v>0.81377095968605062</v>
          </cell>
          <cell r="E28">
            <v>0.37103103817338567</v>
          </cell>
          <cell r="F28">
            <v>0.14484480913307171</v>
          </cell>
          <cell r="G28">
            <v>0.29789511237959332</v>
          </cell>
          <cell r="H28">
            <v>1.1773100249732429E-2</v>
          </cell>
          <cell r="I28">
            <v>-1.3913663931501962E-2</v>
          </cell>
          <cell r="J28">
            <v>-7.1352122725651087E-3</v>
          </cell>
          <cell r="K28">
            <v>-1.7838030681412772E-3</v>
          </cell>
          <cell r="L28">
            <v>-1.9621833749554049E-2</v>
          </cell>
          <cell r="M28">
            <v>-3.0681412772029969E-2</v>
          </cell>
          <cell r="N28">
            <v>0.2672136996075633</v>
          </cell>
          <cell r="O28">
            <v>0.1833749554049233</v>
          </cell>
        </row>
        <row r="29">
          <cell r="A29" t="str">
            <v xml:space="preserve"> 4Q</v>
          </cell>
          <cell r="B29">
            <v>1</v>
          </cell>
          <cell r="C29">
            <v>0.19620253164556961</v>
          </cell>
          <cell r="D29">
            <v>0.80379746835443044</v>
          </cell>
          <cell r="E29">
            <v>0.39525316455696202</v>
          </cell>
          <cell r="F29">
            <v>0.1550632911392405</v>
          </cell>
          <cell r="G29">
            <v>0.25348101265822787</v>
          </cell>
          <cell r="H29">
            <v>1.3291139240506329E-2</v>
          </cell>
          <cell r="I29">
            <v>-1.4556962025316455E-2</v>
          </cell>
          <cell r="J29">
            <v>-5.6962025316455696E-3</v>
          </cell>
          <cell r="K29">
            <v>-6.329113924050633E-4</v>
          </cell>
          <cell r="L29">
            <v>-1.5189873417721518E-2</v>
          </cell>
          <cell r="M29">
            <v>-2.2784810126582278E-2</v>
          </cell>
          <cell r="N29">
            <v>0.23069620253164558</v>
          </cell>
          <cell r="O29">
            <v>0.15949367088607594</v>
          </cell>
        </row>
        <row r="31">
          <cell r="A31" t="str">
            <v>Year</v>
          </cell>
          <cell r="B31">
            <v>1</v>
          </cell>
          <cell r="C31">
            <v>0.19246417831240051</v>
          </cell>
          <cell r="D31">
            <v>0.80753582168759952</v>
          </cell>
          <cell r="E31">
            <v>0.38616663718379624</v>
          </cell>
          <cell r="F31">
            <v>0.14894746152485405</v>
          </cell>
          <cell r="G31">
            <v>0.27242172297894923</v>
          </cell>
          <cell r="H31">
            <v>1.194056253316823E-2</v>
          </cell>
          <cell r="I31">
            <v>-1.4594020873872281E-2</v>
          </cell>
          <cell r="J31">
            <v>-5.8376083495489117E-3</v>
          </cell>
          <cell r="K31">
            <v>-1.3267291703520255E-3</v>
          </cell>
          <cell r="L31">
            <v>-1.4594020873872281E-2</v>
          </cell>
          <cell r="M31">
            <v>-2.441181673447727E-2</v>
          </cell>
          <cell r="N31">
            <v>0.24800990624447197</v>
          </cell>
          <cell r="O31">
            <v>0.17061737130727048</v>
          </cell>
        </row>
        <row r="33">
          <cell r="A33" t="str">
            <v>1997</v>
          </cell>
        </row>
        <row r="34">
          <cell r="A34" t="str">
            <v xml:space="preserve"> 1Q</v>
          </cell>
          <cell r="B34">
            <v>1</v>
          </cell>
          <cell r="C34">
            <v>0.16120625465376023</v>
          </cell>
          <cell r="D34">
            <v>0.83879374534623974</v>
          </cell>
          <cell r="E34">
            <v>0.36685288640595903</v>
          </cell>
          <cell r="F34">
            <v>0.14450651769087522</v>
          </cell>
          <cell r="G34">
            <v>0.32737430167597764</v>
          </cell>
          <cell r="H34">
            <v>1.266294227188082E-2</v>
          </cell>
          <cell r="I34">
            <v>-1.3780260707635009E-2</v>
          </cell>
          <cell r="J34">
            <v>-6.7039106145251395E-3</v>
          </cell>
          <cell r="K34">
            <v>-2.2346368715083797E-3</v>
          </cell>
          <cell r="L34">
            <v>-1.3035381750465549E-2</v>
          </cell>
          <cell r="M34">
            <v>-2.3091247672253259E-2</v>
          </cell>
          <cell r="N34">
            <v>0.30428305400372441</v>
          </cell>
          <cell r="O34">
            <v>0.21378026070763501</v>
          </cell>
        </row>
        <row r="35">
          <cell r="A35" t="str">
            <v xml:space="preserve"> 2Q</v>
          </cell>
          <cell r="B35">
            <v>1</v>
          </cell>
          <cell r="C35">
            <v>0.15609951845906903</v>
          </cell>
          <cell r="D35">
            <v>0.843900481540931</v>
          </cell>
          <cell r="E35">
            <v>0.43198745589964721</v>
          </cell>
          <cell r="F35">
            <v>0.16856134849078794</v>
          </cell>
          <cell r="G35">
            <v>0.24696197569580558</v>
          </cell>
          <cell r="H35">
            <v>1.4896119168953352E-2</v>
          </cell>
          <cell r="I35">
            <v>-1.4504116032928263E-2</v>
          </cell>
          <cell r="J35">
            <v>-6.2720501764014112E-3</v>
          </cell>
          <cell r="K35">
            <v>-1.1760094080752645E-3</v>
          </cell>
          <cell r="L35">
            <v>-1.3328106624852998E-2</v>
          </cell>
          <cell r="M35">
            <v>-2.0384163073304585E-2</v>
          </cell>
          <cell r="N35">
            <v>0.22657781262250098</v>
          </cell>
          <cell r="O35">
            <v>0.16542532340258723</v>
          </cell>
        </row>
        <row r="36">
          <cell r="A36" t="str">
            <v xml:space="preserve"> 3Q</v>
          </cell>
          <cell r="B36">
            <v>1</v>
          </cell>
          <cell r="C36">
            <v>0.1595022624434389</v>
          </cell>
          <cell r="D36">
            <v>0.8404977375565611</v>
          </cell>
          <cell r="E36">
            <v>0.38259919912631962</v>
          </cell>
          <cell r="F36">
            <v>0.16272297051328721</v>
          </cell>
          <cell r="G36">
            <v>0.30069166363305422</v>
          </cell>
          <cell r="H36">
            <v>1.4197306152166E-2</v>
          </cell>
          <cell r="I36">
            <v>-1.4197306152166E-2</v>
          </cell>
          <cell r="J36">
            <v>-6.5526028394612308E-3</v>
          </cell>
          <cell r="K36">
            <v>-4.3684018929741539E-3</v>
          </cell>
          <cell r="L36">
            <v>-8.0087368037859482E-3</v>
          </cell>
          <cell r="M36">
            <v>-1.8929741536221331E-2</v>
          </cell>
          <cell r="N36">
            <v>0.28176192209683293</v>
          </cell>
          <cell r="O36">
            <v>0.2107753913360029</v>
          </cell>
        </row>
        <row r="37">
          <cell r="A37" t="str">
            <v xml:space="preserve"> 4Q</v>
          </cell>
          <cell r="B37">
            <v>1</v>
          </cell>
          <cell r="C37">
            <v>0.18253695427982125</v>
          </cell>
          <cell r="D37">
            <v>0.8174630457201788</v>
          </cell>
          <cell r="E37">
            <v>0.4111328125</v>
          </cell>
          <cell r="F37">
            <v>0.17578125</v>
          </cell>
          <cell r="G37">
            <v>0.240234375</v>
          </cell>
          <cell r="H37">
            <v>1.46484375E-2</v>
          </cell>
          <cell r="I37">
            <v>-1.1067708333333334E-2</v>
          </cell>
          <cell r="J37">
            <v>-5.208333333333333E-3</v>
          </cell>
          <cell r="K37">
            <v>-2.2786458333333335E-3</v>
          </cell>
          <cell r="L37">
            <v>-1.2369791666666666E-2</v>
          </cell>
          <cell r="M37">
            <v>-1.6276041666666668E-2</v>
          </cell>
          <cell r="N37">
            <v>0.22395833333333334</v>
          </cell>
          <cell r="O37">
            <v>0.16276041666666666</v>
          </cell>
        </row>
        <row r="39">
          <cell r="A39" t="str">
            <v>Year</v>
          </cell>
          <cell r="B39">
            <v>1</v>
          </cell>
          <cell r="C39">
            <v>0.16537852686469875</v>
          </cell>
          <cell r="D39">
            <v>0.83462147313530122</v>
          </cell>
          <cell r="E39">
            <v>0.39810040705563093</v>
          </cell>
          <cell r="F39">
            <v>0.16327453640886477</v>
          </cell>
          <cell r="G39">
            <v>0.27797376752600633</v>
          </cell>
          <cell r="H39">
            <v>1.4111261872455903E-2</v>
          </cell>
          <cell r="I39">
            <v>-1.3297150610583446E-2</v>
          </cell>
          <cell r="J39">
            <v>-6.1510628674807779E-3</v>
          </cell>
          <cell r="K39">
            <v>-2.5327905924920849E-3</v>
          </cell>
          <cell r="L39">
            <v>-1.1668928086838535E-2</v>
          </cell>
          <cell r="M39">
            <v>-1.9538670284938942E-2</v>
          </cell>
          <cell r="N39">
            <v>0.25843509724106739</v>
          </cell>
          <cell r="O39">
            <v>0.18769787426503845</v>
          </cell>
        </row>
        <row r="41">
          <cell r="A41" t="str">
            <v>1998</v>
          </cell>
        </row>
        <row r="42">
          <cell r="A42" t="str">
            <v xml:space="preserve"> 1Q</v>
          </cell>
          <cell r="B42">
            <v>1</v>
          </cell>
          <cell r="C42">
            <v>0.1483021483021483</v>
          </cell>
          <cell r="D42">
            <v>0.85169785169785173</v>
          </cell>
          <cell r="E42">
            <v>0.39492753623188404</v>
          </cell>
          <cell r="F42">
            <v>0.15843214756258234</v>
          </cell>
          <cell r="G42">
            <v>0.30566534914360999</v>
          </cell>
          <cell r="H42">
            <v>1.1857707509881422E-2</v>
          </cell>
          <cell r="I42">
            <v>-8.8932806324110679E-3</v>
          </cell>
          <cell r="J42">
            <v>-3.952569169960474E-3</v>
          </cell>
          <cell r="K42">
            <v>1.6469038208168643E-3</v>
          </cell>
          <cell r="L42">
            <v>-1.0869565217391304E-2</v>
          </cell>
          <cell r="M42">
            <v>-1.0210803689064558E-2</v>
          </cell>
          <cell r="N42">
            <v>0.29545454545454547</v>
          </cell>
          <cell r="O42">
            <v>0.21113306982872201</v>
          </cell>
        </row>
        <row r="43">
          <cell r="A43" t="str">
            <v xml:space="preserve"> 2Q</v>
          </cell>
          <cell r="B43">
            <v>1</v>
          </cell>
          <cell r="C43">
            <v>0.15189466923570971</v>
          </cell>
          <cell r="D43">
            <v>0.84810533076429029</v>
          </cell>
          <cell r="E43">
            <v>0.41274154589371981</v>
          </cell>
          <cell r="F43">
            <v>0.16606280193236714</v>
          </cell>
          <cell r="G43">
            <v>0.27838164251207731</v>
          </cell>
          <cell r="H43">
            <v>1.2077294685990338E-2</v>
          </cell>
          <cell r="I43">
            <v>-1.0265700483091788E-2</v>
          </cell>
          <cell r="J43">
            <v>-3.6231884057971015E-3</v>
          </cell>
          <cell r="K43">
            <v>-1.2077294685990338E-3</v>
          </cell>
          <cell r="L43">
            <v>-1.3285024154589372E-2</v>
          </cell>
          <cell r="M43">
            <v>-1.6304347826086956E-2</v>
          </cell>
          <cell r="N43">
            <v>0.26207729468599034</v>
          </cell>
          <cell r="O43">
            <v>0.18357487922705315</v>
          </cell>
        </row>
        <row r="44">
          <cell r="A44" t="str">
            <v xml:space="preserve"> 3Q</v>
          </cell>
          <cell r="B44">
            <v>1</v>
          </cell>
          <cell r="C44">
            <v>0.15241157556270096</v>
          </cell>
          <cell r="D44">
            <v>0.84758842443729909</v>
          </cell>
          <cell r="E44">
            <v>0.39729729729729729</v>
          </cell>
          <cell r="F44">
            <v>0.16516516516516516</v>
          </cell>
          <cell r="G44">
            <v>0.29519519519519521</v>
          </cell>
          <cell r="H44">
            <v>1.2612612612612612E-2</v>
          </cell>
          <cell r="I44">
            <v>-1.0510510510510511E-2</v>
          </cell>
          <cell r="J44">
            <v>-3.6036036036036037E-3</v>
          </cell>
          <cell r="K44">
            <v>-3.003003003003003E-3</v>
          </cell>
          <cell r="L44">
            <v>-1.5015015015015015E-2</v>
          </cell>
          <cell r="M44">
            <v>-1.951951951951952E-2</v>
          </cell>
          <cell r="N44">
            <v>0.27567567567567569</v>
          </cell>
          <cell r="O44">
            <v>0.19429429429429429</v>
          </cell>
        </row>
        <row r="45">
          <cell r="A45" t="str">
            <v xml:space="preserve"> 4Q</v>
          </cell>
          <cell r="B45">
            <v>1</v>
          </cell>
          <cell r="C45">
            <v>0.17045135968601066</v>
          </cell>
          <cell r="D45">
            <v>0.82954864031398934</v>
          </cell>
          <cell r="E45">
            <v>0.42653905845835488</v>
          </cell>
          <cell r="F45">
            <v>0.17873771339886188</v>
          </cell>
          <cell r="G45">
            <v>0.23745473357475427</v>
          </cell>
          <cell r="H45">
            <v>1.4226590791515779E-2</v>
          </cell>
          <cell r="I45">
            <v>-9.0532850491464052E-3</v>
          </cell>
          <cell r="J45">
            <v>-3.1039834454216243E-3</v>
          </cell>
          <cell r="K45">
            <v>2.5866528711846869E-3</v>
          </cell>
          <cell r="L45">
            <v>2.8453181583031556E-3</v>
          </cell>
          <cell r="M45">
            <v>7.5012933264355921E-3</v>
          </cell>
          <cell r="N45">
            <v>0.24495602690118987</v>
          </cell>
          <cell r="O45">
            <v>0.18391101914123126</v>
          </cell>
        </row>
        <row r="47">
          <cell r="A47" t="str">
            <v>Year</v>
          </cell>
          <cell r="B47">
            <v>1</v>
          </cell>
          <cell r="C47">
            <v>0.15642502169282954</v>
          </cell>
          <cell r="D47">
            <v>0.84357497830717043</v>
          </cell>
          <cell r="E47">
            <v>0.40888954518606024</v>
          </cell>
          <cell r="F47">
            <v>0.16774955699940933</v>
          </cell>
          <cell r="G47">
            <v>0.27694920259893679</v>
          </cell>
          <cell r="H47">
            <v>1.2773183697578263E-2</v>
          </cell>
          <cell r="I47">
            <v>-9.6721795629060841E-3</v>
          </cell>
          <cell r="J47">
            <v>-3.5440047253396337E-3</v>
          </cell>
          <cell r="K47">
            <v>7.3833431777909036E-5</v>
          </cell>
          <cell r="L47">
            <v>-8.5646780862374487E-3</v>
          </cell>
          <cell r="M47">
            <v>-8.9338452451269926E-3</v>
          </cell>
          <cell r="N47">
            <v>0.26801535735380982</v>
          </cell>
          <cell r="O47">
            <v>0.19248375664500886</v>
          </cell>
        </row>
        <row r="49">
          <cell r="A49" t="str">
            <v>1999</v>
          </cell>
        </row>
        <row r="50">
          <cell r="A50" t="str">
            <v xml:space="preserve"> 1Q</v>
          </cell>
          <cell r="B50">
            <v>1</v>
          </cell>
          <cell r="C50">
            <v>0.15493757094211125</v>
          </cell>
          <cell r="D50">
            <v>0.84506242905788875</v>
          </cell>
          <cell r="E50">
            <v>0.3997962821492233</v>
          </cell>
          <cell r="F50">
            <v>0.16679399032340209</v>
          </cell>
          <cell r="G50">
            <v>0.2943722943722944</v>
          </cell>
          <cell r="H50">
            <v>1.680672268907563E-2</v>
          </cell>
          <cell r="I50">
            <v>-1.0440539852304559E-2</v>
          </cell>
          <cell r="J50">
            <v>-2.8011204481792717E-3</v>
          </cell>
          <cell r="K50">
            <v>1.7825311942959001E-3</v>
          </cell>
          <cell r="L50">
            <v>-6.6208301502419147E-3</v>
          </cell>
          <cell r="M50">
            <v>-1.2732365673542145E-3</v>
          </cell>
          <cell r="N50">
            <v>0.29309905780494017</v>
          </cell>
          <cell r="O50">
            <v>0.20804685510567864</v>
          </cell>
        </row>
        <row r="51">
          <cell r="A51" t="str">
            <v xml:space="preserve"> 2Q</v>
          </cell>
          <cell r="B51">
            <v>1</v>
          </cell>
          <cell r="C51">
            <v>0.14432989690721648</v>
          </cell>
          <cell r="D51">
            <v>0.85567010309278357</v>
          </cell>
          <cell r="E51">
            <v>0.41413072241333687</v>
          </cell>
          <cell r="F51">
            <v>0.17650172003175443</v>
          </cell>
          <cell r="G51">
            <v>0.28340830907647524</v>
          </cell>
          <cell r="H51">
            <v>1.9052659433712621E-2</v>
          </cell>
          <cell r="I51">
            <v>-1.4024874305371792E-2</v>
          </cell>
          <cell r="J51">
            <v>-2.6462026991267533E-3</v>
          </cell>
          <cell r="K51">
            <v>1.0584810796507012E-3</v>
          </cell>
          <cell r="L51">
            <v>-1.4818735115109817E-2</v>
          </cell>
          <cell r="M51">
            <v>-1.1378671606245038E-2</v>
          </cell>
          <cell r="N51">
            <v>0.27202963747023023</v>
          </cell>
          <cell r="O51">
            <v>0.19290817676634031</v>
          </cell>
        </row>
        <row r="52">
          <cell r="A52" t="str">
            <v xml:space="preserve"> 3Q</v>
          </cell>
          <cell r="B52">
            <v>1</v>
          </cell>
          <cell r="C52">
            <v>0.14577855682150162</v>
          </cell>
          <cell r="D52">
            <v>0.85422144317849835</v>
          </cell>
          <cell r="E52">
            <v>0.36873747494989978</v>
          </cell>
          <cell r="F52">
            <v>0.17384769539078157</v>
          </cell>
          <cell r="G52">
            <v>0.33241482965931862</v>
          </cell>
          <cell r="H52">
            <v>1.9038076152304611E-2</v>
          </cell>
          <cell r="I52">
            <v>-1.5280561122244489E-2</v>
          </cell>
          <cell r="J52">
            <v>-2.7555110220440883E-3</v>
          </cell>
          <cell r="K52">
            <v>-3.5070140280561123E-3</v>
          </cell>
          <cell r="L52">
            <v>-1.002004008016032E-2</v>
          </cell>
          <cell r="M52">
            <v>-1.2525050100200401E-2</v>
          </cell>
          <cell r="N52">
            <v>0.31988977955911824</v>
          </cell>
          <cell r="O52">
            <v>0.22695390781563127</v>
          </cell>
        </row>
        <row r="53">
          <cell r="A53" t="str">
            <v xml:space="preserve"> 4Q</v>
          </cell>
          <cell r="B53">
            <v>1</v>
          </cell>
          <cell r="C53">
            <v>0.17905839979418575</v>
          </cell>
          <cell r="D53">
            <v>0.8209416002058143</v>
          </cell>
          <cell r="E53">
            <v>0.38726142920550377</v>
          </cell>
          <cell r="F53">
            <v>0.16866400355082112</v>
          </cell>
          <cell r="G53">
            <v>0.28961384820239683</v>
          </cell>
          <cell r="H53">
            <v>0</v>
          </cell>
          <cell r="I53">
            <v>0</v>
          </cell>
          <cell r="J53">
            <v>0</v>
          </cell>
          <cell r="K53">
            <v>0</v>
          </cell>
          <cell r="L53">
            <v>-2.2192632046160674E-4</v>
          </cell>
          <cell r="M53">
            <v>-2.2192632046160674E-4</v>
          </cell>
          <cell r="N53">
            <v>0.28939192188193519</v>
          </cell>
          <cell r="O53">
            <v>0.21171770972037285</v>
          </cell>
        </row>
        <row r="55">
          <cell r="A55" t="str">
            <v>Year</v>
          </cell>
          <cell r="B55">
            <v>1</v>
          </cell>
          <cell r="C55">
            <v>0.15687800735918483</v>
          </cell>
          <cell r="D55">
            <v>0.84312199264081511</v>
          </cell>
          <cell r="E55">
            <v>0.39200197482103183</v>
          </cell>
          <cell r="F55">
            <v>0.17131572451246604</v>
          </cell>
          <cell r="G55">
            <v>0.29986423105406074</v>
          </cell>
          <cell r="H55">
            <v>1.3206615650456678E-2</v>
          </cell>
          <cell r="I55">
            <v>-9.5655393729943226E-3</v>
          </cell>
          <cell r="J55">
            <v>-1.9748210318439891E-3</v>
          </cell>
          <cell r="K55">
            <v>-1.8513947173537398E-4</v>
          </cell>
          <cell r="L55">
            <v>-7.5907183411503334E-3</v>
          </cell>
          <cell r="M55">
            <v>-6.1096025672673412E-3</v>
          </cell>
          <cell r="N55">
            <v>0.2937546284867934</v>
          </cell>
          <cell r="O55">
            <v>0.2101950135768946</v>
          </cell>
        </row>
        <row r="57">
          <cell r="A57" t="str">
            <v>2000E</v>
          </cell>
        </row>
        <row r="58">
          <cell r="A58" t="str">
            <v xml:space="preserve"> 1QA</v>
          </cell>
          <cell r="B58">
            <v>1</v>
          </cell>
          <cell r="C58">
            <v>0.13424657534246576</v>
          </cell>
          <cell r="D58">
            <v>0.86575342465753424</v>
          </cell>
          <cell r="E58">
            <v>0.38539976825028971</v>
          </cell>
          <cell r="F58">
            <v>0.16500579374275781</v>
          </cell>
          <cell r="G58">
            <v>0.33603707995365006</v>
          </cell>
          <cell r="H58">
            <v>1.7381228273464659E-2</v>
          </cell>
          <cell r="I58">
            <v>0</v>
          </cell>
          <cell r="J58">
            <v>0</v>
          </cell>
          <cell r="K58">
            <v>0</v>
          </cell>
          <cell r="L58">
            <v>-1.089223638470452E-2</v>
          </cell>
          <cell r="M58">
            <v>6.4889918887601388E-3</v>
          </cell>
          <cell r="N58">
            <v>0.34252607184241018</v>
          </cell>
          <cell r="O58">
            <v>0.25376593279258403</v>
          </cell>
        </row>
        <row r="59">
          <cell r="A59" t="str">
            <v xml:space="preserve"> 2QE</v>
          </cell>
          <cell r="B59">
            <v>1</v>
          </cell>
          <cell r="C59">
            <v>0.14399999999999999</v>
          </cell>
          <cell r="D59">
            <v>0.85599999999999998</v>
          </cell>
          <cell r="E59">
            <v>0.41199999999999998</v>
          </cell>
          <cell r="F59">
            <v>0.17899999999999999</v>
          </cell>
          <cell r="G59">
            <v>0.28996468110350543</v>
          </cell>
          <cell r="H59">
            <v>1.0452500354223623E-2</v>
          </cell>
          <cell r="I59">
            <v>0</v>
          </cell>
          <cell r="J59">
            <v>0</v>
          </cell>
          <cell r="K59">
            <v>0</v>
          </cell>
          <cell r="L59">
            <v>-1.9743611780200173E-2</v>
          </cell>
          <cell r="M59">
            <v>-9.2911114259765521E-3</v>
          </cell>
          <cell r="N59">
            <v>0.28067356967752888</v>
          </cell>
          <cell r="O59">
            <v>0.20498849743265232</v>
          </cell>
        </row>
        <row r="60">
          <cell r="A60" t="str">
            <v xml:space="preserve"> 3QE</v>
          </cell>
          <cell r="B60">
            <v>1</v>
          </cell>
          <cell r="C60">
            <v>0.14599999999999999</v>
          </cell>
          <cell r="D60">
            <v>0.85399999999999998</v>
          </cell>
          <cell r="E60">
            <v>0.38</v>
          </cell>
          <cell r="F60">
            <v>0.17299999999999999</v>
          </cell>
          <cell r="G60">
            <v>0.32667426002121991</v>
          </cell>
          <cell r="H60">
            <v>8.7432802426784858E-3</v>
          </cell>
          <cell r="I60">
            <v>0</v>
          </cell>
          <cell r="J60">
            <v>0</v>
          </cell>
          <cell r="K60">
            <v>0</v>
          </cell>
          <cell r="L60">
            <v>-1.7486560485356972E-2</v>
          </cell>
          <cell r="M60">
            <v>-8.7432802426784858E-3</v>
          </cell>
          <cell r="N60">
            <v>0.31793097977854146</v>
          </cell>
          <cell r="O60">
            <v>0.23250689519182538</v>
          </cell>
        </row>
        <row r="61">
          <cell r="A61" t="str">
            <v xml:space="preserve"> 4QE</v>
          </cell>
          <cell r="B61">
            <v>1</v>
          </cell>
          <cell r="C61">
            <v>0.16101134850393478</v>
          </cell>
          <cell r="D61">
            <v>0.83898865149606516</v>
          </cell>
          <cell r="E61">
            <v>0.38584845407059498</v>
          </cell>
          <cell r="F61">
            <v>0.17817390729448146</v>
          </cell>
          <cell r="G61">
            <v>0.30213426494822931</v>
          </cell>
          <cell r="H61">
            <v>8.5926116012882033E-3</v>
          </cell>
          <cell r="I61">
            <v>0</v>
          </cell>
          <cell r="J61">
            <v>0</v>
          </cell>
          <cell r="K61">
            <v>0</v>
          </cell>
          <cell r="L61">
            <v>-1.6230488580211051E-2</v>
          </cell>
          <cell r="M61">
            <v>-7.6378769789228482E-3</v>
          </cell>
          <cell r="N61">
            <v>0.29449638796930644</v>
          </cell>
          <cell r="O61">
            <v>0.21596940184499785</v>
          </cell>
        </row>
        <row r="63">
          <cell r="A63" t="str">
            <v>Year</v>
          </cell>
          <cell r="B63">
            <v>1</v>
          </cell>
          <cell r="C63">
            <v>0.14699999999999999</v>
          </cell>
          <cell r="D63">
            <v>0.85299999999999998</v>
          </cell>
          <cell r="E63">
            <v>0.39040000000000002</v>
          </cell>
          <cell r="F63">
            <v>0.17399999999999999</v>
          </cell>
          <cell r="G63">
            <v>0.31331944354881613</v>
          </cell>
          <cell r="H63">
            <v>1.1121847533882056E-2</v>
          </cell>
          <cell r="I63">
            <v>0</v>
          </cell>
          <cell r="J63">
            <v>0</v>
          </cell>
          <cell r="K63">
            <v>0</v>
          </cell>
          <cell r="L63">
            <v>-1.6113115695429125E-2</v>
          </cell>
          <cell r="M63">
            <v>-4.9912681615470684E-3</v>
          </cell>
          <cell r="N63">
            <v>0.30832817538726909</v>
          </cell>
          <cell r="O63">
            <v>0.22635749086206983</v>
          </cell>
        </row>
        <row r="65">
          <cell r="A65" t="str">
            <v>2001E</v>
          </cell>
          <cell r="B65">
            <v>1</v>
          </cell>
          <cell r="C65">
            <v>0.1464</v>
          </cell>
          <cell r="D65">
            <v>0.85360000000000003</v>
          </cell>
          <cell r="E65">
            <v>0.38840000000000002</v>
          </cell>
          <cell r="F65">
            <v>0.17299999999999999</v>
          </cell>
          <cell r="G65">
            <v>0.32073821206156516</v>
          </cell>
          <cell r="H65">
            <v>0</v>
          </cell>
          <cell r="I65">
            <v>0</v>
          </cell>
          <cell r="J65">
            <v>0</v>
          </cell>
          <cell r="K65">
            <v>0</v>
          </cell>
          <cell r="L65">
            <v>0</v>
          </cell>
          <cell r="M65">
            <v>0</v>
          </cell>
          <cell r="N65">
            <v>0.32073821206156516</v>
          </cell>
          <cell r="O65">
            <v>0.23551363619848015</v>
          </cell>
        </row>
        <row r="66">
          <cell r="A66" t="str">
            <v>2002E</v>
          </cell>
          <cell r="B66">
            <v>1</v>
          </cell>
          <cell r="C66">
            <v>0.14499999999999999</v>
          </cell>
          <cell r="D66">
            <v>0.85499999999999998</v>
          </cell>
          <cell r="E66">
            <v>0.38400000000000001</v>
          </cell>
          <cell r="F66">
            <v>0.16900000000000001</v>
          </cell>
          <cell r="G66">
            <v>0.33123866909992289</v>
          </cell>
          <cell r="H66">
            <v>0</v>
          </cell>
          <cell r="I66">
            <v>0</v>
          </cell>
          <cell r="J66">
            <v>0</v>
          </cell>
          <cell r="K66">
            <v>0</v>
          </cell>
          <cell r="L66">
            <v>0</v>
          </cell>
          <cell r="M66">
            <v>0</v>
          </cell>
          <cell r="N66">
            <v>0.33123866909992289</v>
          </cell>
          <cell r="O66">
            <v>0.24326074888248556</v>
          </cell>
        </row>
        <row r="67">
          <cell r="A67" t="str">
            <v>2003E</v>
          </cell>
          <cell r="B67">
            <v>1</v>
          </cell>
          <cell r="C67">
            <v>0.14299999999999999</v>
          </cell>
          <cell r="D67">
            <v>0.85699999999999998</v>
          </cell>
          <cell r="E67">
            <v>0.38</v>
          </cell>
          <cell r="F67">
            <v>0.16500000000000001</v>
          </cell>
          <cell r="G67">
            <v>0.3418146022485018</v>
          </cell>
          <cell r="H67">
            <v>0</v>
          </cell>
          <cell r="I67">
            <v>0</v>
          </cell>
          <cell r="J67">
            <v>0</v>
          </cell>
          <cell r="K67">
            <v>0</v>
          </cell>
          <cell r="L67">
            <v>0</v>
          </cell>
          <cell r="M67">
            <v>0</v>
          </cell>
          <cell r="N67">
            <v>0.3418146022485018</v>
          </cell>
          <cell r="O67">
            <v>0.25105950966479956</v>
          </cell>
        </row>
        <row r="68">
          <cell r="A68" t="str">
            <v>2004E</v>
          </cell>
          <cell r="B68">
            <v>1</v>
          </cell>
          <cell r="C68">
            <v>0.14199999999999999</v>
          </cell>
          <cell r="D68">
            <v>0.85799999999999998</v>
          </cell>
          <cell r="E68">
            <v>0.377</v>
          </cell>
          <cell r="F68">
            <v>0.16250000000000001</v>
          </cell>
          <cell r="G68">
            <v>0.34498590534777551</v>
          </cell>
          <cell r="H68">
            <v>0</v>
          </cell>
          <cell r="I68">
            <v>0</v>
          </cell>
          <cell r="J68">
            <v>0</v>
          </cell>
          <cell r="K68">
            <v>0</v>
          </cell>
          <cell r="L68">
            <v>0</v>
          </cell>
          <cell r="M68">
            <v>0</v>
          </cell>
          <cell r="N68">
            <v>0.34498590534777551</v>
          </cell>
          <cell r="O68">
            <v>0.25340529885466001</v>
          </cell>
        </row>
        <row r="69">
          <cell r="A69" t="str">
            <v>2005E</v>
          </cell>
          <cell r="B69">
            <v>1</v>
          </cell>
          <cell r="C69">
            <v>0.14199999999999999</v>
          </cell>
          <cell r="D69">
            <v>0.85799999999999998</v>
          </cell>
          <cell r="E69">
            <v>0.375</v>
          </cell>
          <cell r="F69">
            <v>0.16</v>
          </cell>
          <cell r="G69">
            <v>0.34953467917523934</v>
          </cell>
          <cell r="H69">
            <v>0</v>
          </cell>
          <cell r="I69">
            <v>0</v>
          </cell>
          <cell r="J69">
            <v>0</v>
          </cell>
          <cell r="K69">
            <v>0</v>
          </cell>
          <cell r="L69">
            <v>0</v>
          </cell>
          <cell r="M69">
            <v>0</v>
          </cell>
          <cell r="N69">
            <v>0.34953467917523934</v>
          </cell>
          <cell r="O69">
            <v>0.25676451987336391</v>
          </cell>
        </row>
        <row r="71">
          <cell r="A71" t="str">
            <v>Notes:</v>
          </cell>
        </row>
        <row r="72">
          <cell r="A72" t="str">
            <v>(a)  1994 and 1995 quarters have been restated for the divestiture of the Food Science Group, but not for the Medical Technology group.</v>
          </cell>
        </row>
        <row r="73">
          <cell r="A73" t="str">
            <v>(b) Alliance revenues include Lipitor and Aricept profits.</v>
          </cell>
        </row>
        <row r="74">
          <cell r="A74" t="str">
            <v>(c)  Gross Profit excludes Alliance Revenues.</v>
          </cell>
        </row>
        <row r="75">
          <cell r="A75" t="str">
            <v>(d) Operating Margin excludes Alliance Revenues.</v>
          </cell>
        </row>
        <row r="77">
          <cell r="A77" t="str">
            <v>E = Morgan Stanley Dean Witter Research Estimates       A = Actual       NM = Not Meaningful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Quarterly"/>
      <sheetName val="__FDSCACHE__"/>
      <sheetName val="Annual"/>
      <sheetName val="Angiomax-US"/>
      <sheetName val="Angiomax-Europe"/>
      <sheetName val="Balance Sheet"/>
      <sheetName val="Cash Flow"/>
      <sheetName val="Calc"/>
      <sheetName val="Milestones"/>
      <sheetName val="Pipeline"/>
      <sheetName val="Valuation"/>
      <sheetName val="Sheet1"/>
      <sheetName val="NY UPLOAD shadow"/>
    </sheetNames>
    <sheetDataSet>
      <sheetData sheetId="0"/>
      <sheetData sheetId="1"/>
      <sheetData sheetId="2"/>
      <sheetData sheetId="3" refreshError="1">
        <row r="27">
          <cell r="F27">
            <v>-1.211421003900645</v>
          </cell>
          <cell r="H27">
            <v>-0.12541776215182754</v>
          </cell>
          <cell r="J27">
            <v>0.97941985249809671</v>
          </cell>
        </row>
        <row r="28">
          <cell r="D28">
            <v>-1.6673097078972552</v>
          </cell>
          <cell r="L28">
            <v>1.742116905925265</v>
          </cell>
        </row>
      </sheetData>
      <sheetData sheetId="4"/>
      <sheetData sheetId="5"/>
      <sheetData sheetId="6"/>
      <sheetData sheetId="7" refreshError="1"/>
      <sheetData sheetId="8"/>
      <sheetData sheetId="9"/>
      <sheetData sheetId="10"/>
      <sheetData sheetId="11"/>
      <sheetData sheetId="12"/>
      <sheetData sheetId="13"/>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Quarterly"/>
      <sheetName val="MS Est vs. Rpt"/>
      <sheetName val="mwareTaxoPres"/>
      <sheetName val="Changes to the Model"/>
      <sheetName val="mwareValPrintout"/>
      <sheetName val="mwarePreview"/>
      <sheetName val="Annual"/>
      <sheetName val="Balance Sheet "/>
      <sheetName val="Cashflow"/>
      <sheetName val="Avastin- 2004 Patient Ramp"/>
      <sheetName val="Consensus&amp;Figures"/>
      <sheetName val="Avastin"/>
      <sheetName val="Rituxan"/>
      <sheetName val="Xolair"/>
      <sheetName val="Raptiva"/>
      <sheetName val="Tarceva"/>
      <sheetName val="DCF Valuation"/>
      <sheetName val="Questions"/>
      <sheetName val="mwareDates"/>
      <sheetName val="Marketing"/>
      <sheetName val="DNA Milestones"/>
      <sheetName val="NY UPLOAD shadow"/>
      <sheetName val="mwareSettings"/>
      <sheetName val="mStartup"/>
      <sheetName val="MainCode"/>
    </sheetNames>
    <sheetDataSet>
      <sheetData sheetId="0"/>
      <sheetData sheetId="1"/>
      <sheetData sheetId="2"/>
      <sheetData sheetId="3"/>
      <sheetData sheetId="4"/>
      <sheetData sheetId="5"/>
      <sheetData sheetId="6"/>
      <sheetData sheetId="7"/>
      <sheetData sheetId="8" refreshError="1">
        <row r="49">
          <cell r="N49">
            <v>0.2520280545224951</v>
          </cell>
        </row>
        <row r="51">
          <cell r="F51">
            <v>0.46422687890339609</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ERModelPubAnalystListing"/>
      <sheetName val="ImportantDisclosures"/>
      <sheetName val="OtherDisclosures"/>
      <sheetName val="NY UPLOAD"/>
      <sheetName val="2003"/>
      <sheetName val="2004"/>
      <sheetName val="Annual"/>
      <sheetName val="Velcade"/>
      <sheetName val="Integrilin"/>
      <sheetName val="Balance Sheet "/>
      <sheetName val="Cashflow"/>
      <sheetName val="IndexInformation"/>
      <sheetName val="mStartup"/>
      <sheetName val="MainCode"/>
      <sheetName val="Quarterly"/>
      <sheetName val="CircularReferenceAlert"/>
      <sheetName val="DCF Valuation"/>
      <sheetName val="ModPubIndexInternal"/>
      <sheetName val="FIDO"/>
      <sheetName val="Model_Template"/>
    </sheetNames>
    <sheetDataSet>
      <sheetData sheetId="0" refreshError="1"/>
      <sheetData sheetId="1" refreshError="1"/>
      <sheetData sheetId="2" refreshError="1"/>
      <sheetData sheetId="3" refreshError="1"/>
      <sheetData sheetId="4" refreshError="1"/>
      <sheetData sheetId="5"/>
      <sheetData sheetId="6" refreshError="1"/>
      <sheetData sheetId="7" refreshError="1">
        <row r="37">
          <cell r="H37">
            <v>-1.4770707103014014</v>
          </cell>
          <cell r="J37">
            <v>-0.73070375586749259</v>
          </cell>
          <cell r="L37">
            <v>-0.52080836153533172</v>
          </cell>
          <cell r="N37">
            <v>-0.17126869987329071</v>
          </cell>
        </row>
        <row r="38">
          <cell r="J38">
            <v>-0.4584579916156159</v>
          </cell>
          <cell r="N38">
            <v>-6.9441503640298774E-2</v>
          </cell>
        </row>
      </sheetData>
      <sheetData sheetId="8" refreshError="1"/>
      <sheetData sheetId="9" refreshError="1"/>
      <sheetData sheetId="10" refreshError="1"/>
      <sheetData sheetId="11"/>
      <sheetData sheetId="12" refreshError="1"/>
      <sheetData sheetId="13" refreshError="1"/>
      <sheetData sheetId="14" refreshError="1"/>
      <sheetData sheetId="15"/>
      <sheetData sheetId="16" refreshError="1"/>
      <sheetData sheetId="17"/>
      <sheetData sheetId="18"/>
      <sheetData sheetId="19"/>
      <sheetData sheetId="20"/>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 sheet"/>
      <sheetName val="__FDSCACHE__"/>
      <sheetName val="MainCode"/>
      <sheetName val="mStartup"/>
      <sheetName val="NY UPLOAD shadow"/>
      <sheetName val="FCFF"/>
      <sheetName val="DCF Valuation"/>
      <sheetName val="Stock Options Data"/>
      <sheetName val="Calc"/>
      <sheetName val="Cash Flow"/>
      <sheetName val="Balance Sheet"/>
      <sheetName val="xbrlPreview"/>
      <sheetName val="NY UPLOAD"/>
      <sheetName val="Annual"/>
      <sheetName val="Quarterly"/>
      <sheetName val="US Epo Model"/>
      <sheetName val="Int'l Epo Model"/>
      <sheetName val="US RA Model"/>
      <sheetName val="Euro RA Model"/>
      <sheetName val="RA Total"/>
      <sheetName val="AMGN Milestones"/>
      <sheetName val="Pipeline (2)"/>
      <sheetName val="Pipeline"/>
      <sheetName val="xbrldates"/>
      <sheetName val="xbrlSettings"/>
      <sheetName val="Sheet9"/>
      <sheetName val="ACR data"/>
      <sheetName val="1217"/>
      <sheetName val="Sheet10"/>
      <sheetName val="Sheet11"/>
      <sheetName val="Sheet12"/>
      <sheetName val="Sheet13"/>
      <sheetName val="Sheet14"/>
      <sheetName val="Sheet15"/>
      <sheetName val="Sheet16"/>
      <sheetName val="Module1"/>
      <sheetName val="AMGN"/>
    </sheetNames>
    <sheetDataSet>
      <sheetData sheetId="0"/>
      <sheetData sheetId="1"/>
      <sheetData sheetId="2" refreshError="1"/>
      <sheetData sheetId="3" refreshError="1"/>
      <sheetData sheetId="4"/>
      <sheetData sheetId="5"/>
      <sheetData sheetId="6"/>
      <sheetData sheetId="7"/>
      <sheetData sheetId="8"/>
      <sheetData sheetId="9"/>
      <sheetData sheetId="10" refreshError="1">
        <row r="7">
          <cell r="K7">
            <v>689.1</v>
          </cell>
          <cell r="L7">
            <v>1851.7</v>
          </cell>
          <cell r="M7">
            <v>1339.7507282108186</v>
          </cell>
          <cell r="N7">
            <v>2039.8520056133134</v>
          </cell>
          <cell r="O7">
            <v>1588.7891864814724</v>
          </cell>
        </row>
        <row r="8">
          <cell r="K8">
            <v>1973.1</v>
          </cell>
          <cell r="L8">
            <v>2812.2</v>
          </cell>
        </row>
      </sheetData>
      <sheetData sheetId="11"/>
      <sheetData sheetId="12"/>
      <sheetData sheetId="13" refreshError="1">
        <row r="40">
          <cell r="X40">
            <v>1289.5</v>
          </cell>
          <cell r="Z40">
            <v>1285</v>
          </cell>
          <cell r="AB40">
            <v>1288.81826</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Download sheet"/>
      <sheetName val="FactSet Data"/>
      <sheetName val="Mkt Update"/>
      <sheetName val="DD"/>
      <sheetName val="AMLN"/>
      <sheetName val="CELG"/>
      <sheetName val="IMCL"/>
      <sheetName val="MLNM"/>
      <sheetName val="Rating"/>
      <sheetName val="Build up"/>
      <sheetName val="DC Items"/>
      <sheetName val="PL"/>
      <sheetName val="CF"/>
      <sheetName val="DC CF Calc"/>
      <sheetName val="BS"/>
      <sheetName val="dataciti - ATK.US"/>
      <sheetName val="CF (old)"/>
      <sheetName val="Value"/>
      <sheetName val="M&amp;A"/>
      <sheetName val="Comp"/>
      <sheetName val="Convert"/>
      <sheetName val="Q CFs"/>
      <sheetName val="Ammo by Dep (2)"/>
      <sheetName val="Info"/>
      <sheetName val="QPL"/>
      <sheetName val="BS &amp; CF"/>
      <sheetName val="Minoritie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s"/>
      <sheetName val="P&amp;L"/>
      <sheetName val="P&amp;L 2-12-00"/>
      <sheetName val="Glance"/>
      <sheetName val="P&amp;L 4Q99E"/>
      <sheetName val="P&amp;L 3Q99E"/>
      <sheetName val="P&amp;L 9-10-99"/>
      <sheetName val="P&amp;L 2Q99E"/>
      <sheetName val="P&amp;L 1Q99E"/>
      <sheetName val="Qrtrly Var."/>
      <sheetName val="Valuation"/>
      <sheetName val="MS_Model"/>
      <sheetName val="Tables"/>
      <sheetName val="Market"/>
      <sheetName val="IMS"/>
      <sheetName val="Compare"/>
      <sheetName val="Patents"/>
      <sheetName val="IS-Comps"/>
      <sheetName val="Sheet16"/>
      <sheetName val="Disclaimer"/>
      <sheetName val="P&amp;L 2Q98E"/>
      <sheetName val="P&amp;L 6-18-98"/>
      <sheetName val="P&amp;L 1Q98E"/>
      <sheetName val="P&amp;L 4Q97"/>
      <sheetName val="P&amp;L 1-6-98"/>
      <sheetName val="P&amp;L 10-8-97"/>
      <sheetName val="P&amp;L 9-9-97"/>
      <sheetName val="P&amp;L 2Q97E"/>
      <sheetName val="Sheet14"/>
      <sheetName val="Sheet15"/>
      <sheetName val="IndexInformation"/>
      <sheetName val="MainCode"/>
      <sheetName val="P&amp;L 9-2-98"/>
      <sheetName val="P&amp;L 9-10-98"/>
      <sheetName val="P&amp;L 9-21-98"/>
      <sheetName val="P&amp;L 9-11-98"/>
      <sheetName val="Pipeline"/>
      <sheetName val="P&amp;L 1Q00E"/>
      <sheetName val="P&amp;L 2Q00E"/>
      <sheetName val="BGEN"/>
      <sheetName val="P&amp;L3Q00E"/>
      <sheetName val="P&amp;L8-17-00E"/>
      <sheetName val="NY UPLOAD"/>
      <sheetName val="mStartup"/>
      <sheetName val="NY UPLOAD Shadow"/>
      <sheetName val="RED P&amp;L"/>
      <sheetName val="P&amp;L1Q01E"/>
      <sheetName val="P&amp;L3-27-01E"/>
      <sheetName val="P&amp;L4Q00E"/>
      <sheetName val="guidance"/>
      <sheetName val="P&amp;L RED"/>
      <sheetName val="Annu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A1" t="str">
            <v>Psoriasis: Amevive Potential Competitors</v>
          </cell>
        </row>
        <row r="3">
          <cell r="A3" t="str">
            <v>Company</v>
          </cell>
          <cell r="B3" t="str">
            <v>Product</v>
          </cell>
          <cell r="C3" t="str">
            <v>Description</v>
          </cell>
          <cell r="D3" t="str">
            <v>Stage</v>
          </cell>
        </row>
        <row r="4">
          <cell r="A4" t="str">
            <v>Vertex</v>
          </cell>
          <cell r="B4" t="str">
            <v>VX-497</v>
          </cell>
          <cell r="C4" t="str">
            <v>IMDPH inhibitor</v>
          </cell>
          <cell r="D4" t="str">
            <v>Phase II</v>
          </cell>
        </row>
        <row r="5">
          <cell r="A5" t="str">
            <v>Johnson &amp; Johnson</v>
          </cell>
          <cell r="B5" t="str">
            <v>Prograf</v>
          </cell>
          <cell r="C5" t="str">
            <v>IL-2 antagonist</v>
          </cell>
          <cell r="D5" t="str">
            <v>Phase II</v>
          </cell>
        </row>
        <row r="6">
          <cell r="A6" t="str">
            <v>Bristol Meyers</v>
          </cell>
          <cell r="B6" t="str">
            <v>BMS-188667</v>
          </cell>
          <cell r="C6" t="str">
            <v>monoclonal antibody; CD28 antagonist</v>
          </cell>
          <cell r="D6" t="str">
            <v>Phase II</v>
          </cell>
        </row>
        <row r="7">
          <cell r="A7" t="str">
            <v>Xoma/Genentech</v>
          </cell>
          <cell r="B7" t="str">
            <v>hu1124</v>
          </cell>
          <cell r="C7" t="str">
            <v>humanized monoclonal antibody; CD11a antagonist</v>
          </cell>
          <cell r="D7" t="str">
            <v>Phase II</v>
          </cell>
        </row>
        <row r="8">
          <cell r="A8" t="str">
            <v>Ligand</v>
          </cell>
          <cell r="B8" t="str">
            <v>Ontak</v>
          </cell>
          <cell r="C8" t="str">
            <v>IL-2 fusion protein; IL-2 antagonist</v>
          </cell>
          <cell r="D8" t="str">
            <v>Phase II</v>
          </cell>
        </row>
        <row r="9">
          <cell r="A9" t="str">
            <v>Abgenix</v>
          </cell>
          <cell r="B9" t="str">
            <v>ABX-IL8</v>
          </cell>
          <cell r="C9" t="str">
            <v>human antibody; interleukin-8 antagonist</v>
          </cell>
          <cell r="D9" t="str">
            <v>Phase I/II</v>
          </cell>
        </row>
        <row r="10">
          <cell r="A10" t="str">
            <v>ICOS</v>
          </cell>
          <cell r="B10" t="str">
            <v>ICM3</v>
          </cell>
          <cell r="C10" t="str">
            <v>humanized monoclonal antibody; integrin (LFA-1, Alpha-D) antagonist</v>
          </cell>
          <cell r="D10" t="str">
            <v>Phase I/II</v>
          </cell>
        </row>
        <row r="11">
          <cell r="A11" t="str">
            <v>Protein Design Labs</v>
          </cell>
          <cell r="B11" t="str">
            <v>Zenapax</v>
          </cell>
          <cell r="C11" t="str">
            <v>humanized monoclonal antibody; IL-2 antagonist</v>
          </cell>
          <cell r="D11" t="str">
            <v>Phase I/II</v>
          </cell>
        </row>
        <row r="12">
          <cell r="A12" t="str">
            <v>MedImmune</v>
          </cell>
          <cell r="B12" t="str">
            <v>MEDI-507</v>
          </cell>
          <cell r="C12" t="str">
            <v>humanized monoclonal antibody; CD2 agonist</v>
          </cell>
          <cell r="D12" t="str">
            <v>Phase I</v>
          </cell>
        </row>
        <row r="13">
          <cell r="A13" t="str">
            <v>IDEC Pharmaceuticals</v>
          </cell>
          <cell r="B13" t="str">
            <v>anti-B7 antibody</v>
          </cell>
          <cell r="C13" t="str">
            <v>PRIMATIZED monoclonal antibody; B7 agonist</v>
          </cell>
          <cell r="D13" t="str">
            <v>Preclinical</v>
          </cell>
        </row>
      </sheetData>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blankaa"/>
      <sheetName val="NAV"/>
      <sheetName val="Inputs"/>
      <sheetName val="Upstream"/>
      <sheetName val="Oil Sands"/>
      <sheetName val="Financial"/>
      <sheetName val="BalanceSheet"/>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APCVALUE"/>
      <sheetName val="ADK"/>
      <sheetName val="APCCMP"/>
      <sheetName val="APCGR"/>
      <sheetName val="APCGR2"/>
      <sheetName val="Chart1"/>
      <sheetName val="Module1"/>
      <sheetName val="Module2"/>
      <sheetName val="Module3"/>
      <sheetName val="Financial"/>
      <sheetName val="Inputs"/>
      <sheetName val="Oil Sand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O"/>
      <sheetName val="Enbrel"/>
      <sheetName val="RA"/>
      <sheetName val="Psoriasis"/>
      <sheetName val="PsA"/>
      <sheetName val="AS"/>
      <sheetName val="inventory"/>
      <sheetName val="quarterly"/>
      <sheetName val="annual"/>
      <sheetName val="cashflows"/>
      <sheetName val="APCCMP"/>
      <sheetName val="ADK"/>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AMGEN QUARTERLY P&amp;L MODEL ($MM)</v>
          </cell>
        </row>
      </sheetData>
      <sheetData sheetId="8"/>
      <sheetData sheetId="9" refreshError="1"/>
      <sheetData sheetId="10" refreshError="1"/>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COVER SHEET"/>
      <sheetName val="IS-ANNUAL"/>
      <sheetName val="MW-Cache"/>
      <sheetName val="IS-QTRLY"/>
      <sheetName val="REV-ANNUAL"/>
      <sheetName val="REV-QTRLY"/>
      <sheetName val="OTHER INCOME"/>
      <sheetName val="SA JV"/>
      <sheetName val="PIPELINE"/>
      <sheetName val="APIXABAN"/>
      <sheetName val="CFBS"/>
      <sheetName val="ANOMALIES"/>
      <sheetName val="ASSUMPTIONS"/>
      <sheetName val="MGMT PROJECTIONS"/>
      <sheetName val="DCF"/>
      <sheetName val="MWA RR"/>
      <sheetName val="IndexInformation"/>
      <sheetName val="ModPubIndexInternal"/>
      <sheetName val="c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36">
          <cell r="B36" t="str">
            <v>NorthAmerica</v>
          </cell>
        </row>
      </sheetData>
      <sheetData sheetId="19"/>
      <sheetData sheetId="2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3"/>
      <sheetName val="2004"/>
      <sheetName val="Annual"/>
      <sheetName val="IL-1 Trap Revenue"/>
      <sheetName val="VEGF Trap Revenue"/>
      <sheetName val="Balance Sheet "/>
      <sheetName val="Cashflow"/>
      <sheetName val="MS Est vs Rpt"/>
      <sheetName val="Changes to Model"/>
      <sheetName val="Milestones "/>
      <sheetName val="Snapshot"/>
      <sheetName val="NY UPLOAD shadow"/>
      <sheetName val="mStartup"/>
      <sheetName val="MainCode"/>
    </sheetNames>
    <sheetDataSet>
      <sheetData sheetId="0" refreshError="1"/>
      <sheetData sheetId="1" refreshError="1"/>
      <sheetData sheetId="2"/>
      <sheetData sheetId="3" refreshError="1"/>
      <sheetData sheetId="4" refreshError="1">
        <row r="31">
          <cell r="I31">
            <v>-1.8455476641358866</v>
          </cell>
        </row>
      </sheetData>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Y UPLOAD"/>
      <sheetName val="2002"/>
      <sheetName val="2003"/>
      <sheetName val="Annual"/>
      <sheetName val="Angiomax-US"/>
      <sheetName val="Balance Sheet"/>
      <sheetName val="Cash Flow"/>
      <sheetName val="Milestones"/>
      <sheetName val="Snap"/>
      <sheetName val="Sheet2"/>
      <sheetName val="Angiomax-Europe"/>
      <sheetName val="NY UPLOAD shadow"/>
    </sheetNames>
    <sheetDataSet>
      <sheetData sheetId="0"/>
      <sheetData sheetId="1"/>
      <sheetData sheetId="2"/>
      <sheetData sheetId="3"/>
      <sheetData sheetId="4" refreshError="1">
        <row r="27">
          <cell r="I27">
            <v>0.79388268195957734</v>
          </cell>
        </row>
      </sheetData>
      <sheetData sheetId="5"/>
      <sheetData sheetId="6"/>
      <sheetData sheetId="7"/>
      <sheetData sheetId="8"/>
      <sheetData sheetId="9"/>
      <sheetData sheetId="10"/>
      <sheetData sheetId="11"/>
      <sheetData sheetId="12"/>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XONMOBIL"/>
      <sheetName val="CashFlow"/>
      <sheetName val="BalanceSheet"/>
      <sheetName val="E&amp;P"/>
      <sheetName val="UpstreamTable"/>
      <sheetName val="Sheet1"/>
      <sheetName val="E&amp;P_Quarters"/>
      <sheetName val="Consolidated"/>
      <sheetName val="Historical"/>
      <sheetName val="Graphs"/>
      <sheetName val="iQ_US_CoreIndustrials"/>
      <sheetName val="Exxon"/>
      <sheetName val="iQ_Measure_Validations_Errors"/>
      <sheetName val="quarterl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 sheet"/>
      <sheetName val="DCF Valuation"/>
      <sheetName val="FCFF"/>
      <sheetName val="Quarterly"/>
      <sheetName val="Cashflow"/>
      <sheetName val="Balance Sheet"/>
      <sheetName val="MS Est vs Rpt"/>
      <sheetName val="Annual"/>
      <sheetName val="NY UPLOAD"/>
      <sheetName val="Bal Sheet"/>
      <sheetName val="calc"/>
      <sheetName val="Cash Flow"/>
      <sheetName val="Pipeline"/>
      <sheetName val="Milestones"/>
      <sheetName val="Charts"/>
      <sheetName val="MainCode"/>
      <sheetName val="mStartup"/>
      <sheetName val="NY UPLOAD shadow"/>
      <sheetName val="MS Week2"/>
    </sheetNames>
    <sheetDataSet>
      <sheetData sheetId="0"/>
      <sheetData sheetId="1"/>
      <sheetData sheetId="2"/>
      <sheetData sheetId="3" refreshError="1">
        <row r="40">
          <cell r="CH40">
            <v>0.44418472286113037</v>
          </cell>
        </row>
      </sheetData>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al Model"/>
      <sheetName val="Rev-Exp Summary"/>
      <sheetName val="Tax"/>
      <sheetName val="Delta"/>
      <sheetName val="Balance Sheet"/>
      <sheetName val="Cash Flow"/>
      <sheetName val="Shares"/>
      <sheetName val="AmBisome"/>
      <sheetName val="Viread"/>
      <sheetName val="Hepsera"/>
      <sheetName val="Tamiflu"/>
      <sheetName val="Collab rsch"/>
      <sheetName val="Competition"/>
      <sheetName val="Valuation"/>
      <sheetName val="Products"/>
      <sheetName val="Management"/>
      <sheetName val="Roche Sales (from G.Parry)"/>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urity_Large"/>
      <sheetName val="Comparison"/>
      <sheetName val="Historical Financial Statements"/>
      <sheetName val="Calculations"/>
      <sheetName val="Ratio Analysis"/>
      <sheetName val="Charts"/>
      <sheetName val="#REF"/>
      <sheetName val="Data_Download"/>
      <sheetName val="IS"/>
      <sheetName val="Security_Comparable_Large"/>
      <sheetName val="Invested capital_VDF"/>
      <sheetName val="Forecasts_VDF"/>
      <sheetName val="Summary Page_VDF"/>
      <sheetName val="NOPAT_VDF"/>
      <sheetName val="DCF_VDF"/>
      <sheetName val="PV of Op Leases_VDF"/>
      <sheetName val="Income Statement_VDF"/>
      <sheetName val="WACC_VDF"/>
      <sheetName val="Charts_VDF"/>
    </sheetNames>
    <sheetDataSet>
      <sheetData sheetId="0"/>
      <sheetData sheetId="1" refreshError="1">
        <row r="5">
          <cell r="E5">
            <v>0.35523561630796929</v>
          </cell>
        </row>
        <row r="6">
          <cell r="E6">
            <v>-0.78947368421052633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Title Page"/>
      <sheetName val="__FDSCACHE__"/>
      <sheetName val="Drivers"/>
      <sheetName val="Valuations"/>
      <sheetName val="Five Year Sales &amp; Earnings"/>
      <sheetName val="Qtr Income"/>
      <sheetName val=" Qtr Margin"/>
      <sheetName val="Qtr Sales"/>
      <sheetName val="ROIC"/>
      <sheetName val="BS2"/>
      <sheetName val="CF2"/>
      <sheetName val="ICOS JV"/>
      <sheetName val="Q-Preview"/>
      <sheetName val="US Feed"/>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Eli Lilly</v>
          </cell>
        </row>
        <row r="2">
          <cell r="A2" t="str">
            <v>Estimated Sales and Earnings (2000-2007E)</v>
          </cell>
        </row>
        <row r="3">
          <cell r="A3" t="str">
            <v xml:space="preserve">($ Millions) </v>
          </cell>
          <cell r="B3" t="str">
            <v>1995</v>
          </cell>
          <cell r="C3" t="str">
            <v>1996</v>
          </cell>
          <cell r="D3">
            <v>1997</v>
          </cell>
          <cell r="E3" t="str">
            <v>1998</v>
          </cell>
          <cell r="F3" t="str">
            <v>1999</v>
          </cell>
          <cell r="G3">
            <v>2000</v>
          </cell>
          <cell r="H3">
            <v>2001</v>
          </cell>
          <cell r="I3" t="str">
            <v>2002A</v>
          </cell>
          <cell r="J3" t="str">
            <v>2003E</v>
          </cell>
          <cell r="K3" t="str">
            <v>2004E</v>
          </cell>
          <cell r="L3" t="str">
            <v>2005E</v>
          </cell>
          <cell r="M3" t="str">
            <v>2006E</v>
          </cell>
          <cell r="N3" t="str">
            <v>2007E</v>
          </cell>
          <cell r="P3" t="str">
            <v>Comments</v>
          </cell>
        </row>
        <row r="4">
          <cell r="A4" t="str">
            <v>Prozac</v>
          </cell>
          <cell r="B4">
            <v>2066</v>
          </cell>
          <cell r="C4">
            <v>2355.9</v>
          </cell>
          <cell r="D4">
            <v>2559.1999999999998</v>
          </cell>
          <cell r="E4">
            <v>2811.5</v>
          </cell>
          <cell r="F4">
            <v>2601.8000000000002</v>
          </cell>
          <cell r="G4">
            <v>2585.25</v>
          </cell>
          <cell r="H4">
            <v>1989.8999999999999</v>
          </cell>
          <cell r="I4">
            <v>733.8</v>
          </cell>
          <cell r="J4">
            <v>496.68299999999999</v>
          </cell>
          <cell r="K4">
            <v>434.59294999999997</v>
          </cell>
          <cell r="L4">
            <v>391.13365499999998</v>
          </cell>
          <cell r="M4">
            <v>352.02028949999999</v>
          </cell>
          <cell r="N4">
            <v>316.81826054999999</v>
          </cell>
          <cell r="P4" t="str">
            <v>Facing generic competition</v>
          </cell>
        </row>
        <row r="5">
          <cell r="A5" t="str">
            <v>Zyprexa</v>
          </cell>
          <cell r="B5" t="str">
            <v>-</v>
          </cell>
          <cell r="C5">
            <v>86.899999999999991</v>
          </cell>
          <cell r="D5">
            <v>730.19999999999993</v>
          </cell>
          <cell r="E5">
            <v>1443.2</v>
          </cell>
          <cell r="F5">
            <v>1868.1</v>
          </cell>
          <cell r="G5">
            <v>2366.1999999999998</v>
          </cell>
          <cell r="H5">
            <v>3086.6</v>
          </cell>
          <cell r="I5">
            <v>3689</v>
          </cell>
          <cell r="J5">
            <v>4204.3580000000002</v>
          </cell>
          <cell r="K5">
            <v>4653.54108</v>
          </cell>
          <cell r="L5">
            <v>5086.9857071999995</v>
          </cell>
          <cell r="M5">
            <v>5392.2048496320003</v>
          </cell>
          <cell r="N5">
            <v>5688.4510056019199</v>
          </cell>
          <cell r="P5" t="str">
            <v>Solid grower, litigation and diabetes risk pose a threat</v>
          </cell>
        </row>
        <row r="6">
          <cell r="A6" t="str">
            <v>Humulin</v>
          </cell>
          <cell r="B6">
            <v>794</v>
          </cell>
          <cell r="C6">
            <v>884.00000000000011</v>
          </cell>
          <cell r="D6">
            <v>936</v>
          </cell>
          <cell r="E6">
            <v>960.19999999999993</v>
          </cell>
          <cell r="F6">
            <v>1064.5</v>
          </cell>
          <cell r="G6">
            <v>1137.4000000000001</v>
          </cell>
          <cell r="H6">
            <v>1060.5</v>
          </cell>
          <cell r="I6">
            <v>1004</v>
          </cell>
          <cell r="J6">
            <v>942.68799999999987</v>
          </cell>
          <cell r="K6">
            <v>900.64123999999993</v>
          </cell>
          <cell r="L6">
            <v>900.64123999999993</v>
          </cell>
          <cell r="M6">
            <v>900.64123999999993</v>
          </cell>
          <cell r="N6">
            <v>900.64123999999993</v>
          </cell>
          <cell r="P6" t="str">
            <v>Declining sales from switching to Humalog</v>
          </cell>
        </row>
        <row r="7">
          <cell r="A7" t="str">
            <v>Gemzar</v>
          </cell>
          <cell r="B7" t="str">
            <v>-</v>
          </cell>
          <cell r="C7">
            <v>61.9</v>
          </cell>
          <cell r="D7">
            <v>174.8</v>
          </cell>
          <cell r="E7">
            <v>306.8</v>
          </cell>
          <cell r="F7">
            <v>453.09999999999997</v>
          </cell>
          <cell r="G7">
            <v>561.79999999999995</v>
          </cell>
          <cell r="H7">
            <v>722.7</v>
          </cell>
          <cell r="I7">
            <v>874.7</v>
          </cell>
          <cell r="J7">
            <v>969.12299999999993</v>
          </cell>
          <cell r="K7">
            <v>1060.7793199999999</v>
          </cell>
          <cell r="L7">
            <v>1151.3706837999998</v>
          </cell>
          <cell r="M7">
            <v>1238.211261504</v>
          </cell>
          <cell r="N7">
            <v>1319.2481374192798</v>
          </cell>
          <cell r="P7" t="str">
            <v xml:space="preserve">Enjoying solid growth from expanding indications  </v>
          </cell>
        </row>
        <row r="8">
          <cell r="A8" t="str">
            <v xml:space="preserve">ReoPro </v>
          </cell>
          <cell r="B8">
            <v>23</v>
          </cell>
          <cell r="C8">
            <v>148.69999999999999</v>
          </cell>
          <cell r="D8">
            <v>254.5</v>
          </cell>
          <cell r="E8">
            <v>365.4</v>
          </cell>
          <cell r="F8">
            <v>446.5</v>
          </cell>
          <cell r="G8">
            <v>418.9</v>
          </cell>
          <cell r="H8">
            <v>431.4</v>
          </cell>
          <cell r="I8">
            <v>384</v>
          </cell>
          <cell r="J8">
            <v>326.39999999999998</v>
          </cell>
          <cell r="K8">
            <v>293.76</v>
          </cell>
          <cell r="L8">
            <v>279.072</v>
          </cell>
          <cell r="M8">
            <v>265.11840000000001</v>
          </cell>
          <cell r="N8">
            <v>251.86248000000001</v>
          </cell>
          <cell r="P8" t="str">
            <v>Integrilin has taken share through pricing advantages.</v>
          </cell>
        </row>
        <row r="9">
          <cell r="A9" t="str">
            <v>Evista</v>
          </cell>
          <cell r="B9" t="str">
            <v>-</v>
          </cell>
          <cell r="C9" t="str">
            <v>-</v>
          </cell>
          <cell r="D9" t="str">
            <v>-</v>
          </cell>
          <cell r="E9">
            <v>144</v>
          </cell>
          <cell r="F9">
            <v>325.39999999999998</v>
          </cell>
          <cell r="G9">
            <v>522.20000000000005</v>
          </cell>
          <cell r="H9">
            <v>664.80000000000007</v>
          </cell>
          <cell r="I9">
            <v>821.90000000000009</v>
          </cell>
          <cell r="J9">
            <v>927.19900000000007</v>
          </cell>
          <cell r="K9">
            <v>1032.6744100000001</v>
          </cell>
          <cell r="L9">
            <v>1135.5047128000001</v>
          </cell>
          <cell r="M9">
            <v>1239.6301198240001</v>
          </cell>
          <cell r="N9">
            <v>1345.00327021168</v>
          </cell>
          <cell r="P9" t="str">
            <v xml:space="preserve">Strong growth on heels of the MORE study (reduced fracture risk, increased bone density). </v>
          </cell>
        </row>
        <row r="10">
          <cell r="A10" t="str">
            <v>Ceclor</v>
          </cell>
          <cell r="B10">
            <v>722</v>
          </cell>
          <cell r="C10">
            <v>542</v>
          </cell>
          <cell r="D10">
            <v>442.30000000000007</v>
          </cell>
          <cell r="E10">
            <v>398.70000000000005</v>
          </cell>
          <cell r="F10">
            <v>336.79999999999995</v>
          </cell>
          <cell r="G10">
            <v>292.14</v>
          </cell>
          <cell r="H10">
            <v>231.6</v>
          </cell>
          <cell r="I10">
            <v>197.39999999999998</v>
          </cell>
          <cell r="J10">
            <v>190.79899999999998</v>
          </cell>
          <cell r="K10">
            <v>185.07502999999997</v>
          </cell>
          <cell r="L10">
            <v>179.52277909999998</v>
          </cell>
          <cell r="M10">
            <v>174.13709572699997</v>
          </cell>
          <cell r="N10">
            <v>168.91298285518997</v>
          </cell>
          <cell r="P10" t="str">
            <v>Faces generic competition</v>
          </cell>
        </row>
        <row r="11">
          <cell r="A11" t="str">
            <v>Axid</v>
          </cell>
          <cell r="B11">
            <v>548</v>
          </cell>
          <cell r="C11">
            <v>531.29999999999995</v>
          </cell>
          <cell r="D11">
            <v>526.5</v>
          </cell>
          <cell r="E11">
            <v>418.4</v>
          </cell>
          <cell r="F11">
            <v>349.8</v>
          </cell>
          <cell r="G11">
            <v>326.27</v>
          </cell>
          <cell r="H11">
            <v>284.7</v>
          </cell>
          <cell r="I11">
            <v>112.7</v>
          </cell>
          <cell r="J11">
            <v>69.41</v>
          </cell>
          <cell r="K11">
            <v>65.718000000000004</v>
          </cell>
          <cell r="L11">
            <v>62.432099999999998</v>
          </cell>
          <cell r="M11">
            <v>60.559137</v>
          </cell>
          <cell r="N11">
            <v>58.742362890000003</v>
          </cell>
          <cell r="P11" t="str">
            <v>Patent expiration and PPI's further pressuring franchise sales.</v>
          </cell>
        </row>
        <row r="12">
          <cell r="A12" t="str">
            <v>Humatrope</v>
          </cell>
          <cell r="B12">
            <v>269</v>
          </cell>
          <cell r="C12">
            <v>267.89999999999998</v>
          </cell>
          <cell r="D12">
            <v>259.8</v>
          </cell>
          <cell r="E12">
            <v>268.10000000000002</v>
          </cell>
          <cell r="F12">
            <v>297.39999999999998</v>
          </cell>
          <cell r="G12">
            <v>303.29999999999995</v>
          </cell>
          <cell r="H12">
            <v>312.7</v>
          </cell>
          <cell r="I12">
            <v>329.29999999999995</v>
          </cell>
          <cell r="J12">
            <v>345.76499999999993</v>
          </cell>
          <cell r="K12">
            <v>359.59559999999993</v>
          </cell>
          <cell r="L12">
            <v>373.97942399999994</v>
          </cell>
          <cell r="M12">
            <v>388.93860095999992</v>
          </cell>
          <cell r="N12">
            <v>404.49614499839993</v>
          </cell>
          <cell r="P12" t="str">
            <v>Human Growth Hormone has flat growth</v>
          </cell>
        </row>
        <row r="13">
          <cell r="A13" t="str">
            <v>Humalog</v>
          </cell>
          <cell r="B13" t="str">
            <v>-</v>
          </cell>
          <cell r="C13">
            <v>20</v>
          </cell>
          <cell r="D13">
            <v>67.8</v>
          </cell>
          <cell r="E13">
            <v>129.89999999999998</v>
          </cell>
          <cell r="F13">
            <v>224.50000000000003</v>
          </cell>
          <cell r="G13">
            <v>350.24</v>
          </cell>
          <cell r="H13">
            <v>627.80000000000007</v>
          </cell>
          <cell r="I13">
            <v>834.19999999999993</v>
          </cell>
          <cell r="J13">
            <v>1011.606</v>
          </cell>
          <cell r="K13">
            <v>1176.2374199999999</v>
          </cell>
          <cell r="L13">
            <v>1352.673033</v>
          </cell>
          <cell r="M13">
            <v>1542.04725762</v>
          </cell>
          <cell r="N13">
            <v>1757.9338736868003</v>
          </cell>
          <cell r="P13" t="str">
            <v>Driven by Humulin switches and upgrades to pen delivery, mixtures</v>
          </cell>
        </row>
        <row r="14">
          <cell r="A14" t="str">
            <v>Actos</v>
          </cell>
          <cell r="G14">
            <v>224</v>
          </cell>
          <cell r="H14">
            <v>361</v>
          </cell>
          <cell r="I14">
            <v>392.09999999999997</v>
          </cell>
          <cell r="J14">
            <v>443.07299999999998</v>
          </cell>
          <cell r="K14">
            <v>487.38029999999998</v>
          </cell>
          <cell r="L14">
            <v>531.24452699999995</v>
          </cell>
          <cell r="M14">
            <v>318.74671619999992</v>
          </cell>
          <cell r="N14">
            <v>127.49868647999998</v>
          </cell>
          <cell r="P14" t="str">
            <v>Co-promoted w/Takeda; new competitive pressure from Avandamet</v>
          </cell>
        </row>
        <row r="15">
          <cell r="A15" t="str">
            <v>Xigris</v>
          </cell>
          <cell r="G15">
            <v>0</v>
          </cell>
          <cell r="H15">
            <v>21.1</v>
          </cell>
          <cell r="I15">
            <v>100.19999999999999</v>
          </cell>
          <cell r="J15">
            <v>168.62</v>
          </cell>
          <cell r="K15">
            <v>241.006</v>
          </cell>
          <cell r="L15">
            <v>329.28210000000001</v>
          </cell>
          <cell r="M15">
            <v>428.06673000000001</v>
          </cell>
          <cell r="N15">
            <v>522.23706990000005</v>
          </cell>
          <cell r="P15" t="str">
            <v>Ramp has been slower than expected due to restricitve labeling</v>
          </cell>
        </row>
        <row r="16">
          <cell r="A16" t="str">
            <v>Other diabetes</v>
          </cell>
          <cell r="F16">
            <v>137.19999999999999</v>
          </cell>
          <cell r="G16">
            <v>72.599999999999994</v>
          </cell>
          <cell r="H16">
            <v>75.899999999999991</v>
          </cell>
          <cell r="I16">
            <v>57.8</v>
          </cell>
          <cell r="J16">
            <v>52.019999999999996</v>
          </cell>
          <cell r="K16">
            <v>52.019999999999996</v>
          </cell>
          <cell r="L16">
            <v>52.019999999999996</v>
          </cell>
          <cell r="M16">
            <v>52.019999999999996</v>
          </cell>
          <cell r="N16">
            <v>52.019999999999996</v>
          </cell>
        </row>
        <row r="17">
          <cell r="A17" t="str">
            <v xml:space="preserve">  Forteo</v>
          </cell>
          <cell r="E17" t="str">
            <v xml:space="preserve"> </v>
          </cell>
          <cell r="I17">
            <v>5.5</v>
          </cell>
          <cell r="J17">
            <v>75</v>
          </cell>
          <cell r="K17">
            <v>150</v>
          </cell>
          <cell r="L17">
            <v>250</v>
          </cell>
          <cell r="M17">
            <v>335</v>
          </cell>
          <cell r="N17">
            <v>400</v>
          </cell>
          <cell r="P17" t="str">
            <v>PTH for treatment of osteoporosis; Approved 4Q02</v>
          </cell>
        </row>
        <row r="18">
          <cell r="A18" t="str">
            <v xml:space="preserve">  Glycopeptide/Oritavancin</v>
          </cell>
          <cell r="B18" t="str">
            <v>-</v>
          </cell>
          <cell r="C18" t="str">
            <v>-</v>
          </cell>
          <cell r="D18" t="str">
            <v>-</v>
          </cell>
          <cell r="H18" t="str">
            <v xml:space="preserve"> </v>
          </cell>
          <cell r="I18">
            <v>0</v>
          </cell>
          <cell r="J18">
            <v>0</v>
          </cell>
          <cell r="K18">
            <v>0</v>
          </cell>
          <cell r="L18">
            <v>0</v>
          </cell>
          <cell r="M18">
            <v>0</v>
          </cell>
          <cell r="N18">
            <v>0</v>
          </cell>
          <cell r="P18" t="str">
            <v>Outlicensed</v>
          </cell>
        </row>
        <row r="20">
          <cell r="A20" t="str">
            <v xml:space="preserve">  Strattera</v>
          </cell>
          <cell r="D20" t="str">
            <v>-</v>
          </cell>
          <cell r="H20" t="str">
            <v xml:space="preserve"> </v>
          </cell>
          <cell r="I20">
            <v>2.6</v>
          </cell>
          <cell r="J20">
            <v>175</v>
          </cell>
          <cell r="K20">
            <v>300</v>
          </cell>
          <cell r="L20">
            <v>400</v>
          </cell>
          <cell r="M20">
            <v>500</v>
          </cell>
          <cell r="N20">
            <v>600</v>
          </cell>
          <cell r="P20" t="str">
            <v xml:space="preserve">Approved 4Q02with non-stimulant label </v>
          </cell>
        </row>
        <row r="21">
          <cell r="A21" t="str">
            <v xml:space="preserve">  Alimta</v>
          </cell>
          <cell r="H21" t="str">
            <v xml:space="preserve"> </v>
          </cell>
          <cell r="I21">
            <v>0</v>
          </cell>
          <cell r="J21">
            <v>25</v>
          </cell>
          <cell r="K21">
            <v>100</v>
          </cell>
          <cell r="L21">
            <v>175</v>
          </cell>
          <cell r="M21">
            <v>250</v>
          </cell>
          <cell r="N21">
            <v>300</v>
          </cell>
          <cell r="P21" t="str">
            <v>Anticancer.  Rolling submission for mesothelioma started 4Q02.</v>
          </cell>
        </row>
        <row r="22">
          <cell r="A22" t="str">
            <v xml:space="preserve">  R- fluoxetine</v>
          </cell>
          <cell r="I22">
            <v>0</v>
          </cell>
          <cell r="J22">
            <v>0</v>
          </cell>
          <cell r="K22">
            <v>0</v>
          </cell>
          <cell r="L22">
            <v>0</v>
          </cell>
          <cell r="M22">
            <v>0</v>
          </cell>
          <cell r="N22">
            <v>0</v>
          </cell>
          <cell r="P22" t="str">
            <v>Sepracor's single isomer version of Prozac was cancelled due to cardiac warning signals</v>
          </cell>
        </row>
        <row r="23">
          <cell r="A23" t="str">
            <v xml:space="preserve">  Cymbalta</v>
          </cell>
          <cell r="B23" t="str">
            <v>-</v>
          </cell>
          <cell r="C23" t="str">
            <v>-</v>
          </cell>
          <cell r="D23" t="str">
            <v>-</v>
          </cell>
          <cell r="J23">
            <v>50</v>
          </cell>
          <cell r="K23">
            <v>250</v>
          </cell>
          <cell r="L23">
            <v>500</v>
          </cell>
          <cell r="M23">
            <v>700</v>
          </cell>
          <cell r="N23">
            <v>1000</v>
          </cell>
          <cell r="P23" t="str">
            <v>Approvable for Dperession, SUI filed 4Q02</v>
          </cell>
        </row>
        <row r="24">
          <cell r="A24" t="str">
            <v xml:space="preserve">  PKC inhibitor</v>
          </cell>
          <cell r="K24">
            <v>0</v>
          </cell>
          <cell r="L24">
            <v>125</v>
          </cell>
          <cell r="M24">
            <v>300</v>
          </cell>
          <cell r="N24">
            <v>500</v>
          </cell>
          <cell r="P24" t="str">
            <v>Diabetic retinopathy and diabetic macular edema. Plan filing for late 2003.</v>
          </cell>
        </row>
        <row r="25">
          <cell r="A25" t="str">
            <v xml:space="preserve">  Olanzapine-fluoxetine combination</v>
          </cell>
          <cell r="K25">
            <v>100</v>
          </cell>
          <cell r="L25">
            <v>200</v>
          </cell>
          <cell r="M25">
            <v>300</v>
          </cell>
          <cell r="N25">
            <v>400</v>
          </cell>
          <cell r="P25" t="str">
            <v>Prozac/Zyprexa combination. Filed 4Q02</v>
          </cell>
        </row>
        <row r="26">
          <cell r="A26" t="str">
            <v xml:space="preserve">  Arzoxifene</v>
          </cell>
          <cell r="L26">
            <v>50</v>
          </cell>
          <cell r="M26">
            <v>100</v>
          </cell>
          <cell r="N26">
            <v>200</v>
          </cell>
          <cell r="P26" t="str">
            <v>SERM in Phase II</v>
          </cell>
        </row>
        <row r="27">
          <cell r="A27" t="str">
            <v xml:space="preserve">  Moxonidine</v>
          </cell>
          <cell r="D27" t="str">
            <v>-</v>
          </cell>
          <cell r="H27" t="str">
            <v xml:space="preserve"> </v>
          </cell>
          <cell r="J27">
            <v>0</v>
          </cell>
          <cell r="K27">
            <v>0</v>
          </cell>
          <cell r="L27">
            <v>0</v>
          </cell>
          <cell r="P27" t="str">
            <v>Programs discontinued for both congestive heart failure and hypertension.</v>
          </cell>
        </row>
        <row r="28">
          <cell r="A28" t="str">
            <v xml:space="preserve">  Exendin</v>
          </cell>
          <cell r="M28">
            <v>100</v>
          </cell>
          <cell r="N28">
            <v>200</v>
          </cell>
          <cell r="P28" t="str">
            <v>GLP Analogue in collaboration with Amylin</v>
          </cell>
        </row>
        <row r="30">
          <cell r="A30" t="str">
            <v xml:space="preserve">    New Product Total</v>
          </cell>
          <cell r="E30">
            <v>0</v>
          </cell>
          <cell r="F30">
            <v>0</v>
          </cell>
          <cell r="G30">
            <v>0</v>
          </cell>
          <cell r="H30">
            <v>0</v>
          </cell>
          <cell r="I30">
            <v>8.1</v>
          </cell>
          <cell r="J30">
            <v>325</v>
          </cell>
          <cell r="K30">
            <v>900</v>
          </cell>
          <cell r="L30">
            <v>1700</v>
          </cell>
          <cell r="M30">
            <v>2585</v>
          </cell>
          <cell r="N30">
            <v>3600</v>
          </cell>
        </row>
        <row r="31">
          <cell r="A31" t="str">
            <v>Other</v>
          </cell>
          <cell r="B31">
            <v>1571.6</v>
          </cell>
          <cell r="C31">
            <v>1531</v>
          </cell>
          <cell r="D31">
            <v>1421.7</v>
          </cell>
          <cell r="E31">
            <v>1242.7000000000025</v>
          </cell>
          <cell r="F31">
            <v>1123.8000000000002</v>
          </cell>
          <cell r="G31">
            <v>1110.8999999999996</v>
          </cell>
          <cell r="H31">
            <v>975.10000000000036</v>
          </cell>
          <cell r="I31">
            <v>844.58</v>
          </cell>
          <cell r="J31">
            <v>789.90139999999997</v>
          </cell>
          <cell r="K31">
            <v>754.50791000000004</v>
          </cell>
          <cell r="L31">
            <v>728.82752870000013</v>
          </cell>
          <cell r="M31">
            <v>704.89576523899996</v>
          </cell>
          <cell r="N31">
            <v>682.57018820183021</v>
          </cell>
        </row>
        <row r="32">
          <cell r="A32" t="str">
            <v>Total Pharmaceuticals</v>
          </cell>
          <cell r="B32">
            <v>5993.6</v>
          </cell>
          <cell r="C32">
            <v>6429.5999999999995</v>
          </cell>
          <cell r="D32">
            <v>7372.8</v>
          </cell>
          <cell r="E32">
            <v>8488.9000000000015</v>
          </cell>
          <cell r="F32">
            <v>9228.9</v>
          </cell>
          <cell r="G32">
            <v>10271.199999999999</v>
          </cell>
          <cell r="H32">
            <v>10845.800000000001</v>
          </cell>
          <cell r="I32">
            <v>10383.780000000001</v>
          </cell>
          <cell r="J32">
            <v>11262.645400000001</v>
          </cell>
          <cell r="K32">
            <v>12597.529260000001</v>
          </cell>
          <cell r="L32">
            <v>14254.6894906</v>
          </cell>
          <cell r="M32">
            <v>15642.237463206002</v>
          </cell>
          <cell r="N32">
            <v>17196.435702795101</v>
          </cell>
          <cell r="P32">
            <v>0.18311688912318069</v>
          </cell>
          <cell r="Q32">
            <v>0.10615654258630615</v>
          </cell>
        </row>
        <row r="33">
          <cell r="A33" t="str">
            <v>Animal Health/Industrials</v>
          </cell>
          <cell r="B33">
            <v>512.4</v>
          </cell>
          <cell r="C33">
            <v>547.29999999999995</v>
          </cell>
          <cell r="D33">
            <v>589.79999999999995</v>
          </cell>
          <cell r="E33">
            <v>620.9</v>
          </cell>
          <cell r="F33">
            <v>635.5</v>
          </cell>
          <cell r="G33">
            <v>682.00000000000011</v>
          </cell>
          <cell r="H33">
            <v>696.6</v>
          </cell>
          <cell r="I33">
            <v>693.7</v>
          </cell>
          <cell r="J33">
            <v>693.7</v>
          </cell>
          <cell r="K33">
            <v>693.7</v>
          </cell>
          <cell r="L33">
            <v>693.7</v>
          </cell>
          <cell r="M33">
            <v>693.7</v>
          </cell>
          <cell r="N33">
            <v>693.7</v>
          </cell>
          <cell r="P33" t="str">
            <v>3-Year CAGR</v>
          </cell>
          <cell r="Q33" t="str">
            <v>5-Year CAGR</v>
          </cell>
        </row>
        <row r="34">
          <cell r="A34" t="str">
            <v>Total Revenues</v>
          </cell>
          <cell r="B34">
            <v>6506</v>
          </cell>
          <cell r="C34">
            <v>6976.9</v>
          </cell>
          <cell r="D34">
            <v>7962.6</v>
          </cell>
          <cell r="E34">
            <v>9109.8000000000011</v>
          </cell>
          <cell r="F34">
            <v>9864.2999999999993</v>
          </cell>
          <cell r="G34">
            <v>10953.199999999999</v>
          </cell>
          <cell r="H34">
            <v>11542.400000000001</v>
          </cell>
          <cell r="I34">
            <v>11077.480000000001</v>
          </cell>
          <cell r="J34">
            <v>11956.345400000002</v>
          </cell>
          <cell r="K34">
            <v>13291.229260000002</v>
          </cell>
          <cell r="L34">
            <v>14948.3894906</v>
          </cell>
          <cell r="M34">
            <v>16335.937463206003</v>
          </cell>
          <cell r="N34">
            <v>17890.135702795102</v>
          </cell>
          <cell r="P34">
            <v>0.17325087492637559</v>
          </cell>
          <cell r="Q34">
            <v>0.10061273094390182</v>
          </cell>
        </row>
        <row r="35">
          <cell r="A35" t="str">
            <v>COGS</v>
          </cell>
          <cell r="B35">
            <v>1885.7</v>
          </cell>
          <cell r="C35">
            <v>2118.4</v>
          </cell>
          <cell r="D35">
            <v>2362.9</v>
          </cell>
          <cell r="E35">
            <v>2015.1000000000001</v>
          </cell>
          <cell r="F35">
            <v>2085.8000000000002</v>
          </cell>
          <cell r="G35">
            <v>2067.8999999999996</v>
          </cell>
          <cell r="H35">
            <v>2160.1999999999998</v>
          </cell>
          <cell r="I35">
            <v>2176.5</v>
          </cell>
          <cell r="J35">
            <v>2546.7015701999999</v>
          </cell>
          <cell r="K35">
            <v>2804.4493738600004</v>
          </cell>
          <cell r="L35">
            <v>3109.2650140448004</v>
          </cell>
          <cell r="M35">
            <v>3365.2031174204362</v>
          </cell>
          <cell r="N35">
            <v>3649.5876833701996</v>
          </cell>
          <cell r="P35" t="str">
            <v>Improved product mix is driving gross margin expansion.</v>
          </cell>
        </row>
        <row r="36">
          <cell r="A36" t="str">
            <v>SG&amp;A</v>
          </cell>
          <cell r="B36">
            <v>1854</v>
          </cell>
          <cell r="C36">
            <v>1991.9</v>
          </cell>
          <cell r="D36">
            <v>2294</v>
          </cell>
          <cell r="E36">
            <v>2658.3</v>
          </cell>
          <cell r="F36">
            <v>2757.6000000000004</v>
          </cell>
          <cell r="G36">
            <v>3228.3</v>
          </cell>
          <cell r="H36">
            <v>3417.3999999999996</v>
          </cell>
          <cell r="I36">
            <v>3424</v>
          </cell>
          <cell r="J36">
            <v>3784.1833191000001</v>
          </cell>
          <cell r="K36">
            <v>4160.1547583800002</v>
          </cell>
          <cell r="L36">
            <v>4604.1039631048006</v>
          </cell>
          <cell r="M36">
            <v>4949.7890513514185</v>
          </cell>
          <cell r="N36">
            <v>5411.7660500955171</v>
          </cell>
          <cell r="P36" t="str">
            <v>Expect higher SG&amp;A spend in support of salesforce expansion in US and international</v>
          </cell>
        </row>
        <row r="37">
          <cell r="A37" t="str">
            <v>R&amp;D</v>
          </cell>
          <cell r="B37">
            <v>1042.3</v>
          </cell>
          <cell r="C37">
            <v>1189.5</v>
          </cell>
          <cell r="D37">
            <v>1382</v>
          </cell>
          <cell r="E37">
            <v>1738.9</v>
          </cell>
          <cell r="F37">
            <v>1783.6</v>
          </cell>
          <cell r="G37">
            <v>2018.5</v>
          </cell>
          <cell r="H37">
            <v>2235.1</v>
          </cell>
          <cell r="I37">
            <v>2149.3000000000002</v>
          </cell>
          <cell r="J37">
            <v>2331.487353</v>
          </cell>
          <cell r="K37">
            <v>2551.9160179200003</v>
          </cell>
          <cell r="L37">
            <v>2840.1940032140005</v>
          </cell>
          <cell r="M37">
            <v>3030.3163994247134</v>
          </cell>
          <cell r="N37">
            <v>3309.6751050170933</v>
          </cell>
        </row>
        <row r="38">
          <cell r="A38" t="str">
            <v>Operating Income</v>
          </cell>
          <cell r="D38">
            <v>2478.7000000000003</v>
          </cell>
          <cell r="E38">
            <v>2824.5</v>
          </cell>
          <cell r="F38">
            <v>3237.2999999999988</v>
          </cell>
          <cell r="G38">
            <v>3638.4999999999991</v>
          </cell>
          <cell r="H38">
            <v>3729.7000000000012</v>
          </cell>
          <cell r="I38">
            <v>3327.6800000000012</v>
          </cell>
          <cell r="J38">
            <v>3293.9731577000025</v>
          </cell>
          <cell r="K38">
            <v>3774.7091098400001</v>
          </cell>
          <cell r="L38">
            <v>4394.8265102363985</v>
          </cell>
          <cell r="M38">
            <v>4990.628895009434</v>
          </cell>
          <cell r="N38">
            <v>5519.1068643122926</v>
          </cell>
        </row>
        <row r="39">
          <cell r="A39" t="str">
            <v>Other Inc. (Exp). Net</v>
          </cell>
          <cell r="B39">
            <v>216.2</v>
          </cell>
          <cell r="C39">
            <v>107.5</v>
          </cell>
          <cell r="D39">
            <v>137.19999999999999</v>
          </cell>
          <cell r="E39">
            <v>-32</v>
          </cell>
          <cell r="F39">
            <v>-58.7</v>
          </cell>
          <cell r="G39">
            <v>85.6</v>
          </cell>
          <cell r="H39">
            <v>134.19999999999999</v>
          </cell>
          <cell r="I39">
            <v>214</v>
          </cell>
          <cell r="J39">
            <v>210.60578754264637</v>
          </cell>
          <cell r="K39">
            <v>290.40384863715224</v>
          </cell>
          <cell r="L39">
            <v>346.33804660956059</v>
          </cell>
          <cell r="M39">
            <v>420.79985125319928</v>
          </cell>
          <cell r="N39">
            <v>450</v>
          </cell>
          <cell r="P39" t="str">
            <v>Includes ICOS joint venture.</v>
          </cell>
        </row>
        <row r="40">
          <cell r="A40" t="str">
            <v>Pretax Income</v>
          </cell>
          <cell r="B40">
            <v>1507.8000000000002</v>
          </cell>
          <cell r="C40">
            <v>1569.5999999999995</v>
          </cell>
          <cell r="D40">
            <v>-692.20000000000073</v>
          </cell>
          <cell r="E40">
            <v>2792.5</v>
          </cell>
          <cell r="F40">
            <v>3178.599999999999</v>
          </cell>
          <cell r="G40">
            <v>3724.099999999999</v>
          </cell>
          <cell r="H40">
            <v>3863.900000000001</v>
          </cell>
          <cell r="I40">
            <v>3541.6800000000012</v>
          </cell>
          <cell r="J40">
            <v>3504.5789452426488</v>
          </cell>
          <cell r="K40">
            <v>4065.1129584771525</v>
          </cell>
          <cell r="L40">
            <v>4741.1645568459589</v>
          </cell>
          <cell r="M40">
            <v>5411.4287462626335</v>
          </cell>
          <cell r="N40">
            <v>5969.1068643122926</v>
          </cell>
        </row>
        <row r="41">
          <cell r="A41" t="str">
            <v>Taxes</v>
          </cell>
          <cell r="B41">
            <v>392.02800000000008</v>
          </cell>
          <cell r="C41">
            <v>391.77215999999987</v>
          </cell>
          <cell r="D41">
            <v>585.4</v>
          </cell>
          <cell r="E41">
            <v>619.39999999999986</v>
          </cell>
          <cell r="F41">
            <v>709.8</v>
          </cell>
          <cell r="G41">
            <v>819.2</v>
          </cell>
          <cell r="H41">
            <v>850.05800000000022</v>
          </cell>
          <cell r="I41">
            <v>779.16960000000029</v>
          </cell>
          <cell r="J41">
            <v>771.00736795338275</v>
          </cell>
          <cell r="K41">
            <v>894.32485086497354</v>
          </cell>
          <cell r="L41">
            <v>1043.056202506111</v>
          </cell>
          <cell r="M41">
            <v>1190.5143241777794</v>
          </cell>
          <cell r="N41">
            <v>1313.2035101487045</v>
          </cell>
        </row>
        <row r="42">
          <cell r="A42" t="str">
            <v>Tax Rate</v>
          </cell>
          <cell r="B42">
            <v>0.26</v>
          </cell>
          <cell r="C42">
            <v>0.24959999999999999</v>
          </cell>
          <cell r="D42">
            <v>-0.8457093325628422</v>
          </cell>
          <cell r="E42">
            <v>0.2218084153983885</v>
          </cell>
          <cell r="F42">
            <v>0.22330585792487265</v>
          </cell>
          <cell r="G42">
            <v>0.21997261083214745</v>
          </cell>
          <cell r="H42">
            <v>0.22</v>
          </cell>
          <cell r="I42">
            <v>0.22</v>
          </cell>
          <cell r="J42">
            <v>0.22</v>
          </cell>
          <cell r="K42">
            <v>0.22</v>
          </cell>
          <cell r="L42">
            <v>0.22</v>
          </cell>
          <cell r="M42">
            <v>0.22</v>
          </cell>
          <cell r="N42">
            <v>0.22</v>
          </cell>
        </row>
        <row r="43">
          <cell r="A43" t="str">
            <v>Net Income</v>
          </cell>
          <cell r="B43">
            <v>1115.7720000000002</v>
          </cell>
          <cell r="C43">
            <v>1177.8278399999995</v>
          </cell>
          <cell r="D43">
            <v>-1277.6000000000008</v>
          </cell>
          <cell r="E43">
            <v>2173.1000000000004</v>
          </cell>
          <cell r="F43">
            <v>2468.7999999999993</v>
          </cell>
          <cell r="G43">
            <v>2904.8999999999987</v>
          </cell>
          <cell r="H43">
            <v>3013.8420000000006</v>
          </cell>
          <cell r="I43">
            <v>2762.510400000001</v>
          </cell>
          <cell r="J43">
            <v>2733.5715772892663</v>
          </cell>
          <cell r="K43">
            <v>3170.7881076121789</v>
          </cell>
          <cell r="L43">
            <v>3698.1083543398481</v>
          </cell>
          <cell r="M43">
            <v>4220.9144220848539</v>
          </cell>
          <cell r="N43">
            <v>4655.9033541635881</v>
          </cell>
          <cell r="P43" t="str">
            <v>3-Year CAGR</v>
          </cell>
          <cell r="Q43" t="str">
            <v>5-Year CAGR</v>
          </cell>
        </row>
        <row r="44">
          <cell r="A44" t="str">
            <v xml:space="preserve">EPS </v>
          </cell>
          <cell r="C44" t="e">
            <v>#REF!</v>
          </cell>
          <cell r="D44" t="e">
            <v>#REF!</v>
          </cell>
          <cell r="E44">
            <v>1.9300000000000002</v>
          </cell>
          <cell r="F44">
            <v>2.2331776721953069</v>
          </cell>
          <cell r="G44">
            <v>2.6475219306655244</v>
          </cell>
          <cell r="H44">
            <v>2.7629825273906241</v>
          </cell>
          <cell r="I44">
            <v>2.5458860479518721</v>
          </cell>
          <cell r="J44">
            <v>2.5218938916036246</v>
          </cell>
          <cell r="K44">
            <v>2.9252539888076226</v>
          </cell>
          <cell r="L44">
            <v>3.4117405034428678</v>
          </cell>
          <cell r="M44">
            <v>3.8940624004414044</v>
          </cell>
          <cell r="N44">
            <v>4.2953673963809562</v>
          </cell>
          <cell r="P44">
            <v>0.19047547181752694</v>
          </cell>
          <cell r="Q44">
            <v>0.11027937193316943</v>
          </cell>
        </row>
        <row r="45">
          <cell r="A45" t="str">
            <v>ANNUAL EPS GROWTH</v>
          </cell>
          <cell r="E45">
            <v>0.22929936305732479</v>
          </cell>
          <cell r="F45">
            <v>0.15708687678513303</v>
          </cell>
          <cell r="G45">
            <v>0.18554021188242481</v>
          </cell>
          <cell r="H45">
            <v>4.3610817870005557E-2</v>
          </cell>
          <cell r="I45">
            <v>-7.85732364524864E-2</v>
          </cell>
          <cell r="J45">
            <v>-9.4238924666517621E-3</v>
          </cell>
          <cell r="K45">
            <v>0.15994332614347578</v>
          </cell>
          <cell r="L45">
            <v>0.16630573498800508</v>
          </cell>
          <cell r="M45">
            <v>0.14137121405095557</v>
          </cell>
          <cell r="N45">
            <v>0.10305561510623523</v>
          </cell>
        </row>
        <row r="46">
          <cell r="A46" t="str">
            <v>Avg. Shares Out.</v>
          </cell>
          <cell r="C46">
            <v>1117.1099999999999</v>
          </cell>
          <cell r="D46">
            <v>1130.579</v>
          </cell>
          <cell r="E46">
            <v>1121.4860000000001</v>
          </cell>
          <cell r="F46">
            <v>1106.0550000000001</v>
          </cell>
          <cell r="G46">
            <v>1097.7</v>
          </cell>
          <cell r="H46">
            <v>1090.7929999999999</v>
          </cell>
          <cell r="I46">
            <v>1085.088</v>
          </cell>
          <cell r="J46">
            <v>1083.9359999999999</v>
          </cell>
          <cell r="K46">
            <v>1083.9359999999999</v>
          </cell>
          <cell r="L46">
            <v>1083.9359999999999</v>
          </cell>
          <cell r="M46">
            <v>1083.9359999999999</v>
          </cell>
          <cell r="N46">
            <v>1083.9359999999999</v>
          </cell>
        </row>
        <row r="47">
          <cell r="A47" t="str">
            <v>DPS</v>
          </cell>
          <cell r="D47">
            <v>0.74</v>
          </cell>
          <cell r="E47">
            <v>0.8</v>
          </cell>
          <cell r="F47">
            <v>0.92</v>
          </cell>
          <cell r="G47">
            <v>1.04</v>
          </cell>
          <cell r="H47">
            <v>1.2</v>
          </cell>
          <cell r="I47">
            <v>1.36</v>
          </cell>
          <cell r="J47">
            <v>1.52</v>
          </cell>
          <cell r="K47">
            <v>1.68</v>
          </cell>
          <cell r="L47">
            <v>1.86</v>
          </cell>
          <cell r="M47">
            <v>2.0646000000000004</v>
          </cell>
          <cell r="N47">
            <v>2.0646000000000004</v>
          </cell>
        </row>
        <row r="48">
          <cell r="A48" t="str">
            <v>Dividend Payout Ratio</v>
          </cell>
          <cell r="E48">
            <v>0.41450777202072536</v>
          </cell>
          <cell r="F48">
            <v>0.41196901234266847</v>
          </cell>
          <cell r="G48">
            <v>0.39282016437860767</v>
          </cell>
          <cell r="H48">
            <v>0.43431327853284929</v>
          </cell>
          <cell r="I48">
            <v>0.53419515814311491</v>
          </cell>
          <cell r="J48">
            <v>0.60272163117594957</v>
          </cell>
          <cell r="K48">
            <v>0.57430910492828458</v>
          </cell>
          <cell r="L48">
            <v>0.5451762811746762</v>
          </cell>
          <cell r="M48">
            <v>0.53019181196633403</v>
          </cell>
          <cell r="N48">
            <v>0.48065737094794742</v>
          </cell>
        </row>
        <row r="49">
          <cell r="A49" t="str">
            <v>E= Morgan Stanley Research estimates</v>
          </cell>
        </row>
        <row r="53">
          <cell r="A53" t="str">
            <v>Margin Analysis</v>
          </cell>
        </row>
        <row r="54">
          <cell r="A54" t="str">
            <v>COGS</v>
          </cell>
          <cell r="B54">
            <v>0.28984014755610205</v>
          </cell>
          <cell r="C54">
            <v>0.30363055225099977</v>
          </cell>
          <cell r="D54">
            <v>0.29674980533996431</v>
          </cell>
          <cell r="E54">
            <v>0.2212013436079826</v>
          </cell>
          <cell r="F54">
            <v>0.21144936792271121</v>
          </cell>
          <cell r="G54">
            <v>0.18879414235109374</v>
          </cell>
          <cell r="H54">
            <v>0.18715345162184638</v>
          </cell>
          <cell r="I54">
            <v>0.19647970477039903</v>
          </cell>
          <cell r="J54">
            <v>0.21299999999999997</v>
          </cell>
          <cell r="K54">
            <v>0.21099999999999999</v>
          </cell>
          <cell r="L54">
            <v>0.20800000000000002</v>
          </cell>
          <cell r="M54">
            <v>0.20599999999999999</v>
          </cell>
          <cell r="N54">
            <v>0.20399999999999993</v>
          </cell>
        </row>
        <row r="55">
          <cell r="A55" t="str">
            <v>SG&amp;A</v>
          </cell>
          <cell r="B55">
            <v>28.496772210267444</v>
          </cell>
          <cell r="C55">
            <v>28.549929051584517</v>
          </cell>
          <cell r="D55">
            <v>28.809685278677815</v>
          </cell>
          <cell r="E55">
            <v>29.180662583152206</v>
          </cell>
          <cell r="F55">
            <v>27.955354155895506</v>
          </cell>
          <cell r="G55">
            <v>29.47357849760801</v>
          </cell>
          <cell r="H55">
            <v>29.607360687551974</v>
          </cell>
          <cell r="I55">
            <v>30.909557047270674</v>
          </cell>
          <cell r="J55">
            <v>31.649999999999995</v>
          </cell>
          <cell r="K55">
            <v>31.299999999999994</v>
          </cell>
          <cell r="L55">
            <v>30.800000000000004</v>
          </cell>
          <cell r="M55">
            <v>30.3</v>
          </cell>
          <cell r="N55">
            <v>30.249999999999993</v>
          </cell>
        </row>
        <row r="56">
          <cell r="A56" t="str">
            <v>R&amp;D</v>
          </cell>
          <cell r="B56">
            <v>16.020596372579156</v>
          </cell>
          <cell r="C56">
            <v>17.049119236337056</v>
          </cell>
          <cell r="D56">
            <v>17.356139954286288</v>
          </cell>
          <cell r="E56">
            <v>19.088234648400622</v>
          </cell>
          <cell r="F56">
            <v>18.08136411098608</v>
          </cell>
          <cell r="G56">
            <v>18.428404484534202</v>
          </cell>
          <cell r="H56">
            <v>19.364257000277235</v>
          </cell>
          <cell r="I56">
            <v>19.402427266851305</v>
          </cell>
          <cell r="J56">
            <v>19.499999999999996</v>
          </cell>
          <cell r="K56">
            <v>19.2</v>
          </cell>
          <cell r="L56">
            <v>19.000000000000004</v>
          </cell>
          <cell r="M56">
            <v>18.55</v>
          </cell>
          <cell r="N56">
            <v>18.499999999999996</v>
          </cell>
        </row>
        <row r="57">
          <cell r="A57" t="str">
            <v>Operating Income</v>
          </cell>
          <cell r="E57">
            <v>31.005071461502993</v>
          </cell>
          <cell r="F57">
            <v>32.81834494084729</v>
          </cell>
          <cell r="G57">
            <v>33.218602782748412</v>
          </cell>
          <cell r="H57">
            <v>32.313037149986144</v>
          </cell>
          <cell r="I57">
            <v>30.040045208838116</v>
          </cell>
          <cell r="J57">
            <v>27.550000000000018</v>
          </cell>
          <cell r="K57">
            <v>28.4</v>
          </cell>
          <cell r="L57">
            <v>29.399999999999988</v>
          </cell>
          <cell r="M57">
            <v>30.55</v>
          </cell>
          <cell r="N57">
            <v>30.850000000000023</v>
          </cell>
        </row>
        <row r="58">
          <cell r="A58" t="str">
            <v>Pretax Income</v>
          </cell>
          <cell r="B58">
            <v>23.175530279741778</v>
          </cell>
          <cell r="C58">
            <v>22.497097564821043</v>
          </cell>
          <cell r="D58">
            <v>-8.6931404315173531</v>
          </cell>
          <cell r="E58">
            <v>30.65380140068936</v>
          </cell>
          <cell r="F58">
            <v>32.223269770789607</v>
          </cell>
          <cell r="G58">
            <v>34.00010955702443</v>
          </cell>
          <cell r="H58">
            <v>33.47570695869144</v>
          </cell>
          <cell r="I58">
            <v>31.971892524292535</v>
          </cell>
          <cell r="J58">
            <v>29.311456201680556</v>
          </cell>
          <cell r="K58">
            <v>30.58492844383569</v>
          </cell>
          <cell r="L58">
            <v>31.7168920426334</v>
          </cell>
          <cell r="M58">
            <v>33.125914924998831</v>
          </cell>
          <cell r="N58">
            <v>33.365352636088147</v>
          </cell>
        </row>
        <row r="59">
          <cell r="A59" t="str">
            <v xml:space="preserve">Net Income </v>
          </cell>
          <cell r="B59">
            <v>17.149892407008917</v>
          </cell>
          <cell r="C59">
            <v>16.881822012641713</v>
          </cell>
          <cell r="D59">
            <v>-16.04501042373095</v>
          </cell>
          <cell r="E59">
            <v>23.854530286065557</v>
          </cell>
          <cell r="F59">
            <v>25.027624869478821</v>
          </cell>
          <cell r="G59">
            <v>26.521016689186709</v>
          </cell>
          <cell r="H59">
            <v>26.111051427779319</v>
          </cell>
          <cell r="I59">
            <v>24.938076168948179</v>
          </cell>
          <cell r="J59">
            <v>22.86293583731084</v>
          </cell>
          <cell r="K59">
            <v>23.856244186191837</v>
          </cell>
          <cell r="L59">
            <v>24.739175793254052</v>
          </cell>
          <cell r="M59">
            <v>25.838213641499092</v>
          </cell>
          <cell r="N59">
            <v>26.024975056148758</v>
          </cell>
        </row>
        <row r="61">
          <cell r="A61" t="str">
            <v>Growth Analysis</v>
          </cell>
        </row>
        <row r="62">
          <cell r="A62" t="str">
            <v>Sales</v>
          </cell>
          <cell r="B62" t="str">
            <v>-</v>
          </cell>
          <cell r="C62">
            <v>7.2379342145711595E-2</v>
          </cell>
          <cell r="D62">
            <v>0.14128051140191214</v>
          </cell>
          <cell r="E62" t="str">
            <v>--</v>
          </cell>
          <cell r="F62">
            <v>8.2822894026213317E-2</v>
          </cell>
          <cell r="G62">
            <v>0.11038796468071731</v>
          </cell>
          <cell r="H62">
            <v>5.3792498995727515E-2</v>
          </cell>
          <cell r="I62">
            <v>-4.0279317992791795E-2</v>
          </cell>
          <cell r="J62">
            <v>7.933802633812026E-2</v>
          </cell>
          <cell r="K62">
            <v>0.11164647853013679</v>
          </cell>
          <cell r="L62">
            <v>0.12468073480511151</v>
          </cell>
          <cell r="M62">
            <v>9.2822572858335964E-2</v>
          </cell>
          <cell r="N62">
            <v>9.513982549759839E-2</v>
          </cell>
        </row>
        <row r="63">
          <cell r="A63" t="str">
            <v>COGS</v>
          </cell>
          <cell r="B63" t="str">
            <v>-</v>
          </cell>
          <cell r="C63">
            <v>12.340245001856076</v>
          </cell>
          <cell r="D63">
            <v>11.541729607250755</v>
          </cell>
          <cell r="E63" t="str">
            <v>--</v>
          </cell>
          <cell r="F63">
            <v>3.5085107438836802</v>
          </cell>
          <cell r="G63">
            <v>-0.85818391025028973</v>
          </cell>
          <cell r="H63">
            <v>4.4634653513226077</v>
          </cell>
          <cell r="I63">
            <v>0.75455976298491734</v>
          </cell>
          <cell r="J63">
            <v>17.009031481736727</v>
          </cell>
          <cell r="K63">
            <v>10.120848342656764</v>
          </cell>
          <cell r="L63">
            <v>10.869001345717164</v>
          </cell>
          <cell r="M63">
            <v>8.2314663503928678</v>
          </cell>
          <cell r="N63">
            <v>8.4507400007330187</v>
          </cell>
        </row>
        <row r="64">
          <cell r="A64" t="str">
            <v xml:space="preserve">SG&amp;A </v>
          </cell>
          <cell r="B64" t="str">
            <v>-</v>
          </cell>
          <cell r="C64">
            <v>7.4379719525350652</v>
          </cell>
          <cell r="D64">
            <v>15.166424017269939</v>
          </cell>
          <cell r="E64" t="str">
            <v>--</v>
          </cell>
          <cell r="F64">
            <v>3.735470037241853</v>
          </cell>
          <cell r="G64">
            <v>17.069190600522184</v>
          </cell>
          <cell r="H64">
            <v>5.8575720967691796</v>
          </cell>
          <cell r="I64">
            <v>0.19312927956927384</v>
          </cell>
          <cell r="J64">
            <v>10.519372637266358</v>
          </cell>
          <cell r="K64">
            <v>9.9353389510056349</v>
          </cell>
          <cell r="L64">
            <v>10.671458888170738</v>
          </cell>
          <cell r="M64">
            <v>7.5081946675570581</v>
          </cell>
          <cell r="N64">
            <v>9.333266406938435</v>
          </cell>
        </row>
        <row r="65">
          <cell r="A65" t="str">
            <v>R&amp;D</v>
          </cell>
          <cell r="B65" t="str">
            <v>-</v>
          </cell>
          <cell r="C65">
            <v>14.122613451021785</v>
          </cell>
          <cell r="D65">
            <v>16.183270281630939</v>
          </cell>
          <cell r="E65" t="str">
            <v>--</v>
          </cell>
          <cell r="F65">
            <v>2.5705906032549208</v>
          </cell>
          <cell r="G65">
            <v>13.169993272034095</v>
          </cell>
          <cell r="H65">
            <v>10.730740648996775</v>
          </cell>
          <cell r="I65">
            <v>-3.8387544181468272</v>
          </cell>
          <cell r="J65">
            <v>8.4765901921555749</v>
          </cell>
          <cell r="K65">
            <v>9.4544225014288674</v>
          </cell>
          <cell r="L65">
            <v>11.296531048422514</v>
          </cell>
          <cell r="M65">
            <v>6.6939932974848864</v>
          </cell>
          <cell r="N65">
            <v>9.2187966129680188</v>
          </cell>
        </row>
        <row r="66">
          <cell r="A66" t="str">
            <v>Operating Income</v>
          </cell>
          <cell r="E66" t="str">
            <v>--</v>
          </cell>
          <cell r="F66">
            <v>14.614976101964908</v>
          </cell>
          <cell r="G66">
            <v>12.393043585704149</v>
          </cell>
          <cell r="H66">
            <v>2.506527415143661</v>
          </cell>
          <cell r="I66">
            <v>-10.77888302008204</v>
          </cell>
          <cell r="J66">
            <v>-1.0129231867246455</v>
          </cell>
          <cell r="K66">
            <v>14.594410127970461</v>
          </cell>
          <cell r="L66">
            <v>16.428216912923482</v>
          </cell>
          <cell r="M66">
            <v>13.556903404157067</v>
          </cell>
          <cell r="N66">
            <v>10.589406273652804</v>
          </cell>
        </row>
        <row r="67">
          <cell r="A67" t="str">
            <v>Pretax Income</v>
          </cell>
          <cell r="B67" t="str">
            <v>-</v>
          </cell>
          <cell r="C67">
            <v>4.0986868284917941</v>
          </cell>
          <cell r="D67">
            <v>-144.10040774719678</v>
          </cell>
          <cell r="E67" t="str">
            <v>--</v>
          </cell>
          <cell r="F67">
            <v>13.826320501342849</v>
          </cell>
          <cell r="G67">
            <v>17.161643490845034</v>
          </cell>
          <cell r="H67">
            <v>3.7539271233318661</v>
          </cell>
          <cell r="I67">
            <v>-8.3392427340252002</v>
          </cell>
          <cell r="J67">
            <v>-1.0475552494113627</v>
          </cell>
          <cell r="K67">
            <v>15.994332614347586</v>
          </cell>
          <cell r="L67">
            <v>16.630573498800505</v>
          </cell>
          <cell r="M67">
            <v>14.137121405095568</v>
          </cell>
          <cell r="N67">
            <v>10.305561510623525</v>
          </cell>
        </row>
        <row r="68">
          <cell r="A68" t="str">
            <v xml:space="preserve">Net Income </v>
          </cell>
          <cell r="B68" t="str">
            <v>-</v>
          </cell>
          <cell r="C68">
            <v>5.5616954001354486</v>
          </cell>
          <cell r="D68">
            <v>-208.47086107253173</v>
          </cell>
          <cell r="E68" t="str">
            <v>--</v>
          </cell>
          <cell r="F68">
            <v>13.607289126133121</v>
          </cell>
          <cell r="G68">
            <v>17.664452365521694</v>
          </cell>
          <cell r="H68">
            <v>3.7502840028917301</v>
          </cell>
          <cell r="I68">
            <v>-8.3392427340251896</v>
          </cell>
          <cell r="J68">
            <v>-1.0475552494113578</v>
          </cell>
          <cell r="K68">
            <v>15.994332614347575</v>
          </cell>
          <cell r="L68">
            <v>16.630573498800512</v>
          </cell>
          <cell r="M68">
            <v>14.137121405095558</v>
          </cell>
          <cell r="N68">
            <v>10.305561510623528</v>
          </cell>
        </row>
        <row r="69">
          <cell r="A69" t="str">
            <v xml:space="preserve">EPS </v>
          </cell>
          <cell r="B69" t="str">
            <v>-</v>
          </cell>
          <cell r="C69" t="e">
            <v>#REF!</v>
          </cell>
          <cell r="D69" t="e">
            <v>#REF!</v>
          </cell>
          <cell r="E69" t="str">
            <v>--</v>
          </cell>
          <cell r="F69">
            <v>15.708687678513304</v>
          </cell>
          <cell r="G69">
            <v>18.55402118824248</v>
          </cell>
          <cell r="H69">
            <v>4.3610817870005558</v>
          </cell>
          <cell r="I69">
            <v>-7.8573236452486404</v>
          </cell>
          <cell r="J69">
            <v>-0.94238924666517621</v>
          </cell>
          <cell r="K69">
            <v>15.994332614347579</v>
          </cell>
          <cell r="L69">
            <v>16.630573498800509</v>
          </cell>
          <cell r="M69">
            <v>14.137121405095558</v>
          </cell>
          <cell r="N69">
            <v>10.305561510623523</v>
          </cell>
        </row>
        <row r="71">
          <cell r="A71" t="str">
            <v>(a) LLY books the total sales of CNTO's ReoPro but recognizes 50% of its profits.</v>
          </cell>
        </row>
        <row r="72">
          <cell r="A72" t="str">
            <v>E = Morgan Stanley Research Estimates</v>
          </cell>
        </row>
      </sheetData>
      <sheetData sheetId="7" refreshError="1">
        <row r="1">
          <cell r="A1" t="str">
            <v>Table 3</v>
          </cell>
        </row>
        <row r="2">
          <cell r="A2" t="str">
            <v>Eli Lilly</v>
          </cell>
        </row>
        <row r="3">
          <cell r="A3" t="str">
            <v>Quarterly Income Statement Analysis, 2000-2007E</v>
          </cell>
        </row>
        <row r="4">
          <cell r="A4" t="str">
            <v>($ Millions Except EPS)</v>
          </cell>
          <cell r="G4" t="str">
            <v xml:space="preserve"> </v>
          </cell>
          <cell r="H4" t="str">
            <v>Non-Operating Items</v>
          </cell>
        </row>
        <row r="5">
          <cell r="D5" t="str">
            <v xml:space="preserve">  Gross</v>
          </cell>
          <cell r="G5" t="str">
            <v xml:space="preserve"> Oper.</v>
          </cell>
          <cell r="H5" t="str">
            <v>Net Int</v>
          </cell>
          <cell r="I5" t="str">
            <v>Dow</v>
          </cell>
          <cell r="J5" t="str">
            <v>PCS</v>
          </cell>
          <cell r="K5" t="str">
            <v xml:space="preserve">ICOS </v>
          </cell>
          <cell r="N5" t="str">
            <v>Pretax</v>
          </cell>
          <cell r="O5" t="str">
            <v xml:space="preserve">    Tax</v>
          </cell>
          <cell r="Q5" t="str">
            <v xml:space="preserve">   Net</v>
          </cell>
          <cell r="R5" t="str">
            <v xml:space="preserve">Avg. </v>
          </cell>
          <cell r="S5" t="str">
            <v>Oper.</v>
          </cell>
          <cell r="T5" t="str">
            <v>Payout</v>
          </cell>
          <cell r="V5" t="str">
            <v>Cont.</v>
          </cell>
          <cell r="W5" t="str">
            <v>80%</v>
          </cell>
          <cell r="X5" t="str">
            <v>Rep.</v>
          </cell>
        </row>
        <row r="6">
          <cell r="B6" t="str">
            <v>Sales</v>
          </cell>
          <cell r="C6" t="str">
            <v>COGS</v>
          </cell>
          <cell r="D6" t="str">
            <v>Profit</v>
          </cell>
          <cell r="E6" t="str">
            <v>SG&amp;A</v>
          </cell>
          <cell r="F6" t="str">
            <v>R&amp;D</v>
          </cell>
          <cell r="G6" t="str">
            <v>Inc.</v>
          </cell>
          <cell r="H6" t="str">
            <v>Inc.</v>
          </cell>
          <cell r="I6" t="str">
            <v>Elanco</v>
          </cell>
          <cell r="J6" t="str">
            <v>Gdwill</v>
          </cell>
          <cell r="K6" t="str">
            <v>JV</v>
          </cell>
          <cell r="L6" t="str">
            <v>Other</v>
          </cell>
          <cell r="M6" t="str">
            <v>Total</v>
          </cell>
          <cell r="N6" t="str">
            <v>Inc.</v>
          </cell>
          <cell r="O6" t="str">
            <v xml:space="preserve">   Rate</v>
          </cell>
          <cell r="P6" t="str">
            <v>Tax</v>
          </cell>
          <cell r="Q6" t="str">
            <v>Inc.</v>
          </cell>
          <cell r="R6" t="str">
            <v xml:space="preserve">Shs. </v>
          </cell>
          <cell r="S6" t="str">
            <v>EPS</v>
          </cell>
          <cell r="T6" t="str">
            <v>Ratio</v>
          </cell>
          <cell r="U6" t="str">
            <v>DPS</v>
          </cell>
          <cell r="V6" t="str">
            <v>Oper.</v>
          </cell>
          <cell r="W6" t="str">
            <v>Guidant</v>
          </cell>
          <cell r="X6" t="str">
            <v>EPS</v>
          </cell>
        </row>
        <row r="8">
          <cell r="A8" t="str">
            <v>1989</v>
          </cell>
          <cell r="B8">
            <v>4175.6000000000004</v>
          </cell>
          <cell r="C8">
            <v>1255.8</v>
          </cell>
          <cell r="D8">
            <v>2919.8</v>
          </cell>
          <cell r="E8">
            <v>1149.5999999999999</v>
          </cell>
          <cell r="F8">
            <v>605.4</v>
          </cell>
          <cell r="G8">
            <v>1164.8</v>
          </cell>
          <cell r="H8">
            <v>74.599999999999994</v>
          </cell>
          <cell r="I8">
            <v>66.5</v>
          </cell>
          <cell r="L8">
            <v>24</v>
          </cell>
          <cell r="M8">
            <v>165.1</v>
          </cell>
          <cell r="N8">
            <v>1329.9</v>
          </cell>
          <cell r="O8">
            <v>0.29355590645913227</v>
          </cell>
          <cell r="P8">
            <v>390.4</v>
          </cell>
          <cell r="Q8">
            <v>939.5</v>
          </cell>
          <cell r="R8">
            <v>1178.028</v>
          </cell>
          <cell r="S8">
            <v>0.8</v>
          </cell>
        </row>
        <row r="9">
          <cell r="A9" t="str">
            <v>1990</v>
          </cell>
          <cell r="B9">
            <v>5191.6000000000004</v>
          </cell>
          <cell r="C9">
            <v>1523.3</v>
          </cell>
          <cell r="D9">
            <v>3668.3</v>
          </cell>
          <cell r="E9">
            <v>1426.2</v>
          </cell>
          <cell r="F9">
            <v>702.7</v>
          </cell>
          <cell r="G9">
            <v>1539.4</v>
          </cell>
          <cell r="H9">
            <v>59</v>
          </cell>
          <cell r="I9">
            <v>58.9</v>
          </cell>
          <cell r="L9">
            <v>-58.3</v>
          </cell>
          <cell r="M9">
            <v>59.6</v>
          </cell>
          <cell r="N9">
            <v>1599</v>
          </cell>
          <cell r="O9">
            <v>0.29499687304565353</v>
          </cell>
          <cell r="P9">
            <v>471.7</v>
          </cell>
          <cell r="Q9">
            <v>1127.3</v>
          </cell>
          <cell r="R9">
            <v>1160</v>
          </cell>
          <cell r="S9">
            <v>0.97499999999999998</v>
          </cell>
        </row>
        <row r="10">
          <cell r="A10" t="str">
            <v>1991</v>
          </cell>
          <cell r="B10">
            <v>5725.7</v>
          </cell>
          <cell r="C10">
            <v>1717.7</v>
          </cell>
          <cell r="D10">
            <v>4008</v>
          </cell>
          <cell r="E10">
            <v>1472.8</v>
          </cell>
          <cell r="F10">
            <v>766.9</v>
          </cell>
          <cell r="G10">
            <v>1768.3</v>
          </cell>
          <cell r="H10">
            <v>65.400000000000006</v>
          </cell>
          <cell r="I10">
            <v>57</v>
          </cell>
          <cell r="L10">
            <v>-11.5</v>
          </cell>
          <cell r="M10">
            <v>110.9</v>
          </cell>
          <cell r="N10">
            <v>1879.2</v>
          </cell>
          <cell r="O10">
            <v>0.30039378458918692</v>
          </cell>
          <cell r="P10">
            <v>564.5</v>
          </cell>
          <cell r="Q10">
            <v>1314.7</v>
          </cell>
          <cell r="R10">
            <v>1176.9760000000001</v>
          </cell>
          <cell r="S10">
            <v>1.125</v>
          </cell>
        </row>
        <row r="11">
          <cell r="A11" t="str">
            <v>1992</v>
          </cell>
          <cell r="B11">
            <v>6167.3</v>
          </cell>
          <cell r="C11">
            <v>1809.5</v>
          </cell>
          <cell r="D11">
            <v>4357.8</v>
          </cell>
          <cell r="E11">
            <v>1575</v>
          </cell>
          <cell r="F11">
            <v>861.3</v>
          </cell>
          <cell r="G11">
            <v>1921.5</v>
          </cell>
          <cell r="H11">
            <v>4.3</v>
          </cell>
          <cell r="I11">
            <v>52</v>
          </cell>
          <cell r="L11">
            <v>-29.3</v>
          </cell>
          <cell r="M11">
            <v>27</v>
          </cell>
          <cell r="N11">
            <v>1948.5</v>
          </cell>
          <cell r="O11">
            <v>0.30254041570438794</v>
          </cell>
          <cell r="P11">
            <v>589.5</v>
          </cell>
          <cell r="Q11">
            <v>1359</v>
          </cell>
          <cell r="R11">
            <v>1178.259</v>
          </cell>
          <cell r="S11">
            <v>1.156125632060605</v>
          </cell>
        </row>
        <row r="12">
          <cell r="A12">
            <v>1993</v>
          </cell>
          <cell r="B12">
            <v>5198.5</v>
          </cell>
          <cell r="C12">
            <v>1448</v>
          </cell>
          <cell r="D12">
            <v>3750.5</v>
          </cell>
          <cell r="E12">
            <v>1332.5</v>
          </cell>
          <cell r="F12">
            <v>754.9</v>
          </cell>
          <cell r="G12">
            <v>1663.1</v>
          </cell>
          <cell r="H12">
            <v>-20.2</v>
          </cell>
          <cell r="I12">
            <v>64</v>
          </cell>
          <cell r="J12" t="str">
            <v xml:space="preserve">    --</v>
          </cell>
          <cell r="L12">
            <v>-11.4</v>
          </cell>
          <cell r="M12">
            <v>32.4</v>
          </cell>
          <cell r="N12">
            <v>1695.5</v>
          </cell>
          <cell r="O12">
            <v>0.32851666175169564</v>
          </cell>
          <cell r="P12">
            <v>557</v>
          </cell>
          <cell r="Q12">
            <v>1138.5</v>
          </cell>
          <cell r="R12">
            <v>1176.068</v>
          </cell>
          <cell r="S12">
            <v>0.96821542116443005</v>
          </cell>
        </row>
        <row r="14">
          <cell r="A14" t="str">
            <v xml:space="preserve">1990/89 </v>
          </cell>
          <cell r="B14">
            <v>0.24331832551010632</v>
          </cell>
          <cell r="C14">
            <v>0.21301162605510432</v>
          </cell>
          <cell r="D14">
            <v>0.25635317487499143</v>
          </cell>
          <cell r="E14">
            <v>0.24060542797494794</v>
          </cell>
          <cell r="F14">
            <v>0.16072018500165192</v>
          </cell>
          <cell r="G14">
            <v>0.32160027472527486</v>
          </cell>
          <cell r="H14">
            <v>-0.20911528150134043</v>
          </cell>
          <cell r="I14">
            <v>-0.11428571428571431</v>
          </cell>
          <cell r="L14" t="str">
            <v xml:space="preserve">    --</v>
          </cell>
          <cell r="M14">
            <v>-0.63900666262870987</v>
          </cell>
          <cell r="N14">
            <v>0.20234604105571841</v>
          </cell>
          <cell r="O14" t="str">
            <v xml:space="preserve">    --</v>
          </cell>
          <cell r="P14" t="str">
            <v xml:space="preserve">    --</v>
          </cell>
          <cell r="Q14">
            <v>0.19989356040447043</v>
          </cell>
          <cell r="R14" t="str">
            <v xml:space="preserve">    --</v>
          </cell>
          <cell r="S14">
            <v>0.21875</v>
          </cell>
        </row>
        <row r="15">
          <cell r="A15" t="str">
            <v xml:space="preserve">1991/90 </v>
          </cell>
          <cell r="B15">
            <v>0.10287772555666835</v>
          </cell>
          <cell r="C15">
            <v>0.12761767215912828</v>
          </cell>
          <cell r="D15">
            <v>9.2604203582040676E-2</v>
          </cell>
          <cell r="E15">
            <v>3.2674239237133577E-2</v>
          </cell>
          <cell r="F15">
            <v>9.1361889853422404E-2</v>
          </cell>
          <cell r="G15">
            <v>0.14869429647914761</v>
          </cell>
          <cell r="H15">
            <v>0.10847457627118653</v>
          </cell>
          <cell r="I15">
            <v>-3.2258064516129011E-2</v>
          </cell>
          <cell r="L15" t="str">
            <v xml:space="preserve">    --</v>
          </cell>
          <cell r="M15">
            <v>0.86073825503355705</v>
          </cell>
          <cell r="N15">
            <v>0.17523452157598501</v>
          </cell>
          <cell r="O15" t="str">
            <v xml:space="preserve">    --</v>
          </cell>
          <cell r="P15" t="str">
            <v xml:space="preserve">    --</v>
          </cell>
          <cell r="Q15">
            <v>0.16623791359886464</v>
          </cell>
          <cell r="R15" t="str">
            <v xml:space="preserve">    --</v>
          </cell>
          <cell r="S15">
            <v>0.15384615384615388</v>
          </cell>
        </row>
        <row r="16">
          <cell r="A16" t="str">
            <v>1992/91</v>
          </cell>
          <cell r="B16">
            <v>7.7125940932986262E-2</v>
          </cell>
          <cell r="C16">
            <v>5.3443558246492377E-2</v>
          </cell>
          <cell r="D16">
            <v>8.7275449101796229E-2</v>
          </cell>
          <cell r="E16">
            <v>6.9391634980988631E-2</v>
          </cell>
          <cell r="F16">
            <v>0.12309297170426389</v>
          </cell>
          <cell r="G16">
            <v>8.6636882881863969E-2</v>
          </cell>
          <cell r="H16">
            <v>-0.93425076452599398</v>
          </cell>
          <cell r="I16">
            <v>-8.771929824561403E-2</v>
          </cell>
          <cell r="L16" t="str">
            <v xml:space="preserve">    --</v>
          </cell>
          <cell r="M16">
            <v>-0.75653742110009015</v>
          </cell>
          <cell r="N16">
            <v>3.6877394636015422E-2</v>
          </cell>
          <cell r="O16" t="str">
            <v xml:space="preserve">    --</v>
          </cell>
          <cell r="P16" t="str">
            <v xml:space="preserve">    --</v>
          </cell>
          <cell r="Q16">
            <v>3.3695900205370014E-2</v>
          </cell>
          <cell r="R16" t="str">
            <v xml:space="preserve">    --</v>
          </cell>
          <cell r="S16">
            <v>2.7667228498316376E-2</v>
          </cell>
        </row>
        <row r="17">
          <cell r="A17" t="str">
            <v>1993/92</v>
          </cell>
          <cell r="B17">
            <v>-0.15708656948745794</v>
          </cell>
          <cell r="C17">
            <v>-0.19977894445979552</v>
          </cell>
          <cell r="D17">
            <v>-0.13935930974344837</v>
          </cell>
          <cell r="E17">
            <v>-0.15396825396825398</v>
          </cell>
          <cell r="F17">
            <v>-0.12353419249970972</v>
          </cell>
          <cell r="G17">
            <v>-0.13447827218319025</v>
          </cell>
          <cell r="H17" t="str">
            <v xml:space="preserve">    --</v>
          </cell>
          <cell r="I17" t="str">
            <v xml:space="preserve">    --</v>
          </cell>
          <cell r="L17" t="str">
            <v xml:space="preserve">    --</v>
          </cell>
          <cell r="M17" t="str">
            <v xml:space="preserve">    --</v>
          </cell>
          <cell r="N17">
            <v>-0.12984346933538629</v>
          </cell>
          <cell r="O17" t="str">
            <v xml:space="preserve">    --</v>
          </cell>
          <cell r="P17" t="str">
            <v xml:space="preserve">    --</v>
          </cell>
          <cell r="Q17">
            <v>-0.1622516556291389</v>
          </cell>
          <cell r="R17" t="str">
            <v xml:space="preserve">    --</v>
          </cell>
          <cell r="S17">
            <v>-0.58126721079665822</v>
          </cell>
        </row>
        <row r="18">
          <cell r="A18">
            <v>1992</v>
          </cell>
        </row>
        <row r="19">
          <cell r="A19" t="str">
            <v xml:space="preserve"> 1Q (a)</v>
          </cell>
          <cell r="B19">
            <v>1557.1</v>
          </cell>
          <cell r="C19">
            <v>435.1</v>
          </cell>
          <cell r="D19">
            <v>1122</v>
          </cell>
          <cell r="E19">
            <v>344.8</v>
          </cell>
          <cell r="F19">
            <v>197.1</v>
          </cell>
          <cell r="G19">
            <v>580.1</v>
          </cell>
          <cell r="H19">
            <v>12.4</v>
          </cell>
          <cell r="I19">
            <v>27</v>
          </cell>
          <cell r="L19">
            <v>17</v>
          </cell>
          <cell r="M19">
            <v>56.4</v>
          </cell>
          <cell r="N19">
            <v>636.5</v>
          </cell>
          <cell r="O19">
            <v>0.30196386488609583</v>
          </cell>
          <cell r="P19">
            <v>192.2</v>
          </cell>
          <cell r="Q19">
            <v>444.3</v>
          </cell>
          <cell r="R19">
            <v>1179.424</v>
          </cell>
          <cell r="S19">
            <v>0.37670930895081001</v>
          </cell>
        </row>
        <row r="20">
          <cell r="A20" t="str">
            <v xml:space="preserve"> 2Q</v>
          </cell>
          <cell r="B20">
            <v>1478.3</v>
          </cell>
          <cell r="C20">
            <v>445.6</v>
          </cell>
          <cell r="D20">
            <v>1032.7</v>
          </cell>
          <cell r="E20">
            <v>385.3</v>
          </cell>
          <cell r="F20">
            <v>209.9</v>
          </cell>
          <cell r="G20">
            <v>437.5</v>
          </cell>
          <cell r="H20">
            <v>0.7</v>
          </cell>
          <cell r="I20">
            <v>18</v>
          </cell>
          <cell r="L20">
            <v>30.3</v>
          </cell>
          <cell r="M20">
            <v>49</v>
          </cell>
          <cell r="N20">
            <v>486.5</v>
          </cell>
          <cell r="O20">
            <v>0.30483042137718408</v>
          </cell>
          <cell r="P20">
            <v>148.30000000000001</v>
          </cell>
          <cell r="Q20">
            <v>338.2</v>
          </cell>
          <cell r="R20">
            <v>1177.7760000000001</v>
          </cell>
          <cell r="S20">
            <v>0.28999999999999998</v>
          </cell>
        </row>
        <row r="21">
          <cell r="A21" t="str">
            <v xml:space="preserve"> 3Q (b)</v>
          </cell>
          <cell r="B21">
            <v>1476.5</v>
          </cell>
          <cell r="C21">
            <v>445</v>
          </cell>
          <cell r="D21">
            <v>1031.5</v>
          </cell>
          <cell r="E21">
            <v>403</v>
          </cell>
          <cell r="F21">
            <v>216</v>
          </cell>
          <cell r="G21">
            <v>412.5</v>
          </cell>
          <cell r="H21">
            <v>-2.4</v>
          </cell>
          <cell r="I21">
            <v>2</v>
          </cell>
          <cell r="L21">
            <v>-77.2</v>
          </cell>
          <cell r="M21">
            <v>-77.599999999999994</v>
          </cell>
          <cell r="N21">
            <v>334.9</v>
          </cell>
          <cell r="O21">
            <v>0.30399999999999999</v>
          </cell>
          <cell r="P21">
            <v>102</v>
          </cell>
          <cell r="Q21">
            <v>232.9</v>
          </cell>
          <cell r="R21">
            <v>1177.836</v>
          </cell>
          <cell r="S21">
            <v>0.19773550816921875</v>
          </cell>
        </row>
        <row r="22">
          <cell r="A22" t="str">
            <v xml:space="preserve"> 4Q (c)</v>
          </cell>
          <cell r="B22">
            <v>1655.4</v>
          </cell>
          <cell r="C22">
            <v>483.8</v>
          </cell>
          <cell r="D22">
            <v>1171.5999999999999</v>
          </cell>
          <cell r="E22">
            <v>441.9</v>
          </cell>
          <cell r="F22">
            <v>238.3</v>
          </cell>
          <cell r="G22">
            <v>491.4</v>
          </cell>
          <cell r="H22">
            <v>-6.4</v>
          </cell>
          <cell r="I22">
            <v>5</v>
          </cell>
          <cell r="L22">
            <v>0.6</v>
          </cell>
          <cell r="M22">
            <v>-0.80000000000000215</v>
          </cell>
          <cell r="N22">
            <v>490.6</v>
          </cell>
          <cell r="O22">
            <v>0.3</v>
          </cell>
          <cell r="P22">
            <v>147</v>
          </cell>
          <cell r="Q22">
            <v>343.6</v>
          </cell>
          <cell r="R22">
            <v>1178</v>
          </cell>
          <cell r="S22">
            <v>0.29168081494057752</v>
          </cell>
        </row>
        <row r="24">
          <cell r="A24" t="str">
            <v>1992</v>
          </cell>
          <cell r="B24">
            <v>6167.3</v>
          </cell>
          <cell r="C24">
            <v>1809.5</v>
          </cell>
          <cell r="D24">
            <v>4357.8</v>
          </cell>
          <cell r="E24">
            <v>1575</v>
          </cell>
          <cell r="F24">
            <v>861.3</v>
          </cell>
          <cell r="G24">
            <v>1921.5</v>
          </cell>
          <cell r="H24">
            <v>4.3</v>
          </cell>
          <cell r="I24">
            <v>52</v>
          </cell>
          <cell r="L24">
            <v>-29.3</v>
          </cell>
          <cell r="M24">
            <v>27</v>
          </cell>
          <cell r="N24">
            <v>1948.5</v>
          </cell>
          <cell r="O24">
            <v>0.30254041570438794</v>
          </cell>
          <cell r="P24">
            <v>589.5</v>
          </cell>
          <cell r="Q24">
            <v>1359</v>
          </cell>
          <cell r="R24">
            <v>1178.259</v>
          </cell>
          <cell r="S24">
            <v>1.156125632060605</v>
          </cell>
        </row>
        <row r="25">
          <cell r="A25" t="str">
            <v>1994/93</v>
          </cell>
          <cell r="B25">
            <v>9.8701548523612653E-2</v>
          </cell>
          <cell r="C25">
            <v>0.16001381215469632</v>
          </cell>
          <cell r="D25">
            <v>7.5029996000533283E-2</v>
          </cell>
          <cell r="E25">
            <v>4.9380863039399758E-2</v>
          </cell>
          <cell r="F25">
            <v>0.11100808054046887</v>
          </cell>
          <cell r="G25">
            <v>7.9249594131441267E-2</v>
          </cell>
          <cell r="H25">
            <v>0.84158415841584144</v>
          </cell>
          <cell r="I25">
            <v>0.1796875</v>
          </cell>
          <cell r="J25" t="str">
            <v>--</v>
          </cell>
          <cell r="L25">
            <v>-1.0877192982456141</v>
          </cell>
          <cell r="M25">
            <v>-0.13271604938271619</v>
          </cell>
          <cell r="N25">
            <v>7.5199056325567684E-2</v>
          </cell>
          <cell r="O25">
            <v>-7.0975082552779067E-2</v>
          </cell>
          <cell r="P25">
            <v>-1.1132854578096579E-3</v>
          </cell>
          <cell r="Q25">
            <v>0.11253412384716721</v>
          </cell>
          <cell r="R25">
            <v>-1.6420819204331635E-2</v>
          </cell>
          <cell r="S25">
            <v>0.12578252336562154</v>
          </cell>
        </row>
        <row r="26">
          <cell r="A26" t="str">
            <v>1993/92</v>
          </cell>
        </row>
        <row r="27">
          <cell r="A27" t="str">
            <v xml:space="preserve"> 1Q</v>
          </cell>
          <cell r="B27">
            <v>-0.18470233125682353</v>
          </cell>
          <cell r="C27">
            <v>-0.25235578028039535</v>
          </cell>
          <cell r="D27">
            <v>-0.15846702317290548</v>
          </cell>
          <cell r="E27">
            <v>-0.14211136890951276</v>
          </cell>
          <cell r="F27">
            <v>-0.13901572805682397</v>
          </cell>
          <cell r="G27">
            <v>-0.17479744871573852</v>
          </cell>
          <cell r="H27" t="str">
            <v xml:space="preserve">    --</v>
          </cell>
          <cell r="I27" t="str">
            <v xml:space="preserve">    --</v>
          </cell>
          <cell r="L27" t="str">
            <v xml:space="preserve">    --</v>
          </cell>
          <cell r="M27" t="str">
            <v xml:space="preserve">    --</v>
          </cell>
          <cell r="N27">
            <v>-0.21759622937941853</v>
          </cell>
          <cell r="O27" t="str">
            <v xml:space="preserve">    --</v>
          </cell>
          <cell r="P27" t="str">
            <v xml:space="preserve">    --</v>
          </cell>
          <cell r="Q27">
            <v>-0.23092505064145827</v>
          </cell>
          <cell r="R27" t="str">
            <v xml:space="preserve">    --</v>
          </cell>
          <cell r="S27">
            <v>-0.61385169694090069</v>
          </cell>
        </row>
        <row r="28">
          <cell r="A28" t="str">
            <v xml:space="preserve"> 2Q</v>
          </cell>
          <cell r="B28">
            <v>-0.15206656294392204</v>
          </cell>
          <cell r="C28">
            <v>-0.22060143626570916</v>
          </cell>
          <cell r="D28">
            <v>-0.12249443207126928</v>
          </cell>
          <cell r="E28">
            <v>-0.18998183233843755</v>
          </cell>
          <cell r="F28">
            <v>-0.1300619342544069</v>
          </cell>
          <cell r="G28">
            <v>-5.9428571428571185E-2</v>
          </cell>
          <cell r="H28" t="str">
            <v xml:space="preserve">    --</v>
          </cell>
          <cell r="I28" t="str">
            <v xml:space="preserve">    --</v>
          </cell>
          <cell r="L28" t="str">
            <v xml:space="preserve">    --</v>
          </cell>
          <cell r="M28" t="str">
            <v xml:space="preserve">    --</v>
          </cell>
          <cell r="N28">
            <v>-8.3247687564234119E-2</v>
          </cell>
          <cell r="O28" t="str">
            <v xml:space="preserve">    --</v>
          </cell>
          <cell r="P28" t="str">
            <v xml:space="preserve">    --</v>
          </cell>
          <cell r="Q28">
            <v>-0.11028976936723806</v>
          </cell>
          <cell r="R28" t="str">
            <v xml:space="preserve">    --</v>
          </cell>
          <cell r="S28">
            <v>-0.55816711567499144</v>
          </cell>
        </row>
        <row r="29">
          <cell r="A29" t="str">
            <v xml:space="preserve"> 3Q</v>
          </cell>
          <cell r="B29">
            <v>-0.17480528276329152</v>
          </cell>
          <cell r="C29">
            <v>-0.23820224719101124</v>
          </cell>
          <cell r="D29">
            <v>-0.1474551623848763</v>
          </cell>
          <cell r="E29">
            <v>-0.19230769230769232</v>
          </cell>
          <cell r="F29">
            <v>-0.15740740740740741</v>
          </cell>
          <cell r="G29">
            <v>-9.8424242424242206E-2</v>
          </cell>
          <cell r="H29" t="str">
            <v xml:space="preserve">    --</v>
          </cell>
          <cell r="I29" t="str">
            <v xml:space="preserve">    --</v>
          </cell>
          <cell r="L29" t="str">
            <v xml:space="preserve">    --</v>
          </cell>
          <cell r="M29" t="str">
            <v xml:space="preserve">    --</v>
          </cell>
          <cell r="N29">
            <v>9.4356524335622985E-2</v>
          </cell>
          <cell r="O29" t="str">
            <v xml:space="preserve">    --</v>
          </cell>
          <cell r="P29" t="str">
            <v xml:space="preserve">    --</v>
          </cell>
          <cell r="Q29">
            <v>4.465435809360304E-2</v>
          </cell>
          <cell r="R29" t="str">
            <v xml:space="preserve">    --</v>
          </cell>
          <cell r="S29">
            <v>-0.4759661369167219</v>
          </cell>
        </row>
        <row r="30">
          <cell r="A30" t="str">
            <v xml:space="preserve"> 4Q</v>
          </cell>
          <cell r="B30">
            <v>-0.11978977890540062</v>
          </cell>
          <cell r="C30">
            <v>-9.7974369574204287E-2</v>
          </cell>
          <cell r="D30">
            <v>-0.12879822465005136</v>
          </cell>
          <cell r="E30">
            <v>-9.6854491966508166E-2</v>
          </cell>
          <cell r="F30">
            <v>-7.4276122534620292E-2</v>
          </cell>
          <cell r="G30">
            <v>-0.18396418396418443</v>
          </cell>
          <cell r="H30" t="str">
            <v xml:space="preserve">    --</v>
          </cell>
          <cell r="I30" t="str">
            <v xml:space="preserve">    --</v>
          </cell>
          <cell r="L30" t="str">
            <v xml:space="preserve">    --</v>
          </cell>
          <cell r="M30" t="str">
            <v xml:space="preserve">    --</v>
          </cell>
          <cell r="N30">
            <v>-0.2152466367713009</v>
          </cell>
          <cell r="O30" t="str">
            <v xml:space="preserve">    --</v>
          </cell>
          <cell r="P30" t="str">
            <v xml:space="preserve">    --</v>
          </cell>
          <cell r="Q30">
            <v>-0.26484284051222418</v>
          </cell>
          <cell r="R30" t="str">
            <v xml:space="preserve">    --</v>
          </cell>
          <cell r="S30">
            <v>-0.63353636564281501</v>
          </cell>
        </row>
        <row r="32">
          <cell r="A32" t="str">
            <v>Year</v>
          </cell>
          <cell r="B32">
            <v>-0.15708656948745794</v>
          </cell>
          <cell r="C32">
            <v>-0.19977894445979552</v>
          </cell>
          <cell r="D32">
            <v>-0.13935930974344837</v>
          </cell>
          <cell r="E32">
            <v>-0.15396825396825398</v>
          </cell>
          <cell r="F32">
            <v>-0.12353419249970972</v>
          </cell>
          <cell r="G32">
            <v>-0.13447827218319025</v>
          </cell>
          <cell r="H32" t="str">
            <v xml:space="preserve">    --</v>
          </cell>
          <cell r="I32" t="str">
            <v xml:space="preserve">    --</v>
          </cell>
          <cell r="L32" t="str">
            <v xml:space="preserve">    --</v>
          </cell>
          <cell r="M32" t="str">
            <v xml:space="preserve">    --</v>
          </cell>
          <cell r="N32">
            <v>-0.12984346933538629</v>
          </cell>
          <cell r="O32" t="str">
            <v xml:space="preserve">    --</v>
          </cell>
          <cell r="P32" t="str">
            <v xml:space="preserve">    --</v>
          </cell>
          <cell r="Q32">
            <v>-0.1622516556291389</v>
          </cell>
          <cell r="R32" t="str">
            <v xml:space="preserve">    --</v>
          </cell>
          <cell r="S32">
            <v>-0.58126721079665822</v>
          </cell>
        </row>
        <row r="34">
          <cell r="A34">
            <v>1993</v>
          </cell>
        </row>
        <row r="35">
          <cell r="A35" t="str">
            <v xml:space="preserve"> 1Q (a)</v>
          </cell>
          <cell r="B35">
            <v>1269.5</v>
          </cell>
          <cell r="C35">
            <v>325.3</v>
          </cell>
          <cell r="D35">
            <v>944.2</v>
          </cell>
          <cell r="E35">
            <v>295.8</v>
          </cell>
          <cell r="F35">
            <v>169.7</v>
          </cell>
          <cell r="G35">
            <v>478.7</v>
          </cell>
          <cell r="H35">
            <v>-4.7</v>
          </cell>
          <cell r="I35">
            <v>32</v>
          </cell>
          <cell r="J35" t="str">
            <v xml:space="preserve">    --</v>
          </cell>
          <cell r="L35">
            <v>-8</v>
          </cell>
          <cell r="M35">
            <v>19.3</v>
          </cell>
          <cell r="N35">
            <v>498</v>
          </cell>
          <cell r="O35">
            <v>0.31385542168674696</v>
          </cell>
          <cell r="P35">
            <v>156.30000000000001</v>
          </cell>
          <cell r="Q35">
            <v>341.7</v>
          </cell>
          <cell r="R35">
            <v>1174.5039999999999</v>
          </cell>
          <cell r="S35">
            <v>0.2909313207958425</v>
          </cell>
          <cell r="V35">
            <v>0.6</v>
          </cell>
        </row>
        <row r="36">
          <cell r="A36" t="str">
            <v xml:space="preserve"> 2Q</v>
          </cell>
          <cell r="B36">
            <v>1253.5</v>
          </cell>
          <cell r="C36">
            <v>347.3</v>
          </cell>
          <cell r="D36">
            <v>906.2</v>
          </cell>
          <cell r="E36">
            <v>312.10000000000002</v>
          </cell>
          <cell r="F36">
            <v>182.6</v>
          </cell>
          <cell r="G36">
            <v>411.5</v>
          </cell>
          <cell r="H36">
            <v>-5.5</v>
          </cell>
          <cell r="I36">
            <v>30</v>
          </cell>
          <cell r="J36" t="str">
            <v xml:space="preserve">    --</v>
          </cell>
          <cell r="L36">
            <v>10</v>
          </cell>
          <cell r="M36">
            <v>34.5</v>
          </cell>
          <cell r="N36">
            <v>446</v>
          </cell>
          <cell r="O36">
            <v>0.32533632286995512</v>
          </cell>
          <cell r="P36">
            <v>145.1</v>
          </cell>
          <cell r="Q36">
            <v>300.89999999999998</v>
          </cell>
          <cell r="R36">
            <v>1174.184</v>
          </cell>
          <cell r="S36">
            <v>0.25626307290850497</v>
          </cell>
          <cell r="V36">
            <v>0.53500000000000003</v>
          </cell>
        </row>
        <row r="37">
          <cell r="A37" t="str">
            <v xml:space="preserve"> 3Q</v>
          </cell>
          <cell r="B37">
            <v>1218.4000000000001</v>
          </cell>
          <cell r="C37">
            <v>339</v>
          </cell>
          <cell r="D37">
            <v>879.4</v>
          </cell>
          <cell r="E37">
            <v>325.5</v>
          </cell>
          <cell r="F37">
            <v>182</v>
          </cell>
          <cell r="G37">
            <v>371.9</v>
          </cell>
          <cell r="H37">
            <v>-4</v>
          </cell>
          <cell r="I37">
            <v>3</v>
          </cell>
          <cell r="J37" t="str">
            <v xml:space="preserve">    --</v>
          </cell>
          <cell r="L37">
            <v>-4.4000000000000004</v>
          </cell>
          <cell r="M37">
            <v>-5.4</v>
          </cell>
          <cell r="N37">
            <v>366.5</v>
          </cell>
          <cell r="O37">
            <v>0.33615279672578435</v>
          </cell>
          <cell r="P37">
            <v>123.2</v>
          </cell>
          <cell r="Q37">
            <v>243.3</v>
          </cell>
          <cell r="R37">
            <v>1174</v>
          </cell>
          <cell r="S37">
            <v>0.20724020442930149</v>
          </cell>
          <cell r="V37">
            <v>0.44</v>
          </cell>
        </row>
        <row r="38">
          <cell r="A38" t="str">
            <v xml:space="preserve"> 4Q</v>
          </cell>
          <cell r="B38">
            <v>1457.1</v>
          </cell>
          <cell r="C38">
            <v>436.4</v>
          </cell>
          <cell r="D38">
            <v>1020.7</v>
          </cell>
          <cell r="E38">
            <v>399.1</v>
          </cell>
          <cell r="F38">
            <v>220.6</v>
          </cell>
          <cell r="G38">
            <v>401</v>
          </cell>
          <cell r="H38">
            <v>-6</v>
          </cell>
          <cell r="I38">
            <v>-1</v>
          </cell>
          <cell r="J38" t="str">
            <v xml:space="preserve">    --</v>
          </cell>
          <cell r="L38">
            <v>-9</v>
          </cell>
          <cell r="M38">
            <v>-16</v>
          </cell>
          <cell r="N38">
            <v>385</v>
          </cell>
          <cell r="O38">
            <v>0.34389610389610403</v>
          </cell>
          <cell r="P38">
            <v>132.4</v>
          </cell>
          <cell r="Q38">
            <v>252.6</v>
          </cell>
          <cell r="R38">
            <v>1181.5840000000001</v>
          </cell>
          <cell r="S38">
            <v>0.213780823030779</v>
          </cell>
          <cell r="V38">
            <v>-0.78500000000000003</v>
          </cell>
        </row>
        <row r="40">
          <cell r="A40" t="str">
            <v>Year(a)</v>
          </cell>
          <cell r="B40">
            <v>5198.5</v>
          </cell>
          <cell r="C40">
            <v>1448</v>
          </cell>
          <cell r="D40">
            <v>3750.5</v>
          </cell>
          <cell r="E40">
            <v>1332.5</v>
          </cell>
          <cell r="F40">
            <v>754.9</v>
          </cell>
          <cell r="G40">
            <v>1663.1</v>
          </cell>
          <cell r="H40">
            <v>-20.2</v>
          </cell>
          <cell r="I40">
            <v>64</v>
          </cell>
          <cell r="J40" t="str">
            <v xml:space="preserve">    --</v>
          </cell>
          <cell r="L40">
            <v>-11.4</v>
          </cell>
          <cell r="M40">
            <v>32.4</v>
          </cell>
          <cell r="N40">
            <v>1695.5</v>
          </cell>
          <cell r="O40">
            <v>0.32851666175169564</v>
          </cell>
          <cell r="P40">
            <v>557</v>
          </cell>
          <cell r="Q40">
            <v>1138.5</v>
          </cell>
          <cell r="R40">
            <v>1176.068</v>
          </cell>
          <cell r="S40">
            <v>0.96821542116443005</v>
          </cell>
          <cell r="V40">
            <v>0.79</v>
          </cell>
        </row>
        <row r="42">
          <cell r="A42" t="str">
            <v>1994/93</v>
          </cell>
        </row>
        <row r="43">
          <cell r="A43" t="str">
            <v xml:space="preserve"> 1Q</v>
          </cell>
          <cell r="B43">
            <v>3.119338322174077E-2</v>
          </cell>
          <cell r="C43">
            <v>0.17460805410390412</v>
          </cell>
          <cell r="D43">
            <v>-1.8216479559415546E-2</v>
          </cell>
          <cell r="E43">
            <v>-5.3414469235970284E-2</v>
          </cell>
          <cell r="F43">
            <v>4.4784914555097366E-2</v>
          </cell>
          <cell r="G43">
            <v>-1.8800919156047868E-2</v>
          </cell>
          <cell r="H43">
            <v>-0.23404255319148948</v>
          </cell>
          <cell r="I43">
            <v>0.125</v>
          </cell>
          <cell r="J43" t="str">
            <v>--</v>
          </cell>
          <cell r="L43">
            <v>0.66250000000000009</v>
          </cell>
          <cell r="M43">
            <v>-1.0362694300518281E-2</v>
          </cell>
          <cell r="N43">
            <v>-1.8473895582329522E-2</v>
          </cell>
          <cell r="O43">
            <v>3.6468330134357958E-3</v>
          </cell>
          <cell r="P43">
            <v>-1.4894433781190219E-2</v>
          </cell>
          <cell r="Q43">
            <v>-2.0111208662569713E-2</v>
          </cell>
          <cell r="R43">
            <v>-1.4348184425084856E-2</v>
          </cell>
          <cell r="S43">
            <v>-5.8469168791860787E-3</v>
          </cell>
          <cell r="V43">
            <v>-0.56666666666666665</v>
          </cell>
        </row>
        <row r="44">
          <cell r="A44" t="str">
            <v xml:space="preserve"> 2Q</v>
          </cell>
          <cell r="B44">
            <v>7.4431591543677664E-2</v>
          </cell>
          <cell r="C44">
            <v>0.11085516844226893</v>
          </cell>
          <cell r="D44">
            <v>6.0472301920105886E-2</v>
          </cell>
          <cell r="E44">
            <v>5.9275873117590513E-2</v>
          </cell>
          <cell r="F44">
            <v>0.10733844468784225</v>
          </cell>
          <cell r="G44">
            <v>4.058323207776425E-2</v>
          </cell>
          <cell r="H44">
            <v>-0.78181818181818197</v>
          </cell>
          <cell r="I44">
            <v>0.45</v>
          </cell>
          <cell r="J44" t="str">
            <v>--</v>
          </cell>
          <cell r="L44">
            <v>-1</v>
          </cell>
          <cell r="M44">
            <v>0.22608695652173905</v>
          </cell>
          <cell r="N44">
            <v>5.4932735426008968E-2</v>
          </cell>
          <cell r="O44">
            <v>-5.6361130254996457E-2</v>
          </cell>
          <cell r="P44">
            <v>-4.5244658855961E-3</v>
          </cell>
          <cell r="Q44">
            <v>8.3604187437687119E-2</v>
          </cell>
          <cell r="R44">
            <v>-1.4604184693369958E-2</v>
          </cell>
          <cell r="S44">
            <v>9.9663881869132054E-2</v>
          </cell>
          <cell r="V44">
            <v>-0.48598130841121495</v>
          </cell>
        </row>
        <row r="45">
          <cell r="A45" t="str">
            <v xml:space="preserve"> 3Q</v>
          </cell>
          <cell r="B45">
            <v>0.23711424819435312</v>
          </cell>
          <cell r="C45">
            <v>0.33156342182890847</v>
          </cell>
          <cell r="D45">
            <v>0.20070502615419616</v>
          </cell>
          <cell r="E45">
            <v>0.1093701996927804</v>
          </cell>
          <cell r="F45">
            <v>0.20219780219780226</v>
          </cell>
          <cell r="G45">
            <v>0.27991395536434549</v>
          </cell>
          <cell r="H45">
            <v>-1.4749999999999996</v>
          </cell>
          <cell r="I45">
            <v>-0.33333333333333331</v>
          </cell>
          <cell r="J45" t="str">
            <v>--</v>
          </cell>
          <cell r="L45">
            <v>-2.2045454545454541</v>
          </cell>
          <cell r="M45" t="str">
            <v>NM</v>
          </cell>
          <cell r="N45">
            <v>0.32387448840382005</v>
          </cell>
          <cell r="O45">
            <v>-8.672483766233742E-2</v>
          </cell>
          <cell r="P45">
            <v>0.20906168831168831</v>
          </cell>
          <cell r="Q45">
            <v>0.3820123304562269</v>
          </cell>
          <cell r="R45">
            <v>-1.5093696763202749E-2</v>
          </cell>
          <cell r="S45">
            <v>0.40319168017747509</v>
          </cell>
          <cell r="V45">
            <v>-0.42045454545454547</v>
          </cell>
        </row>
        <row r="46">
          <cell r="A46" t="str">
            <v xml:space="preserve"> 4Q</v>
          </cell>
          <cell r="B46">
            <v>6.2658705648205471E-2</v>
          </cell>
          <cell r="C46">
            <v>5.4995417048579291E-2</v>
          </cell>
          <cell r="D46">
            <v>6.5935142549230871E-2</v>
          </cell>
          <cell r="E46">
            <v>6.8905036331746425E-2</v>
          </cell>
          <cell r="F46">
            <v>8.9755213055303776E-2</v>
          </cell>
          <cell r="G46">
            <v>4.9875311720698257E-2</v>
          </cell>
          <cell r="H46">
            <v>4.7166666666666659</v>
          </cell>
          <cell r="I46">
            <v>5</v>
          </cell>
          <cell r="J46" t="str">
            <v>--</v>
          </cell>
          <cell r="L46">
            <v>-2</v>
          </cell>
          <cell r="M46">
            <v>1.65625</v>
          </cell>
          <cell r="N46">
            <v>-1.6883116883116882E-2</v>
          </cell>
          <cell r="O46">
            <v>-0.16253776435045356</v>
          </cell>
          <cell r="P46">
            <v>-0.17667673716012092</v>
          </cell>
          <cell r="Q46">
            <v>6.6872525732383309E-2</v>
          </cell>
          <cell r="R46">
            <v>-2.1604896477948263E-2</v>
          </cell>
          <cell r="S46">
            <v>9.0431178459324135E-2</v>
          </cell>
          <cell r="V46">
            <v>-1.2993630573248407</v>
          </cell>
        </row>
        <row r="48">
          <cell r="A48" t="str">
            <v>Year</v>
          </cell>
          <cell r="B48">
            <v>9.8701548523612653E-2</v>
          </cell>
          <cell r="C48">
            <v>0.16001381215469632</v>
          </cell>
          <cell r="D48">
            <v>7.5029996000533283E-2</v>
          </cell>
          <cell r="E48">
            <v>4.9380863039399758E-2</v>
          </cell>
          <cell r="F48">
            <v>0.11100808054046887</v>
          </cell>
          <cell r="G48">
            <v>7.9249594131441267E-2</v>
          </cell>
          <cell r="H48">
            <v>0.84158415841584144</v>
          </cell>
          <cell r="I48">
            <v>0.1796875</v>
          </cell>
          <cell r="J48" t="str">
            <v>--</v>
          </cell>
          <cell r="L48">
            <v>-1.0877192982456141</v>
          </cell>
          <cell r="M48">
            <v>-0.13271604938271619</v>
          </cell>
          <cell r="N48">
            <v>7.5199056325567684E-2</v>
          </cell>
          <cell r="O48">
            <v>-7.0975082552779067E-2</v>
          </cell>
          <cell r="P48">
            <v>-1.1132854578096579E-3</v>
          </cell>
          <cell r="Q48">
            <v>0.11253412384716721</v>
          </cell>
          <cell r="R48">
            <v>-1.6420819204331635E-2</v>
          </cell>
          <cell r="S48">
            <v>0.12578252336562154</v>
          </cell>
          <cell r="V48">
            <v>0.29746835443037956</v>
          </cell>
        </row>
        <row r="50">
          <cell r="A50" t="str">
            <v>1994</v>
          </cell>
        </row>
        <row r="51">
          <cell r="A51" t="str">
            <v xml:space="preserve"> 1Q (a)</v>
          </cell>
          <cell r="B51">
            <v>1309.0999999999999</v>
          </cell>
          <cell r="C51">
            <v>382.1</v>
          </cell>
          <cell r="D51">
            <v>926.99999999999989</v>
          </cell>
          <cell r="E51">
            <v>280</v>
          </cell>
          <cell r="F51">
            <v>177.3</v>
          </cell>
          <cell r="G51">
            <v>469.69999999999987</v>
          </cell>
          <cell r="H51">
            <v>-3.5999999999999996</v>
          </cell>
          <cell r="I51">
            <v>36</v>
          </cell>
          <cell r="J51">
            <v>0</v>
          </cell>
          <cell r="L51">
            <v>-13.3</v>
          </cell>
          <cell r="M51">
            <v>19.099999999999998</v>
          </cell>
          <cell r="N51">
            <v>488.7999999999999</v>
          </cell>
          <cell r="O51">
            <v>0.315</v>
          </cell>
          <cell r="P51">
            <v>153.97199999999998</v>
          </cell>
          <cell r="Q51">
            <v>334.82799999999992</v>
          </cell>
          <cell r="R51">
            <v>1157.652</v>
          </cell>
          <cell r="S51">
            <v>0.28923026954559738</v>
          </cell>
          <cell r="V51">
            <v>0.26</v>
          </cell>
          <cell r="W51">
            <v>2.5000000000000001E-2</v>
          </cell>
          <cell r="X51">
            <v>0.28499999999999998</v>
          </cell>
        </row>
        <row r="52">
          <cell r="A52" t="str">
            <v xml:space="preserve"> 2Q (b)</v>
          </cell>
          <cell r="B52">
            <v>1346.8</v>
          </cell>
          <cell r="C52">
            <v>385.8</v>
          </cell>
          <cell r="D52">
            <v>961</v>
          </cell>
          <cell r="E52">
            <v>330.6</v>
          </cell>
          <cell r="F52">
            <v>202.2</v>
          </cell>
          <cell r="G52">
            <v>428.2</v>
          </cell>
          <cell r="H52">
            <v>-1.1999999999999993</v>
          </cell>
          <cell r="I52">
            <v>43.5</v>
          </cell>
          <cell r="J52">
            <v>0</v>
          </cell>
          <cell r="L52">
            <v>0</v>
          </cell>
          <cell r="M52">
            <v>42.3</v>
          </cell>
          <cell r="N52">
            <v>470.5</v>
          </cell>
          <cell r="O52">
            <v>0.307</v>
          </cell>
          <cell r="P52">
            <v>144.4435</v>
          </cell>
          <cell r="Q52">
            <v>326.05650000000003</v>
          </cell>
          <cell r="R52">
            <v>1157.0360000000001</v>
          </cell>
          <cell r="S52">
            <v>0.28180324553427899</v>
          </cell>
          <cell r="V52">
            <v>0.27500000000000002</v>
          </cell>
          <cell r="W52">
            <v>2.5000000000000001E-2</v>
          </cell>
          <cell r="X52">
            <v>0.3</v>
          </cell>
        </row>
        <row r="53">
          <cell r="A53" t="str">
            <v xml:space="preserve"> 3Q (c)</v>
          </cell>
          <cell r="B53">
            <v>1507.3</v>
          </cell>
          <cell r="C53">
            <v>451.4</v>
          </cell>
          <cell r="D53">
            <v>1055.9000000000001</v>
          </cell>
          <cell r="E53">
            <v>361.1</v>
          </cell>
          <cell r="F53">
            <v>218.8</v>
          </cell>
          <cell r="G53">
            <v>476.00000000000006</v>
          </cell>
          <cell r="H53">
            <v>1.8999999999999986</v>
          </cell>
          <cell r="I53">
            <v>2</v>
          </cell>
          <cell r="J53">
            <v>0</v>
          </cell>
          <cell r="L53">
            <v>5.3</v>
          </cell>
          <cell r="M53">
            <v>9.1999999999999993</v>
          </cell>
          <cell r="N53">
            <v>485.20000000000005</v>
          </cell>
          <cell r="O53">
            <v>0.307</v>
          </cell>
          <cell r="P53">
            <v>148.9564</v>
          </cell>
          <cell r="Q53">
            <v>336.24360000000001</v>
          </cell>
          <cell r="R53">
            <v>1156.28</v>
          </cell>
          <cell r="S53">
            <v>0.29079773065347497</v>
          </cell>
          <cell r="V53">
            <v>0.255</v>
          </cell>
          <cell r="W53">
            <v>1.7500000000000002E-2</v>
          </cell>
          <cell r="X53">
            <v>0.27500000000000002</v>
          </cell>
        </row>
        <row r="54">
          <cell r="A54" t="str">
            <v xml:space="preserve"> 4Q </v>
          </cell>
          <cell r="B54">
            <v>1548.4</v>
          </cell>
          <cell r="C54">
            <v>460.4</v>
          </cell>
          <cell r="D54">
            <v>1088</v>
          </cell>
          <cell r="E54">
            <v>426.6</v>
          </cell>
          <cell r="F54">
            <v>240.4</v>
          </cell>
          <cell r="G54">
            <v>421</v>
          </cell>
          <cell r="H54">
            <v>-34.299999999999997</v>
          </cell>
          <cell r="I54">
            <v>-6</v>
          </cell>
          <cell r="J54">
            <v>-11.2</v>
          </cell>
          <cell r="L54">
            <v>9</v>
          </cell>
          <cell r="M54">
            <v>-42.5</v>
          </cell>
          <cell r="N54">
            <v>378.5</v>
          </cell>
          <cell r="O54">
            <v>0.28799999999999998</v>
          </cell>
          <cell r="P54">
            <v>109.008</v>
          </cell>
          <cell r="Q54">
            <v>269.49200000000002</v>
          </cell>
          <cell r="R54">
            <v>1156.056</v>
          </cell>
          <cell r="S54">
            <v>0.23311327478945656</v>
          </cell>
          <cell r="V54">
            <v>0.23499999999999999</v>
          </cell>
          <cell r="W54">
            <v>1.7500000000000002E-2</v>
          </cell>
          <cell r="X54">
            <v>0.25</v>
          </cell>
        </row>
        <row r="56">
          <cell r="A56" t="str">
            <v>1994</v>
          </cell>
          <cell r="B56">
            <v>5711.6</v>
          </cell>
          <cell r="C56">
            <v>1679.7000000000003</v>
          </cell>
          <cell r="D56">
            <v>4031.9</v>
          </cell>
          <cell r="E56">
            <v>1398.3000000000002</v>
          </cell>
          <cell r="F56">
            <v>838.69999999999993</v>
          </cell>
          <cell r="G56">
            <v>1794.8999999999999</v>
          </cell>
          <cell r="H56">
            <v>-37.199999999999996</v>
          </cell>
          <cell r="I56">
            <v>75.5</v>
          </cell>
          <cell r="J56">
            <v>-11.2</v>
          </cell>
          <cell r="L56">
            <v>1</v>
          </cell>
          <cell r="M56">
            <v>28.099999999999994</v>
          </cell>
          <cell r="N56">
            <v>1823</v>
          </cell>
          <cell r="O56">
            <v>0.30520016456390564</v>
          </cell>
          <cell r="P56">
            <v>556.37990000000002</v>
          </cell>
          <cell r="Q56">
            <v>1266.6200999999999</v>
          </cell>
          <cell r="R56">
            <v>1156.7560000000001</v>
          </cell>
          <cell r="S56">
            <v>1.0900000000000001</v>
          </cell>
          <cell r="V56">
            <v>1.0249999999999999</v>
          </cell>
          <cell r="W56">
            <v>8.5000000000000006E-2</v>
          </cell>
          <cell r="X56">
            <v>1.1100000000000001</v>
          </cell>
        </row>
        <row r="58">
          <cell r="A58" t="str">
            <v>1995/94</v>
          </cell>
        </row>
        <row r="59">
          <cell r="A59" t="str">
            <v xml:space="preserve"> 1Q</v>
          </cell>
          <cell r="B59">
            <v>0.31181727904667333</v>
          </cell>
          <cell r="C59">
            <v>0.34127191834598264</v>
          </cell>
          <cell r="D59">
            <v>0.29967637540453085</v>
          </cell>
          <cell r="E59">
            <v>0.45428571428571424</v>
          </cell>
          <cell r="F59">
            <v>0.33502538071065974</v>
          </cell>
          <cell r="G59">
            <v>0.19416648924845648</v>
          </cell>
          <cell r="H59" t="str">
            <v>NM</v>
          </cell>
          <cell r="I59" t="str">
            <v>NM</v>
          </cell>
          <cell r="J59" t="str">
            <v>NM</v>
          </cell>
          <cell r="L59" t="str">
            <v>NM</v>
          </cell>
          <cell r="M59" t="str">
            <v>NM</v>
          </cell>
          <cell r="N59">
            <v>7.9378068739770907E-2</v>
          </cell>
          <cell r="O59" t="str">
            <v>NM</v>
          </cell>
          <cell r="P59" t="str">
            <v>NM</v>
          </cell>
          <cell r="Q59">
            <v>0.11848471454000256</v>
          </cell>
          <cell r="R59">
            <v>-1.2127997014646857E-3</v>
          </cell>
          <cell r="S59">
            <v>0.12367215406118999</v>
          </cell>
          <cell r="V59">
            <v>0.25</v>
          </cell>
          <cell r="W59" t="str">
            <v>NM</v>
          </cell>
          <cell r="X59">
            <v>0.19298245614035106</v>
          </cell>
        </row>
        <row r="60">
          <cell r="A60" t="str">
            <v xml:space="preserve"> 2Q</v>
          </cell>
          <cell r="B60">
            <v>0.19899019899019899</v>
          </cell>
          <cell r="C60">
            <v>0.19077242094349395</v>
          </cell>
          <cell r="D60">
            <v>0.20228928199791893</v>
          </cell>
          <cell r="E60">
            <v>0.31972171808832422</v>
          </cell>
          <cell r="F60">
            <v>0.28832838773491598</v>
          </cell>
          <cell r="G60">
            <v>7.0994862213919083E-2</v>
          </cell>
          <cell r="H60" t="str">
            <v>NM</v>
          </cell>
          <cell r="I60" t="str">
            <v>NM</v>
          </cell>
          <cell r="J60" t="str">
            <v>NM</v>
          </cell>
          <cell r="L60" t="str">
            <v>NM</v>
          </cell>
          <cell r="M60" t="str">
            <v>NM</v>
          </cell>
          <cell r="N60">
            <v>-7.2476089266737195E-2</v>
          </cell>
          <cell r="O60" t="str">
            <v>NM</v>
          </cell>
          <cell r="P60" t="str">
            <v>NM</v>
          </cell>
          <cell r="Q60">
            <v>-5.016461870872032E-2</v>
          </cell>
          <cell r="R60">
            <v>8.6427734314151888E-5</v>
          </cell>
          <cell r="S60">
            <v>-4.1884704031356537E-2</v>
          </cell>
          <cell r="V60">
            <v>-1.8181818181818195E-2</v>
          </cell>
          <cell r="W60" t="str">
            <v>NM</v>
          </cell>
          <cell r="X60">
            <v>-5.0000000000000044E-2</v>
          </cell>
        </row>
        <row r="61">
          <cell r="A61" t="str">
            <v xml:space="preserve"> 3Q</v>
          </cell>
          <cell r="B61">
            <v>8.2730710542028824E-2</v>
          </cell>
          <cell r="C61">
            <v>-6.9561364643331847E-2</v>
          </cell>
          <cell r="D61">
            <v>0.14783596931527596</v>
          </cell>
          <cell r="E61">
            <v>0.22957629465522009</v>
          </cell>
          <cell r="F61">
            <v>0.19287020109689207</v>
          </cell>
          <cell r="G61">
            <v>6.5126050420167947E-2</v>
          </cell>
          <cell r="H61" t="str">
            <v>NM</v>
          </cell>
          <cell r="I61" t="str">
            <v>NM</v>
          </cell>
          <cell r="J61" t="str">
            <v>NM</v>
          </cell>
          <cell r="L61" t="str">
            <v>NM</v>
          </cell>
          <cell r="M61" t="str">
            <v>NM</v>
          </cell>
          <cell r="N61">
            <v>-9.9546578730420582E-2</v>
          </cell>
          <cell r="O61" t="str">
            <v>NM</v>
          </cell>
          <cell r="P61" t="str">
            <v>NM</v>
          </cell>
          <cell r="Q61">
            <v>-7.8346770020306808E-2</v>
          </cell>
          <cell r="R61">
            <v>-8.762583457294134E-3</v>
          </cell>
          <cell r="S61">
            <v>-7.1519576878191937E-2</v>
          </cell>
          <cell r="V61">
            <v>5.8823529411764754E-2</v>
          </cell>
          <cell r="W61" t="str">
            <v>NM</v>
          </cell>
          <cell r="X61">
            <v>2.8909090909090907</v>
          </cell>
        </row>
        <row r="62">
          <cell r="A62" t="str">
            <v xml:space="preserve"> 4Q</v>
          </cell>
          <cell r="B62">
            <v>0.16236114699044166</v>
          </cell>
          <cell r="C62">
            <v>7.3197219808861957E-2</v>
          </cell>
          <cell r="D62">
            <v>0.20009191176470573</v>
          </cell>
          <cell r="E62">
            <v>0.32770745428973264</v>
          </cell>
          <cell r="F62">
            <v>0.18344425956738766</v>
          </cell>
          <cell r="G62">
            <v>8.02850356294533E-2</v>
          </cell>
          <cell r="H62" t="str">
            <v>NM</v>
          </cell>
          <cell r="I62" t="str">
            <v>NM</v>
          </cell>
          <cell r="J62" t="str">
            <v>NM</v>
          </cell>
          <cell r="L62" t="str">
            <v>NM</v>
          </cell>
          <cell r="M62" t="str">
            <v>NM</v>
          </cell>
          <cell r="N62">
            <v>-3.8573315719947522E-2</v>
          </cell>
          <cell r="O62" t="str">
            <v>NM</v>
          </cell>
          <cell r="P62" t="str">
            <v>NM</v>
          </cell>
          <cell r="Q62">
            <v>0.15550739910646641</v>
          </cell>
          <cell r="R62">
            <v>-5.4826063789297455E-2</v>
          </cell>
          <cell r="S62">
            <v>0.22258159796951291</v>
          </cell>
          <cell r="V62">
            <v>0.21276595744680848</v>
          </cell>
          <cell r="W62" t="str">
            <v>NM</v>
          </cell>
          <cell r="X62">
            <v>0.26</v>
          </cell>
        </row>
        <row r="64">
          <cell r="A64" t="str">
            <v>1995/94</v>
          </cell>
          <cell r="B64">
            <v>0.18423909237341551</v>
          </cell>
          <cell r="C64">
            <v>0.12281955111031713</v>
          </cell>
          <cell r="D64">
            <v>0.20982663260497542</v>
          </cell>
          <cell r="E64">
            <v>0.32582421511835791</v>
          </cell>
          <cell r="F64">
            <v>0.24323357577202828</v>
          </cell>
          <cell r="G64">
            <v>0.10384979664605264</v>
          </cell>
          <cell r="H64" t="str">
            <v>NM</v>
          </cell>
          <cell r="I64" t="str">
            <v>NM</v>
          </cell>
          <cell r="J64" t="str">
            <v>NM</v>
          </cell>
          <cell r="L64" t="str">
            <v>NM</v>
          </cell>
          <cell r="M64" t="str">
            <v>NM</v>
          </cell>
          <cell r="N64">
            <v>-3.1925397696105348E-2</v>
          </cell>
          <cell r="O64" t="str">
            <v>NM</v>
          </cell>
          <cell r="P64" t="str">
            <v>NM</v>
          </cell>
          <cell r="Q64">
            <v>3.0695786368777931E-2</v>
          </cell>
          <cell r="R64">
            <v>-1.6169356372476285E-2</v>
          </cell>
          <cell r="S64">
            <v>5.5045871559632871E-2</v>
          </cell>
          <cell r="V64">
            <v>0.12195121951219513</v>
          </cell>
          <cell r="W64" t="str">
            <v>NM</v>
          </cell>
          <cell r="X64">
            <v>0.81531531531531531</v>
          </cell>
        </row>
        <row r="66">
          <cell r="A66" t="str">
            <v>1995</v>
          </cell>
        </row>
        <row r="67">
          <cell r="A67" t="str">
            <v xml:space="preserve"> 1Q</v>
          </cell>
          <cell r="B67">
            <v>1717.3</v>
          </cell>
          <cell r="C67">
            <v>512.5</v>
          </cell>
          <cell r="D67">
            <v>1204.8</v>
          </cell>
          <cell r="E67">
            <v>407.2</v>
          </cell>
          <cell r="F67">
            <v>236.7</v>
          </cell>
          <cell r="G67">
            <v>560.89999999999986</v>
          </cell>
          <cell r="H67">
            <v>-52.300000000000004</v>
          </cell>
          <cell r="I67">
            <v>35</v>
          </cell>
          <cell r="J67">
            <v>-25</v>
          </cell>
          <cell r="L67">
            <v>9</v>
          </cell>
          <cell r="M67">
            <v>-33.300000000000004</v>
          </cell>
          <cell r="N67">
            <v>527.59999999999991</v>
          </cell>
          <cell r="O67">
            <v>0.29018195602729346</v>
          </cell>
          <cell r="P67">
            <v>153.1</v>
          </cell>
          <cell r="Q67">
            <v>374.49999999999989</v>
          </cell>
          <cell r="R67">
            <v>1156.248</v>
          </cell>
          <cell r="S67">
            <v>0.32500000000000001</v>
          </cell>
          <cell r="V67">
            <v>0.32500000000000001</v>
          </cell>
          <cell r="W67">
            <v>1.4999999999999999E-2</v>
          </cell>
          <cell r="X67">
            <v>0.34</v>
          </cell>
        </row>
        <row r="68">
          <cell r="A68" t="str">
            <v xml:space="preserve"> 2Q</v>
          </cell>
          <cell r="B68">
            <v>1614.8</v>
          </cell>
          <cell r="C68">
            <v>459.4</v>
          </cell>
          <cell r="D68">
            <v>1155.4000000000001</v>
          </cell>
          <cell r="E68">
            <v>436.3</v>
          </cell>
          <cell r="F68">
            <v>260.5</v>
          </cell>
          <cell r="G68">
            <v>458.60000000000014</v>
          </cell>
          <cell r="H68">
            <v>-52.2</v>
          </cell>
          <cell r="I68">
            <v>40</v>
          </cell>
          <cell r="J68">
            <v>-25</v>
          </cell>
          <cell r="L68">
            <v>15</v>
          </cell>
          <cell r="M68">
            <v>-22.200000000000003</v>
          </cell>
          <cell r="N68">
            <v>436.40000000000015</v>
          </cell>
          <cell r="O68">
            <v>0.29032997250229137</v>
          </cell>
          <cell r="P68">
            <v>126.7</v>
          </cell>
          <cell r="Q68">
            <v>309.70000000000016</v>
          </cell>
          <cell r="R68">
            <v>1157.136</v>
          </cell>
          <cell r="S68">
            <v>0.27</v>
          </cell>
          <cell r="V68">
            <v>0.27</v>
          </cell>
          <cell r="W68">
            <v>1.4999999999999999E-2</v>
          </cell>
          <cell r="X68">
            <v>0.28499999999999998</v>
          </cell>
        </row>
        <row r="69">
          <cell r="A69" t="str">
            <v xml:space="preserve"> 3Q</v>
          </cell>
          <cell r="B69">
            <v>1632</v>
          </cell>
          <cell r="C69">
            <v>420</v>
          </cell>
          <cell r="D69">
            <v>1212</v>
          </cell>
          <cell r="E69">
            <v>444</v>
          </cell>
          <cell r="F69">
            <v>261</v>
          </cell>
          <cell r="G69">
            <v>507</v>
          </cell>
          <cell r="H69">
            <v>-52.1</v>
          </cell>
          <cell r="I69">
            <v>0</v>
          </cell>
          <cell r="J69">
            <v>-25</v>
          </cell>
          <cell r="L69">
            <v>7</v>
          </cell>
          <cell r="M69">
            <v>-70.099999999999994</v>
          </cell>
          <cell r="N69">
            <v>436.9</v>
          </cell>
          <cell r="O69">
            <v>0.29068436713206686</v>
          </cell>
          <cell r="P69">
            <v>127</v>
          </cell>
          <cell r="Q69">
            <v>309.89999999999998</v>
          </cell>
          <cell r="R69">
            <v>1146.1479999999999</v>
          </cell>
          <cell r="S69">
            <v>0.27</v>
          </cell>
          <cell r="V69">
            <v>0.27</v>
          </cell>
          <cell r="W69">
            <v>5.0000000000000001E-3</v>
          </cell>
          <cell r="X69">
            <v>1.07</v>
          </cell>
        </row>
        <row r="70">
          <cell r="A70" t="str">
            <v xml:space="preserve"> 4Q</v>
          </cell>
          <cell r="B70">
            <v>1799.8</v>
          </cell>
          <cell r="C70">
            <v>494.1</v>
          </cell>
          <cell r="D70">
            <v>1305.6999999999998</v>
          </cell>
          <cell r="E70">
            <v>566.4</v>
          </cell>
          <cell r="F70">
            <v>284.5</v>
          </cell>
          <cell r="G70">
            <v>454.79999999999984</v>
          </cell>
          <cell r="H70">
            <v>-50.4</v>
          </cell>
          <cell r="I70">
            <v>0</v>
          </cell>
          <cell r="J70">
            <v>-25.9</v>
          </cell>
          <cell r="L70">
            <v>-14.6</v>
          </cell>
          <cell r="M70">
            <v>-90.899999999999991</v>
          </cell>
          <cell r="N70">
            <v>363.89999999999986</v>
          </cell>
          <cell r="O70">
            <v>0.14427040395713114</v>
          </cell>
          <cell r="P70">
            <v>52.5</v>
          </cell>
          <cell r="Q70">
            <v>311.39999999999986</v>
          </cell>
          <cell r="R70">
            <v>1092.674</v>
          </cell>
          <cell r="S70">
            <v>0.28499999999999998</v>
          </cell>
          <cell r="V70">
            <v>0.28499999999999998</v>
          </cell>
          <cell r="W70">
            <v>0.02</v>
          </cell>
          <cell r="X70">
            <v>0.315</v>
          </cell>
        </row>
        <row r="72">
          <cell r="A72" t="str">
            <v>1995</v>
          </cell>
          <cell r="B72">
            <v>6763.9000000000005</v>
          </cell>
          <cell r="C72">
            <v>1886</v>
          </cell>
          <cell r="D72">
            <v>4877.9000000000005</v>
          </cell>
          <cell r="E72">
            <v>1853.9</v>
          </cell>
          <cell r="F72">
            <v>1042.7</v>
          </cell>
          <cell r="G72">
            <v>1981.2999999999997</v>
          </cell>
          <cell r="H72">
            <v>-207</v>
          </cell>
          <cell r="I72">
            <v>75</v>
          </cell>
          <cell r="J72">
            <v>-100.9</v>
          </cell>
          <cell r="L72">
            <v>16.399999999999999</v>
          </cell>
          <cell r="M72">
            <v>-216.5</v>
          </cell>
          <cell r="N72">
            <v>1764.8</v>
          </cell>
          <cell r="O72">
            <v>0.26025611967361745</v>
          </cell>
          <cell r="P72">
            <v>459.3</v>
          </cell>
          <cell r="Q72">
            <v>1305.5</v>
          </cell>
          <cell r="R72">
            <v>1138.0519999999999</v>
          </cell>
          <cell r="S72">
            <v>1.1499999999999999</v>
          </cell>
          <cell r="V72">
            <v>1.1499999999999999</v>
          </cell>
          <cell r="W72" t="str">
            <v xml:space="preserve">       --</v>
          </cell>
          <cell r="X72">
            <v>2.0150000000000001</v>
          </cell>
        </row>
        <row r="74">
          <cell r="A74" t="str">
            <v>1996/95</v>
          </cell>
        </row>
        <row r="75">
          <cell r="A75" t="str">
            <v xml:space="preserve"> 1Q</v>
          </cell>
          <cell r="B75">
            <v>3.8432422989576664E-2</v>
          </cell>
          <cell r="C75">
            <v>1.073170731707318E-2</v>
          </cell>
          <cell r="D75">
            <v>5.021580345285525E-2</v>
          </cell>
          <cell r="E75">
            <v>0.12966601178781928</v>
          </cell>
          <cell r="F75">
            <v>0.1660329531051965</v>
          </cell>
          <cell r="G75">
            <v>-5.6338028169013933E-2</v>
          </cell>
          <cell r="H75">
            <v>-1.5296367112810651E-2</v>
          </cell>
          <cell r="I75">
            <v>-5.7142857142857162E-2</v>
          </cell>
          <cell r="J75">
            <v>0</v>
          </cell>
          <cell r="L75" t="str">
            <v>NM</v>
          </cell>
          <cell r="M75" t="str">
            <v>NM</v>
          </cell>
          <cell r="N75">
            <v>-5.8377558756633738E-2</v>
          </cell>
          <cell r="O75">
            <v>-0.1143487916394515</v>
          </cell>
          <cell r="P75">
            <v>-0.16605094709340298</v>
          </cell>
          <cell r="Q75">
            <v>-1.4359412550066536E-2</v>
          </cell>
          <cell r="R75">
            <v>-5.4100850336606054E-2</v>
          </cell>
          <cell r="S75">
            <v>1.5384615384615398E-2</v>
          </cell>
          <cell r="V75">
            <v>9.2307692307692216E-2</v>
          </cell>
          <cell r="W75" t="str">
            <v>NM</v>
          </cell>
          <cell r="X75">
            <v>2.9411764705882214E-2</v>
          </cell>
        </row>
        <row r="76">
          <cell r="A76" t="str">
            <v xml:space="preserve"> 2Q</v>
          </cell>
          <cell r="B76">
            <v>5.1709189992568738E-2</v>
          </cell>
          <cell r="C76">
            <v>9.9477579451458631E-2</v>
          </cell>
          <cell r="D76">
            <v>3.2715942530725052E-2</v>
          </cell>
          <cell r="E76">
            <v>9.7868439147375627E-2</v>
          </cell>
          <cell r="F76">
            <v>4.9520153550863637E-2</v>
          </cell>
          <cell r="G76">
            <v>-3.8813781072830983E-2</v>
          </cell>
          <cell r="H76">
            <v>-3.6398467432950297E-2</v>
          </cell>
          <cell r="I76">
            <v>-5.0000000000000044E-2</v>
          </cell>
          <cell r="J76">
            <v>0</v>
          </cell>
          <cell r="L76" t="str">
            <v>NM</v>
          </cell>
          <cell r="M76" t="str">
            <v>NM</v>
          </cell>
          <cell r="N76">
            <v>2.7726856095324652E-2</v>
          </cell>
          <cell r="O76">
            <v>-0.11480031570639269</v>
          </cell>
          <cell r="P76">
            <v>-9.0256511444357118E-2</v>
          </cell>
          <cell r="Q76">
            <v>7.5994510816918687E-2</v>
          </cell>
          <cell r="R76">
            <v>-5.4083530371537902E-2</v>
          </cell>
          <cell r="S76">
            <v>0.14814814814814806</v>
          </cell>
          <cell r="V76">
            <v>0.1666666666666666</v>
          </cell>
          <cell r="W76" t="str">
            <v>NM</v>
          </cell>
          <cell r="X76">
            <v>8.7719298245614127E-2</v>
          </cell>
        </row>
        <row r="77">
          <cell r="A77" t="str">
            <v xml:space="preserve"> 3Q</v>
          </cell>
          <cell r="B77">
            <v>0.10533088235294123</v>
          </cell>
          <cell r="C77">
            <v>0.19738095238095243</v>
          </cell>
          <cell r="D77">
            <v>7.3432343234323433E-2</v>
          </cell>
          <cell r="E77">
            <v>3.1756756756756807E-2</v>
          </cell>
          <cell r="F77">
            <v>0.11379310344827581</v>
          </cell>
          <cell r="G77">
            <v>8.9151873767258472E-2</v>
          </cell>
          <cell r="H77">
            <v>9.5969289827253917E-3</v>
          </cell>
          <cell r="I77" t="str">
            <v>NM</v>
          </cell>
          <cell r="J77">
            <v>0</v>
          </cell>
          <cell r="L77" t="str">
            <v>NM</v>
          </cell>
          <cell r="M77" t="str">
            <v>NM</v>
          </cell>
          <cell r="N77">
            <v>0.10917830167086301</v>
          </cell>
          <cell r="O77">
            <v>-0.11587952755905516</v>
          </cell>
          <cell r="P77">
            <v>-1.9352755905511745E-2</v>
          </cell>
          <cell r="Q77">
            <v>0.16185156502097472</v>
          </cell>
          <cell r="R77">
            <v>-4.6430303939805295E-2</v>
          </cell>
          <cell r="S77">
            <v>0.14814814814814806</v>
          </cell>
          <cell r="V77">
            <v>0.40740740740740733</v>
          </cell>
          <cell r="W77" t="str">
            <v>NM</v>
          </cell>
          <cell r="X77">
            <v>-0.65420560747663559</v>
          </cell>
        </row>
        <row r="78">
          <cell r="A78" t="str">
            <v xml:space="preserve"> 4Q</v>
          </cell>
          <cell r="B78">
            <v>0.14518279808867648</v>
          </cell>
          <cell r="C78">
            <v>0.19894758146124247</v>
          </cell>
          <cell r="D78">
            <v>0.12483725204870952</v>
          </cell>
          <cell r="E78">
            <v>2.3658192090395443E-2</v>
          </cell>
          <cell r="F78">
            <v>0.22811950790861152</v>
          </cell>
          <cell r="G78">
            <v>0.18623570800351819</v>
          </cell>
          <cell r="H78">
            <v>3.968253968253968E-2</v>
          </cell>
          <cell r="I78" t="str">
            <v>NM</v>
          </cell>
          <cell r="J78">
            <v>-3.474903474903468E-2</v>
          </cell>
          <cell r="L78" t="str">
            <v>NM</v>
          </cell>
          <cell r="M78" t="str">
            <v>NM</v>
          </cell>
          <cell r="N78">
            <v>0.32756251717504836</v>
          </cell>
          <cell r="O78">
            <v>0.57538989265753859</v>
          </cell>
          <cell r="P78">
            <v>1.0914285714285714</v>
          </cell>
          <cell r="Q78">
            <v>0.19877970456005159</v>
          </cell>
          <cell r="R78">
            <v>1.6711297239615508E-3</v>
          </cell>
          <cell r="S78">
            <v>0.15789473684210542</v>
          </cell>
          <cell r="V78">
            <v>0.15789473684210542</v>
          </cell>
          <cell r="W78" t="str">
            <v>NM</v>
          </cell>
          <cell r="X78">
            <v>4.7619047619047658E-2</v>
          </cell>
        </row>
        <row r="80">
          <cell r="A80" t="str">
            <v>1996/95</v>
          </cell>
          <cell r="B80">
            <v>8.6148523780659056E-2</v>
          </cell>
          <cell r="C80">
            <v>0.12322375397667029</v>
          </cell>
          <cell r="D80">
            <v>7.1813690317554524E-2</v>
          </cell>
          <cell r="E80">
            <v>6.6346620637574835E-2</v>
          </cell>
          <cell r="F80">
            <v>0.14078833796873497</v>
          </cell>
          <cell r="G80">
            <v>4.0629889466511665E-2</v>
          </cell>
          <cell r="H80">
            <v>-9.6618357487917217E-4</v>
          </cell>
          <cell r="I80">
            <v>-5.3333333333333344E-2</v>
          </cell>
          <cell r="J80">
            <v>-8.9197224975223754E-3</v>
          </cell>
          <cell r="L80" t="str">
            <v>NM</v>
          </cell>
          <cell r="M80" t="str">
            <v>NM</v>
          </cell>
          <cell r="N80">
            <v>8.3975521305530265E-2</v>
          </cell>
          <cell r="O80">
            <v>-4.1347457601848742E-2</v>
          </cell>
          <cell r="P80">
            <v>3.9155889396908131E-2</v>
          </cell>
          <cell r="Q80">
            <v>9.97439295289161E-2</v>
          </cell>
          <cell r="R80">
            <v>-3.8778544389887148E-2</v>
          </cell>
          <cell r="S80">
            <v>0.11304347826086968</v>
          </cell>
          <cell r="V80">
            <v>0.2</v>
          </cell>
          <cell r="W80" t="str">
            <v>NM</v>
          </cell>
          <cell r="X80">
            <v>-0.32506203473945411</v>
          </cell>
        </row>
        <row r="82">
          <cell r="A82" t="str">
            <v>1996</v>
          </cell>
        </row>
        <row r="83">
          <cell r="A83" t="str">
            <v xml:space="preserve"> 1Q (b)</v>
          </cell>
          <cell r="B83">
            <v>1783.3</v>
          </cell>
          <cell r="C83">
            <v>518</v>
          </cell>
          <cell r="D83">
            <v>1265.3</v>
          </cell>
          <cell r="E83">
            <v>460</v>
          </cell>
          <cell r="F83">
            <v>276</v>
          </cell>
          <cell r="G83">
            <v>529.29999999999995</v>
          </cell>
          <cell r="H83">
            <v>-51.500000000000007</v>
          </cell>
          <cell r="I83">
            <v>33</v>
          </cell>
          <cell r="J83">
            <v>-25</v>
          </cell>
          <cell r="L83">
            <v>11</v>
          </cell>
          <cell r="M83">
            <v>-32.500000000000007</v>
          </cell>
          <cell r="N83">
            <v>496.79999999999995</v>
          </cell>
          <cell r="O83">
            <v>0.25700000000000001</v>
          </cell>
          <cell r="P83">
            <v>127.6776</v>
          </cell>
          <cell r="Q83">
            <v>369.12239999999997</v>
          </cell>
          <cell r="R83">
            <v>1093.694</v>
          </cell>
          <cell r="S83">
            <v>0.33</v>
          </cell>
          <cell r="V83">
            <v>0.35499999999999998</v>
          </cell>
          <cell r="W83" t="str">
            <v xml:space="preserve">       --</v>
          </cell>
          <cell r="X83">
            <v>0.35</v>
          </cell>
        </row>
        <row r="84">
          <cell r="A84" t="str">
            <v xml:space="preserve"> 2Q (c)</v>
          </cell>
          <cell r="B84">
            <v>1698.3</v>
          </cell>
          <cell r="C84">
            <v>505.1</v>
          </cell>
          <cell r="D84">
            <v>1193.1999999999998</v>
          </cell>
          <cell r="E84">
            <v>479</v>
          </cell>
          <cell r="F84">
            <v>273.39999999999998</v>
          </cell>
          <cell r="G84">
            <v>440.79999999999984</v>
          </cell>
          <cell r="H84">
            <v>-50.3</v>
          </cell>
          <cell r="I84">
            <v>38</v>
          </cell>
          <cell r="J84">
            <v>-25</v>
          </cell>
          <cell r="L84">
            <v>45</v>
          </cell>
          <cell r="M84">
            <v>7.7000000000000028</v>
          </cell>
          <cell r="N84">
            <v>448.49999999999983</v>
          </cell>
          <cell r="O84">
            <v>0.25700000000000001</v>
          </cell>
          <cell r="P84">
            <v>115.26449999999996</v>
          </cell>
          <cell r="Q84">
            <v>333.23549999999989</v>
          </cell>
          <cell r="R84">
            <v>1094.5540000000001</v>
          </cell>
          <cell r="S84">
            <v>0.31</v>
          </cell>
          <cell r="V84">
            <v>0.315</v>
          </cell>
          <cell r="W84" t="str">
            <v xml:space="preserve">       --</v>
          </cell>
          <cell r="X84">
            <v>0.31</v>
          </cell>
        </row>
        <row r="85">
          <cell r="A85" t="str">
            <v xml:space="preserve"> 3Q (d)</v>
          </cell>
          <cell r="B85">
            <v>1803.9</v>
          </cell>
          <cell r="C85">
            <v>502.9</v>
          </cell>
          <cell r="D85">
            <v>1301</v>
          </cell>
          <cell r="E85">
            <v>458.1</v>
          </cell>
          <cell r="F85">
            <v>290.7</v>
          </cell>
          <cell r="G85">
            <v>552.20000000000005</v>
          </cell>
          <cell r="H85">
            <v>-52.599999999999994</v>
          </cell>
          <cell r="I85">
            <v>0</v>
          </cell>
          <cell r="J85">
            <v>-25</v>
          </cell>
          <cell r="L85">
            <v>10</v>
          </cell>
          <cell r="M85">
            <v>-67.599999999999994</v>
          </cell>
          <cell r="N85">
            <v>484.6</v>
          </cell>
          <cell r="O85">
            <v>0.25700000000000001</v>
          </cell>
          <cell r="P85">
            <v>124.54220000000001</v>
          </cell>
          <cell r="Q85">
            <v>360.05780000000004</v>
          </cell>
          <cell r="R85">
            <v>1092.932</v>
          </cell>
          <cell r="S85">
            <v>0.31</v>
          </cell>
          <cell r="V85">
            <v>0.38</v>
          </cell>
          <cell r="W85" t="str">
            <v xml:space="preserve">       --</v>
          </cell>
          <cell r="X85">
            <v>0.37</v>
          </cell>
        </row>
        <row r="86">
          <cell r="A86" t="str">
            <v xml:space="preserve"> 4Q</v>
          </cell>
          <cell r="B86">
            <v>2061.1</v>
          </cell>
          <cell r="C86">
            <v>592.4</v>
          </cell>
          <cell r="D86">
            <v>1468.6999999999998</v>
          </cell>
          <cell r="E86">
            <v>579.79999999999995</v>
          </cell>
          <cell r="F86">
            <v>349.4</v>
          </cell>
          <cell r="G86">
            <v>539.49999999999989</v>
          </cell>
          <cell r="H86">
            <v>-52.4</v>
          </cell>
          <cell r="I86">
            <v>0</v>
          </cell>
          <cell r="J86">
            <v>-25</v>
          </cell>
          <cell r="L86">
            <v>21</v>
          </cell>
          <cell r="M86">
            <v>-56.400000000000006</v>
          </cell>
          <cell r="N86">
            <v>483.09999999999991</v>
          </cell>
          <cell r="O86">
            <v>0.22728213620368456</v>
          </cell>
          <cell r="P86">
            <v>109.8</v>
          </cell>
          <cell r="Q86">
            <v>373.2999999999999</v>
          </cell>
          <cell r="R86">
            <v>1094.5</v>
          </cell>
          <cell r="S86">
            <v>0.33</v>
          </cell>
          <cell r="V86">
            <v>0.33</v>
          </cell>
          <cell r="W86" t="str">
            <v xml:space="preserve">       --</v>
          </cell>
          <cell r="X86">
            <v>0.33</v>
          </cell>
        </row>
        <row r="88">
          <cell r="A88" t="str">
            <v>Year</v>
          </cell>
          <cell r="B88">
            <v>7346.6</v>
          </cell>
          <cell r="C88">
            <v>2118.4</v>
          </cell>
          <cell r="D88">
            <v>5228.2</v>
          </cell>
          <cell r="E88">
            <v>1976.9</v>
          </cell>
          <cell r="F88">
            <v>1189.5</v>
          </cell>
          <cell r="G88">
            <v>2061.7999999999993</v>
          </cell>
          <cell r="H88">
            <v>-206.8</v>
          </cell>
          <cell r="I88">
            <v>71</v>
          </cell>
          <cell r="J88">
            <v>-100</v>
          </cell>
          <cell r="L88">
            <v>87</v>
          </cell>
          <cell r="M88">
            <v>-148.80000000000001</v>
          </cell>
          <cell r="N88">
            <v>1912.9999999999998</v>
          </cell>
          <cell r="O88">
            <v>0.24949519079979088</v>
          </cell>
          <cell r="P88">
            <v>477.28429999999992</v>
          </cell>
          <cell r="Q88">
            <v>1435.7157</v>
          </cell>
          <cell r="R88">
            <v>1093.92</v>
          </cell>
          <cell r="S88">
            <v>1.28</v>
          </cell>
          <cell r="V88">
            <v>1.38</v>
          </cell>
          <cell r="W88" t="str">
            <v xml:space="preserve">       --</v>
          </cell>
          <cell r="X88">
            <v>1.36</v>
          </cell>
        </row>
        <row r="90">
          <cell r="A90" t="str">
            <v>1997/96</v>
          </cell>
        </row>
        <row r="91">
          <cell r="A91" t="str">
            <v xml:space="preserve"> 1Q</v>
          </cell>
          <cell r="B91">
            <v>9.5160657208545982E-2</v>
          </cell>
          <cell r="C91">
            <v>4.4980694980694895E-2</v>
          </cell>
          <cell r="D91">
            <v>0.11570378566347909</v>
          </cell>
          <cell r="E91">
            <v>2.5434782608695628E-2</v>
          </cell>
          <cell r="F91">
            <v>9.1304347826086915E-2</v>
          </cell>
          <cell r="G91">
            <v>0.2068770073682222</v>
          </cell>
          <cell r="H91">
            <v>-0.10873786407766992</v>
          </cell>
          <cell r="I91">
            <v>-0.36363636363636365</v>
          </cell>
          <cell r="J91">
            <v>0</v>
          </cell>
          <cell r="L91">
            <v>7.2727272727272793E-2</v>
          </cell>
          <cell r="M91">
            <v>0.1723076923076923</v>
          </cell>
          <cell r="N91">
            <v>0.20913848631239934</v>
          </cell>
          <cell r="O91">
            <v>-2.7075415905827124E-2</v>
          </cell>
          <cell r="P91">
            <v>0.17640055890774883</v>
          </cell>
          <cell r="Q91">
            <v>0.22046237237295807</v>
          </cell>
          <cell r="R91">
            <v>2.9125148350452726E-2</v>
          </cell>
          <cell r="S91">
            <v>0.21212121212121213</v>
          </cell>
          <cell r="V91">
            <v>0.1267605633802818</v>
          </cell>
          <cell r="W91" t="str">
            <v>NM</v>
          </cell>
          <cell r="X91">
            <v>8.5714285714285798E-2</v>
          </cell>
        </row>
        <row r="92">
          <cell r="A92" t="str">
            <v xml:space="preserve"> 2Q</v>
          </cell>
          <cell r="B92">
            <v>0.17099452393570047</v>
          </cell>
          <cell r="C92">
            <v>8.6517521282914137E-2</v>
          </cell>
          <cell r="D92">
            <v>0.20675494468655742</v>
          </cell>
          <cell r="E92">
            <v>0.15302713987473895</v>
          </cell>
          <cell r="F92">
            <v>0.19495245062179961</v>
          </cell>
          <cell r="G92">
            <v>0.27245916515426566</v>
          </cell>
          <cell r="H92">
            <v>-0.10337972166998004</v>
          </cell>
          <cell r="I92">
            <v>0</v>
          </cell>
          <cell r="J92">
            <v>0</v>
          </cell>
          <cell r="L92">
            <v>-0.37777777777777777</v>
          </cell>
          <cell r="M92" t="str">
            <v>NM</v>
          </cell>
          <cell r="N92">
            <v>0.24147157190635513</v>
          </cell>
          <cell r="O92">
            <v>-2.7936177825484364E-2</v>
          </cell>
          <cell r="P92">
            <v>0.20678960130829568</v>
          </cell>
          <cell r="Q92">
            <v>0.25346789282654514</v>
          </cell>
          <cell r="R92">
            <v>2.9580998287887055E-2</v>
          </cell>
          <cell r="S92">
            <v>0.19354838709677419</v>
          </cell>
          <cell r="V92">
            <v>0.20634920634920637</v>
          </cell>
          <cell r="W92" t="str">
            <v>NM</v>
          </cell>
          <cell r="X92" t="str">
            <v>NM</v>
          </cell>
        </row>
        <row r="93">
          <cell r="A93" t="str">
            <v xml:space="preserve"> 3Q</v>
          </cell>
          <cell r="B93">
            <v>0.19746105659958968</v>
          </cell>
          <cell r="C93">
            <v>0.16882083913302839</v>
          </cell>
          <cell r="D93">
            <v>0.2085318985395849</v>
          </cell>
          <cell r="E93">
            <v>0.28181619733682606</v>
          </cell>
          <cell r="F93">
            <v>0.18816649466804261</v>
          </cell>
          <cell r="G93">
            <v>0.15845708076783752</v>
          </cell>
          <cell r="H93">
            <v>-0.38403041825095052</v>
          </cell>
          <cell r="I93" t="str">
            <v>NM</v>
          </cell>
          <cell r="J93">
            <v>-0.7</v>
          </cell>
          <cell r="L93">
            <v>-1.1099999999999999</v>
          </cell>
          <cell r="M93">
            <v>-0.39349112426035499</v>
          </cell>
          <cell r="N93">
            <v>0.23545191910854293</v>
          </cell>
          <cell r="O93">
            <v>-2.7074874939801367E-2</v>
          </cell>
          <cell r="P93">
            <v>0.20200221290454143</v>
          </cell>
          <cell r="Q93">
            <v>0.24702200591127282</v>
          </cell>
          <cell r="R93">
            <v>3.3780692668894378E-2</v>
          </cell>
          <cell r="S93">
            <v>0.29032258064516137</v>
          </cell>
          <cell r="V93">
            <v>5.2631578947368467E-2</v>
          </cell>
          <cell r="W93" t="str">
            <v>NM</v>
          </cell>
          <cell r="X93">
            <v>8.1081081081081155E-2</v>
          </cell>
        </row>
        <row r="94">
          <cell r="A94" t="str">
            <v xml:space="preserve"> 4Q</v>
          </cell>
          <cell r="B94">
            <v>0.1720925719276116</v>
          </cell>
          <cell r="C94">
            <v>0.15631330182309255</v>
          </cell>
          <cell r="D94">
            <v>0.17845713896643317</v>
          </cell>
          <cell r="E94">
            <v>0.17764746464298034</v>
          </cell>
          <cell r="F94">
            <v>0.16971951917572986</v>
          </cell>
          <cell r="G94">
            <v>0.18498609823911089</v>
          </cell>
          <cell r="H94">
            <v>-0.59732824427480913</v>
          </cell>
          <cell r="I94" t="str">
            <v>NM</v>
          </cell>
          <cell r="J94">
            <v>-0.7</v>
          </cell>
          <cell r="L94">
            <v>-1.0333333333333332</v>
          </cell>
          <cell r="M94">
            <v>-0.48049645390070927</v>
          </cell>
          <cell r="N94">
            <v>0.26267853446491479</v>
          </cell>
          <cell r="O94">
            <v>9.9954462659380197E-2</v>
          </cell>
          <cell r="P94">
            <v>0.38888888888888895</v>
          </cell>
          <cell r="Q94">
            <v>0.22555585320117963</v>
          </cell>
          <cell r="R94">
            <v>3.4762905436272272E-2</v>
          </cell>
          <cell r="S94">
            <v>0.21212121212121213</v>
          </cell>
          <cell r="V94">
            <v>0.21212121212121213</v>
          </cell>
          <cell r="W94" t="str">
            <v>NM</v>
          </cell>
          <cell r="X94">
            <v>0.21212121212121213</v>
          </cell>
        </row>
        <row r="96">
          <cell r="A96" t="str">
            <v>Year</v>
          </cell>
          <cell r="B96">
            <v>0.15939346092069775</v>
          </cell>
          <cell r="C96">
            <v>0.11541729607250734</v>
          </cell>
          <cell r="D96">
            <v>0.17721204238552485</v>
          </cell>
          <cell r="E96">
            <v>0.16040265061459857</v>
          </cell>
          <cell r="F96">
            <v>0.16183270281630938</v>
          </cell>
          <cell r="G96">
            <v>0.20220195945290578</v>
          </cell>
          <cell r="H96">
            <v>-0.30125725338491299</v>
          </cell>
          <cell r="I96">
            <v>-0.16901408450704225</v>
          </cell>
          <cell r="J96">
            <v>-0.35</v>
          </cell>
          <cell r="L96">
            <v>-0.56321839080459779</v>
          </cell>
          <cell r="M96">
            <v>-0.24395161290322576</v>
          </cell>
          <cell r="N96">
            <v>0.23690538421327786</v>
          </cell>
          <cell r="O96">
            <v>1.9386276402102781E-3</v>
          </cell>
          <cell r="P96">
            <v>0.23930328317943855</v>
          </cell>
          <cell r="Q96">
            <v>0.23610823507746018</v>
          </cell>
          <cell r="R96">
            <v>3.1812198332601974E-2</v>
          </cell>
          <cell r="S96">
            <v>0.22656250000000003</v>
          </cell>
          <cell r="V96">
            <v>0.1449275362318842</v>
          </cell>
          <cell r="W96" t="str">
            <v>NM</v>
          </cell>
          <cell r="X96" t="str">
            <v>NM</v>
          </cell>
        </row>
        <row r="98">
          <cell r="A98" t="str">
            <v>1997</v>
          </cell>
        </row>
        <row r="99">
          <cell r="A99" t="str">
            <v xml:space="preserve"> 1Q (a)</v>
          </cell>
          <cell r="B99">
            <v>1953</v>
          </cell>
          <cell r="C99">
            <v>541.29999999999995</v>
          </cell>
          <cell r="D99">
            <v>1411.7</v>
          </cell>
          <cell r="E99">
            <v>471.7</v>
          </cell>
          <cell r="F99">
            <v>301.2</v>
          </cell>
          <cell r="G99">
            <v>638.79999999999995</v>
          </cell>
          <cell r="H99">
            <v>-45.900000000000006</v>
          </cell>
          <cell r="I99">
            <v>21</v>
          </cell>
          <cell r="J99">
            <v>-25</v>
          </cell>
          <cell r="L99">
            <v>11.8</v>
          </cell>
          <cell r="M99">
            <v>-38.100000000000009</v>
          </cell>
          <cell r="N99">
            <v>600.69999999999993</v>
          </cell>
          <cell r="O99">
            <v>0.25004161811220244</v>
          </cell>
          <cell r="P99">
            <v>150.19999999999999</v>
          </cell>
          <cell r="Q99">
            <v>450.49999999999994</v>
          </cell>
          <cell r="R99">
            <v>1125.548</v>
          </cell>
          <cell r="S99">
            <v>0.4</v>
          </cell>
          <cell r="U99">
            <v>0.18</v>
          </cell>
          <cell r="V99">
            <v>0.4</v>
          </cell>
          <cell r="W99">
            <v>0.4</v>
          </cell>
          <cell r="X99">
            <v>0.38</v>
          </cell>
        </row>
        <row r="100">
          <cell r="A100" t="str">
            <v xml:space="preserve"> 2Q (b)</v>
          </cell>
          <cell r="B100">
            <v>1988.7</v>
          </cell>
          <cell r="C100">
            <v>548.79999999999995</v>
          </cell>
          <cell r="D100">
            <v>1439.9</v>
          </cell>
          <cell r="E100">
            <v>552.29999999999995</v>
          </cell>
          <cell r="F100">
            <v>326.7</v>
          </cell>
          <cell r="G100">
            <v>560.90000000000009</v>
          </cell>
          <cell r="H100">
            <v>-45.1</v>
          </cell>
          <cell r="I100">
            <v>38</v>
          </cell>
          <cell r="J100">
            <v>-25</v>
          </cell>
          <cell r="L100">
            <v>28</v>
          </cell>
          <cell r="M100">
            <v>-4.1000000000000014</v>
          </cell>
          <cell r="N100">
            <v>556.80000000000007</v>
          </cell>
          <cell r="O100">
            <v>0.24982040229885052</v>
          </cell>
          <cell r="P100">
            <v>139.1</v>
          </cell>
          <cell r="Q100">
            <v>417.70000000000005</v>
          </cell>
          <cell r="R100">
            <v>1126.932</v>
          </cell>
          <cell r="S100">
            <v>0.37</v>
          </cell>
          <cell r="U100">
            <v>0.18</v>
          </cell>
          <cell r="V100">
            <v>0.38</v>
          </cell>
          <cell r="W100" t="str">
            <v xml:space="preserve">       --</v>
          </cell>
          <cell r="X100">
            <v>-1.57</v>
          </cell>
        </row>
        <row r="101">
          <cell r="A101" t="str">
            <v xml:space="preserve"> 3Q</v>
          </cell>
          <cell r="B101">
            <v>2160.1</v>
          </cell>
          <cell r="C101">
            <v>587.79999999999995</v>
          </cell>
          <cell r="D101">
            <v>1572.3</v>
          </cell>
          <cell r="E101">
            <v>587.20000000000005</v>
          </cell>
          <cell r="F101">
            <v>345.4</v>
          </cell>
          <cell r="G101">
            <v>639.69999999999993</v>
          </cell>
          <cell r="H101">
            <v>-32.4</v>
          </cell>
          <cell r="I101">
            <v>0</v>
          </cell>
          <cell r="J101">
            <v>-7.5</v>
          </cell>
          <cell r="L101">
            <v>-1.1000000000000001</v>
          </cell>
          <cell r="M101">
            <v>-41</v>
          </cell>
          <cell r="N101">
            <v>598.69999999999993</v>
          </cell>
          <cell r="O101">
            <v>0.25004175714047105</v>
          </cell>
          <cell r="P101">
            <v>149.69999999999999</v>
          </cell>
          <cell r="Q101">
            <v>448.99999999999994</v>
          </cell>
          <cell r="R101">
            <v>1129.8520000000001</v>
          </cell>
          <cell r="S101">
            <v>0.4</v>
          </cell>
          <cell r="U101">
            <v>0.18</v>
          </cell>
          <cell r="V101">
            <v>0.4</v>
          </cell>
          <cell r="W101">
            <v>0.4</v>
          </cell>
          <cell r="X101">
            <v>0.4</v>
          </cell>
        </row>
        <row r="102">
          <cell r="A102" t="str">
            <v xml:space="preserve"> 4Q</v>
          </cell>
          <cell r="B102">
            <v>2415.8000000000002</v>
          </cell>
          <cell r="C102">
            <v>685</v>
          </cell>
          <cell r="D102">
            <v>1730.8000000000002</v>
          </cell>
          <cell r="E102">
            <v>682.8</v>
          </cell>
          <cell r="F102">
            <v>408.7</v>
          </cell>
          <cell r="G102">
            <v>639.30000000000018</v>
          </cell>
          <cell r="H102">
            <v>-21.1</v>
          </cell>
          <cell r="I102">
            <v>0</v>
          </cell>
          <cell r="J102">
            <v>-7.5</v>
          </cell>
          <cell r="L102">
            <v>-0.7</v>
          </cell>
          <cell r="M102">
            <v>-29.3</v>
          </cell>
          <cell r="N102">
            <v>610.00000000000023</v>
          </cell>
          <cell r="O102">
            <v>0.24999999999999992</v>
          </cell>
          <cell r="P102">
            <v>152.5</v>
          </cell>
          <cell r="Q102">
            <v>457.50000000000023</v>
          </cell>
          <cell r="R102">
            <v>1132.548</v>
          </cell>
          <cell r="S102">
            <v>0.4</v>
          </cell>
          <cell r="U102">
            <v>0.2</v>
          </cell>
          <cell r="V102">
            <v>0.4</v>
          </cell>
          <cell r="W102">
            <v>0.4</v>
          </cell>
          <cell r="X102">
            <v>0.4</v>
          </cell>
        </row>
        <row r="104">
          <cell r="A104" t="str">
            <v>Year</v>
          </cell>
          <cell r="B104">
            <v>8517.5999999999985</v>
          </cell>
          <cell r="C104">
            <v>2362.8999999999996</v>
          </cell>
          <cell r="D104">
            <v>6154.7000000000007</v>
          </cell>
          <cell r="E104">
            <v>2294</v>
          </cell>
          <cell r="F104">
            <v>1382</v>
          </cell>
          <cell r="G104">
            <v>2478.7000000000003</v>
          </cell>
          <cell r="H104">
            <v>-144.5</v>
          </cell>
          <cell r="I104">
            <v>59</v>
          </cell>
          <cell r="J104">
            <v>-65</v>
          </cell>
          <cell r="L104">
            <v>37.999999999999993</v>
          </cell>
          <cell r="M104">
            <v>-112.50000000000001</v>
          </cell>
          <cell r="N104">
            <v>2366.2000000000003</v>
          </cell>
          <cell r="O104">
            <v>0.24997886907277489</v>
          </cell>
          <cell r="P104">
            <v>591.5</v>
          </cell>
          <cell r="Q104">
            <v>1774.7000000000003</v>
          </cell>
          <cell r="R104">
            <v>1128.72</v>
          </cell>
          <cell r="S104">
            <v>1.57</v>
          </cell>
          <cell r="U104">
            <v>0.74</v>
          </cell>
          <cell r="V104">
            <v>1.58</v>
          </cell>
          <cell r="W104" t="str">
            <v xml:space="preserve">       --</v>
          </cell>
          <cell r="X104">
            <v>-0.35</v>
          </cell>
        </row>
        <row r="106">
          <cell r="A106" t="str">
            <v>1998/97</v>
          </cell>
        </row>
        <row r="107">
          <cell r="A107" t="str">
            <v xml:space="preserve"> 1Q</v>
          </cell>
          <cell r="B107">
            <v>6.8612391193036359E-2</v>
          </cell>
          <cell r="C107">
            <v>-0.15518196933308692</v>
          </cell>
          <cell r="D107">
            <v>0.15442374442161932</v>
          </cell>
          <cell r="E107">
            <v>0.15221539113843546</v>
          </cell>
          <cell r="F107">
            <v>0.20484727755644086</v>
          </cell>
          <cell r="G107">
            <v>0.13227927363807157</v>
          </cell>
          <cell r="H107">
            <v>-0.47930283224400883</v>
          </cell>
          <cell r="I107" t="str">
            <v>NM</v>
          </cell>
          <cell r="J107" t="str">
            <v>NM</v>
          </cell>
          <cell r="L107" t="str">
            <v>NM</v>
          </cell>
          <cell r="M107" t="str">
            <v>NM</v>
          </cell>
          <cell r="N107">
            <v>0.170800732478775</v>
          </cell>
          <cell r="O107">
            <v>-2.3623367336371232E-2</v>
          </cell>
          <cell r="P107">
            <v>0.14314247669773636</v>
          </cell>
          <cell r="Q107">
            <v>0.18002219755826904</v>
          </cell>
          <cell r="R107">
            <v>4.5186877858607657E-3</v>
          </cell>
          <cell r="S107">
            <v>0.15</v>
          </cell>
          <cell r="U107">
            <v>0.11111111111111122</v>
          </cell>
          <cell r="V107">
            <v>0.15</v>
          </cell>
          <cell r="W107" t="str">
            <v>NM</v>
          </cell>
          <cell r="X107">
            <v>0.2368421052631578</v>
          </cell>
        </row>
        <row r="108">
          <cell r="A108" t="str">
            <v xml:space="preserve"> 2Q</v>
          </cell>
          <cell r="B108">
            <v>8.3622466938200815E-2</v>
          </cell>
          <cell r="C108">
            <v>-0.12791545189504361</v>
          </cell>
          <cell r="D108">
            <v>0.16424751718869365</v>
          </cell>
          <cell r="E108">
            <v>0.15408292594604386</v>
          </cell>
          <cell r="F108">
            <v>0.27548209366391185</v>
          </cell>
          <cell r="G108">
            <v>0.10946692815118533</v>
          </cell>
          <cell r="H108">
            <v>-0.57871396895787142</v>
          </cell>
          <cell r="I108" t="str">
            <v>NM</v>
          </cell>
          <cell r="J108" t="str">
            <v>NM</v>
          </cell>
          <cell r="L108" t="str">
            <v>NM</v>
          </cell>
          <cell r="M108" t="str">
            <v>NM</v>
          </cell>
          <cell r="N108">
            <v>0.16253591954022967</v>
          </cell>
          <cell r="O108">
            <v>-3.2829061667760159E-2</v>
          </cell>
          <cell r="P108">
            <v>0.12437095614665716</v>
          </cell>
          <cell r="Q108">
            <v>0.17524539142925527</v>
          </cell>
          <cell r="R108">
            <v>-1.7055155058158127E-3</v>
          </cell>
          <cell r="S108">
            <v>0.1891891891891892</v>
          </cell>
          <cell r="U108">
            <v>0.11111111111111122</v>
          </cell>
          <cell r="V108">
            <v>0.15789473684210525</v>
          </cell>
          <cell r="W108" t="str">
            <v>NM</v>
          </cell>
          <cell r="X108">
            <v>-1.2802547770700639</v>
          </cell>
        </row>
        <row r="109">
          <cell r="A109" t="str">
            <v xml:space="preserve"> 3Q</v>
          </cell>
          <cell r="B109">
            <v>9.2264247025600751E-2</v>
          </cell>
          <cell r="C109">
            <v>-0.15668594760122487</v>
          </cell>
          <cell r="D109">
            <v>0.18533358773770917</v>
          </cell>
          <cell r="E109">
            <v>0.13692098092643046</v>
          </cell>
          <cell r="F109">
            <v>0.27359583092067169</v>
          </cell>
          <cell r="G109">
            <v>0.18211661716429578</v>
          </cell>
          <cell r="H109">
            <v>-0.28086419753086417</v>
          </cell>
          <cell r="I109" t="str">
            <v>NM</v>
          </cell>
          <cell r="J109" t="str">
            <v>NM</v>
          </cell>
          <cell r="L109" t="str">
            <v>NM</v>
          </cell>
          <cell r="M109" t="str">
            <v>NM</v>
          </cell>
          <cell r="N109">
            <v>0.21362953064974108</v>
          </cell>
          <cell r="O109">
            <v>-0.242625814984405</v>
          </cell>
          <cell r="P109">
            <v>-8.0828323313293218E-2</v>
          </cell>
          <cell r="Q109">
            <v>0.31180400890868587</v>
          </cell>
          <cell r="R109">
            <v>-1.0327901353451687E-2</v>
          </cell>
          <cell r="S109">
            <v>0.32500000000000001</v>
          </cell>
          <cell r="U109">
            <v>0.11111111111111122</v>
          </cell>
          <cell r="V109">
            <v>0.32500000000000001</v>
          </cell>
          <cell r="W109" t="str">
            <v>NM</v>
          </cell>
          <cell r="X109">
            <v>0.32500000000000001</v>
          </cell>
        </row>
        <row r="110">
          <cell r="A110" t="str">
            <v xml:space="preserve"> 4Q</v>
          </cell>
          <cell r="B110">
            <v>9.0901564699064449E-2</v>
          </cell>
          <cell r="C110">
            <v>-0.14817518248175182</v>
          </cell>
          <cell r="D110">
            <v>0.18552114629073255</v>
          </cell>
          <cell r="E110">
            <v>0.18599882835383716</v>
          </cell>
          <cell r="F110">
            <v>0.2708588206508441</v>
          </cell>
          <cell r="G110">
            <v>0.13045518535898631</v>
          </cell>
          <cell r="H110">
            <v>-0.16587677725118499</v>
          </cell>
          <cell r="I110" t="str">
            <v>NM</v>
          </cell>
          <cell r="J110" t="str">
            <v>NM</v>
          </cell>
          <cell r="L110" t="str">
            <v>NM</v>
          </cell>
          <cell r="M110" t="str">
            <v>NM</v>
          </cell>
          <cell r="N110">
            <v>0.17262295081967199</v>
          </cell>
          <cell r="O110">
            <v>-0.1405004893051866</v>
          </cell>
          <cell r="P110">
            <v>7.8688524590163188E-3</v>
          </cell>
          <cell r="Q110">
            <v>0.22754098360655706</v>
          </cell>
          <cell r="R110">
            <v>-1.2759724091164368E-2</v>
          </cell>
          <cell r="S110">
            <v>0.24999999999999994</v>
          </cell>
          <cell r="U110">
            <v>0</v>
          </cell>
          <cell r="V110">
            <v>0.24999999999999994</v>
          </cell>
          <cell r="W110" t="str">
            <v>NM</v>
          </cell>
          <cell r="X110">
            <v>0.24999999999999994</v>
          </cell>
        </row>
        <row r="112">
          <cell r="A112" t="str">
            <v>Year</v>
          </cell>
          <cell r="B112">
            <v>8.4436930590776851E-2</v>
          </cell>
          <cell r="C112">
            <v>-0.14719200981844324</v>
          </cell>
          <cell r="D112">
            <v>0.1733634458218922</v>
          </cell>
          <cell r="E112">
            <v>0.1588055797733218</v>
          </cell>
          <cell r="F112">
            <v>0.2582489146164979</v>
          </cell>
          <cell r="G112">
            <v>0.139508613386049</v>
          </cell>
          <cell r="H112">
            <v>-0.42006920415224913</v>
          </cell>
          <cell r="I112" t="str">
            <v>NM</v>
          </cell>
          <cell r="J112" t="str">
            <v>NM</v>
          </cell>
          <cell r="L112" t="str">
            <v>NM</v>
          </cell>
          <cell r="M112" t="str">
            <v>NM</v>
          </cell>
          <cell r="N112">
            <v>0.18016228552108854</v>
          </cell>
          <cell r="O112">
            <v>-0.11269133978754538</v>
          </cell>
          <cell r="P112">
            <v>4.7168216398985399E-2</v>
          </cell>
          <cell r="Q112">
            <v>0.22448864596833271</v>
          </cell>
          <cell r="R112">
            <v>-6.4090296973562293E-3</v>
          </cell>
          <cell r="S112">
            <v>0.2292993630573249</v>
          </cell>
          <cell r="U112">
            <v>8.1081081081081155E-2</v>
          </cell>
          <cell r="V112">
            <v>0.22151898734177219</v>
          </cell>
          <cell r="W112" t="str">
            <v>NM</v>
          </cell>
          <cell r="X112">
            <v>-6.5428571428571436</v>
          </cell>
        </row>
        <row r="114">
          <cell r="A114" t="str">
            <v>1998 (R)</v>
          </cell>
        </row>
        <row r="115">
          <cell r="A115" t="str">
            <v xml:space="preserve"> 1Q (c)</v>
          </cell>
          <cell r="B115">
            <v>2087</v>
          </cell>
          <cell r="C115">
            <v>457.3</v>
          </cell>
          <cell r="D115">
            <v>1629.7</v>
          </cell>
          <cell r="E115">
            <v>543.5</v>
          </cell>
          <cell r="F115">
            <v>362.9</v>
          </cell>
          <cell r="G115">
            <v>723.30000000000007</v>
          </cell>
          <cell r="H115">
            <v>-23.9</v>
          </cell>
          <cell r="I115">
            <v>0</v>
          </cell>
          <cell r="J115">
            <v>0</v>
          </cell>
          <cell r="L115">
            <v>3.9</v>
          </cell>
          <cell r="M115">
            <v>-20</v>
          </cell>
          <cell r="N115">
            <v>703.30000000000007</v>
          </cell>
          <cell r="O115">
            <v>0.24413479311815722</v>
          </cell>
          <cell r="P115">
            <v>171.7</v>
          </cell>
          <cell r="Q115">
            <v>531.60000000000014</v>
          </cell>
          <cell r="R115">
            <v>1130.634</v>
          </cell>
          <cell r="S115">
            <v>0.46</v>
          </cell>
          <cell r="U115">
            <v>0.2</v>
          </cell>
          <cell r="V115">
            <v>0.46</v>
          </cell>
          <cell r="W115" t="str">
            <v xml:space="preserve">       --</v>
          </cell>
          <cell r="X115">
            <v>0.47</v>
          </cell>
        </row>
        <row r="116">
          <cell r="A116" t="str">
            <v xml:space="preserve"> 2Q </v>
          </cell>
          <cell r="B116">
            <v>2155</v>
          </cell>
          <cell r="C116">
            <v>478.6</v>
          </cell>
          <cell r="D116">
            <v>1676.4</v>
          </cell>
          <cell r="E116">
            <v>637.4</v>
          </cell>
          <cell r="F116">
            <v>416.7</v>
          </cell>
          <cell r="G116">
            <v>622.29999999999995</v>
          </cell>
          <cell r="H116">
            <v>-19</v>
          </cell>
          <cell r="I116">
            <v>0</v>
          </cell>
          <cell r="J116">
            <v>0</v>
          </cell>
          <cell r="L116">
            <v>44</v>
          </cell>
          <cell r="M116">
            <v>25</v>
          </cell>
          <cell r="N116">
            <v>647.29999999999995</v>
          </cell>
          <cell r="O116">
            <v>0.24161903290591691</v>
          </cell>
          <cell r="P116">
            <v>156.4</v>
          </cell>
          <cell r="Q116">
            <v>490.9</v>
          </cell>
          <cell r="R116">
            <v>1125.01</v>
          </cell>
          <cell r="S116">
            <v>0.44</v>
          </cell>
          <cell r="U116">
            <v>0.2</v>
          </cell>
          <cell r="V116">
            <v>0.44</v>
          </cell>
          <cell r="W116" t="str">
            <v xml:space="preserve">       --</v>
          </cell>
          <cell r="X116">
            <v>0.44</v>
          </cell>
        </row>
        <row r="117">
          <cell r="A117" t="str">
            <v xml:space="preserve"> 3Q (d)</v>
          </cell>
          <cell r="B117">
            <v>2359.4</v>
          </cell>
          <cell r="C117">
            <v>495.7</v>
          </cell>
          <cell r="D117">
            <v>1863.7</v>
          </cell>
          <cell r="E117">
            <v>667.6</v>
          </cell>
          <cell r="F117">
            <v>439.9</v>
          </cell>
          <cell r="G117">
            <v>756.19999999999993</v>
          </cell>
          <cell r="H117">
            <v>-23.3</v>
          </cell>
          <cell r="I117">
            <v>0</v>
          </cell>
          <cell r="J117">
            <v>0</v>
          </cell>
          <cell r="L117">
            <v>-6.3</v>
          </cell>
          <cell r="M117">
            <v>-29.6</v>
          </cell>
          <cell r="N117">
            <v>726.59999999999991</v>
          </cell>
          <cell r="O117">
            <v>0.18937517203413159</v>
          </cell>
          <cell r="P117">
            <v>137.6</v>
          </cell>
          <cell r="Q117">
            <v>588.99999999999989</v>
          </cell>
          <cell r="R117">
            <v>1118.183</v>
          </cell>
          <cell r="S117">
            <v>0.53</v>
          </cell>
          <cell r="U117">
            <v>0.2</v>
          </cell>
          <cell r="V117">
            <v>0.53</v>
          </cell>
          <cell r="W117" t="str">
            <v xml:space="preserve">       --</v>
          </cell>
          <cell r="X117">
            <v>0.53</v>
          </cell>
        </row>
        <row r="118">
          <cell r="A118" t="str">
            <v xml:space="preserve"> 4Q</v>
          </cell>
          <cell r="B118">
            <v>2635.4</v>
          </cell>
          <cell r="C118">
            <v>583.5</v>
          </cell>
          <cell r="D118">
            <v>2051.9</v>
          </cell>
          <cell r="E118">
            <v>809.8</v>
          </cell>
          <cell r="F118">
            <v>519.4</v>
          </cell>
          <cell r="G118">
            <v>722.70000000000016</v>
          </cell>
          <cell r="H118">
            <v>-17.599999999999998</v>
          </cell>
          <cell r="I118">
            <v>0</v>
          </cell>
          <cell r="J118">
            <v>0</v>
          </cell>
          <cell r="L118">
            <v>10.199999999999999</v>
          </cell>
          <cell r="M118">
            <v>-7.3999999999999986</v>
          </cell>
          <cell r="N118">
            <v>715.30000000000018</v>
          </cell>
          <cell r="O118">
            <v>0.21487487767370328</v>
          </cell>
          <cell r="P118">
            <v>153.69999999999999</v>
          </cell>
          <cell r="Q118">
            <v>561.60000000000014</v>
          </cell>
          <cell r="R118">
            <v>1118.097</v>
          </cell>
          <cell r="S118">
            <v>0.5</v>
          </cell>
          <cell r="U118">
            <v>0.2</v>
          </cell>
          <cell r="V118">
            <v>0.5</v>
          </cell>
          <cell r="W118" t="str">
            <v xml:space="preserve">       --</v>
          </cell>
          <cell r="X118">
            <v>0.5</v>
          </cell>
        </row>
        <row r="120">
          <cell r="A120" t="str">
            <v>Year</v>
          </cell>
          <cell r="B120">
            <v>9236.7999999999993</v>
          </cell>
          <cell r="C120">
            <v>2015.1000000000001</v>
          </cell>
          <cell r="D120">
            <v>7221.7000000000007</v>
          </cell>
          <cell r="E120">
            <v>2658.3</v>
          </cell>
          <cell r="F120">
            <v>1738.9</v>
          </cell>
          <cell r="G120">
            <v>2824.5</v>
          </cell>
          <cell r="H120">
            <v>-83.8</v>
          </cell>
          <cell r="I120">
            <v>0</v>
          </cell>
          <cell r="J120">
            <v>0</v>
          </cell>
          <cell r="L120">
            <v>51.8</v>
          </cell>
          <cell r="M120">
            <v>-32</v>
          </cell>
          <cell r="N120">
            <v>2792.5</v>
          </cell>
          <cell r="O120">
            <v>0.2218084153983885</v>
          </cell>
          <cell r="P120">
            <v>619.39999999999986</v>
          </cell>
          <cell r="Q120">
            <v>2173.1000000000004</v>
          </cell>
          <cell r="R120">
            <v>1121.4860000000001</v>
          </cell>
          <cell r="S120">
            <v>1.9300000000000002</v>
          </cell>
          <cell r="U120">
            <v>0.8</v>
          </cell>
          <cell r="V120">
            <v>1.9300000000000002</v>
          </cell>
          <cell r="W120" t="str">
            <v xml:space="preserve">       --</v>
          </cell>
          <cell r="X120">
            <v>1.94</v>
          </cell>
        </row>
        <row r="122">
          <cell r="A122" t="str">
            <v>1999/98</v>
          </cell>
        </row>
        <row r="123">
          <cell r="A123" t="str">
            <v xml:space="preserve"> 1Q</v>
          </cell>
          <cell r="B123">
            <v>8.0785816962146581E-2</v>
          </cell>
          <cell r="C123">
            <v>7.9160288650776275E-2</v>
          </cell>
          <cell r="D123">
            <v>8.1241946370497545E-2</v>
          </cell>
          <cell r="E123">
            <v>9.0892364305427742E-2</v>
          </cell>
          <cell r="F123">
            <v>0.13833011848994226</v>
          </cell>
          <cell r="G123">
            <v>4.5347711876122944E-2</v>
          </cell>
          <cell r="H123">
            <v>-0.65690376569037667</v>
          </cell>
          <cell r="I123" t="str">
            <v>NM</v>
          </cell>
          <cell r="J123" t="str">
            <v>NM</v>
          </cell>
          <cell r="L123" t="str">
            <v>NM</v>
          </cell>
          <cell r="M123" t="str">
            <v>NM</v>
          </cell>
          <cell r="N123">
            <v>7.3368406085596014E-2</v>
          </cell>
          <cell r="O123">
            <v>-9.8739101778301794E-2</v>
          </cell>
          <cell r="P123">
            <v>-3.2615026208503171E-2</v>
          </cell>
          <cell r="Q123">
            <v>0.10759969902182012</v>
          </cell>
          <cell r="R123">
            <v>-1.4063790758105689E-2</v>
          </cell>
          <cell r="S123">
            <v>0.14825702657048767</v>
          </cell>
          <cell r="U123">
            <v>0.15</v>
          </cell>
          <cell r="V123">
            <v>3.8547340699897976</v>
          </cell>
          <cell r="W123" t="str">
            <v>NM</v>
          </cell>
          <cell r="X123">
            <v>0.12382602600515825</v>
          </cell>
        </row>
        <row r="124">
          <cell r="A124" t="str">
            <v xml:space="preserve"> 2Q</v>
          </cell>
          <cell r="B124">
            <v>8.1067285382830548E-2</v>
          </cell>
          <cell r="C124">
            <v>2.6117843710823232E-2</v>
          </cell>
          <cell r="D124">
            <v>9.6754951085659638E-2</v>
          </cell>
          <cell r="E124">
            <v>1.9140257295262073E-2</v>
          </cell>
          <cell r="F124">
            <v>0.10511159107271421</v>
          </cell>
          <cell r="G124">
            <v>0.1706572392736623</v>
          </cell>
          <cell r="H124">
            <v>-0.44210526315789467</v>
          </cell>
          <cell r="I124" t="str">
            <v>NM</v>
          </cell>
          <cell r="J124" t="str">
            <v>NM</v>
          </cell>
          <cell r="L124" t="str">
            <v>NM</v>
          </cell>
          <cell r="M124" t="str">
            <v>NM</v>
          </cell>
          <cell r="N124">
            <v>0.12328132241619044</v>
          </cell>
          <cell r="O124">
            <v>-7.4459867722420539E-2</v>
          </cell>
          <cell r="P124">
            <v>3.9641943734015271E-2</v>
          </cell>
          <cell r="Q124">
            <v>0.14992870238337752</v>
          </cell>
          <cell r="R124">
            <v>-1.5069199384894334E-2</v>
          </cell>
          <cell r="S124">
            <v>0.15784165025314159</v>
          </cell>
          <cell r="U124">
            <v>0.15</v>
          </cell>
          <cell r="V124">
            <v>-1</v>
          </cell>
          <cell r="W124" t="str">
            <v>NM</v>
          </cell>
          <cell r="X124">
            <v>0.15784165025314159</v>
          </cell>
        </row>
        <row r="125">
          <cell r="A125" t="str">
            <v xml:space="preserve"> 3Q</v>
          </cell>
          <cell r="B125">
            <v>8.6377892684580515E-2</v>
          </cell>
          <cell r="C125">
            <v>0.10591083316522101</v>
          </cell>
          <cell r="D125">
            <v>8.1182593765090558E-2</v>
          </cell>
          <cell r="E125">
            <v>4.3139604553624852E-2</v>
          </cell>
          <cell r="F125">
            <v>6.8197317572175498E-3</v>
          </cell>
          <cell r="G125">
            <v>0.15802697699021365</v>
          </cell>
          <cell r="H125">
            <v>-0.61802575107296143</v>
          </cell>
          <cell r="I125" t="str">
            <v>NM</v>
          </cell>
          <cell r="J125" t="str">
            <v>NM</v>
          </cell>
          <cell r="L125" t="str">
            <v>NM</v>
          </cell>
          <cell r="M125" t="str">
            <v>NM</v>
          </cell>
          <cell r="N125">
            <v>0.16900633085604133</v>
          </cell>
          <cell r="O125">
            <v>0.19175454219394317</v>
          </cell>
          <cell r="P125">
            <v>0.39316860465116277</v>
          </cell>
          <cell r="Q125">
            <v>0.11663837011884502</v>
          </cell>
          <cell r="R125">
            <v>-1.5860552342505566E-2</v>
          </cell>
          <cell r="S125">
            <v>0.12767109052532627</v>
          </cell>
          <cell r="U125">
            <v>0.15</v>
          </cell>
          <cell r="V125" t="e">
            <v>#NULL!</v>
          </cell>
          <cell r="W125" t="str">
            <v>NM</v>
          </cell>
          <cell r="X125">
            <v>0.12767109052532627</v>
          </cell>
        </row>
        <row r="126">
          <cell r="A126" t="str">
            <v xml:space="preserve"> 4Q</v>
          </cell>
          <cell r="B126">
            <v>3.0507702815511739E-2</v>
          </cell>
          <cell r="C126">
            <v>-5.2270779777206511E-2</v>
          </cell>
          <cell r="D126">
            <v>5.4047468200204507E-2</v>
          </cell>
          <cell r="E126">
            <v>1.0990367992096926E-2</v>
          </cell>
          <cell r="F126">
            <v>-0.10069310743165183</v>
          </cell>
          <cell r="G126">
            <v>0.21350491213504838</v>
          </cell>
          <cell r="H126">
            <v>-1.1306818181818181</v>
          </cell>
          <cell r="I126" t="str">
            <v>NM</v>
          </cell>
          <cell r="J126" t="str">
            <v>NM</v>
          </cell>
          <cell r="L126" t="str">
            <v>NM</v>
          </cell>
          <cell r="M126" t="str">
            <v>NM</v>
          </cell>
          <cell r="N126">
            <v>0.18439815462043826</v>
          </cell>
          <cell r="O126">
            <v>4.0968588478223954E-2</v>
          </cell>
          <cell r="P126">
            <v>0.23292127521145098</v>
          </cell>
          <cell r="Q126">
            <v>0.17111823361823281</v>
          </cell>
          <cell r="R126">
            <v>-1.6110409025334942E-2</v>
          </cell>
          <cell r="S126">
            <v>0.19572687176615533</v>
          </cell>
          <cell r="U126">
            <v>0.15</v>
          </cell>
          <cell r="V126" t="e">
            <v>#NULL!</v>
          </cell>
          <cell r="W126" t="str">
            <v>NM</v>
          </cell>
          <cell r="X126">
            <v>0.19572687176615533</v>
          </cell>
        </row>
        <row r="128">
          <cell r="A128" t="str">
            <v>Year</v>
          </cell>
          <cell r="B128">
            <v>6.7934782608695454E-2</v>
          </cell>
          <cell r="C128">
            <v>3.5085107438836804E-2</v>
          </cell>
          <cell r="D128">
            <v>7.7100959607848213E-2</v>
          </cell>
          <cell r="E128">
            <v>3.7354700372418531E-2</v>
          </cell>
          <cell r="F128">
            <v>2.5705906032549207E-2</v>
          </cell>
          <cell r="G128">
            <v>0.14614976101964908</v>
          </cell>
          <cell r="H128">
            <v>-0.69689737470167068</v>
          </cell>
          <cell r="I128" t="str">
            <v>NM</v>
          </cell>
          <cell r="J128" t="str">
            <v>NM</v>
          </cell>
          <cell r="L128" t="str">
            <v>NM</v>
          </cell>
          <cell r="M128" t="str">
            <v>NM</v>
          </cell>
          <cell r="N128">
            <v>0.13826320501342848</v>
          </cell>
          <cell r="O128">
            <v>6.7510627303955257E-3</v>
          </cell>
          <cell r="P128">
            <v>0.14594769131417518</v>
          </cell>
          <cell r="Q128">
            <v>0.13607289126133121</v>
          </cell>
          <cell r="R128">
            <v>-1.3759422765866038E-2</v>
          </cell>
          <cell r="S128">
            <v>0.15708687678513303</v>
          </cell>
          <cell r="U128">
            <v>0.15</v>
          </cell>
          <cell r="V128" t="e">
            <v>#NULL!</v>
          </cell>
          <cell r="W128" t="str">
            <v>NM</v>
          </cell>
          <cell r="X128">
            <v>0.1511225114408799</v>
          </cell>
        </row>
        <row r="130">
          <cell r="A130">
            <v>1999</v>
          </cell>
        </row>
        <row r="131">
          <cell r="A131" t="str">
            <v xml:space="preserve"> 1Q</v>
          </cell>
          <cell r="B131">
            <v>2255.6</v>
          </cell>
          <cell r="C131">
            <v>493.5</v>
          </cell>
          <cell r="D131">
            <v>1762.1</v>
          </cell>
          <cell r="E131">
            <v>592.9</v>
          </cell>
          <cell r="F131">
            <v>413.1</v>
          </cell>
          <cell r="G131">
            <v>756.0999999999998</v>
          </cell>
          <cell r="H131">
            <v>-8.1999999999999957</v>
          </cell>
          <cell r="I131">
            <v>0</v>
          </cell>
          <cell r="J131">
            <v>0</v>
          </cell>
          <cell r="L131">
            <v>7</v>
          </cell>
          <cell r="M131">
            <v>-1.1999999999999957</v>
          </cell>
          <cell r="N131">
            <v>754.89999999999975</v>
          </cell>
          <cell r="O131">
            <v>0.22002914293283884</v>
          </cell>
          <cell r="P131">
            <v>166.1</v>
          </cell>
          <cell r="Q131">
            <v>588.79999999999973</v>
          </cell>
          <cell r="R131">
            <v>1114.7329999999999</v>
          </cell>
          <cell r="S131">
            <v>0.52819823222242435</v>
          </cell>
          <cell r="U131">
            <v>0.23</v>
          </cell>
          <cell r="V131">
            <v>0.52819823222242435</v>
          </cell>
          <cell r="W131" t="str">
            <v xml:space="preserve">       --</v>
          </cell>
          <cell r="X131">
            <v>0.52819823222242435</v>
          </cell>
        </row>
        <row r="132">
          <cell r="A132" t="str">
            <v xml:space="preserve"> 2Q</v>
          </cell>
          <cell r="B132">
            <v>2329.6999999999998</v>
          </cell>
          <cell r="C132">
            <v>491.1</v>
          </cell>
          <cell r="D132">
            <v>1838.6</v>
          </cell>
          <cell r="E132">
            <v>649.6</v>
          </cell>
          <cell r="F132">
            <v>460.5</v>
          </cell>
          <cell r="G132">
            <v>728.5</v>
          </cell>
          <cell r="H132">
            <v>-10.600000000000001</v>
          </cell>
          <cell r="I132">
            <v>0</v>
          </cell>
          <cell r="J132">
            <v>0</v>
          </cell>
          <cell r="L132">
            <v>9.1999999999999993</v>
          </cell>
          <cell r="M132">
            <v>-1.4000000000000021</v>
          </cell>
          <cell r="N132">
            <v>727.1</v>
          </cell>
          <cell r="O132">
            <v>0.22362811167652316</v>
          </cell>
          <cell r="P132">
            <v>162.6</v>
          </cell>
          <cell r="Q132">
            <v>564.5</v>
          </cell>
          <cell r="R132">
            <v>1108.057</v>
          </cell>
          <cell r="S132">
            <v>0.5094503261113823</v>
          </cell>
          <cell r="U132">
            <v>0.23</v>
          </cell>
          <cell r="V132">
            <v>0.5094503261113823</v>
          </cell>
          <cell r="W132" t="str">
            <v xml:space="preserve">       --</v>
          </cell>
          <cell r="X132">
            <v>0.5094503261113823</v>
          </cell>
        </row>
        <row r="133">
          <cell r="A133" t="str">
            <v xml:space="preserve"> 3Q</v>
          </cell>
          <cell r="B133">
            <v>2563.1999999999994</v>
          </cell>
          <cell r="C133">
            <v>548.20000000000005</v>
          </cell>
          <cell r="D133">
            <v>2014.9999999999993</v>
          </cell>
          <cell r="E133">
            <v>696.4</v>
          </cell>
          <cell r="F133">
            <v>442.9</v>
          </cell>
          <cell r="G133">
            <v>875.69999999999948</v>
          </cell>
          <cell r="H133">
            <v>-8.8999999999999986</v>
          </cell>
          <cell r="I133">
            <v>0</v>
          </cell>
          <cell r="J133">
            <v>0</v>
          </cell>
          <cell r="L133">
            <v>-17.399999999999999</v>
          </cell>
          <cell r="M133">
            <v>-26.299999999999997</v>
          </cell>
          <cell r="N133">
            <v>849.39999999999952</v>
          </cell>
          <cell r="O133">
            <v>0.22568872145043573</v>
          </cell>
          <cell r="P133">
            <v>191.7</v>
          </cell>
          <cell r="Q133">
            <v>657.69999999999959</v>
          </cell>
          <cell r="R133">
            <v>1100.4480000000001</v>
          </cell>
          <cell r="S133">
            <v>0.59766567797842296</v>
          </cell>
          <cell r="U133">
            <v>0.23</v>
          </cell>
          <cell r="V133">
            <v>0.59766567797842296</v>
          </cell>
          <cell r="W133" t="str">
            <v xml:space="preserve">       --</v>
          </cell>
          <cell r="X133">
            <v>0.59766567797842296</v>
          </cell>
        </row>
        <row r="134">
          <cell r="A134" t="str">
            <v xml:space="preserve"> 4Q</v>
          </cell>
          <cell r="B134">
            <v>2715.7999999999997</v>
          </cell>
          <cell r="C134">
            <v>553</v>
          </cell>
          <cell r="D134">
            <v>2162.7999999999997</v>
          </cell>
          <cell r="E134">
            <v>818.7</v>
          </cell>
          <cell r="F134">
            <v>467.1</v>
          </cell>
          <cell r="G134">
            <v>876.99999999999966</v>
          </cell>
          <cell r="H134">
            <v>2.2999999999999972</v>
          </cell>
          <cell r="I134">
            <v>0</v>
          </cell>
          <cell r="J134">
            <v>0</v>
          </cell>
          <cell r="L134">
            <v>-32.1</v>
          </cell>
          <cell r="M134">
            <v>-29.800000000000004</v>
          </cell>
          <cell r="N134">
            <v>847.1999999999997</v>
          </cell>
          <cell r="O134">
            <v>0.22367799811142594</v>
          </cell>
          <cell r="P134">
            <v>189.5</v>
          </cell>
          <cell r="Q134">
            <v>657.6999999999997</v>
          </cell>
          <cell r="R134">
            <v>1100.0840000000001</v>
          </cell>
          <cell r="S134">
            <v>0.59786343588307767</v>
          </cell>
          <cell r="U134">
            <v>0.23</v>
          </cell>
          <cell r="V134">
            <v>0.59786343588307767</v>
          </cell>
          <cell r="W134" t="str">
            <v xml:space="preserve">       --</v>
          </cell>
          <cell r="X134">
            <v>0.59786343588307767</v>
          </cell>
        </row>
        <row r="136">
          <cell r="A136" t="str">
            <v>Year</v>
          </cell>
          <cell r="B136">
            <v>9864.2999999999975</v>
          </cell>
          <cell r="C136">
            <v>2085.8000000000002</v>
          </cell>
          <cell r="D136">
            <v>7778.4999999999982</v>
          </cell>
          <cell r="E136">
            <v>2757.6000000000004</v>
          </cell>
          <cell r="F136">
            <v>1783.6</v>
          </cell>
          <cell r="G136">
            <v>3237.2999999999988</v>
          </cell>
          <cell r="H136">
            <v>-25.4</v>
          </cell>
          <cell r="I136">
            <v>0</v>
          </cell>
          <cell r="J136">
            <v>0</v>
          </cell>
          <cell r="L136">
            <v>-33.299999999999997</v>
          </cell>
          <cell r="M136">
            <v>-58.7</v>
          </cell>
          <cell r="N136">
            <v>3178.599999999999</v>
          </cell>
          <cell r="O136">
            <v>0.22330585792487265</v>
          </cell>
          <cell r="P136">
            <v>709.8</v>
          </cell>
          <cell r="Q136">
            <v>2468.7999999999993</v>
          </cell>
          <cell r="R136">
            <v>1106.0550000000001</v>
          </cell>
          <cell r="S136">
            <v>2.2331776721953069</v>
          </cell>
          <cell r="U136">
            <v>0.92</v>
          </cell>
          <cell r="V136">
            <v>2.2331776721953069</v>
          </cell>
          <cell r="W136" t="str">
            <v xml:space="preserve">       --</v>
          </cell>
          <cell r="X136">
            <v>2.2331776721953069</v>
          </cell>
        </row>
        <row r="137">
          <cell r="C137" t="str">
            <v xml:space="preserve">  </v>
          </cell>
        </row>
        <row r="138">
          <cell r="A138" t="str">
            <v>2000/99</v>
          </cell>
        </row>
        <row r="139">
          <cell r="A139" t="str">
            <v xml:space="preserve"> 1QA</v>
          </cell>
          <cell r="B139">
            <v>0.1268886327363008</v>
          </cell>
          <cell r="C139">
            <v>5.5521783181357698E-2</v>
          </cell>
          <cell r="D139">
            <v>0.14687588672606555</v>
          </cell>
          <cell r="E139">
            <v>0.16090403103390116</v>
          </cell>
          <cell r="F139">
            <v>0.10990075042362624</v>
          </cell>
          <cell r="G139">
            <v>0.15607723846052135</v>
          </cell>
          <cell r="H139">
            <v>-2.5731707317073189</v>
          </cell>
          <cell r="I139" t="str">
            <v>NM</v>
          </cell>
          <cell r="J139" t="str">
            <v>NM</v>
          </cell>
          <cell r="L139" t="str">
            <v>NM</v>
          </cell>
          <cell r="M139" t="str">
            <v>NM</v>
          </cell>
          <cell r="N139">
            <v>0.17579811895615349</v>
          </cell>
          <cell r="O139">
            <v>-3.4592213871142974E-7</v>
          </cell>
          <cell r="P139">
            <v>0.17579771222155349</v>
          </cell>
          <cell r="Q139">
            <v>0.17579823369565273</v>
          </cell>
          <cell r="R139">
            <v>-1.5279892135605433E-2</v>
          </cell>
          <cell r="S139">
            <v>0.19404308321240382</v>
          </cell>
          <cell r="V139">
            <v>0.19404308321240382</v>
          </cell>
          <cell r="W139" t="e">
            <v>#VALUE!</v>
          </cell>
          <cell r="X139">
            <v>0.19404308321240382</v>
          </cell>
        </row>
        <row r="140">
          <cell r="A140" t="str">
            <v xml:space="preserve"> 2QA</v>
          </cell>
          <cell r="B140">
            <v>0.12520925441043906</v>
          </cell>
          <cell r="C140">
            <v>1.2217470983506562E-3</v>
          </cell>
          <cell r="D140">
            <v>0.15832698792559552</v>
          </cell>
          <cell r="E140">
            <v>0.22444581280788167</v>
          </cell>
          <cell r="F140">
            <v>0.10488599348534211</v>
          </cell>
          <cell r="G140">
            <v>0.13315030885380885</v>
          </cell>
          <cell r="H140">
            <v>-2.283018867924528</v>
          </cell>
          <cell r="I140" t="str">
            <v>NM</v>
          </cell>
          <cell r="J140" t="str">
            <v>NM</v>
          </cell>
          <cell r="L140" t="str">
            <v>NM</v>
          </cell>
          <cell r="M140" t="str">
            <v>NM</v>
          </cell>
          <cell r="N140">
            <v>0.17452895062577323</v>
          </cell>
          <cell r="O140">
            <v>-1.6119138357659657E-2</v>
          </cell>
          <cell r="P140">
            <v>0.15559655596555966</v>
          </cell>
          <cell r="Q140">
            <v>0.17998228520814852</v>
          </cell>
          <cell r="R140">
            <v>-1.0429968855392824E-2</v>
          </cell>
          <cell r="S140">
            <v>0.19241918011936665</v>
          </cell>
          <cell r="V140">
            <v>0.19241918011936665</v>
          </cell>
          <cell r="W140" t="e">
            <v>#VALUE!</v>
          </cell>
          <cell r="X140">
            <v>0.19241918011936665</v>
          </cell>
        </row>
        <row r="141">
          <cell r="A141" t="str">
            <v xml:space="preserve"> 3QA</v>
          </cell>
          <cell r="B141">
            <v>9.6984238451935267E-2</v>
          </cell>
          <cell r="C141">
            <v>-0.10598321780372133</v>
          </cell>
          <cell r="D141">
            <v>0.15220347394540967</v>
          </cell>
          <cell r="E141">
            <v>0.14919586444572075</v>
          </cell>
          <cell r="F141">
            <v>0.14269586814179291</v>
          </cell>
          <cell r="G141">
            <v>0.15940390544707128</v>
          </cell>
          <cell r="H141">
            <v>-3.7191011235955056</v>
          </cell>
          <cell r="I141" t="str">
            <v>NM</v>
          </cell>
          <cell r="J141" t="str">
            <v>NM</v>
          </cell>
          <cell r="L141" t="str">
            <v>NM</v>
          </cell>
          <cell r="M141" t="str">
            <v>NM</v>
          </cell>
          <cell r="N141">
            <v>0.1752884388980458</v>
          </cell>
          <cell r="O141">
            <v>-2.5311686740194572E-2</v>
          </cell>
          <cell r="P141">
            <v>0.14553990610328649</v>
          </cell>
          <cell r="Q141">
            <v>0.18395925193857399</v>
          </cell>
          <cell r="R141">
            <v>-2.0428043851231648E-3</v>
          </cell>
          <cell r="S141">
            <v>0.18638279992469475</v>
          </cell>
          <cell r="V141">
            <v>0.18638279992469475</v>
          </cell>
          <cell r="W141" t="e">
            <v>#VALUE!</v>
          </cell>
          <cell r="X141">
            <v>0.18638279992469475</v>
          </cell>
        </row>
        <row r="142">
          <cell r="A142" t="str">
            <v xml:space="preserve"> 4QA</v>
          </cell>
          <cell r="B142">
            <v>9.66197805434863E-2</v>
          </cell>
          <cell r="C142">
            <v>2.2061482820976641E-2</v>
          </cell>
          <cell r="D142">
            <v>0.11568337340484569</v>
          </cell>
          <cell r="E142">
            <v>0.15341394894344673</v>
          </cell>
          <cell r="F142">
            <v>0.16698779704560041</v>
          </cell>
          <cell r="G142">
            <v>5.3135689851767864E-2</v>
          </cell>
          <cell r="H142" t="str">
            <v>NM</v>
          </cell>
          <cell r="I142" t="str">
            <v>NM</v>
          </cell>
          <cell r="J142" t="str">
            <v>NM</v>
          </cell>
          <cell r="L142" t="str">
            <v>NM</v>
          </cell>
          <cell r="M142" t="str">
            <v>NM</v>
          </cell>
          <cell r="N142">
            <v>0.16170915958451415</v>
          </cell>
          <cell r="O142">
            <v>-1.7006539739493842E-2</v>
          </cell>
          <cell r="P142">
            <v>0.14195250659630609</v>
          </cell>
          <cell r="Q142">
            <v>0.16740155085905495</v>
          </cell>
          <cell r="R142">
            <v>-3.3488351798589555E-3</v>
          </cell>
          <cell r="S142">
            <v>0.17132412228678651</v>
          </cell>
          <cell r="V142">
            <v>0.17132412228678651</v>
          </cell>
          <cell r="W142" t="e">
            <v>#VALUE!</v>
          </cell>
          <cell r="X142">
            <v>0.17132412228678651</v>
          </cell>
        </row>
        <row r="144">
          <cell r="A144" t="str">
            <v>Year</v>
          </cell>
          <cell r="B144">
            <v>0.11038796468071732</v>
          </cell>
          <cell r="C144">
            <v>-8.5818391025028976E-3</v>
          </cell>
          <cell r="D144">
            <v>0.14228964453300783</v>
          </cell>
          <cell r="E144">
            <v>0.17069190600522188</v>
          </cell>
          <cell r="F144">
            <v>0.13169993272034097</v>
          </cell>
          <cell r="G144">
            <v>0.12393043585704148</v>
          </cell>
          <cell r="H144" t="str">
            <v>NM</v>
          </cell>
          <cell r="I144" t="str">
            <v>NM</v>
          </cell>
          <cell r="J144" t="str">
            <v>NM</v>
          </cell>
          <cell r="L144" t="str">
            <v>NM</v>
          </cell>
          <cell r="M144" t="str">
            <v>NM</v>
          </cell>
          <cell r="N144">
            <v>0.17161643490845047</v>
          </cell>
          <cell r="O144">
            <v>-1.4926823343105673E-2</v>
          </cell>
          <cell r="P144">
            <v>0.15412792335869271</v>
          </cell>
          <cell r="Q144">
            <v>0.17664452365521732</v>
          </cell>
          <cell r="R144">
            <v>-7.5538739031965115E-3</v>
          </cell>
          <cell r="S144">
            <v>0.18554021188242481</v>
          </cell>
          <cell r="V144" t="e">
            <v>#NULL!</v>
          </cell>
          <cell r="W144" t="str">
            <v>NM</v>
          </cell>
          <cell r="X144">
            <v>0.18554021188242481</v>
          </cell>
        </row>
        <row r="146">
          <cell r="A146">
            <v>2000</v>
          </cell>
        </row>
        <row r="147">
          <cell r="A147" t="str">
            <v xml:space="preserve"> 1QA</v>
          </cell>
          <cell r="B147">
            <v>2541.81</v>
          </cell>
          <cell r="C147">
            <v>520.9</v>
          </cell>
          <cell r="D147">
            <v>2020.9099999999999</v>
          </cell>
          <cell r="E147">
            <v>688.3</v>
          </cell>
          <cell r="F147">
            <v>458.5</v>
          </cell>
          <cell r="G147">
            <v>874.1099999999999</v>
          </cell>
          <cell r="H147">
            <v>12.900000000000006</v>
          </cell>
          <cell r="I147">
            <v>0</v>
          </cell>
          <cell r="J147">
            <v>0</v>
          </cell>
          <cell r="L147">
            <v>0.6</v>
          </cell>
          <cell r="M147">
            <v>13.500000000000005</v>
          </cell>
          <cell r="N147">
            <v>887.6099999999999</v>
          </cell>
          <cell r="O147">
            <v>0.22002906681988715</v>
          </cell>
          <cell r="P147">
            <v>195.3</v>
          </cell>
          <cell r="Q147">
            <v>692.31</v>
          </cell>
          <cell r="R147">
            <v>1097.7</v>
          </cell>
          <cell r="S147">
            <v>0.63069144575020486</v>
          </cell>
          <cell r="T147">
            <v>0.41224595918013618</v>
          </cell>
          <cell r="U147">
            <v>0.26</v>
          </cell>
          <cell r="V147">
            <v>0.63069144575020486</v>
          </cell>
          <cell r="W147" t="str">
            <v xml:space="preserve">       --</v>
          </cell>
          <cell r="X147">
            <v>0.63069144575020486</v>
          </cell>
        </row>
        <row r="148">
          <cell r="A148" t="str">
            <v xml:space="preserve"> 2QA</v>
          </cell>
          <cell r="B148">
            <v>2621.3999999999996</v>
          </cell>
          <cell r="C148">
            <v>491.7</v>
          </cell>
          <cell r="D148">
            <v>2129.6999999999998</v>
          </cell>
          <cell r="E148">
            <v>795.4</v>
          </cell>
          <cell r="F148">
            <v>508.8</v>
          </cell>
          <cell r="G148">
            <v>825.49999999999977</v>
          </cell>
          <cell r="H148">
            <v>13.600000000000001</v>
          </cell>
          <cell r="I148">
            <v>0</v>
          </cell>
          <cell r="J148">
            <v>0</v>
          </cell>
          <cell r="L148">
            <v>14.9</v>
          </cell>
          <cell r="M148">
            <v>28.5</v>
          </cell>
          <cell r="N148">
            <v>853.99999999999977</v>
          </cell>
          <cell r="O148">
            <v>0.22002341920374713</v>
          </cell>
          <cell r="P148">
            <v>187.9</v>
          </cell>
          <cell r="Q148">
            <v>666.0999999999998</v>
          </cell>
          <cell r="R148">
            <v>1096.5</v>
          </cell>
          <cell r="S148">
            <v>0.6074783401732784</v>
          </cell>
          <cell r="T148">
            <v>0.42799879897913246</v>
          </cell>
          <cell r="U148">
            <v>0.26</v>
          </cell>
          <cell r="V148">
            <v>0.6074783401732784</v>
          </cell>
          <cell r="W148" t="str">
            <v xml:space="preserve">       --</v>
          </cell>
          <cell r="X148">
            <v>0.6074783401732784</v>
          </cell>
        </row>
        <row r="149">
          <cell r="A149" t="str">
            <v xml:space="preserve"> 3QA</v>
          </cell>
          <cell r="B149">
            <v>2811.7899999999995</v>
          </cell>
          <cell r="C149">
            <v>490.1</v>
          </cell>
          <cell r="D149">
            <v>2321.6899999999996</v>
          </cell>
          <cell r="E149">
            <v>800.3</v>
          </cell>
          <cell r="F149">
            <v>506.1</v>
          </cell>
          <cell r="G149">
            <v>1015.2899999999996</v>
          </cell>
          <cell r="H149">
            <v>24.199999999999996</v>
          </cell>
          <cell r="I149">
            <v>0</v>
          </cell>
          <cell r="J149">
            <v>0</v>
          </cell>
          <cell r="L149">
            <v>-41.2</v>
          </cell>
          <cell r="M149">
            <v>-17.000000000000007</v>
          </cell>
          <cell r="N149">
            <v>998.28999999999962</v>
          </cell>
          <cell r="O149">
            <v>0.21997615923228728</v>
          </cell>
          <cell r="P149">
            <v>219.6</v>
          </cell>
          <cell r="Q149">
            <v>778.6899999999996</v>
          </cell>
          <cell r="R149">
            <v>1098.2</v>
          </cell>
          <cell r="S149">
            <v>0.70906028045893243</v>
          </cell>
          <cell r="T149">
            <v>0.36668250523314816</v>
          </cell>
          <cell r="U149">
            <v>0.26</v>
          </cell>
          <cell r="V149">
            <v>0.70906028045893243</v>
          </cell>
          <cell r="W149" t="str">
            <v xml:space="preserve">       --</v>
          </cell>
          <cell r="X149">
            <v>0.70906028045893243</v>
          </cell>
        </row>
        <row r="150">
          <cell r="A150" t="str">
            <v xml:space="preserve"> 4QA</v>
          </cell>
          <cell r="B150">
            <v>2978.2</v>
          </cell>
          <cell r="C150">
            <v>565.20000000000005</v>
          </cell>
          <cell r="D150">
            <v>2413</v>
          </cell>
          <cell r="E150">
            <v>944.3</v>
          </cell>
          <cell r="F150">
            <v>545.1</v>
          </cell>
          <cell r="G150">
            <v>923.6</v>
          </cell>
          <cell r="H150">
            <v>-45.9</v>
          </cell>
          <cell r="I150">
            <v>0</v>
          </cell>
          <cell r="J150">
            <v>0</v>
          </cell>
          <cell r="L150">
            <v>106.5</v>
          </cell>
          <cell r="M150">
            <v>60.6</v>
          </cell>
          <cell r="N150">
            <v>984.2</v>
          </cell>
          <cell r="O150">
            <v>0.21987400934769355</v>
          </cell>
          <cell r="P150">
            <v>216.4</v>
          </cell>
          <cell r="Q150">
            <v>767.80000000000007</v>
          </cell>
          <cell r="R150">
            <v>1096.4000000000001</v>
          </cell>
          <cell r="S150">
            <v>0.70029186428310841</v>
          </cell>
          <cell r="T150">
            <v>0.37127376921073196</v>
          </cell>
          <cell r="U150">
            <v>0.26</v>
          </cell>
          <cell r="V150">
            <v>0.70029186428310841</v>
          </cell>
          <cell r="W150" t="str">
            <v xml:space="preserve">       --</v>
          </cell>
          <cell r="X150">
            <v>0.70029186428310841</v>
          </cell>
        </row>
        <row r="152">
          <cell r="A152" t="str">
            <v>Year</v>
          </cell>
          <cell r="B152">
            <v>10953.199999999997</v>
          </cell>
          <cell r="C152">
            <v>2067.8999999999996</v>
          </cell>
          <cell r="D152">
            <v>8885.2999999999993</v>
          </cell>
          <cell r="E152">
            <v>3228.3</v>
          </cell>
          <cell r="F152">
            <v>2018.5</v>
          </cell>
          <cell r="G152">
            <v>3638.4999999999991</v>
          </cell>
          <cell r="H152">
            <v>4.8000000000000043</v>
          </cell>
          <cell r="I152">
            <v>0</v>
          </cell>
          <cell r="J152">
            <v>0</v>
          </cell>
          <cell r="L152">
            <v>80.8</v>
          </cell>
          <cell r="M152">
            <v>85.6</v>
          </cell>
          <cell r="N152">
            <v>3724.0999999999995</v>
          </cell>
          <cell r="O152">
            <v>0.21997261083214742</v>
          </cell>
          <cell r="P152">
            <v>819.2</v>
          </cell>
          <cell r="Q152">
            <v>2904.8999999999996</v>
          </cell>
          <cell r="R152">
            <v>1097.7</v>
          </cell>
          <cell r="S152">
            <v>2.6475219306655244</v>
          </cell>
          <cell r="T152">
            <v>0.39282016437860767</v>
          </cell>
          <cell r="U152">
            <v>1.04</v>
          </cell>
          <cell r="V152">
            <v>2.6475219306655244</v>
          </cell>
          <cell r="W152" t="str">
            <v xml:space="preserve">       --</v>
          </cell>
          <cell r="X152">
            <v>2.6475219306655244</v>
          </cell>
        </row>
        <row r="154">
          <cell r="A154" t="str">
            <v>2001/00</v>
          </cell>
        </row>
        <row r="155">
          <cell r="A155" t="str">
            <v xml:space="preserve"> 1QA</v>
          </cell>
          <cell r="B155">
            <v>0.10381971901912435</v>
          </cell>
          <cell r="C155">
            <v>2.68765598003462E-3</v>
          </cell>
          <cell r="D155">
            <v>0.12988703108995492</v>
          </cell>
          <cell r="E155">
            <v>0.11710010169984031</v>
          </cell>
          <cell r="F155">
            <v>0.12431842966194107</v>
          </cell>
          <cell r="G155">
            <v>0.142876754641865</v>
          </cell>
          <cell r="H155">
            <v>1.3720930232558128</v>
          </cell>
          <cell r="I155" t="str">
            <v>NM</v>
          </cell>
          <cell r="J155" t="str">
            <v>NM</v>
          </cell>
          <cell r="L155">
            <v>7</v>
          </cell>
          <cell r="M155">
            <v>1.6222222222222209</v>
          </cell>
          <cell r="N155">
            <v>0.16537668570656106</v>
          </cell>
          <cell r="O155">
            <v>8.4942791320763433E-6</v>
          </cell>
          <cell r="P155">
            <v>0.16538658474142331</v>
          </cell>
          <cell r="Q155">
            <v>0.16537389319813456</v>
          </cell>
          <cell r="R155">
            <v>-5.1006650268743403E-3</v>
          </cell>
          <cell r="S155">
            <v>0.17134854978027891</v>
          </cell>
          <cell r="U155">
            <v>7.6923076923077094E-2</v>
          </cell>
          <cell r="V155">
            <v>0.17134854978027891</v>
          </cell>
          <cell r="W155" t="e">
            <v>#VALUE!</v>
          </cell>
          <cell r="X155">
            <v>0.17134854978027891</v>
          </cell>
        </row>
        <row r="156">
          <cell r="A156" t="str">
            <v xml:space="preserve"> 2QA</v>
          </cell>
          <cell r="B156">
            <v>0.15720607309071477</v>
          </cell>
          <cell r="C156">
            <v>6.2029692902176192E-2</v>
          </cell>
          <cell r="D156">
            <v>0.17918016622059429</v>
          </cell>
          <cell r="E156">
            <v>0.13138043751571526</v>
          </cell>
          <cell r="F156">
            <v>0.10790094339622658</v>
          </cell>
          <cell r="G156">
            <v>0.26917019987886071</v>
          </cell>
          <cell r="H156">
            <v>1.1470588235294117</v>
          </cell>
          <cell r="I156" t="str">
            <v>NM</v>
          </cell>
          <cell r="J156" t="str">
            <v>NM</v>
          </cell>
          <cell r="L156" t="str">
            <v>NM</v>
          </cell>
          <cell r="M156">
            <v>-0.52982456140350886</v>
          </cell>
          <cell r="N156">
            <v>0.24250585480093623</v>
          </cell>
          <cell r="O156">
            <v>-2.863366557709357E-4</v>
          </cell>
          <cell r="P156">
            <v>0.24215007982969672</v>
          </cell>
          <cell r="Q156">
            <v>0.24260621528298976</v>
          </cell>
          <cell r="R156">
            <v>-3.7674418604651816E-3</v>
          </cell>
          <cell r="S156">
            <v>0.24730536573062634</v>
          </cell>
          <cell r="U156">
            <v>0</v>
          </cell>
          <cell r="V156">
            <v>0.24730536573062634</v>
          </cell>
          <cell r="W156" t="e">
            <v>#VALUE!</v>
          </cell>
          <cell r="X156">
            <v>0.24730536573062634</v>
          </cell>
        </row>
        <row r="157">
          <cell r="A157" t="str">
            <v xml:space="preserve"> 3QA</v>
          </cell>
          <cell r="B157">
            <v>2.2266954502292435E-2</v>
          </cell>
          <cell r="C157">
            <v>0.12017955519281776</v>
          </cell>
          <cell r="D157">
            <v>1.5979738897098361E-3</v>
          </cell>
          <cell r="E157">
            <v>8.1969261526927406E-2</v>
          </cell>
          <cell r="F157">
            <v>0.11835605611539224</v>
          </cell>
          <cell r="G157">
            <v>-0.11995587467620061</v>
          </cell>
          <cell r="H157">
            <v>0.36776859504132253</v>
          </cell>
          <cell r="I157" t="str">
            <v>NM</v>
          </cell>
          <cell r="J157" t="str">
            <v>NM</v>
          </cell>
          <cell r="L157" t="str">
            <v>NM</v>
          </cell>
          <cell r="M157" t="str">
            <v>NM</v>
          </cell>
          <cell r="N157">
            <v>-7.1211772130342466E-2</v>
          </cell>
          <cell r="O157">
            <v>1.8682489615562403E-4</v>
          </cell>
          <cell r="P157">
            <v>-7.1038251366120186E-2</v>
          </cell>
          <cell r="Q157">
            <v>-7.1260707084975561E-2</v>
          </cell>
          <cell r="R157">
            <v>-7.5651065379712668E-3</v>
          </cell>
          <cell r="S157">
            <v>-6.4181137691367796E-2</v>
          </cell>
          <cell r="U157">
            <v>0</v>
          </cell>
          <cell r="V157">
            <v>-6.4181137691367796E-2</v>
          </cell>
          <cell r="W157" t="e">
            <v>#VALUE!</v>
          </cell>
          <cell r="X157">
            <v>-6.4181137691367796E-2</v>
          </cell>
        </row>
        <row r="158">
          <cell r="A158" t="str">
            <v xml:space="preserve"> 4QA</v>
          </cell>
          <cell r="B158">
            <v>-5.0164528910079609E-2</v>
          </cell>
          <cell r="C158">
            <v>2.6539278131634259E-3</v>
          </cell>
          <cell r="D158">
            <v>-6.253626191462891E-2</v>
          </cell>
          <cell r="E158">
            <v>-6.5233506300963584E-2</v>
          </cell>
          <cell r="F158">
            <v>8.2186754723903688E-2</v>
          </cell>
          <cell r="G158">
            <v>-0.14519272412299666</v>
          </cell>
          <cell r="H158">
            <v>-1.925925925925926</v>
          </cell>
          <cell r="I158" t="str">
            <v>NM</v>
          </cell>
          <cell r="J158" t="str">
            <v>NM</v>
          </cell>
          <cell r="L158" t="str">
            <v>NM</v>
          </cell>
          <cell r="M158">
            <v>-0.14686468646864681</v>
          </cell>
          <cell r="N158">
            <v>-0.14529567161146073</v>
          </cell>
          <cell r="O158">
            <v>7.6765170432468999E-4</v>
          </cell>
          <cell r="P158">
            <v>-0.14463955637707948</v>
          </cell>
          <cell r="Q158">
            <v>-0.14548059390466228</v>
          </cell>
          <cell r="R158">
            <v>-5.4377964246624666E-3</v>
          </cell>
          <cell r="S158">
            <v>-0.14080848535824297</v>
          </cell>
          <cell r="U158">
            <v>0</v>
          </cell>
          <cell r="V158">
            <v>-0.14080848535824297</v>
          </cell>
          <cell r="W158" t="e">
            <v>#VALUE!</v>
          </cell>
          <cell r="X158">
            <v>-0.14080848535824297</v>
          </cell>
        </row>
        <row r="160">
          <cell r="A160" t="str">
            <v>2001/00A</v>
          </cell>
          <cell r="B160">
            <v>5.3792498995727522E-2</v>
          </cell>
          <cell r="C160">
            <v>4.4634653513226076E-2</v>
          </cell>
          <cell r="D160">
            <v>5.5923829246058265E-2</v>
          </cell>
          <cell r="E160">
            <v>5.8575720967691813E-2</v>
          </cell>
          <cell r="F160">
            <v>0.10730740648996773</v>
          </cell>
          <cell r="G160">
            <v>2.5065274151436362E-2</v>
          </cell>
          <cell r="H160" t="str">
            <v>NM</v>
          </cell>
          <cell r="I160" t="str">
            <v>NM</v>
          </cell>
          <cell r="J160" t="str">
            <v>NM</v>
          </cell>
          <cell r="L160">
            <v>-1.0148514851485149</v>
          </cell>
          <cell r="M160">
            <v>0.56775700934579432</v>
          </cell>
          <cell r="N160">
            <v>3.7539271233318294E-2</v>
          </cell>
          <cell r="O160">
            <v>1.7392626398337271E-4</v>
          </cell>
          <cell r="P160">
            <v>3.7719726562499972E-2</v>
          </cell>
          <cell r="Q160">
            <v>3.752280629281559E-2</v>
          </cell>
          <cell r="R160">
            <v>-6.2922474264372344E-3</v>
          </cell>
          <cell r="S160">
            <v>4.3129155662702347E-2</v>
          </cell>
          <cell r="U160">
            <v>1.9230769230769246E-2</v>
          </cell>
          <cell r="V160" t="e">
            <v>#NULL!</v>
          </cell>
          <cell r="W160" t="str">
            <v>NM</v>
          </cell>
          <cell r="X160">
            <v>4.3129155662702347E-2</v>
          </cell>
        </row>
        <row r="162">
          <cell r="A162">
            <v>2001</v>
          </cell>
        </row>
        <row r="163">
          <cell r="A163" t="str">
            <v xml:space="preserve"> 1QA</v>
          </cell>
          <cell r="B163">
            <v>2805.7000000000003</v>
          </cell>
          <cell r="C163">
            <v>522.29999999999995</v>
          </cell>
          <cell r="D163">
            <v>2283.4000000000005</v>
          </cell>
          <cell r="E163">
            <v>768.9</v>
          </cell>
          <cell r="F163">
            <v>515.5</v>
          </cell>
          <cell r="G163">
            <v>999.00000000000045</v>
          </cell>
          <cell r="H163">
            <v>30.6</v>
          </cell>
          <cell r="I163">
            <v>0</v>
          </cell>
          <cell r="J163">
            <v>0</v>
          </cell>
          <cell r="L163">
            <v>4.8</v>
          </cell>
          <cell r="M163">
            <v>35.4</v>
          </cell>
          <cell r="N163">
            <v>1034.4000000000005</v>
          </cell>
          <cell r="O163">
            <v>0.22003093580819788</v>
          </cell>
          <cell r="P163">
            <v>227.6</v>
          </cell>
          <cell r="Q163">
            <v>806.80000000000052</v>
          </cell>
          <cell r="R163">
            <v>1092.1010000000001</v>
          </cell>
          <cell r="S163">
            <v>0.73875951033832987</v>
          </cell>
          <cell r="T163">
            <v>0.37901373326722843</v>
          </cell>
          <cell r="U163">
            <v>0.28000000000000003</v>
          </cell>
          <cell r="V163">
            <v>0.73875951033832987</v>
          </cell>
          <cell r="W163" t="str">
            <v xml:space="preserve">       --</v>
          </cell>
          <cell r="X163">
            <v>0.73875951033832987</v>
          </cell>
        </row>
        <row r="164">
          <cell r="A164" t="str">
            <v xml:space="preserve"> 2QA</v>
          </cell>
          <cell r="B164">
            <v>3033.4999999999991</v>
          </cell>
          <cell r="C164">
            <v>522.20000000000005</v>
          </cell>
          <cell r="D164">
            <v>2511.2999999999993</v>
          </cell>
          <cell r="E164">
            <v>899.9</v>
          </cell>
          <cell r="F164">
            <v>563.70000000000005</v>
          </cell>
          <cell r="G164">
            <v>1047.6999999999991</v>
          </cell>
          <cell r="H164">
            <v>29.2</v>
          </cell>
          <cell r="I164">
            <v>0</v>
          </cell>
          <cell r="J164">
            <v>0</v>
          </cell>
          <cell r="L164">
            <v>-15.8</v>
          </cell>
          <cell r="M164">
            <v>13.399999999999999</v>
          </cell>
          <cell r="N164">
            <v>1061.0999999999992</v>
          </cell>
          <cell r="O164">
            <v>0.21996041843370104</v>
          </cell>
          <cell r="P164">
            <v>233.4</v>
          </cell>
          <cell r="Q164">
            <v>827.69999999999925</v>
          </cell>
          <cell r="R164">
            <v>1092.3689999999999</v>
          </cell>
          <cell r="S164">
            <v>0.75771099326326485</v>
          </cell>
          <cell r="T164">
            <v>0.34313874592243593</v>
          </cell>
          <cell r="U164">
            <v>0.26</v>
          </cell>
          <cell r="V164">
            <v>0.75771099326326485</v>
          </cell>
          <cell r="W164" t="str">
            <v xml:space="preserve">       --</v>
          </cell>
          <cell r="X164">
            <v>0.75771099326326485</v>
          </cell>
        </row>
        <row r="165">
          <cell r="A165" t="str">
            <v xml:space="preserve"> 3QA</v>
          </cell>
          <cell r="B165">
            <v>2874.4</v>
          </cell>
          <cell r="C165">
            <v>549</v>
          </cell>
          <cell r="D165">
            <v>2325.4</v>
          </cell>
          <cell r="E165">
            <v>865.9</v>
          </cell>
          <cell r="F165">
            <v>566</v>
          </cell>
          <cell r="G165">
            <v>893.5</v>
          </cell>
          <cell r="H165">
            <v>33.1</v>
          </cell>
          <cell r="I165">
            <v>0</v>
          </cell>
          <cell r="J165">
            <v>0</v>
          </cell>
          <cell r="L165">
            <v>0.6</v>
          </cell>
          <cell r="M165">
            <v>33.700000000000003</v>
          </cell>
          <cell r="N165">
            <v>927.2</v>
          </cell>
          <cell r="O165">
            <v>0.22001725625539256</v>
          </cell>
          <cell r="P165">
            <v>204</v>
          </cell>
          <cell r="Q165">
            <v>723.2</v>
          </cell>
          <cell r="R165">
            <v>1089.8920000000001</v>
          </cell>
          <cell r="S165">
            <v>0.66355198496731782</v>
          </cell>
          <cell r="T165">
            <v>0.39183064159292041</v>
          </cell>
          <cell r="U165">
            <v>0.26</v>
          </cell>
          <cell r="V165">
            <v>0.66355198496731782</v>
          </cell>
          <cell r="W165" t="str">
            <v xml:space="preserve">       --</v>
          </cell>
          <cell r="X165">
            <v>0.66355198496731782</v>
          </cell>
        </row>
        <row r="166">
          <cell r="A166" t="str">
            <v xml:space="preserve"> 4QA</v>
          </cell>
          <cell r="B166">
            <v>2828.8000000000006</v>
          </cell>
          <cell r="C166">
            <v>566.70000000000005</v>
          </cell>
          <cell r="D166">
            <v>2262.1000000000004</v>
          </cell>
          <cell r="E166">
            <v>882.7</v>
          </cell>
          <cell r="F166">
            <v>589.9</v>
          </cell>
          <cell r="G166">
            <v>789.50000000000034</v>
          </cell>
          <cell r="H166">
            <v>42.5</v>
          </cell>
          <cell r="I166">
            <v>0</v>
          </cell>
          <cell r="J166">
            <v>0</v>
          </cell>
          <cell r="L166">
            <v>9.1999999999999993</v>
          </cell>
          <cell r="M166">
            <v>51.7</v>
          </cell>
          <cell r="N166">
            <v>841.20000000000039</v>
          </cell>
          <cell r="O166">
            <v>0.22004279600570603</v>
          </cell>
          <cell r="P166">
            <v>185.1</v>
          </cell>
          <cell r="Q166">
            <v>656.10000000000036</v>
          </cell>
          <cell r="R166">
            <v>1090.4380000000001</v>
          </cell>
          <cell r="S166">
            <v>0.60168482756470365</v>
          </cell>
          <cell r="T166">
            <v>0.43211992074378885</v>
          </cell>
          <cell r="U166">
            <v>0.26</v>
          </cell>
          <cell r="V166">
            <v>0.60168482756470365</v>
          </cell>
          <cell r="W166" t="str">
            <v xml:space="preserve">       --</v>
          </cell>
          <cell r="X166">
            <v>0.60168482756470365</v>
          </cell>
        </row>
        <row r="168">
          <cell r="A168" t="str">
            <v>Year</v>
          </cell>
          <cell r="B168">
            <v>11542.4</v>
          </cell>
          <cell r="C168">
            <v>2160.1999999999998</v>
          </cell>
          <cell r="D168">
            <v>9382.2000000000007</v>
          </cell>
          <cell r="E168">
            <v>3417.3999999999996</v>
          </cell>
          <cell r="F168">
            <v>2235.1</v>
          </cell>
          <cell r="G168">
            <v>3729.7000000000003</v>
          </cell>
          <cell r="H168">
            <v>135.4</v>
          </cell>
          <cell r="I168">
            <v>0</v>
          </cell>
          <cell r="J168">
            <v>0</v>
          </cell>
          <cell r="L168">
            <v>-1.2000000000000011</v>
          </cell>
          <cell r="M168">
            <v>134.19999999999999</v>
          </cell>
          <cell r="N168">
            <v>3863.9</v>
          </cell>
          <cell r="O168">
            <v>0.22001086984652812</v>
          </cell>
          <cell r="P168">
            <v>850.1</v>
          </cell>
          <cell r="Q168">
            <v>3013.8999999999996</v>
          </cell>
          <cell r="R168">
            <v>1090.7929999999999</v>
          </cell>
          <cell r="S168">
            <v>2.7617073161336161</v>
          </cell>
          <cell r="T168">
            <v>0.38382054238969743</v>
          </cell>
          <cell r="U168">
            <v>1.06</v>
          </cell>
          <cell r="V168">
            <v>2.7617073161336161</v>
          </cell>
          <cell r="W168" t="str">
            <v xml:space="preserve">       --</v>
          </cell>
          <cell r="X168">
            <v>2.7617073161336161</v>
          </cell>
        </row>
        <row r="170">
          <cell r="A170" t="str">
            <v>2002/01</v>
          </cell>
        </row>
        <row r="171">
          <cell r="A171" t="str">
            <v xml:space="preserve"> 1QA</v>
          </cell>
          <cell r="B171">
            <v>-8.7179669957586414E-2</v>
          </cell>
          <cell r="C171">
            <v>1.4933946008041543E-2</v>
          </cell>
          <cell r="D171">
            <v>-0.11053691863011317</v>
          </cell>
          <cell r="E171">
            <v>1.0924697619976609E-2</v>
          </cell>
          <cell r="F171">
            <v>-2.4636275460717783E-2</v>
          </cell>
          <cell r="G171">
            <v>-0.24834834834834862</v>
          </cell>
          <cell r="H171">
            <v>0.28431372549019596</v>
          </cell>
          <cell r="I171" t="str">
            <v>NM</v>
          </cell>
          <cell r="J171" t="str">
            <v>NM</v>
          </cell>
          <cell r="L171">
            <v>2.4375</v>
          </cell>
          <cell r="M171">
            <v>0.57627118644067798</v>
          </cell>
          <cell r="N171">
            <v>-0.2201276102088171</v>
          </cell>
          <cell r="O171">
            <v>5.8821953141663386E-6</v>
          </cell>
          <cell r="P171">
            <v>-0.22012302284710017</v>
          </cell>
          <cell r="Q171">
            <v>-0.22012890431333709</v>
          </cell>
          <cell r="R171">
            <v>-3.5720139437653842E-3</v>
          </cell>
          <cell r="S171">
            <v>-0.2173332076176252</v>
          </cell>
          <cell r="U171">
            <v>0.21428571428571419</v>
          </cell>
          <cell r="V171">
            <v>-0.78051561021733384</v>
          </cell>
          <cell r="W171" t="e">
            <v>#VALUE!</v>
          </cell>
          <cell r="X171">
            <v>-0.78051561021733384</v>
          </cell>
        </row>
        <row r="172">
          <cell r="A172" t="str">
            <v xml:space="preserve"> 2QA</v>
          </cell>
          <cell r="B172">
            <v>-8.515576067249031E-2</v>
          </cell>
          <cell r="C172">
            <v>5.1704327843735687E-3</v>
          </cell>
          <cell r="D172">
            <v>-0.10393819933898762</v>
          </cell>
          <cell r="E172">
            <v>1.7001889098788858E-2</v>
          </cell>
          <cell r="F172">
            <v>-3.2286677310626288E-2</v>
          </cell>
          <cell r="G172">
            <v>-0.24636823518182649</v>
          </cell>
          <cell r="H172">
            <v>-0.26027397260273966</v>
          </cell>
          <cell r="I172" t="str">
            <v>NM</v>
          </cell>
          <cell r="J172" t="str">
            <v>NM</v>
          </cell>
          <cell r="L172" t="str">
            <v>NM</v>
          </cell>
          <cell r="M172">
            <v>3.0746268656716422</v>
          </cell>
          <cell r="N172">
            <v>-0.20442936575252069</v>
          </cell>
          <cell r="O172">
            <v>7.4394153563028809E-5</v>
          </cell>
          <cell r="P172">
            <v>-0.20437017994858619</v>
          </cell>
          <cell r="Q172">
            <v>-0.2044460553340578</v>
          </cell>
          <cell r="R172">
            <v>-5.507296527089145E-3</v>
          </cell>
          <cell r="S172">
            <v>-0.20004044083204031</v>
          </cell>
          <cell r="U172">
            <v>0.30769230769230771</v>
          </cell>
          <cell r="V172">
            <v>-0.78694779421401606</v>
          </cell>
          <cell r="W172" t="e">
            <v>#VALUE!</v>
          </cell>
          <cell r="X172">
            <v>-0.78694779421401606</v>
          </cell>
        </row>
        <row r="173">
          <cell r="A173" t="str">
            <v xml:space="preserve"> 3QE</v>
          </cell>
          <cell r="B173">
            <v>-3.0893403840801636E-2</v>
          </cell>
          <cell r="C173">
            <v>8.5610200364298894E-3</v>
          </cell>
          <cell r="D173">
            <v>-4.020813623462649E-2</v>
          </cell>
          <cell r="E173">
            <v>-6.374870077376138E-2</v>
          </cell>
          <cell r="F173">
            <v>-6.9434628975264978E-2</v>
          </cell>
          <cell r="G173">
            <v>1.1191941801897975E-3</v>
          </cell>
          <cell r="H173">
            <v>-0.30815709969788518</v>
          </cell>
          <cell r="I173" t="str">
            <v>NM</v>
          </cell>
          <cell r="J173" t="str">
            <v>NM</v>
          </cell>
          <cell r="L173" t="str">
            <v>NM</v>
          </cell>
          <cell r="M173" t="str">
            <v>NM</v>
          </cell>
          <cell r="N173">
            <v>2.1138912855909631E-2</v>
          </cell>
          <cell r="O173">
            <v>-5.9229437443963917E-5</v>
          </cell>
          <cell r="P173">
            <v>2.1078431372549167E-2</v>
          </cell>
          <cell r="Q173">
            <v>2.1155973451326693E-2</v>
          </cell>
          <cell r="R173">
            <v>-3.8279022141644026E-3</v>
          </cell>
          <cell r="S173">
            <v>2.5079878989807236E-2</v>
          </cell>
          <cell r="U173">
            <v>0.30769230769230771</v>
          </cell>
          <cell r="V173">
            <v>-1</v>
          </cell>
          <cell r="W173" t="e">
            <v>#VALUE!</v>
          </cell>
          <cell r="X173">
            <v>-1</v>
          </cell>
        </row>
        <row r="174">
          <cell r="A174" t="str">
            <v xml:space="preserve"> 4QA</v>
          </cell>
          <cell r="B174">
            <v>4.4824660633483671E-2</v>
          </cell>
          <cell r="C174">
            <v>1.9410622904534325E-3</v>
          </cell>
          <cell r="D174">
            <v>5.5567835197382509E-2</v>
          </cell>
          <cell r="E174">
            <v>4.316302254446569E-2</v>
          </cell>
          <cell r="F174">
            <v>-2.6445160196643558E-2</v>
          </cell>
          <cell r="G174">
            <v>0.13071564281190495</v>
          </cell>
          <cell r="H174">
            <v>-0.44705882352941173</v>
          </cell>
          <cell r="I174" t="str">
            <v>NM</v>
          </cell>
          <cell r="J174" t="str">
            <v>NM</v>
          </cell>
          <cell r="L174" t="str">
            <v>NM</v>
          </cell>
          <cell r="M174" t="str">
            <v>NM</v>
          </cell>
          <cell r="N174">
            <v>0.12220637184973704</v>
          </cell>
          <cell r="O174">
            <v>-9.8206191796235132E-5</v>
          </cell>
          <cell r="P174">
            <v>0.12209616423554825</v>
          </cell>
          <cell r="Q174">
            <v>0.122237463801248</v>
          </cell>
          <cell r="R174">
            <v>-5.9627415772379733E-3</v>
          </cell>
          <cell r="S174">
            <v>0.12896921548182316</v>
          </cell>
          <cell r="U174">
            <v>0.30769230769230771</v>
          </cell>
          <cell r="V174" t="e">
            <v>#DIV/0!</v>
          </cell>
          <cell r="W174" t="e">
            <v>#VALUE!</v>
          </cell>
          <cell r="X174" t="e">
            <v>#DIV/0!</v>
          </cell>
        </row>
        <row r="176">
          <cell r="A176" t="str">
            <v>2002A/01A</v>
          </cell>
          <cell r="B176">
            <v>-4.0279317992791802E-2</v>
          </cell>
          <cell r="C176">
            <v>7.5455976298491731E-3</v>
          </cell>
          <cell r="D176">
            <v>-5.1290742043444089E-2</v>
          </cell>
          <cell r="E176">
            <v>1.9312927956927073E-3</v>
          </cell>
          <cell r="F176">
            <v>-3.8387544181468281E-2</v>
          </cell>
          <cell r="G176">
            <v>-0.10778883020082079</v>
          </cell>
          <cell r="H176">
            <v>-0.20753323485967512</v>
          </cell>
          <cell r="I176" t="str">
            <v>NM</v>
          </cell>
          <cell r="J176" t="str">
            <v>NM</v>
          </cell>
          <cell r="L176" t="str">
            <v>NM</v>
          </cell>
          <cell r="M176">
            <v>0.59463487332339804</v>
          </cell>
          <cell r="N176">
            <v>-8.3392427340252498E-2</v>
          </cell>
          <cell r="O176">
            <v>-4.9405952240925582E-5</v>
          </cell>
          <cell r="P176">
            <v>-8.3401952711445682E-2</v>
          </cell>
          <cell r="Q176">
            <v>-8.3420153289757798E-2</v>
          </cell>
          <cell r="R176">
            <v>-5.2301399073884118E-3</v>
          </cell>
          <cell r="S176">
            <v>-7.8157914519644198E-2</v>
          </cell>
          <cell r="U176">
            <v>0.28301886792452835</v>
          </cell>
          <cell r="V176">
            <v>-7.8157914519644198E-2</v>
          </cell>
          <cell r="W176" t="str">
            <v>NM</v>
          </cell>
          <cell r="X176">
            <v>-7.8157914519644198E-2</v>
          </cell>
        </row>
        <row r="178">
          <cell r="A178">
            <v>2002</v>
          </cell>
        </row>
        <row r="179">
          <cell r="A179" t="str">
            <v xml:space="preserve"> 1QA</v>
          </cell>
          <cell r="B179">
            <v>2561.1</v>
          </cell>
          <cell r="C179">
            <v>530.1</v>
          </cell>
          <cell r="D179">
            <v>2031</v>
          </cell>
          <cell r="E179">
            <v>777.3</v>
          </cell>
          <cell r="F179">
            <v>502.8</v>
          </cell>
          <cell r="G179">
            <v>750.90000000000009</v>
          </cell>
          <cell r="H179">
            <v>39.299999999999997</v>
          </cell>
          <cell r="I179">
            <v>0</v>
          </cell>
          <cell r="J179">
            <v>0</v>
          </cell>
          <cell r="K179">
            <v>0</v>
          </cell>
          <cell r="L179">
            <v>16.5</v>
          </cell>
          <cell r="M179">
            <v>55.8</v>
          </cell>
          <cell r="N179">
            <v>806.7</v>
          </cell>
          <cell r="O179">
            <v>0.22003223007313746</v>
          </cell>
          <cell r="P179">
            <v>177.5</v>
          </cell>
          <cell r="Q179">
            <v>629.20000000000005</v>
          </cell>
          <cell r="R179">
            <v>1088.2</v>
          </cell>
          <cell r="S179">
            <v>0.57820253629847451</v>
          </cell>
          <cell r="T179">
            <v>0.58802924348378904</v>
          </cell>
          <cell r="U179">
            <v>0.34</v>
          </cell>
          <cell r="V179">
            <v>0.57820253629847451</v>
          </cell>
          <cell r="W179" t="str">
            <v xml:space="preserve">       --</v>
          </cell>
          <cell r="X179">
            <v>0.57820253629847451</v>
          </cell>
        </row>
        <row r="180">
          <cell r="A180" t="str">
            <v xml:space="preserve"> 2QA</v>
          </cell>
          <cell r="B180">
            <v>2775.18</v>
          </cell>
          <cell r="C180">
            <v>524.9</v>
          </cell>
          <cell r="D180">
            <v>2250.2799999999997</v>
          </cell>
          <cell r="E180">
            <v>915.2</v>
          </cell>
          <cell r="F180">
            <v>545.5</v>
          </cell>
          <cell r="G180">
            <v>789.5799999999997</v>
          </cell>
          <cell r="H180">
            <v>21.6</v>
          </cell>
          <cell r="I180">
            <v>0</v>
          </cell>
          <cell r="J180">
            <v>0</v>
          </cell>
          <cell r="K180">
            <v>0</v>
          </cell>
          <cell r="L180">
            <v>33</v>
          </cell>
          <cell r="M180">
            <v>54.6</v>
          </cell>
          <cell r="N180">
            <v>844.17999999999972</v>
          </cell>
          <cell r="O180">
            <v>0.2199767822028478</v>
          </cell>
          <cell r="P180">
            <v>185.7</v>
          </cell>
          <cell r="Q180">
            <v>658.47999999999979</v>
          </cell>
          <cell r="R180">
            <v>1086.3530000000001</v>
          </cell>
          <cell r="S180">
            <v>0.60613815214759825</v>
          </cell>
          <cell r="T180">
            <v>0.56092822864779512</v>
          </cell>
          <cell r="U180">
            <v>0.34</v>
          </cell>
          <cell r="V180">
            <v>0.60613815214759825</v>
          </cell>
          <cell r="W180" t="str">
            <v xml:space="preserve">       --</v>
          </cell>
          <cell r="X180">
            <v>0.60613815214759825</v>
          </cell>
        </row>
        <row r="181">
          <cell r="A181" t="str">
            <v xml:space="preserve"> 3QA</v>
          </cell>
          <cell r="B181">
            <v>2785.6</v>
          </cell>
          <cell r="C181">
            <v>553.70000000000005</v>
          </cell>
          <cell r="D181">
            <v>2231.8999999999996</v>
          </cell>
          <cell r="E181">
            <v>810.7</v>
          </cell>
          <cell r="F181">
            <v>526.70000000000005</v>
          </cell>
          <cell r="G181">
            <v>894.49999999999955</v>
          </cell>
          <cell r="H181">
            <v>22.900000000000002</v>
          </cell>
          <cell r="I181">
            <v>0</v>
          </cell>
          <cell r="J181">
            <v>0</v>
          </cell>
          <cell r="K181">
            <v>0</v>
          </cell>
          <cell r="L181">
            <v>29.4</v>
          </cell>
          <cell r="M181">
            <v>52.3</v>
          </cell>
          <cell r="N181">
            <v>946.7999999999995</v>
          </cell>
          <cell r="O181">
            <v>0.22000422475707659</v>
          </cell>
          <cell r="P181">
            <v>208.3</v>
          </cell>
          <cell r="Q181">
            <v>738.49999999999955</v>
          </cell>
          <cell r="R181">
            <v>1085.72</v>
          </cell>
          <cell r="S181">
            <v>0.68019378845374456</v>
          </cell>
          <cell r="T181">
            <v>0.49985754908598545</v>
          </cell>
          <cell r="U181">
            <v>0.34</v>
          </cell>
          <cell r="V181">
            <v>0.68019378845374456</v>
          </cell>
          <cell r="W181" t="str">
            <v xml:space="preserve">       --</v>
          </cell>
          <cell r="X181">
            <v>0.68019378845374456</v>
          </cell>
        </row>
        <row r="182">
          <cell r="A182" t="str">
            <v xml:space="preserve"> 4QA</v>
          </cell>
          <cell r="B182">
            <v>2955.5999999999995</v>
          </cell>
          <cell r="C182">
            <v>567.79999999999995</v>
          </cell>
          <cell r="D182">
            <v>2387.7999999999993</v>
          </cell>
          <cell r="E182">
            <v>920.8</v>
          </cell>
          <cell r="F182">
            <v>574.29999999999995</v>
          </cell>
          <cell r="G182">
            <v>892.69999999999936</v>
          </cell>
          <cell r="H182">
            <v>23.5</v>
          </cell>
          <cell r="I182">
            <v>0</v>
          </cell>
          <cell r="J182">
            <v>0</v>
          </cell>
          <cell r="K182">
            <v>-10</v>
          </cell>
          <cell r="L182">
            <v>37.799999999999997</v>
          </cell>
          <cell r="M182">
            <v>51.3</v>
          </cell>
          <cell r="N182">
            <v>943.99999999999932</v>
          </cell>
          <cell r="O182">
            <v>0.22002118644067811</v>
          </cell>
          <cell r="P182">
            <v>207.7</v>
          </cell>
          <cell r="Q182">
            <v>736.29999999999927</v>
          </cell>
          <cell r="R182">
            <v>1083.9359999999999</v>
          </cell>
          <cell r="S182">
            <v>0.67928364774303951</v>
          </cell>
          <cell r="T182">
            <v>0.50052728507401922</v>
          </cell>
          <cell r="U182">
            <v>0.34</v>
          </cell>
          <cell r="V182">
            <v>0.67928364774303951</v>
          </cell>
          <cell r="W182" t="str">
            <v xml:space="preserve">       --</v>
          </cell>
          <cell r="X182">
            <v>0.67928364774303951</v>
          </cell>
        </row>
        <row r="184">
          <cell r="A184" t="str">
            <v>Year</v>
          </cell>
          <cell r="B184">
            <v>11077.48</v>
          </cell>
          <cell r="C184">
            <v>2176.5</v>
          </cell>
          <cell r="D184">
            <v>8900.98</v>
          </cell>
          <cell r="E184">
            <v>3424</v>
          </cell>
          <cell r="F184">
            <v>2149.3000000000002</v>
          </cell>
          <cell r="G184">
            <v>3327.6799999999989</v>
          </cell>
          <cell r="H184">
            <v>107.3</v>
          </cell>
          <cell r="I184">
            <v>0</v>
          </cell>
          <cell r="J184">
            <v>0</v>
          </cell>
          <cell r="K184">
            <v>-10</v>
          </cell>
          <cell r="L184">
            <v>116.7</v>
          </cell>
          <cell r="M184">
            <v>214</v>
          </cell>
          <cell r="N184">
            <v>3541.6799999999985</v>
          </cell>
          <cell r="O184">
            <v>0.22</v>
          </cell>
          <cell r="P184">
            <v>779.2</v>
          </cell>
          <cell r="Q184">
            <v>2762.4799999999987</v>
          </cell>
          <cell r="R184">
            <v>1085.088</v>
          </cell>
          <cell r="S184">
            <v>2.5458580317909689</v>
          </cell>
          <cell r="T184">
            <v>0.53420103674958763</v>
          </cell>
          <cell r="U184">
            <v>1.36</v>
          </cell>
          <cell r="V184">
            <v>2.5458580317909689</v>
          </cell>
          <cell r="W184" t="str">
            <v xml:space="preserve">       --</v>
          </cell>
          <cell r="X184">
            <v>2.5458580317909689</v>
          </cell>
        </row>
        <row r="185">
          <cell r="I185">
            <v>0</v>
          </cell>
          <cell r="J185">
            <v>0</v>
          </cell>
        </row>
        <row r="186">
          <cell r="A186">
            <v>2003</v>
          </cell>
        </row>
        <row r="187">
          <cell r="A187" t="str">
            <v xml:space="preserve"> 1QE</v>
          </cell>
          <cell r="B187">
            <v>8.4827222677755776E-2</v>
          </cell>
          <cell r="C187">
            <v>0.12685430107526874</v>
          </cell>
          <cell r="D187">
            <v>7.3857968980797661E-2</v>
          </cell>
          <cell r="E187">
            <v>0.12234943265148601</v>
          </cell>
          <cell r="F187">
            <v>8.8574278042959476E-2</v>
          </cell>
          <cell r="G187">
            <v>1.3807662804634413E-2</v>
          </cell>
          <cell r="H187">
            <v>-0.31297709923664119</v>
          </cell>
          <cell r="I187" t="e">
            <v>#DIV/0!</v>
          </cell>
          <cell r="J187" t="e">
            <v>#DIV/0!</v>
          </cell>
          <cell r="K187" t="str">
            <v>NM</v>
          </cell>
          <cell r="L187">
            <v>0.51515151515151514</v>
          </cell>
          <cell r="M187">
            <v>-0.24731182795698925</v>
          </cell>
          <cell r="N187">
            <v>-4.2541539605801537E-3</v>
          </cell>
          <cell r="O187">
            <v>-1.4647887323937514E-4</v>
          </cell>
          <cell r="P187">
            <v>-4.4000096901407604E-3</v>
          </cell>
          <cell r="Q187">
            <v>-4.2130074380165583E-3</v>
          </cell>
          <cell r="R187">
            <v>-3.9183973534278049E-3</v>
          </cell>
          <cell r="S187">
            <v>-2.9576902515404679E-4</v>
          </cell>
        </row>
        <row r="188">
          <cell r="A188" t="str">
            <v xml:space="preserve"> 2QE</v>
          </cell>
          <cell r="B188">
            <v>6.6296600580863174E-2</v>
          </cell>
          <cell r="C188">
            <v>0.20080423890264787</v>
          </cell>
          <cell r="D188">
            <v>3.4921367563147454E-2</v>
          </cell>
          <cell r="E188">
            <v>5.0839843749999725E-2</v>
          </cell>
          <cell r="F188">
            <v>6.3238020164986031E-2</v>
          </cell>
          <cell r="G188">
            <v>-3.0929228197268399E-3</v>
          </cell>
          <cell r="H188">
            <v>0.20370370370370372</v>
          </cell>
          <cell r="I188" t="e">
            <v>#DIV/0!</v>
          </cell>
          <cell r="J188" t="e">
            <v>#DIV/0!</v>
          </cell>
          <cell r="K188" t="str">
            <v>NM</v>
          </cell>
          <cell r="L188">
            <v>-0.24242424242424243</v>
          </cell>
          <cell r="M188">
            <v>-6.5934065934065922E-2</v>
          </cell>
          <cell r="N188">
            <v>-7.1573716505958229E-3</v>
          </cell>
          <cell r="O188">
            <v>1.0554658050598853E-4</v>
          </cell>
          <cell r="P188">
            <v>-7.0525805061930624E-3</v>
          </cell>
          <cell r="Q188">
            <v>-7.1869241282955798E-3</v>
          </cell>
          <cell r="R188">
            <v>-2.2248753397837717E-3</v>
          </cell>
          <cell r="S188">
            <v>-4.9731133457566745E-3</v>
          </cell>
        </row>
        <row r="189">
          <cell r="A189" t="str">
            <v xml:space="preserve"> 3QE</v>
          </cell>
          <cell r="B189">
            <v>7.7179063756461774E-2</v>
          </cell>
          <cell r="C189">
            <v>0.15428150623081072</v>
          </cell>
          <cell r="D189">
            <v>5.8051135803575571E-2</v>
          </cell>
          <cell r="E189">
            <v>0.15108361909460943</v>
          </cell>
          <cell r="F189">
            <v>0.10521067021074604</v>
          </cell>
          <cell r="G189">
            <v>-5.4034231414197498E-2</v>
          </cell>
          <cell r="H189">
            <v>0.17903930131004353</v>
          </cell>
          <cell r="I189" t="e">
            <v>#DIV/0!</v>
          </cell>
          <cell r="J189" t="e">
            <v>#DIV/0!</v>
          </cell>
          <cell r="K189" t="str">
            <v>NM</v>
          </cell>
          <cell r="L189">
            <v>-0.14965986394557818</v>
          </cell>
          <cell r="M189">
            <v>8.9866156787762996E-2</v>
          </cell>
          <cell r="N189">
            <v>-4.6085361216729681E-2</v>
          </cell>
          <cell r="O189">
            <v>-1.9203072492146589E-5</v>
          </cell>
          <cell r="P189">
            <v>-4.6103679308689527E-2</v>
          </cell>
          <cell r="Q189">
            <v>-4.6080194448205436E-2</v>
          </cell>
          <cell r="R189">
            <v>-1.6431492465830422E-3</v>
          </cell>
          <cell r="S189">
            <v>-4.4510182073762228E-2</v>
          </cell>
        </row>
        <row r="190">
          <cell r="A190" t="str">
            <v xml:space="preserve"> 4QE</v>
          </cell>
          <cell r="B190">
            <v>8.8861618622276595E-2</v>
          </cell>
          <cell r="C190">
            <v>0.19747849630151459</v>
          </cell>
          <cell r="D190">
            <v>6.3033382109054736E-2</v>
          </cell>
          <cell r="E190">
            <v>0.10433209176802816</v>
          </cell>
          <cell r="F190">
            <v>8.3129733588716892E-2</v>
          </cell>
          <cell r="G190">
            <v>7.5061204211943622E-3</v>
          </cell>
          <cell r="H190">
            <v>0.16170212765957426</v>
          </cell>
          <cell r="I190" t="e">
            <v>#DIV/0!</v>
          </cell>
          <cell r="J190" t="e">
            <v>#DIV/0!</v>
          </cell>
          <cell r="K190" t="str">
            <v>NM</v>
          </cell>
          <cell r="L190">
            <v>-0.33862433862433861</v>
          </cell>
          <cell r="M190">
            <v>0.18139936730304829</v>
          </cell>
          <cell r="N190">
            <v>1.6956039451956118E-2</v>
          </cell>
          <cell r="O190">
            <v>-9.6292729899527529E-5</v>
          </cell>
          <cell r="P190">
            <v>1.6858113978729605E-2</v>
          </cell>
          <cell r="Q190">
            <v>1.6983662867397165E-2</v>
          </cell>
          <cell r="R190">
            <v>0</v>
          </cell>
          <cell r="S190">
            <v>1.6983662867397387E-2</v>
          </cell>
        </row>
        <row r="192">
          <cell r="A192" t="str">
            <v xml:space="preserve">2003E/02E </v>
          </cell>
          <cell r="B192">
            <v>7.9338026338120274E-2</v>
          </cell>
          <cell r="C192">
            <v>0.17009031481736728</v>
          </cell>
          <cell r="D192">
            <v>5.714694671822651E-2</v>
          </cell>
          <cell r="E192">
            <v>0.10519372637266357</v>
          </cell>
          <cell r="F192">
            <v>8.4765901921555753E-2</v>
          </cell>
          <cell r="G192">
            <v>-1.0129231867246872E-2</v>
          </cell>
          <cell r="H192" t="str">
            <v>NM</v>
          </cell>
          <cell r="I192" t="str">
            <v>NM</v>
          </cell>
          <cell r="J192" t="str">
            <v>NM</v>
          </cell>
          <cell r="K192" t="str">
            <v>NM</v>
          </cell>
          <cell r="L192">
            <v>-0.14310197086546705</v>
          </cell>
          <cell r="M192" t="str">
            <v>NM</v>
          </cell>
          <cell r="N192">
            <v>-1.0475552494113891E-2</v>
          </cell>
          <cell r="O192">
            <v>0</v>
          </cell>
          <cell r="P192">
            <v>-1.0514158170711097E-2</v>
          </cell>
          <cell r="Q192">
            <v>-1.0464663168868385E-2</v>
          </cell>
          <cell r="R192">
            <v>-1.061665044678417E-3</v>
          </cell>
          <cell r="S192">
            <v>-9.4129915683039897E-3</v>
          </cell>
          <cell r="U192">
            <v>0.11764705882352934</v>
          </cell>
          <cell r="V192">
            <v>-9.4129915683039897E-3</v>
          </cell>
          <cell r="W192" t="str">
            <v>NM</v>
          </cell>
          <cell r="X192">
            <v>-9.4129915683039897E-3</v>
          </cell>
        </row>
        <row r="194">
          <cell r="A194">
            <v>2003</v>
          </cell>
        </row>
        <row r="195">
          <cell r="A195" t="str">
            <v xml:space="preserve"> 1QE</v>
          </cell>
          <cell r="B195">
            <v>2778.3510000000001</v>
          </cell>
          <cell r="C195">
            <v>597.34546499999999</v>
          </cell>
          <cell r="D195">
            <v>2181.0055350000002</v>
          </cell>
          <cell r="E195">
            <v>872.40221400000007</v>
          </cell>
          <cell r="F195">
            <v>547.33514700000001</v>
          </cell>
          <cell r="G195">
            <v>761.26817400000004</v>
          </cell>
          <cell r="H195">
            <v>27</v>
          </cell>
          <cell r="I195">
            <v>0</v>
          </cell>
          <cell r="J195">
            <v>0</v>
          </cell>
          <cell r="K195">
            <v>-10</v>
          </cell>
          <cell r="L195">
            <v>25</v>
          </cell>
          <cell r="M195">
            <v>42</v>
          </cell>
          <cell r="N195">
            <v>803.26817400000004</v>
          </cell>
          <cell r="O195">
            <v>0.22</v>
          </cell>
          <cell r="P195">
            <v>176.71899828000002</v>
          </cell>
          <cell r="Q195">
            <v>626.54917571999999</v>
          </cell>
          <cell r="R195">
            <v>1083.9359999999999</v>
          </cell>
          <cell r="S195">
            <v>0.57803152189797191</v>
          </cell>
        </row>
        <row r="196">
          <cell r="A196" t="str">
            <v xml:space="preserve"> 2QE</v>
          </cell>
          <cell r="B196">
            <v>2959.1649999999995</v>
          </cell>
          <cell r="C196">
            <v>630.30214499999988</v>
          </cell>
          <cell r="D196">
            <v>2328.8628549999994</v>
          </cell>
          <cell r="E196">
            <v>961.72862499999985</v>
          </cell>
          <cell r="F196">
            <v>579.99633999999992</v>
          </cell>
          <cell r="G196">
            <v>787.13788999999974</v>
          </cell>
          <cell r="H196">
            <v>26</v>
          </cell>
          <cell r="I196">
            <v>0</v>
          </cell>
          <cell r="J196">
            <v>0</v>
          </cell>
          <cell r="K196">
            <v>0</v>
          </cell>
          <cell r="L196">
            <v>25</v>
          </cell>
          <cell r="M196">
            <v>51</v>
          </cell>
          <cell r="N196">
            <v>838.13788999999974</v>
          </cell>
          <cell r="O196">
            <v>0.22</v>
          </cell>
          <cell r="P196">
            <v>184.39033579999995</v>
          </cell>
          <cell r="Q196">
            <v>653.74755419999974</v>
          </cell>
          <cell r="R196">
            <v>1083.9359999999999</v>
          </cell>
          <cell r="S196">
            <v>0.60312375841378074</v>
          </cell>
        </row>
        <row r="197">
          <cell r="A197" t="str">
            <v xml:space="preserve"> 3QE</v>
          </cell>
          <cell r="B197">
            <v>3000.5899999999997</v>
          </cell>
          <cell r="C197">
            <v>639.1256699999999</v>
          </cell>
          <cell r="D197">
            <v>2361.4643299999998</v>
          </cell>
          <cell r="E197">
            <v>933.18348999999989</v>
          </cell>
          <cell r="F197">
            <v>582.11446000000001</v>
          </cell>
          <cell r="G197">
            <v>846.16637999999989</v>
          </cell>
          <cell r="H197">
            <v>27</v>
          </cell>
          <cell r="I197">
            <v>0</v>
          </cell>
          <cell r="J197">
            <v>0</v>
          </cell>
          <cell r="K197">
            <v>5</v>
          </cell>
          <cell r="L197">
            <v>25</v>
          </cell>
          <cell r="M197">
            <v>57</v>
          </cell>
          <cell r="N197">
            <v>903.16637999999989</v>
          </cell>
          <cell r="O197">
            <v>0.22</v>
          </cell>
          <cell r="P197">
            <v>198.69660359999997</v>
          </cell>
          <cell r="Q197">
            <v>704.46977639999989</v>
          </cell>
          <cell r="R197">
            <v>1083.9359999999999</v>
          </cell>
          <cell r="S197">
            <v>0.6499182390842263</v>
          </cell>
        </row>
        <row r="198">
          <cell r="A198" t="str">
            <v xml:space="preserve"> 4QE</v>
          </cell>
          <cell r="B198">
            <v>3218.2393999999999</v>
          </cell>
          <cell r="C198">
            <v>679.92829019999999</v>
          </cell>
          <cell r="D198">
            <v>2538.3111097999999</v>
          </cell>
          <cell r="E198">
            <v>1016.8689901000002</v>
          </cell>
          <cell r="F198">
            <v>622.04140600000005</v>
          </cell>
          <cell r="G198">
            <v>899.40071369999964</v>
          </cell>
          <cell r="H198">
            <v>27.299999999999997</v>
          </cell>
          <cell r="I198">
            <v>0</v>
          </cell>
          <cell r="J198">
            <v>0</v>
          </cell>
          <cell r="K198">
            <v>8.3057875426463728</v>
          </cell>
          <cell r="L198">
            <v>25</v>
          </cell>
          <cell r="M198">
            <v>60.605787542646368</v>
          </cell>
          <cell r="N198">
            <v>960.00650124264598</v>
          </cell>
          <cell r="O198">
            <v>0.22</v>
          </cell>
          <cell r="P198">
            <v>211.20143027338213</v>
          </cell>
          <cell r="Q198">
            <v>748.80507096926385</v>
          </cell>
          <cell r="R198">
            <v>1083.9359999999999</v>
          </cell>
          <cell r="S198">
            <v>0.69082037220764314</v>
          </cell>
        </row>
        <row r="200">
          <cell r="A200" t="str">
            <v>2003E</v>
          </cell>
          <cell r="B200">
            <v>11956.3454</v>
          </cell>
          <cell r="C200">
            <v>2546.7015701999999</v>
          </cell>
          <cell r="D200">
            <v>9409.6438297999994</v>
          </cell>
          <cell r="E200">
            <v>3784.1833191000001</v>
          </cell>
          <cell r="F200">
            <v>2331.487353</v>
          </cell>
          <cell r="G200">
            <v>3293.9731576999989</v>
          </cell>
          <cell r="H200">
            <v>107.3</v>
          </cell>
          <cell r="I200">
            <v>0</v>
          </cell>
          <cell r="J200">
            <v>0</v>
          </cell>
          <cell r="K200">
            <v>3.3057875426463723</v>
          </cell>
          <cell r="L200">
            <v>100</v>
          </cell>
          <cell r="M200">
            <v>210.60578754264637</v>
          </cell>
          <cell r="N200">
            <v>3504.5789452426452</v>
          </cell>
          <cell r="O200">
            <v>0.22</v>
          </cell>
          <cell r="P200">
            <v>771.00736795338196</v>
          </cell>
          <cell r="Q200">
            <v>2733.5715772892631</v>
          </cell>
          <cell r="R200">
            <v>1083.9359999999999</v>
          </cell>
          <cell r="S200">
            <v>2.5218938916036215</v>
          </cell>
          <cell r="T200">
            <v>0.60272163117595035</v>
          </cell>
          <cell r="U200">
            <v>1.52</v>
          </cell>
          <cell r="V200">
            <v>2.5218938916036215</v>
          </cell>
          <cell r="W200" t="str">
            <v xml:space="preserve">       --</v>
          </cell>
          <cell r="X200">
            <v>2.5218938916036215</v>
          </cell>
        </row>
        <row r="202">
          <cell r="A202" t="str">
            <v xml:space="preserve">2004E/03E </v>
          </cell>
          <cell r="B202">
            <v>0.11164647853013696</v>
          </cell>
          <cell r="C202">
            <v>0.10120848342656764</v>
          </cell>
          <cell r="D202">
            <v>0.11447150134724021</v>
          </cell>
          <cell r="E202">
            <v>9.9353389510056345E-2</v>
          </cell>
          <cell r="F202">
            <v>9.4544225014288677E-2</v>
          </cell>
          <cell r="G202">
            <v>0.14594410127970589</v>
          </cell>
          <cell r="H202" t="str">
            <v>NM</v>
          </cell>
          <cell r="I202" t="str">
            <v>NM</v>
          </cell>
          <cell r="J202" t="str">
            <v>NM</v>
          </cell>
          <cell r="K202" t="str">
            <v>NM</v>
          </cell>
          <cell r="L202">
            <v>-0.30000000000000004</v>
          </cell>
          <cell r="M202" t="str">
            <v>NM</v>
          </cell>
          <cell r="N202">
            <v>0.15994332614347706</v>
          </cell>
          <cell r="O202">
            <v>0</v>
          </cell>
          <cell r="P202">
            <v>0.15994332614347703</v>
          </cell>
          <cell r="Q202">
            <v>0.15994332614347712</v>
          </cell>
          <cell r="R202">
            <v>0</v>
          </cell>
          <cell r="S202">
            <v>0.15994332614347723</v>
          </cell>
          <cell r="U202">
            <v>0.10526315789473679</v>
          </cell>
          <cell r="V202">
            <v>0.15994332614347723</v>
          </cell>
          <cell r="W202" t="str">
            <v>NM</v>
          </cell>
          <cell r="X202">
            <v>0.15994332614347723</v>
          </cell>
        </row>
        <row r="203">
          <cell r="A203" t="str">
            <v xml:space="preserve">2005E/04E </v>
          </cell>
          <cell r="B203">
            <v>0.12468073480511163</v>
          </cell>
          <cell r="C203">
            <v>0.10869001345717165</v>
          </cell>
          <cell r="D203">
            <v>0.12895708740893347</v>
          </cell>
          <cell r="E203">
            <v>0.10671458888170739</v>
          </cell>
          <cell r="F203">
            <v>0.11296531048422513</v>
          </cell>
          <cell r="G203">
            <v>0.16428216912923532</v>
          </cell>
          <cell r="H203" t="str">
            <v>NM</v>
          </cell>
          <cell r="I203" t="str">
            <v>NM</v>
          </cell>
          <cell r="J203" t="str">
            <v>NM</v>
          </cell>
          <cell r="K203" t="str">
            <v>NM</v>
          </cell>
          <cell r="L203">
            <v>-0.2857142857142857</v>
          </cell>
          <cell r="M203" t="str">
            <v>NM</v>
          </cell>
          <cell r="N203">
            <v>0.16630573498800549</v>
          </cell>
          <cell r="O203">
            <v>0</v>
          </cell>
          <cell r="P203">
            <v>0.16630573498800538</v>
          </cell>
          <cell r="Q203">
            <v>0.16630573498800552</v>
          </cell>
          <cell r="R203">
            <v>0</v>
          </cell>
          <cell r="S203">
            <v>0.16630573498800555</v>
          </cell>
          <cell r="U203">
            <v>0.10714285714285725</v>
          </cell>
          <cell r="V203">
            <v>0.16630573498800555</v>
          </cell>
          <cell r="W203" t="str">
            <v>NM</v>
          </cell>
          <cell r="X203">
            <v>0.16630573498800555</v>
          </cell>
        </row>
        <row r="204">
          <cell r="A204" t="str">
            <v>2006/05E</v>
          </cell>
          <cell r="B204">
            <v>9.2822572858335825E-2</v>
          </cell>
          <cell r="C204">
            <v>8.2314663503928673E-2</v>
          </cell>
          <cell r="D204">
            <v>9.5582225820099273E-2</v>
          </cell>
          <cell r="E204">
            <v>7.5081946675570582E-2</v>
          </cell>
          <cell r="F204">
            <v>6.6939932974848862E-2</v>
          </cell>
          <cell r="G204">
            <v>0.1355690340415702</v>
          </cell>
          <cell r="H204" t="str">
            <v>NM</v>
          </cell>
          <cell r="I204" t="str">
            <v>NM</v>
          </cell>
          <cell r="J204" t="str">
            <v>NM</v>
          </cell>
          <cell r="K204" t="str">
            <v>NM</v>
          </cell>
          <cell r="L204">
            <v>0</v>
          </cell>
          <cell r="M204" t="str">
            <v>NM</v>
          </cell>
          <cell r="N204">
            <v>0.14137121405095526</v>
          </cell>
          <cell r="O204">
            <v>0</v>
          </cell>
          <cell r="P204">
            <v>0.14137121405095535</v>
          </cell>
          <cell r="Q204">
            <v>0.14137121405095515</v>
          </cell>
          <cell r="R204">
            <v>0</v>
          </cell>
          <cell r="S204">
            <v>0.14137121405095512</v>
          </cell>
          <cell r="U204">
            <v>0.11</v>
          </cell>
          <cell r="V204">
            <v>0.14137121405095512</v>
          </cell>
          <cell r="W204" t="str">
            <v>NM</v>
          </cell>
          <cell r="X204">
            <v>0.14137121405095512</v>
          </cell>
        </row>
        <row r="205">
          <cell r="A205" t="str">
            <v>2006/05E</v>
          </cell>
          <cell r="B205">
            <v>9.5139825497598154E-2</v>
          </cell>
          <cell r="C205">
            <v>8.4507400007330188E-2</v>
          </cell>
          <cell r="D205">
            <v>9.7898364100866789E-2</v>
          </cell>
          <cell r="E205">
            <v>9.3332664069384355E-2</v>
          </cell>
          <cell r="F205">
            <v>9.2187966129680193E-2</v>
          </cell>
          <cell r="G205">
            <v>0.10589406273652731</v>
          </cell>
          <cell r="H205" t="str">
            <v>NM</v>
          </cell>
          <cell r="I205" t="str">
            <v>NM</v>
          </cell>
          <cell r="J205" t="str">
            <v>NM</v>
          </cell>
          <cell r="K205" t="str">
            <v>NM</v>
          </cell>
          <cell r="L205">
            <v>0</v>
          </cell>
          <cell r="M205" t="str">
            <v>NM</v>
          </cell>
          <cell r="N205">
            <v>0.10305561510623458</v>
          </cell>
          <cell r="O205">
            <v>0</v>
          </cell>
          <cell r="P205">
            <v>0.10305561510623457</v>
          </cell>
          <cell r="Q205">
            <v>0.10305561510623464</v>
          </cell>
          <cell r="R205">
            <v>0</v>
          </cell>
          <cell r="S205">
            <v>0.10305561510623455</v>
          </cell>
          <cell r="U205">
            <v>0.11</v>
          </cell>
          <cell r="V205">
            <v>0.10305561510623455</v>
          </cell>
          <cell r="W205" t="str">
            <v>NM</v>
          </cell>
          <cell r="X205">
            <v>0.10305561510623455</v>
          </cell>
        </row>
        <row r="207">
          <cell r="A207" t="str">
            <v>2001E</v>
          </cell>
          <cell r="B207">
            <v>11542.4</v>
          </cell>
          <cell r="C207">
            <v>2160.1999999999998</v>
          </cell>
          <cell r="D207">
            <v>9382.2000000000007</v>
          </cell>
          <cell r="E207">
            <v>3417.3999999999996</v>
          </cell>
          <cell r="F207">
            <v>2235.1</v>
          </cell>
          <cell r="G207">
            <v>3729.7000000000003</v>
          </cell>
          <cell r="H207">
            <v>135.4</v>
          </cell>
          <cell r="I207">
            <v>0</v>
          </cell>
          <cell r="J207">
            <v>0</v>
          </cell>
          <cell r="L207">
            <v>-1.2000000000000011</v>
          </cell>
          <cell r="M207">
            <v>134.19999999999999</v>
          </cell>
          <cell r="N207">
            <v>3863.9</v>
          </cell>
          <cell r="O207">
            <v>0.22001086984652812</v>
          </cell>
          <cell r="P207">
            <v>850.1</v>
          </cell>
          <cell r="Q207">
            <v>3013.8999999999996</v>
          </cell>
          <cell r="R207">
            <v>1090.7929999999999</v>
          </cell>
          <cell r="S207">
            <v>2.7617073161336161</v>
          </cell>
          <cell r="U207">
            <v>1.2</v>
          </cell>
          <cell r="V207">
            <v>2.7617073161336161</v>
          </cell>
          <cell r="W207" t="str">
            <v xml:space="preserve">       --</v>
          </cell>
          <cell r="X207">
            <v>2.7617073161336161</v>
          </cell>
        </row>
        <row r="208">
          <cell r="A208" t="str">
            <v>2004E</v>
          </cell>
          <cell r="B208">
            <v>13291.229260000002</v>
          </cell>
          <cell r="C208">
            <v>2804.4493738600004</v>
          </cell>
          <cell r="D208">
            <v>10486.779886140001</v>
          </cell>
          <cell r="E208">
            <v>4160.1547583800002</v>
          </cell>
          <cell r="F208">
            <v>2551.9160179200003</v>
          </cell>
          <cell r="G208">
            <v>3774.7091098400001</v>
          </cell>
          <cell r="H208">
            <v>100</v>
          </cell>
          <cell r="I208">
            <v>0</v>
          </cell>
          <cell r="J208">
            <v>0</v>
          </cell>
          <cell r="K208">
            <v>120.40384863715227</v>
          </cell>
          <cell r="L208">
            <v>70</v>
          </cell>
          <cell r="M208">
            <v>290.40384863715224</v>
          </cell>
          <cell r="N208">
            <v>4065.1129584771525</v>
          </cell>
          <cell r="O208">
            <v>0.22</v>
          </cell>
          <cell r="P208">
            <v>894.32485086497354</v>
          </cell>
          <cell r="Q208">
            <v>3170.7881076121789</v>
          </cell>
          <cell r="R208">
            <v>1083.9359999999999</v>
          </cell>
          <cell r="S208">
            <v>2.9252539888076226</v>
          </cell>
          <cell r="T208">
            <v>0.57430910492828458</v>
          </cell>
          <cell r="U208">
            <v>1.68</v>
          </cell>
          <cell r="V208">
            <v>2.9252539888076226</v>
          </cell>
          <cell r="W208" t="str">
            <v xml:space="preserve">       --</v>
          </cell>
          <cell r="X208">
            <v>2.9252539888076226</v>
          </cell>
        </row>
        <row r="209">
          <cell r="A209" t="str">
            <v>2005E</v>
          </cell>
          <cell r="B209">
            <v>14948.389490600002</v>
          </cell>
          <cell r="C209">
            <v>3109.2650140448004</v>
          </cell>
          <cell r="D209">
            <v>11839.124476555202</v>
          </cell>
          <cell r="E209">
            <v>4604.1039631048006</v>
          </cell>
          <cell r="F209">
            <v>2840.1940032140005</v>
          </cell>
          <cell r="G209">
            <v>4394.8265102364003</v>
          </cell>
          <cell r="H209">
            <v>100</v>
          </cell>
          <cell r="I209">
            <v>0</v>
          </cell>
          <cell r="J209">
            <v>0</v>
          </cell>
          <cell r="K209">
            <v>196.33804660956059</v>
          </cell>
          <cell r="L209">
            <v>50</v>
          </cell>
          <cell r="M209">
            <v>346.33804660956059</v>
          </cell>
          <cell r="N209">
            <v>4741.1645568459608</v>
          </cell>
          <cell r="O209">
            <v>0.22</v>
          </cell>
          <cell r="P209">
            <v>1043.0562025061113</v>
          </cell>
          <cell r="Q209">
            <v>3698.1083543398495</v>
          </cell>
          <cell r="R209">
            <v>1083.9359999999999</v>
          </cell>
          <cell r="S209">
            <v>3.4117405034428692</v>
          </cell>
          <cell r="T209">
            <v>0.54517628117467598</v>
          </cell>
          <cell r="U209">
            <v>1.86</v>
          </cell>
          <cell r="V209">
            <v>3.4117405034428692</v>
          </cell>
          <cell r="W209" t="str">
            <v xml:space="preserve">       --</v>
          </cell>
          <cell r="X209">
            <v>3.4117405034428692</v>
          </cell>
        </row>
        <row r="210">
          <cell r="A210" t="str">
            <v>2006E</v>
          </cell>
          <cell r="B210">
            <v>16335.937463206003</v>
          </cell>
          <cell r="C210">
            <v>3365.2031174204362</v>
          </cell>
          <cell r="D210">
            <v>12970.734345785566</v>
          </cell>
          <cell r="E210">
            <v>4949.7890513514185</v>
          </cell>
          <cell r="F210">
            <v>3030.3163994247134</v>
          </cell>
          <cell r="G210">
            <v>4990.628895009434</v>
          </cell>
          <cell r="H210">
            <v>100</v>
          </cell>
          <cell r="I210">
            <v>0</v>
          </cell>
          <cell r="J210">
            <v>0</v>
          </cell>
          <cell r="K210">
            <v>270.79985125319928</v>
          </cell>
          <cell r="L210">
            <v>50</v>
          </cell>
          <cell r="M210">
            <v>420.79985125319928</v>
          </cell>
          <cell r="N210">
            <v>5411.4287462626335</v>
          </cell>
          <cell r="O210">
            <v>0.22</v>
          </cell>
          <cell r="P210">
            <v>1190.5143241777794</v>
          </cell>
          <cell r="Q210">
            <v>4220.9144220848539</v>
          </cell>
          <cell r="R210">
            <v>1083.9359999999999</v>
          </cell>
          <cell r="S210">
            <v>3.8940624004414044</v>
          </cell>
          <cell r="T210">
            <v>0.53019181196633403</v>
          </cell>
          <cell r="U210">
            <v>2.0646000000000004</v>
          </cell>
          <cell r="V210">
            <v>3.8940624004414044</v>
          </cell>
          <cell r="W210" t="str">
            <v xml:space="preserve">       --</v>
          </cell>
          <cell r="X210">
            <v>3.8940624004414044</v>
          </cell>
        </row>
        <row r="211">
          <cell r="A211" t="str">
            <v>2007E</v>
          </cell>
          <cell r="B211">
            <v>17890.135702795098</v>
          </cell>
          <cell r="C211">
            <v>3649.5876833701996</v>
          </cell>
          <cell r="D211">
            <v>14240.548019424899</v>
          </cell>
          <cell r="E211">
            <v>5411.7660500955171</v>
          </cell>
          <cell r="F211">
            <v>3309.6751050170933</v>
          </cell>
          <cell r="G211">
            <v>5519.106864312289</v>
          </cell>
          <cell r="H211">
            <v>100</v>
          </cell>
          <cell r="I211">
            <v>0</v>
          </cell>
          <cell r="J211">
            <v>0</v>
          </cell>
          <cell r="K211">
            <v>300</v>
          </cell>
          <cell r="L211">
            <v>50</v>
          </cell>
          <cell r="M211">
            <v>450</v>
          </cell>
          <cell r="N211">
            <v>5969.106864312289</v>
          </cell>
          <cell r="O211">
            <v>0.22</v>
          </cell>
          <cell r="P211">
            <v>1313.2035101487036</v>
          </cell>
          <cell r="Q211">
            <v>4655.9033541635854</v>
          </cell>
          <cell r="R211">
            <v>1083.9359999999999</v>
          </cell>
          <cell r="S211">
            <v>4.2953673963809536</v>
          </cell>
          <cell r="T211">
            <v>0.53352968175222193</v>
          </cell>
          <cell r="U211">
            <v>2.2917060000000005</v>
          </cell>
          <cell r="V211">
            <v>4.2953673963809536</v>
          </cell>
          <cell r="W211" t="str">
            <v xml:space="preserve">       --</v>
          </cell>
          <cell r="X211">
            <v>4.2953673963809536</v>
          </cell>
        </row>
        <row r="213">
          <cell r="A213" t="str">
            <v>See footnotes on Quarterly Margin Analysis table.</v>
          </cell>
        </row>
        <row r="214">
          <cell r="A214" t="str">
            <v xml:space="preserve">E = Morgan Stanley Research Estimates       A = Actual       NM = Not Meaningful         </v>
          </cell>
        </row>
      </sheetData>
      <sheetData sheetId="8" refreshError="1">
        <row r="1">
          <cell r="A1" t="str">
            <v>Table 4</v>
          </cell>
        </row>
        <row r="2">
          <cell r="A2" t="str">
            <v>Eli Lilly</v>
          </cell>
        </row>
        <row r="3">
          <cell r="A3" t="str">
            <v>Quarterly Margin Analysis, 2000-2007E</v>
          </cell>
        </row>
        <row r="4">
          <cell r="H4" t="str">
            <v>Non-Operating Items</v>
          </cell>
        </row>
        <row r="5">
          <cell r="D5" t="str">
            <v xml:space="preserve">  Gross</v>
          </cell>
          <cell r="G5" t="str">
            <v xml:space="preserve">  Oper</v>
          </cell>
          <cell r="H5" t="str">
            <v xml:space="preserve">  Net Int</v>
          </cell>
          <cell r="I5" t="str">
            <v xml:space="preserve">   Dow</v>
          </cell>
          <cell r="J5" t="str">
            <v>PCS</v>
          </cell>
          <cell r="K5" t="str">
            <v>Actos</v>
          </cell>
          <cell r="N5" t="str">
            <v xml:space="preserve"> Pretax</v>
          </cell>
          <cell r="O5" t="str">
            <v>Net</v>
          </cell>
        </row>
        <row r="6">
          <cell r="B6" t="str">
            <v xml:space="preserve">  Sales</v>
          </cell>
          <cell r="C6" t="str">
            <v xml:space="preserve">   COGS</v>
          </cell>
          <cell r="D6" t="str">
            <v xml:space="preserve">  Margin</v>
          </cell>
          <cell r="E6" t="str">
            <v xml:space="preserve">   SG&amp;A</v>
          </cell>
          <cell r="F6" t="str">
            <v xml:space="preserve">   R&amp;D</v>
          </cell>
          <cell r="G6" t="str">
            <v xml:space="preserve"> Income</v>
          </cell>
          <cell r="H6" t="str">
            <v>Inc.</v>
          </cell>
          <cell r="I6" t="str">
            <v xml:space="preserve">  Elanco</v>
          </cell>
          <cell r="J6" t="str">
            <v>Goodwill</v>
          </cell>
          <cell r="K6" t="str">
            <v>Revs (a)</v>
          </cell>
          <cell r="L6" t="str">
            <v xml:space="preserve">  Other</v>
          </cell>
          <cell r="M6" t="str">
            <v xml:space="preserve">  Total</v>
          </cell>
          <cell r="N6" t="str">
            <v xml:space="preserve"> Income</v>
          </cell>
          <cell r="O6" t="str">
            <v>Income</v>
          </cell>
        </row>
        <row r="8">
          <cell r="A8">
            <v>1994</v>
          </cell>
        </row>
        <row r="9">
          <cell r="A9" t="str">
            <v xml:space="preserve"> 1Q (a)</v>
          </cell>
          <cell r="B9">
            <v>1</v>
          </cell>
          <cell r="C9">
            <v>0.29187991750057296</v>
          </cell>
          <cell r="D9">
            <v>0.70812008249942704</v>
          </cell>
          <cell r="E9">
            <v>0.21388740355969751</v>
          </cell>
          <cell r="F9">
            <v>0.13543655946833705</v>
          </cell>
          <cell r="G9">
            <v>0.35879611947139251</v>
          </cell>
          <cell r="H9">
            <v>-2.7499809029103966E-3</v>
          </cell>
          <cell r="I9">
            <v>2.7499809029103966E-2</v>
          </cell>
          <cell r="J9" t="str">
            <v>NM</v>
          </cell>
          <cell r="K9" t="str">
            <v>NM</v>
          </cell>
          <cell r="L9">
            <v>-1.0159651669085633E-2</v>
          </cell>
          <cell r="M9">
            <v>1.4590176457107936E-2</v>
          </cell>
          <cell r="N9">
            <v>0.37338629592850042</v>
          </cell>
          <cell r="O9">
            <v>0.25576961271102278</v>
          </cell>
        </row>
        <row r="10">
          <cell r="A10" t="str">
            <v xml:space="preserve"> 2Q (b)</v>
          </cell>
          <cell r="B10">
            <v>1</v>
          </cell>
          <cell r="C10">
            <v>0.28645678645678646</v>
          </cell>
          <cell r="D10">
            <v>0.71354321354321359</v>
          </cell>
          <cell r="E10">
            <v>0.24547074547074549</v>
          </cell>
          <cell r="F10">
            <v>0.15013365013365013</v>
          </cell>
          <cell r="G10">
            <v>0.31793881793881795</v>
          </cell>
          <cell r="H10">
            <v>-8.9100089100089055E-4</v>
          </cell>
          <cell r="I10">
            <v>3.2298782298782303E-2</v>
          </cell>
          <cell r="J10" t="str">
            <v>NM</v>
          </cell>
          <cell r="K10" t="str">
            <v>NM</v>
          </cell>
          <cell r="L10">
            <v>0</v>
          </cell>
          <cell r="M10">
            <v>3.1407781407781409E-2</v>
          </cell>
          <cell r="N10">
            <v>0.34934659934659934</v>
          </cell>
          <cell r="O10">
            <v>0.24209719334719337</v>
          </cell>
        </row>
        <row r="11">
          <cell r="A11" t="str">
            <v xml:space="preserve"> 3Q (c)</v>
          </cell>
          <cell r="B11">
            <v>1</v>
          </cell>
          <cell r="C11">
            <v>0.29947588403104891</v>
          </cell>
          <cell r="D11">
            <v>0.70052411596895103</v>
          </cell>
          <cell r="E11">
            <v>0.23956743846613152</v>
          </cell>
          <cell r="F11">
            <v>0.14516022026139455</v>
          </cell>
          <cell r="G11">
            <v>0.31579645724142502</v>
          </cell>
          <cell r="H11">
            <v>1.2605320772241747E-3</v>
          </cell>
          <cell r="I11">
            <v>1.3268758707622903E-3</v>
          </cell>
          <cell r="J11" t="str">
            <v>NM</v>
          </cell>
          <cell r="K11" t="str">
            <v>NM</v>
          </cell>
          <cell r="L11">
            <v>3.5162210575200689E-3</v>
          </cell>
          <cell r="M11">
            <v>6.1036290055065346E-3</v>
          </cell>
          <cell r="N11">
            <v>0.32190008624693162</v>
          </cell>
          <cell r="O11">
            <v>0.22307675976912361</v>
          </cell>
        </row>
        <row r="12">
          <cell r="A12" t="str">
            <v xml:space="preserve"> 4Q </v>
          </cell>
          <cell r="B12">
            <v>1</v>
          </cell>
          <cell r="C12">
            <v>0.29733918884009297</v>
          </cell>
          <cell r="D12">
            <v>0.70266081115990708</v>
          </cell>
          <cell r="E12">
            <v>0.27551020408163263</v>
          </cell>
          <cell r="F12">
            <v>0.15525703952467063</v>
          </cell>
          <cell r="G12">
            <v>0.27189356755360383</v>
          </cell>
          <cell r="H12">
            <v>-2.2151898734177212E-2</v>
          </cell>
          <cell r="I12">
            <v>-3.874967708602428E-3</v>
          </cell>
          <cell r="J12">
            <v>-7.2332730560578651E-3</v>
          </cell>
          <cell r="K12" t="e">
            <v>#NULL!</v>
          </cell>
          <cell r="L12">
            <v>5.8124515629036418E-3</v>
          </cell>
          <cell r="M12">
            <v>-2.7447687935933867E-2</v>
          </cell>
          <cell r="N12">
            <v>0.24444587961766984</v>
          </cell>
          <cell r="O12">
            <v>0.17404546628778095</v>
          </cell>
        </row>
        <row r="14">
          <cell r="A14">
            <v>1993</v>
          </cell>
        </row>
        <row r="15">
          <cell r="A15" t="str">
            <v xml:space="preserve"> 1Q </v>
          </cell>
          <cell r="B15">
            <v>1</v>
          </cell>
          <cell r="C15">
            <v>0.25624261520283576</v>
          </cell>
          <cell r="D15">
            <v>0.74375738479716424</v>
          </cell>
          <cell r="E15">
            <v>0.23300512012603389</v>
          </cell>
          <cell r="F15">
            <v>0.13367467506892478</v>
          </cell>
          <cell r="G15">
            <v>0.37707758960220555</v>
          </cell>
          <cell r="H15">
            <v>-3.7022449783379284E-3</v>
          </cell>
          <cell r="I15">
            <v>2.520677432059866E-2</v>
          </cell>
          <cell r="J15" t="str">
            <v>NM</v>
          </cell>
          <cell r="K15" t="str">
            <v>NM</v>
          </cell>
          <cell r="L15">
            <v>-6.301693580149665E-3</v>
          </cell>
          <cell r="M15">
            <v>1.5202835762111068E-2</v>
          </cell>
          <cell r="N15">
            <v>0.39228042536431668</v>
          </cell>
          <cell r="O15">
            <v>0.26916108704214259</v>
          </cell>
        </row>
        <row r="16">
          <cell r="A16" t="str">
            <v xml:space="preserve"> 2Q</v>
          </cell>
          <cell r="B16">
            <v>1</v>
          </cell>
          <cell r="C16">
            <v>0.27706422018348625</v>
          </cell>
          <cell r="D16">
            <v>0.72293577981651369</v>
          </cell>
          <cell r="E16">
            <v>0.24898284802552853</v>
          </cell>
          <cell r="F16">
            <v>0.14567211806940566</v>
          </cell>
          <cell r="G16">
            <v>0.32828081372157952</v>
          </cell>
          <cell r="H16">
            <v>-4.3877143996808934E-3</v>
          </cell>
          <cell r="I16">
            <v>2.3932987634623055E-2</v>
          </cell>
          <cell r="J16" t="str">
            <v>NM</v>
          </cell>
          <cell r="K16" t="str">
            <v>NM</v>
          </cell>
          <cell r="L16">
            <v>7.9776625448743522E-3</v>
          </cell>
          <cell r="M16">
            <v>2.7522935779816515E-2</v>
          </cell>
          <cell r="N16">
            <v>0.35580374950139609</v>
          </cell>
          <cell r="O16">
            <v>0.24004786597526923</v>
          </cell>
        </row>
        <row r="17">
          <cell r="A17" t="str">
            <v xml:space="preserve"> 3Q</v>
          </cell>
          <cell r="B17">
            <v>1</v>
          </cell>
          <cell r="C17">
            <v>0.27823374917925148</v>
          </cell>
          <cell r="D17">
            <v>0.72176625082074852</v>
          </cell>
          <cell r="E17">
            <v>0.26715364412344056</v>
          </cell>
          <cell r="F17">
            <v>0.14937623112278398</v>
          </cell>
          <cell r="G17">
            <v>0.30523637557452399</v>
          </cell>
          <cell r="H17">
            <v>-3.2829940906106366E-3</v>
          </cell>
          <cell r="I17">
            <v>2.4622455679579776E-3</v>
          </cell>
          <cell r="J17" t="str">
            <v>NM</v>
          </cell>
          <cell r="K17" t="str">
            <v>NM</v>
          </cell>
          <cell r="L17">
            <v>-3.6112934996717005E-3</v>
          </cell>
          <cell r="M17">
            <v>-4.43204202232436E-3</v>
          </cell>
          <cell r="N17">
            <v>0.3008043335521996</v>
          </cell>
          <cell r="O17">
            <v>0.19968811556139199</v>
          </cell>
        </row>
        <row r="18">
          <cell r="A18" t="str">
            <v xml:space="preserve"> 4Q</v>
          </cell>
          <cell r="B18">
            <v>1</v>
          </cell>
          <cell r="C18">
            <v>0.29949900487269232</v>
          </cell>
          <cell r="D18">
            <v>0.70050099512730768</v>
          </cell>
          <cell r="E18">
            <v>0.27390021275135545</v>
          </cell>
          <cell r="F18">
            <v>0.15139660970420699</v>
          </cell>
          <cell r="G18">
            <v>0.27520417267174524</v>
          </cell>
          <cell r="H18">
            <v>-4.1177681696520484E-3</v>
          </cell>
          <cell r="I18">
            <v>-6.8629469494200818E-4</v>
          </cell>
          <cell r="J18" t="str">
            <v>NM</v>
          </cell>
          <cell r="K18" t="str">
            <v>NM</v>
          </cell>
          <cell r="L18">
            <v>-6.1766522544780735E-3</v>
          </cell>
          <cell r="M18">
            <v>-1.0980715119072131E-2</v>
          </cell>
          <cell r="N18">
            <v>0.26422345755267312</v>
          </cell>
          <cell r="O18">
            <v>0.17335803994235124</v>
          </cell>
        </row>
        <row r="20">
          <cell r="A20" t="str">
            <v>1993</v>
          </cell>
          <cell r="B20">
            <v>1</v>
          </cell>
          <cell r="C20">
            <v>0.27854188708281236</v>
          </cell>
          <cell r="D20">
            <v>0.72145811291718764</v>
          </cell>
          <cell r="E20">
            <v>0.25632393959796096</v>
          </cell>
          <cell r="F20">
            <v>0.14521496585553526</v>
          </cell>
          <cell r="G20">
            <v>0.3199192074636914</v>
          </cell>
          <cell r="H20">
            <v>-3.885736270077907E-3</v>
          </cell>
          <cell r="I20">
            <v>1.2311243627969606E-2</v>
          </cell>
          <cell r="J20" t="str">
            <v>NM</v>
          </cell>
          <cell r="K20" t="str">
            <v>NM</v>
          </cell>
          <cell r="L20">
            <v>-2.1929402712320863E-3</v>
          </cell>
          <cell r="M20">
            <v>6.2325670866596131E-3</v>
          </cell>
          <cell r="N20">
            <v>0.32615177455035105</v>
          </cell>
          <cell r="O20">
            <v>0.21900548235067807</v>
          </cell>
        </row>
        <row r="22">
          <cell r="A22" t="str">
            <v>1994</v>
          </cell>
          <cell r="B22">
            <v>1</v>
          </cell>
          <cell r="C22">
            <v>0.29408572028853563</v>
          </cell>
          <cell r="D22">
            <v>0.70591427971146437</v>
          </cell>
          <cell r="E22">
            <v>0.24481756425519996</v>
          </cell>
          <cell r="F22">
            <v>0.14684151551229074</v>
          </cell>
          <cell r="G22">
            <v>0.31425519994397361</v>
          </cell>
          <cell r="H22">
            <v>-6.5130611387352044E-3</v>
          </cell>
          <cell r="I22">
            <v>1.3218712795013656E-2</v>
          </cell>
          <cell r="J22">
            <v>-1.9609216331675887E-3</v>
          </cell>
          <cell r="K22" t="e">
            <v>#NULL!</v>
          </cell>
          <cell r="L22">
            <v>1.7508228867567756E-4</v>
          </cell>
          <cell r="M22">
            <v>4.9198123117865384E-3</v>
          </cell>
          <cell r="N22">
            <v>0.31917501225576017</v>
          </cell>
          <cell r="O22">
            <v>0.22176274599061555</v>
          </cell>
        </row>
        <row r="24">
          <cell r="A24">
            <v>1995</v>
          </cell>
        </row>
        <row r="25">
          <cell r="A25" t="str">
            <v xml:space="preserve"> 1Q</v>
          </cell>
          <cell r="B25">
            <v>1</v>
          </cell>
          <cell r="C25">
            <v>0.29843358760845512</v>
          </cell>
          <cell r="D25">
            <v>0.70156641239154482</v>
          </cell>
          <cell r="E25">
            <v>0.23711640365690329</v>
          </cell>
          <cell r="F25">
            <v>0.13783264426716357</v>
          </cell>
          <cell r="G25">
            <v>0.32661736446747797</v>
          </cell>
          <cell r="H25">
            <v>-3.0454783672043326E-2</v>
          </cell>
          <cell r="I25">
            <v>2.0380830373260352E-2</v>
          </cell>
          <cell r="J25">
            <v>-1.455773598090025E-2</v>
          </cell>
          <cell r="K25" t="e">
            <v>#NULL!</v>
          </cell>
          <cell r="L25">
            <v>5.2407849531240901E-3</v>
          </cell>
          <cell r="M25">
            <v>-1.9390904326559138E-2</v>
          </cell>
          <cell r="N25">
            <v>0.30722646014091887</v>
          </cell>
          <cell r="O25">
            <v>0.21807488499388569</v>
          </cell>
        </row>
        <row r="26">
          <cell r="A26" t="str">
            <v xml:space="preserve"> 2Q</v>
          </cell>
          <cell r="B26">
            <v>1</v>
          </cell>
          <cell r="C26">
            <v>0.28449343571959373</v>
          </cell>
          <cell r="D26">
            <v>0.71550656428040627</v>
          </cell>
          <cell r="E26">
            <v>0.27018825860787715</v>
          </cell>
          <cell r="F26">
            <v>0.1613202873420857</v>
          </cell>
          <cell r="G26">
            <v>0.28399801833044347</v>
          </cell>
          <cell r="H26">
            <v>-3.2325984642060941E-2</v>
          </cell>
          <cell r="I26">
            <v>2.4770869457517958E-2</v>
          </cell>
          <cell r="J26">
            <v>-1.5481793410948725E-2</v>
          </cell>
          <cell r="K26" t="e">
            <v>#NULL!</v>
          </cell>
          <cell r="L26">
            <v>9.2890760465692349E-3</v>
          </cell>
          <cell r="M26">
            <v>-1.374783254892247E-2</v>
          </cell>
          <cell r="N26">
            <v>0.27025018578152105</v>
          </cell>
          <cell r="O26">
            <v>0.19178845677483289</v>
          </cell>
        </row>
        <row r="27">
          <cell r="A27" t="str">
            <v xml:space="preserve"> 3Q</v>
          </cell>
          <cell r="B27">
            <v>1</v>
          </cell>
          <cell r="C27">
            <v>0.25735294117647056</v>
          </cell>
          <cell r="D27">
            <v>0.74264705882352944</v>
          </cell>
          <cell r="E27">
            <v>0.27205882352941174</v>
          </cell>
          <cell r="F27">
            <v>0.15992647058823528</v>
          </cell>
          <cell r="G27">
            <v>0.31066176470588236</v>
          </cell>
          <cell r="H27">
            <v>-3.1924019607843135E-2</v>
          </cell>
          <cell r="I27">
            <v>0</v>
          </cell>
          <cell r="J27">
            <v>-1.5318627450980392E-2</v>
          </cell>
          <cell r="K27" t="e">
            <v>#NULL!</v>
          </cell>
          <cell r="L27">
            <v>4.2892156862745102E-3</v>
          </cell>
          <cell r="M27">
            <v>-4.2953431372549013E-2</v>
          </cell>
          <cell r="N27">
            <v>0.26770833333333333</v>
          </cell>
          <cell r="O27">
            <v>0.18988970588235293</v>
          </cell>
        </row>
        <row r="28">
          <cell r="A28" t="str">
            <v xml:space="preserve"> 4Q</v>
          </cell>
          <cell r="B28">
            <v>1</v>
          </cell>
          <cell r="C28">
            <v>0.27453050338926549</v>
          </cell>
          <cell r="D28">
            <v>0.72546949661073445</v>
          </cell>
          <cell r="E28">
            <v>0.31470163351483499</v>
          </cell>
          <cell r="F28">
            <v>0.1580731192354706</v>
          </cell>
          <cell r="G28">
            <v>0.25269474386042884</v>
          </cell>
          <cell r="H28">
            <v>-2.8003111456828537E-2</v>
          </cell>
          <cell r="I28">
            <v>0</v>
          </cell>
          <cell r="J28">
            <v>-1.4390487831981331E-2</v>
          </cell>
          <cell r="K28" t="e">
            <v>#NULL!</v>
          </cell>
          <cell r="L28">
            <v>-8.1120124458273143E-3</v>
          </cell>
          <cell r="M28">
            <v>-5.0505611734637176E-2</v>
          </cell>
          <cell r="N28">
            <v>0.20218913212579168</v>
          </cell>
          <cell r="O28">
            <v>0.17301922435826195</v>
          </cell>
        </row>
        <row r="30">
          <cell r="A30" t="str">
            <v>Year</v>
          </cell>
          <cell r="B30">
            <v>1</v>
          </cell>
          <cell r="C30">
            <v>0.27883321752243528</v>
          </cell>
          <cell r="D30">
            <v>0.72116678247756472</v>
          </cell>
          <cell r="E30">
            <v>0.27408743476396752</v>
          </cell>
          <cell r="F30">
            <v>0.15415662561539939</v>
          </cell>
          <cell r="G30">
            <v>0.2929227220981977</v>
          </cell>
          <cell r="H30">
            <v>-3.0603645825633137E-2</v>
          </cell>
          <cell r="I30">
            <v>1.1088277473055484E-2</v>
          </cell>
          <cell r="J30">
            <v>-1.4917429293750646E-2</v>
          </cell>
          <cell r="K30" t="e">
            <v>#NULL!</v>
          </cell>
          <cell r="L30">
            <v>2.4246366741081326E-3</v>
          </cell>
          <cell r="M30">
            <v>-3.2008160972220166E-2</v>
          </cell>
          <cell r="N30">
            <v>0.26091456112597761</v>
          </cell>
          <cell r="O30">
            <v>0.1930099498809858</v>
          </cell>
        </row>
        <row r="32">
          <cell r="A32">
            <v>1996</v>
          </cell>
        </row>
        <row r="33">
          <cell r="A33" t="str">
            <v xml:space="preserve"> 1Q (b)</v>
          </cell>
          <cell r="B33">
            <v>1</v>
          </cell>
          <cell r="C33">
            <v>0.29047271911624517</v>
          </cell>
          <cell r="D33">
            <v>0.70952728088375483</v>
          </cell>
          <cell r="E33">
            <v>0.25794874670554591</v>
          </cell>
          <cell r="F33">
            <v>0.15476924802332753</v>
          </cell>
          <cell r="G33">
            <v>0.29680928615488139</v>
          </cell>
          <cell r="H33">
            <v>-2.8879044468120903E-2</v>
          </cell>
          <cell r="I33">
            <v>1.8505018785397859E-2</v>
          </cell>
          <cell r="J33">
            <v>-1.4018953625301409E-2</v>
          </cell>
          <cell r="K33" t="e">
            <v>#NULL!</v>
          </cell>
          <cell r="L33">
            <v>6.1683395951326195E-3</v>
          </cell>
          <cell r="M33">
            <v>-1.8224639712891833E-2</v>
          </cell>
          <cell r="N33">
            <v>0.27858464644198955</v>
          </cell>
          <cell r="O33">
            <v>0.20698839230639823</v>
          </cell>
        </row>
        <row r="34">
          <cell r="A34" t="str">
            <v xml:space="preserve"> 2Q (c)</v>
          </cell>
          <cell r="B34">
            <v>1</v>
          </cell>
          <cell r="C34">
            <v>0.29741506212094448</v>
          </cell>
          <cell r="D34">
            <v>0.70258493787905552</v>
          </cell>
          <cell r="E34">
            <v>0.28204675263498796</v>
          </cell>
          <cell r="F34">
            <v>0.16098451392569038</v>
          </cell>
          <cell r="G34">
            <v>0.25955367131837709</v>
          </cell>
          <cell r="H34">
            <v>-2.9617853147264912E-2</v>
          </cell>
          <cell r="I34">
            <v>2.2375316492963551E-2</v>
          </cell>
          <cell r="J34">
            <v>-1.4720602955897074E-2</v>
          </cell>
          <cell r="K34" t="e">
            <v>#NULL!</v>
          </cell>
          <cell r="L34">
            <v>2.6497085320614733E-2</v>
          </cell>
          <cell r="M34">
            <v>4.5339457104163006E-3</v>
          </cell>
          <cell r="N34">
            <v>0.26408761702879341</v>
          </cell>
          <cell r="O34">
            <v>0.19621709945239352</v>
          </cell>
        </row>
        <row r="35">
          <cell r="A35" t="str">
            <v xml:space="preserve"> 3Q (d)</v>
          </cell>
          <cell r="B35">
            <v>1</v>
          </cell>
          <cell r="C35">
            <v>0.27878485503631018</v>
          </cell>
          <cell r="D35">
            <v>0.72121514496368988</v>
          </cell>
          <cell r="E35">
            <v>0.25394977548644604</v>
          </cell>
          <cell r="F35">
            <v>0.16115083984699816</v>
          </cell>
          <cell r="G35">
            <v>0.3061145296302456</v>
          </cell>
          <cell r="H35">
            <v>-2.9159044292920887E-2</v>
          </cell>
          <cell r="I35">
            <v>0</v>
          </cell>
          <cell r="J35">
            <v>-1.3858861355950994E-2</v>
          </cell>
          <cell r="K35" t="e">
            <v>#NULL!</v>
          </cell>
          <cell r="L35">
            <v>5.5435445423803976E-3</v>
          </cell>
          <cell r="M35">
            <v>-3.7474361106491487E-2</v>
          </cell>
          <cell r="N35">
            <v>0.26864016852375411</v>
          </cell>
          <cell r="O35">
            <v>0.1995996452131493</v>
          </cell>
        </row>
        <row r="36">
          <cell r="A36" t="str">
            <v xml:space="preserve"> 4Q</v>
          </cell>
          <cell r="B36">
            <v>1</v>
          </cell>
          <cell r="C36">
            <v>0.28741933918781232</v>
          </cell>
          <cell r="D36">
            <v>0.71258066081218763</v>
          </cell>
          <cell r="E36">
            <v>0.28130609868516809</v>
          </cell>
          <cell r="F36">
            <v>0.16952112949395953</v>
          </cell>
          <cell r="G36">
            <v>0.26175343263305995</v>
          </cell>
          <cell r="H36">
            <v>-2.542331764591723E-2</v>
          </cell>
          <cell r="I36">
            <v>0</v>
          </cell>
          <cell r="J36">
            <v>-1.2129445441754403E-2</v>
          </cell>
          <cell r="K36" t="e">
            <v>#NULL!</v>
          </cell>
          <cell r="L36">
            <v>1.0188734171073698E-2</v>
          </cell>
          <cell r="M36">
            <v>-2.7364028916597938E-2</v>
          </cell>
          <cell r="N36">
            <v>0.23438940371646205</v>
          </cell>
          <cell r="O36">
            <v>0.18111687933627671</v>
          </cell>
        </row>
        <row r="38">
          <cell r="A38" t="str">
            <v>Year</v>
          </cell>
          <cell r="B38">
            <v>1</v>
          </cell>
          <cell r="C38">
            <v>0.28835107396618842</v>
          </cell>
          <cell r="D38">
            <v>0.71164892603381158</v>
          </cell>
          <cell r="E38">
            <v>0.26909046361582228</v>
          </cell>
          <cell r="F38">
            <v>0.1619116325919473</v>
          </cell>
          <cell r="G38">
            <v>0.28064682982604189</v>
          </cell>
          <cell r="H38">
            <v>-2.8149075762937958E-2</v>
          </cell>
          <cell r="I38">
            <v>9.6643345220918508E-3</v>
          </cell>
          <cell r="J38">
            <v>-1.361173876350965E-2</v>
          </cell>
          <cell r="K38" t="e">
            <v>#NULL!</v>
          </cell>
          <cell r="L38">
            <v>1.1842212724253396E-2</v>
          </cell>
          <cell r="M38">
            <v>-2.0254267280102361E-2</v>
          </cell>
          <cell r="N38">
            <v>0.26039256254593957</v>
          </cell>
          <cell r="O38">
            <v>0.1954258704706939</v>
          </cell>
        </row>
        <row r="40">
          <cell r="A40">
            <v>1997</v>
          </cell>
        </row>
        <row r="41">
          <cell r="A41" t="str">
            <v xml:space="preserve"> 1Q (a)</v>
          </cell>
          <cell r="B41">
            <v>1</v>
          </cell>
          <cell r="C41">
            <v>0.27716333845366103</v>
          </cell>
          <cell r="D41">
            <v>0.72283666154633897</v>
          </cell>
          <cell r="E41">
            <v>0.2415258576548899</v>
          </cell>
          <cell r="F41">
            <v>0.15422427035330261</v>
          </cell>
          <cell r="G41">
            <v>0.32708653353814643</v>
          </cell>
          <cell r="H41">
            <v>-2.3502304147465441E-2</v>
          </cell>
          <cell r="I41">
            <v>1.0752688172043012E-2</v>
          </cell>
          <cell r="J41">
            <v>-1.2800819252432157E-2</v>
          </cell>
          <cell r="K41" t="e">
            <v>#NULL!</v>
          </cell>
          <cell r="L41">
            <v>6.0419866871479775E-3</v>
          </cell>
          <cell r="M41">
            <v>-1.9508448540706609E-2</v>
          </cell>
          <cell r="N41">
            <v>0.30757808499743983</v>
          </cell>
          <cell r="O41">
            <v>0.23067076292882741</v>
          </cell>
        </row>
        <row r="42">
          <cell r="A42" t="str">
            <v xml:space="preserve"> 2Q (b)</v>
          </cell>
          <cell r="B42">
            <v>1</v>
          </cell>
          <cell r="C42">
            <v>0.27595916930658215</v>
          </cell>
          <cell r="D42">
            <v>0.72404083069341785</v>
          </cell>
          <cell r="E42">
            <v>0.27771911298838436</v>
          </cell>
          <cell r="F42">
            <v>0.16427817166993514</v>
          </cell>
          <cell r="G42">
            <v>0.28204354603509835</v>
          </cell>
          <cell r="H42">
            <v>-2.2678131442650979E-2</v>
          </cell>
          <cell r="I42">
            <v>1.9107959973852263E-2</v>
          </cell>
          <cell r="J42">
            <v>-1.2571026298587017E-2</v>
          </cell>
          <cell r="K42" t="e">
            <v>#NULL!</v>
          </cell>
          <cell r="L42">
            <v>1.4079549454417459E-2</v>
          </cell>
          <cell r="M42">
            <v>-2.0616483129682712E-3</v>
          </cell>
          <cell r="N42">
            <v>0.27998189772213006</v>
          </cell>
          <cell r="O42">
            <v>0.21003670739679189</v>
          </cell>
        </row>
        <row r="43">
          <cell r="A43" t="str">
            <v xml:space="preserve"> 3Q</v>
          </cell>
          <cell r="B43">
            <v>1</v>
          </cell>
          <cell r="C43">
            <v>0.27211703161890655</v>
          </cell>
          <cell r="D43">
            <v>0.72788296838109345</v>
          </cell>
          <cell r="E43">
            <v>0.27183926670061576</v>
          </cell>
          <cell r="F43">
            <v>0.15990000462941531</v>
          </cell>
          <cell r="G43">
            <v>0.29614369705106242</v>
          </cell>
          <cell r="H43">
            <v>-1.4999305587704273E-2</v>
          </cell>
          <cell r="I43">
            <v>0</v>
          </cell>
          <cell r="J43">
            <v>-3.4720614786352484E-3</v>
          </cell>
          <cell r="K43" t="e">
            <v>#NULL!</v>
          </cell>
          <cell r="L43">
            <v>-5.0923568353316987E-4</v>
          </cell>
          <cell r="M43">
            <v>-1.8980602749872691E-2</v>
          </cell>
          <cell r="N43">
            <v>0.27716309430118974</v>
          </cell>
          <cell r="O43">
            <v>0.20786074718763017</v>
          </cell>
        </row>
        <row r="44">
          <cell r="A44" t="str">
            <v xml:space="preserve"> 4Q</v>
          </cell>
          <cell r="B44">
            <v>1</v>
          </cell>
          <cell r="C44">
            <v>0.28354996274526034</v>
          </cell>
          <cell r="D44">
            <v>0.71645003725473966</v>
          </cell>
          <cell r="E44">
            <v>0.28263929133206389</v>
          </cell>
          <cell r="F44">
            <v>0.16917791207881444</v>
          </cell>
          <cell r="G44">
            <v>0.26463283384386133</v>
          </cell>
          <cell r="H44">
            <v>-8.7341667356569258E-3</v>
          </cell>
          <cell r="I44">
            <v>0</v>
          </cell>
          <cell r="J44">
            <v>-3.1045616358970113E-3</v>
          </cell>
          <cell r="K44" t="e">
            <v>#NULL!</v>
          </cell>
          <cell r="L44">
            <v>-2.8975908601705438E-4</v>
          </cell>
          <cell r="M44">
            <v>-1.212848745757099E-2</v>
          </cell>
          <cell r="N44">
            <v>0.25250434638629032</v>
          </cell>
          <cell r="O44">
            <v>0.18937825978971778</v>
          </cell>
        </row>
        <row r="46">
          <cell r="A46" t="str">
            <v>Year</v>
          </cell>
          <cell r="B46">
            <v>1</v>
          </cell>
          <cell r="C46">
            <v>0.27741382549074856</v>
          </cell>
          <cell r="D46">
            <v>0.72258617450925144</v>
          </cell>
          <cell r="E46">
            <v>0.26932469240161555</v>
          </cell>
          <cell r="F46">
            <v>0.16225227763689304</v>
          </cell>
          <cell r="G46">
            <v>0.29100920447074302</v>
          </cell>
          <cell r="H46">
            <v>-1.6964872734103506E-2</v>
          </cell>
          <cell r="I46">
            <v>6.926833849910774E-3</v>
          </cell>
          <cell r="J46">
            <v>-7.6312576312576328E-3</v>
          </cell>
          <cell r="K46" t="e">
            <v>#NULL!</v>
          </cell>
          <cell r="L46">
            <v>4.4613506151967687E-3</v>
          </cell>
          <cell r="M46">
            <v>-1.3207945900253596E-2</v>
          </cell>
          <cell r="N46">
            <v>0.27780125857048943</v>
          </cell>
          <cell r="O46">
            <v>0.20835681412604495</v>
          </cell>
        </row>
        <row r="48">
          <cell r="A48" t="str">
            <v>1998R</v>
          </cell>
        </row>
        <row r="49">
          <cell r="A49" t="str">
            <v xml:space="preserve"> 1Q (a)</v>
          </cell>
          <cell r="B49">
            <v>1</v>
          </cell>
          <cell r="C49">
            <v>0.21911835170100624</v>
          </cell>
          <cell r="D49">
            <v>0.78088164829899376</v>
          </cell>
          <cell r="E49">
            <v>0.26042165788212746</v>
          </cell>
          <cell r="F49">
            <v>0.17388596070915188</v>
          </cell>
          <cell r="G49">
            <v>0.34657402970771445</v>
          </cell>
          <cell r="H49">
            <v>-1.1451844753234307E-2</v>
          </cell>
          <cell r="I49">
            <v>0</v>
          </cell>
          <cell r="J49">
            <v>0</v>
          </cell>
          <cell r="K49" t="e">
            <v>#NULL!</v>
          </cell>
          <cell r="L49">
            <v>1.8687110685194058E-3</v>
          </cell>
          <cell r="M49">
            <v>-9.5831336847149017E-3</v>
          </cell>
          <cell r="N49">
            <v>0.33699089602299953</v>
          </cell>
          <cell r="O49">
            <v>0.25471969333972216</v>
          </cell>
        </row>
        <row r="50">
          <cell r="A50" t="str">
            <v xml:space="preserve"> 2Q </v>
          </cell>
          <cell r="B50">
            <v>1</v>
          </cell>
          <cell r="C50">
            <v>0.22208816705336429</v>
          </cell>
          <cell r="D50">
            <v>0.77791183294663568</v>
          </cell>
          <cell r="E50">
            <v>0.29577726218097444</v>
          </cell>
          <cell r="F50">
            <v>0.19336426914153132</v>
          </cell>
          <cell r="G50">
            <v>0.28877030162412992</v>
          </cell>
          <cell r="H50">
            <v>-8.8167053364269134E-3</v>
          </cell>
          <cell r="I50">
            <v>0</v>
          </cell>
          <cell r="J50">
            <v>0</v>
          </cell>
          <cell r="K50" t="e">
            <v>#NULL!</v>
          </cell>
          <cell r="L50">
            <v>2.0417633410672854E-2</v>
          </cell>
          <cell r="M50">
            <v>1.1600928074245939E-2</v>
          </cell>
          <cell r="N50">
            <v>0.30037122969837587</v>
          </cell>
          <cell r="O50">
            <v>0.22779582366589327</v>
          </cell>
        </row>
        <row r="51">
          <cell r="A51" t="str">
            <v xml:space="preserve"> 3Q (b)</v>
          </cell>
          <cell r="B51">
            <v>1</v>
          </cell>
          <cell r="C51">
            <v>0.21009578706450791</v>
          </cell>
          <cell r="D51">
            <v>0.78990421293549207</v>
          </cell>
          <cell r="E51">
            <v>0.28295329321013818</v>
          </cell>
          <cell r="F51">
            <v>0.18644570653555986</v>
          </cell>
          <cell r="G51">
            <v>0.32050521318979397</v>
          </cell>
          <cell r="H51">
            <v>-9.875392048825973E-3</v>
          </cell>
          <cell r="I51">
            <v>0</v>
          </cell>
          <cell r="J51">
            <v>0</v>
          </cell>
          <cell r="K51" t="e">
            <v>#NULL!</v>
          </cell>
          <cell r="L51">
            <v>-2.6701703823005848E-3</v>
          </cell>
          <cell r="M51">
            <v>-1.2545562431126558E-2</v>
          </cell>
          <cell r="N51">
            <v>0.30795965075866738</v>
          </cell>
          <cell r="O51">
            <v>0.24963973891667368</v>
          </cell>
        </row>
        <row r="52">
          <cell r="A52" t="str">
            <v xml:space="preserve"> 4Q</v>
          </cell>
          <cell r="B52">
            <v>1</v>
          </cell>
          <cell r="C52">
            <v>0.22140851483645746</v>
          </cell>
          <cell r="D52">
            <v>0.77859148516354248</v>
          </cell>
          <cell r="E52">
            <v>0.30727783258708352</v>
          </cell>
          <cell r="F52">
            <v>0.1970858313728466</v>
          </cell>
          <cell r="G52">
            <v>0.27422782120361239</v>
          </cell>
          <cell r="H52">
            <v>-6.6783031038931458E-3</v>
          </cell>
          <cell r="I52">
            <v>0</v>
          </cell>
          <cell r="J52">
            <v>0</v>
          </cell>
          <cell r="K52" t="e">
            <v>#NULL!</v>
          </cell>
          <cell r="L52">
            <v>3.8703802079380735E-3</v>
          </cell>
          <cell r="M52">
            <v>-2.8079228959550727E-3</v>
          </cell>
          <cell r="N52">
            <v>0.27141989830765734</v>
          </cell>
          <cell r="O52">
            <v>0.21309858086059047</v>
          </cell>
        </row>
        <row r="54">
          <cell r="A54" t="str">
            <v>Year</v>
          </cell>
          <cell r="B54">
            <v>1</v>
          </cell>
          <cell r="C54">
            <v>0.21815996882037073</v>
          </cell>
          <cell r="D54">
            <v>0.78184003117962941</v>
          </cell>
          <cell r="E54">
            <v>0.28779447427680588</v>
          </cell>
          <cell r="F54">
            <v>0.18825783821236794</v>
          </cell>
          <cell r="G54">
            <v>0.30578771869045557</v>
          </cell>
          <cell r="H54">
            <v>-9.0724060280616674E-3</v>
          </cell>
          <cell r="I54">
            <v>0</v>
          </cell>
          <cell r="J54">
            <v>0</v>
          </cell>
          <cell r="K54" t="e">
            <v>#NULL!</v>
          </cell>
          <cell r="L54">
            <v>5.6080027715226053E-3</v>
          </cell>
          <cell r="M54">
            <v>-3.4644032565390613E-3</v>
          </cell>
          <cell r="N54">
            <v>0.30232331543391655</v>
          </cell>
          <cell r="O54">
            <v>0.23526545989953238</v>
          </cell>
        </row>
        <row r="56">
          <cell r="A56">
            <v>1999</v>
          </cell>
        </row>
        <row r="57">
          <cell r="A57" t="str">
            <v xml:space="preserve"> 1Q</v>
          </cell>
          <cell r="B57">
            <v>1</v>
          </cell>
          <cell r="C57">
            <v>0.21878879233906723</v>
          </cell>
          <cell r="D57">
            <v>0.78121120766093277</v>
          </cell>
          <cell r="E57">
            <v>0.26285688951941832</v>
          </cell>
          <cell r="F57">
            <v>0.18314417449902468</v>
          </cell>
          <cell r="G57">
            <v>0.33521014364248974</v>
          </cell>
          <cell r="H57">
            <v>-3.6353963468700105E-3</v>
          </cell>
          <cell r="I57">
            <v>0</v>
          </cell>
          <cell r="J57">
            <v>0</v>
          </cell>
          <cell r="K57" t="e">
            <v>#NULL!</v>
          </cell>
          <cell r="L57">
            <v>3.10338712537684E-3</v>
          </cell>
          <cell r="M57">
            <v>-5.3200922149317066E-4</v>
          </cell>
          <cell r="N57">
            <v>0.33467813442099653</v>
          </cell>
          <cell r="O57">
            <v>0.26103919134598325</v>
          </cell>
        </row>
        <row r="58">
          <cell r="A58" t="str">
            <v xml:space="preserve"> 2Q</v>
          </cell>
          <cell r="B58">
            <v>1</v>
          </cell>
          <cell r="C58">
            <v>0.21079967377773964</v>
          </cell>
          <cell r="D58">
            <v>0.78920032622226033</v>
          </cell>
          <cell r="E58">
            <v>0.27883418465896898</v>
          </cell>
          <cell r="F58">
            <v>0.19766493539940766</v>
          </cell>
          <cell r="G58">
            <v>0.3127012061638838</v>
          </cell>
          <cell r="H58">
            <v>-4.5499420526248025E-3</v>
          </cell>
          <cell r="I58">
            <v>0</v>
          </cell>
          <cell r="J58">
            <v>0</v>
          </cell>
          <cell r="K58" t="e">
            <v>#NULL!</v>
          </cell>
          <cell r="L58">
            <v>3.9490063098252997E-3</v>
          </cell>
          <cell r="M58">
            <v>-6.0093574279950304E-4</v>
          </cell>
          <cell r="N58">
            <v>0.31210027042108429</v>
          </cell>
          <cell r="O58">
            <v>0.24230587629308498</v>
          </cell>
        </row>
        <row r="59">
          <cell r="A59" t="str">
            <v xml:space="preserve"> 3Q</v>
          </cell>
          <cell r="B59">
            <v>1</v>
          </cell>
          <cell r="C59">
            <v>0.21387328339575537</v>
          </cell>
          <cell r="D59">
            <v>0.7861267166042446</v>
          </cell>
          <cell r="E59">
            <v>0.27169163545568048</v>
          </cell>
          <cell r="F59">
            <v>0.17279182272159804</v>
          </cell>
          <cell r="G59">
            <v>0.34164325842696619</v>
          </cell>
          <cell r="H59">
            <v>-3.4722222222222225E-3</v>
          </cell>
          <cell r="I59">
            <v>0</v>
          </cell>
          <cell r="J59">
            <v>0</v>
          </cell>
          <cell r="K59" t="e">
            <v>#NULL!</v>
          </cell>
          <cell r="L59">
            <v>-6.7883895131086152E-3</v>
          </cell>
          <cell r="M59">
            <v>-1.0260611735330837E-2</v>
          </cell>
          <cell r="N59">
            <v>0.33138264669163536</v>
          </cell>
          <cell r="O59">
            <v>0.25659332084893871</v>
          </cell>
        </row>
        <row r="60">
          <cell r="A60" t="str">
            <v xml:space="preserve"> 4Q</v>
          </cell>
          <cell r="B60">
            <v>1</v>
          </cell>
          <cell r="C60">
            <v>0.20362324177038074</v>
          </cell>
          <cell r="D60">
            <v>0.79637675822961929</v>
          </cell>
          <cell r="E60">
            <v>0.30145813388320203</v>
          </cell>
          <cell r="F60">
            <v>0.17199351940496357</v>
          </cell>
          <cell r="G60">
            <v>0.3229251049414536</v>
          </cell>
          <cell r="H60">
            <v>8.4689594226378877E-4</v>
          </cell>
          <cell r="I60">
            <v>0</v>
          </cell>
          <cell r="J60">
            <v>0</v>
          </cell>
          <cell r="K60" t="e">
            <v>#NULL!</v>
          </cell>
          <cell r="L60">
            <v>-1.1819721628985936E-2</v>
          </cell>
          <cell r="M60">
            <v>-1.0972825686722146E-2</v>
          </cell>
          <cell r="N60">
            <v>0.31195227925473151</v>
          </cell>
          <cell r="O60">
            <v>0.24217541792473665</v>
          </cell>
        </row>
        <row r="62">
          <cell r="A62" t="str">
            <v>Year</v>
          </cell>
          <cell r="B62">
            <v>1</v>
          </cell>
          <cell r="C62">
            <v>0.21144936792271127</v>
          </cell>
          <cell r="D62">
            <v>0.78855063207728882</v>
          </cell>
          <cell r="E62">
            <v>0.27955354155895512</v>
          </cell>
          <cell r="F62">
            <v>0.18081364110986084</v>
          </cell>
          <cell r="G62">
            <v>0.32818344940847294</v>
          </cell>
          <cell r="H62">
            <v>-2.5749419624301779E-3</v>
          </cell>
          <cell r="I62">
            <v>0</v>
          </cell>
          <cell r="J62">
            <v>0</v>
          </cell>
          <cell r="K62" t="e">
            <v>#NULL!</v>
          </cell>
          <cell r="L62">
            <v>-3.3758097381466506E-3</v>
          </cell>
          <cell r="M62">
            <v>-5.950751700576829E-3</v>
          </cell>
          <cell r="N62">
            <v>0.32223269770789614</v>
          </cell>
          <cell r="O62">
            <v>0.25027624869478826</v>
          </cell>
        </row>
        <row r="65">
          <cell r="A65">
            <v>2000</v>
          </cell>
        </row>
        <row r="66">
          <cell r="A66" t="str">
            <v xml:space="preserve"> 1QA</v>
          </cell>
          <cell r="B66">
            <v>1</v>
          </cell>
          <cell r="C66">
            <v>0.20493270543431649</v>
          </cell>
          <cell r="D66">
            <v>0.79506729456568348</v>
          </cell>
          <cell r="E66">
            <v>0.27079128652416978</v>
          </cell>
          <cell r="F66">
            <v>0.18038327018935327</v>
          </cell>
          <cell r="G66">
            <v>0.34389273785216046</v>
          </cell>
          <cell r="H66">
            <v>5.0751236323722092E-3</v>
          </cell>
          <cell r="I66">
            <v>0</v>
          </cell>
          <cell r="J66">
            <v>0</v>
          </cell>
          <cell r="L66">
            <v>2.3605226197080033E-4</v>
          </cell>
          <cell r="M66">
            <v>5.3111758943430098E-3</v>
          </cell>
          <cell r="N66">
            <v>0.34920391374650345</v>
          </cell>
          <cell r="O66">
            <v>0.27236890247500795</v>
          </cell>
        </row>
        <row r="67">
          <cell r="A67" t="str">
            <v xml:space="preserve"> 2QA</v>
          </cell>
          <cell r="B67">
            <v>1</v>
          </cell>
          <cell r="C67">
            <v>0.18757152666514079</v>
          </cell>
          <cell r="D67">
            <v>0.81242847333485924</v>
          </cell>
          <cell r="E67">
            <v>0.30342565041580838</v>
          </cell>
          <cell r="F67">
            <v>0.19409475852597852</v>
          </cell>
          <cell r="G67">
            <v>0.31490806439307234</v>
          </cell>
          <cell r="H67">
            <v>5.1880674448767849E-3</v>
          </cell>
          <cell r="I67">
            <v>0</v>
          </cell>
          <cell r="J67">
            <v>0</v>
          </cell>
          <cell r="L67">
            <v>5.6839856565194177E-3</v>
          </cell>
          <cell r="M67">
            <v>1.0872053101396202E-2</v>
          </cell>
          <cell r="N67">
            <v>0.32578011749446856</v>
          </cell>
          <cell r="O67">
            <v>0.25410086213473709</v>
          </cell>
        </row>
        <row r="68">
          <cell r="A68" t="str">
            <v xml:space="preserve"> 3QA</v>
          </cell>
          <cell r="B68">
            <v>1</v>
          </cell>
          <cell r="C68">
            <v>0.17430177929361726</v>
          </cell>
          <cell r="D68">
            <v>0.82569822070638277</v>
          </cell>
          <cell r="E68">
            <v>0.28462296259677999</v>
          </cell>
          <cell r="F68">
            <v>0.17999210467353541</v>
          </cell>
          <cell r="G68">
            <v>0.36108315343606734</v>
          </cell>
          <cell r="H68">
            <v>8.606617137126172E-3</v>
          </cell>
          <cell r="I68">
            <v>0</v>
          </cell>
          <cell r="J68">
            <v>0</v>
          </cell>
          <cell r="L68">
            <v>-1.4652587853289189E-2</v>
          </cell>
          <cell r="M68">
            <v>-6.0459707161630172E-3</v>
          </cell>
          <cell r="N68">
            <v>0.35503718271990431</v>
          </cell>
          <cell r="O68">
            <v>0.27693746688052795</v>
          </cell>
        </row>
        <row r="69">
          <cell r="A69" t="str">
            <v xml:space="preserve"> 4QA</v>
          </cell>
          <cell r="B69">
            <v>1</v>
          </cell>
          <cell r="C69">
            <v>0.18977906117789273</v>
          </cell>
          <cell r="D69">
            <v>0.81022093882210733</v>
          </cell>
          <cell r="E69">
            <v>0.31707071385400576</v>
          </cell>
          <cell r="F69">
            <v>0.18303001813175745</v>
          </cell>
          <cell r="G69">
            <v>0.31012020683634411</v>
          </cell>
          <cell r="H69">
            <v>-1.541199382177154E-2</v>
          </cell>
          <cell r="I69">
            <v>0</v>
          </cell>
          <cell r="J69">
            <v>0</v>
          </cell>
          <cell r="L69">
            <v>3.57598549459405E-2</v>
          </cell>
          <cell r="M69">
            <v>2.0347861124168962E-2</v>
          </cell>
          <cell r="N69">
            <v>0.33046806796051309</v>
          </cell>
          <cell r="O69">
            <v>0.25780672889664902</v>
          </cell>
        </row>
        <row r="71">
          <cell r="A71" t="str">
            <v>YearA</v>
          </cell>
          <cell r="B71">
            <v>1</v>
          </cell>
          <cell r="C71">
            <v>0.18879414235109376</v>
          </cell>
          <cell r="D71">
            <v>0.8112058576489064</v>
          </cell>
          <cell r="E71">
            <v>0.29473578497608016</v>
          </cell>
          <cell r="F71">
            <v>0.18428404484534205</v>
          </cell>
          <cell r="G71">
            <v>0.33218602782748419</v>
          </cell>
          <cell r="H71">
            <v>4.3822809772486632E-4</v>
          </cell>
          <cell r="I71">
            <v>0</v>
          </cell>
          <cell r="J71">
            <v>0</v>
          </cell>
          <cell r="K71">
            <v>-3.3758097381466506E-3</v>
          </cell>
          <cell r="L71">
            <v>7.3768396450352427E-3</v>
          </cell>
          <cell r="M71">
            <v>7.8150677427601088E-3</v>
          </cell>
          <cell r="N71">
            <v>0.34000109557024433</v>
          </cell>
          <cell r="O71">
            <v>0.26521016689186727</v>
          </cell>
        </row>
        <row r="73">
          <cell r="A73">
            <v>2001</v>
          </cell>
        </row>
        <row r="74">
          <cell r="A74" t="str">
            <v xml:space="preserve"> 1QA</v>
          </cell>
          <cell r="B74">
            <v>1</v>
          </cell>
          <cell r="C74">
            <v>0.18615675232562282</v>
          </cell>
          <cell r="D74">
            <v>0.81384324767437721</v>
          </cell>
          <cell r="E74">
            <v>0.2740492568699433</v>
          </cell>
          <cell r="F74">
            <v>0.1837331147307267</v>
          </cell>
          <cell r="G74">
            <v>0.35606087607370723</v>
          </cell>
          <cell r="H74">
            <v>1.0906369177032469E-2</v>
          </cell>
          <cell r="I74">
            <v>0</v>
          </cell>
          <cell r="J74">
            <v>0</v>
          </cell>
          <cell r="K74">
            <v>1.7108030081619558E-3</v>
          </cell>
          <cell r="L74">
            <v>1.7108030081619558E-3</v>
          </cell>
          <cell r="M74">
            <v>1.2617172185194423E-2</v>
          </cell>
          <cell r="N74">
            <v>0.36867804825890166</v>
          </cell>
          <cell r="O74">
            <v>0.2875574722885556</v>
          </cell>
        </row>
        <row r="75">
          <cell r="A75" t="str">
            <v xml:space="preserve"> 2QA</v>
          </cell>
          <cell r="B75">
            <v>1</v>
          </cell>
          <cell r="C75">
            <v>0.17214438767100715</v>
          </cell>
          <cell r="D75">
            <v>0.82785561232899285</v>
          </cell>
          <cell r="E75">
            <v>0.29665402999835183</v>
          </cell>
          <cell r="F75">
            <v>0.18582495467282026</v>
          </cell>
          <cell r="G75">
            <v>0.34537662765782084</v>
          </cell>
          <cell r="H75">
            <v>9.625844733805837E-3</v>
          </cell>
          <cell r="I75">
            <v>0</v>
          </cell>
          <cell r="J75">
            <v>0</v>
          </cell>
          <cell r="K75">
            <v>-5.2085050271963099E-3</v>
          </cell>
          <cell r="L75">
            <v>-5.2085050271963099E-3</v>
          </cell>
          <cell r="M75">
            <v>4.417339706609528E-3</v>
          </cell>
          <cell r="N75">
            <v>0.34979396736443036</v>
          </cell>
          <cell r="O75">
            <v>0.27285313993736593</v>
          </cell>
        </row>
        <row r="76">
          <cell r="A76" t="str">
            <v xml:space="preserve"> 3QA</v>
          </cell>
          <cell r="B76">
            <v>1</v>
          </cell>
          <cell r="C76">
            <v>0.19099638185360424</v>
          </cell>
          <cell r="D76">
            <v>0.80900361814639576</v>
          </cell>
          <cell r="E76">
            <v>0.30124547731700529</v>
          </cell>
          <cell r="F76">
            <v>0.19691065961591983</v>
          </cell>
          <cell r="G76">
            <v>0.31084748121347061</v>
          </cell>
          <cell r="H76">
            <v>1.1515446701920401E-2</v>
          </cell>
          <cell r="I76">
            <v>0</v>
          </cell>
          <cell r="J76">
            <v>0</v>
          </cell>
          <cell r="K76">
            <v>2.0873921514055107E-4</v>
          </cell>
          <cell r="L76">
            <v>2.0873921514055107E-4</v>
          </cell>
          <cell r="M76">
            <v>1.1724185917060953E-2</v>
          </cell>
          <cell r="N76">
            <v>0.32257166713053159</v>
          </cell>
          <cell r="O76">
            <v>0.25160033398274423</v>
          </cell>
        </row>
        <row r="77">
          <cell r="A77" t="str">
            <v>4QA</v>
          </cell>
          <cell r="B77">
            <v>1</v>
          </cell>
          <cell r="C77">
            <v>0.20033229638009048</v>
          </cell>
          <cell r="D77">
            <v>0.79966770361990958</v>
          </cell>
          <cell r="E77">
            <v>0.31204044117647051</v>
          </cell>
          <cell r="F77">
            <v>0.2085336538461538</v>
          </cell>
          <cell r="G77">
            <v>0.2790936085972851</v>
          </cell>
          <cell r="H77">
            <v>1.5024038461538458E-2</v>
          </cell>
          <cell r="I77">
            <v>0</v>
          </cell>
          <cell r="J77">
            <v>0</v>
          </cell>
          <cell r="K77">
            <v>3.2522624434389129E-3</v>
          </cell>
          <cell r="L77">
            <v>3.2522624434389129E-3</v>
          </cell>
          <cell r="M77">
            <v>1.8276300904977373E-2</v>
          </cell>
          <cell r="N77">
            <v>0.2973699095022625</v>
          </cell>
          <cell r="O77">
            <v>0.23193580316742088</v>
          </cell>
        </row>
        <row r="79">
          <cell r="A79" t="str">
            <v>Year A</v>
          </cell>
          <cell r="B79">
            <v>1</v>
          </cell>
          <cell r="C79">
            <v>0.18715345162184641</v>
          </cell>
          <cell r="D79">
            <v>0.81284654837815362</v>
          </cell>
          <cell r="E79">
            <v>0.29607360687551981</v>
          </cell>
          <cell r="F79">
            <v>0.19364257000277238</v>
          </cell>
          <cell r="G79">
            <v>0.3231303714998614</v>
          </cell>
          <cell r="H79">
            <v>1.173066260049903E-2</v>
          </cell>
          <cell r="I79">
            <v>0</v>
          </cell>
          <cell r="J79">
            <v>0</v>
          </cell>
          <cell r="K79">
            <v>-1.0396451344607717E-4</v>
          </cell>
          <cell r="L79">
            <v>-1.0396451344607717E-4</v>
          </cell>
          <cell r="M79">
            <v>1.1626698087052951E-2</v>
          </cell>
          <cell r="N79">
            <v>0.33475706958691437</v>
          </cell>
          <cell r="O79">
            <v>0.26111553922927638</v>
          </cell>
        </row>
        <row r="81">
          <cell r="A81">
            <v>2002</v>
          </cell>
        </row>
        <row r="82">
          <cell r="A82" t="str">
            <v xml:space="preserve"> 1QA</v>
          </cell>
          <cell r="B82">
            <v>1</v>
          </cell>
          <cell r="C82">
            <v>0.20698137519034793</v>
          </cell>
          <cell r="D82">
            <v>0.79301862480965202</v>
          </cell>
          <cell r="E82">
            <v>0.30350240131193629</v>
          </cell>
          <cell r="F82">
            <v>0.1963218929366288</v>
          </cell>
          <cell r="G82">
            <v>0.29319433056108707</v>
          </cell>
          <cell r="H82">
            <v>1.534496895865058E-2</v>
          </cell>
          <cell r="I82">
            <v>0</v>
          </cell>
          <cell r="J82">
            <v>0</v>
          </cell>
          <cell r="K82">
            <v>6.4425442192807781E-3</v>
          </cell>
          <cell r="L82">
            <v>6.4425442192807781E-3</v>
          </cell>
          <cell r="M82">
            <v>2.1787513177931359E-2</v>
          </cell>
          <cell r="N82">
            <v>0.31498184373901844</v>
          </cell>
          <cell r="O82">
            <v>0.24567568622857369</v>
          </cell>
        </row>
        <row r="83">
          <cell r="A83" t="str">
            <v xml:space="preserve"> 2QA</v>
          </cell>
          <cell r="B83">
            <v>1</v>
          </cell>
          <cell r="C83">
            <v>0.18914088455523606</v>
          </cell>
          <cell r="D83">
            <v>0.81085911544476397</v>
          </cell>
          <cell r="E83">
            <v>0.32978041064003061</v>
          </cell>
          <cell r="F83">
            <v>0.19656382649053397</v>
          </cell>
          <cell r="G83">
            <v>0.28451487831419936</v>
          </cell>
          <cell r="H83">
            <v>7.7832789224482743E-3</v>
          </cell>
          <cell r="I83">
            <v>0</v>
          </cell>
          <cell r="J83">
            <v>0</v>
          </cell>
          <cell r="K83">
            <v>1.189112057596264E-2</v>
          </cell>
          <cell r="L83">
            <v>1.189112057596264E-2</v>
          </cell>
          <cell r="M83">
            <v>1.9674399498410915E-2</v>
          </cell>
          <cell r="N83">
            <v>0.30418927781261029</v>
          </cell>
          <cell r="O83">
            <v>0.23727469929878417</v>
          </cell>
        </row>
        <row r="84">
          <cell r="A84" t="str">
            <v xml:space="preserve"> 3QA</v>
          </cell>
          <cell r="B84">
            <v>1</v>
          </cell>
          <cell r="C84">
            <v>0.19877225732337739</v>
          </cell>
          <cell r="D84">
            <v>0.80122774267662256</v>
          </cell>
          <cell r="E84">
            <v>0.29103245261344057</v>
          </cell>
          <cell r="F84">
            <v>0.18907955198161977</v>
          </cell>
          <cell r="G84">
            <v>0.32111573808156219</v>
          </cell>
          <cell r="H84">
            <v>8.2208500861573816E-3</v>
          </cell>
          <cell r="I84">
            <v>0</v>
          </cell>
          <cell r="J84">
            <v>0</v>
          </cell>
          <cell r="K84">
            <v>1.0554279149913843E-2</v>
          </cell>
          <cell r="L84">
            <v>1.0554279149913843E-2</v>
          </cell>
          <cell r="M84">
            <v>1.8775129236071223E-2</v>
          </cell>
          <cell r="N84">
            <v>0.33989086731763335</v>
          </cell>
          <cell r="O84">
            <v>0.26511344055140706</v>
          </cell>
        </row>
        <row r="85">
          <cell r="A85" t="str">
            <v xml:space="preserve"> 4QA</v>
          </cell>
          <cell r="B85">
            <v>1</v>
          </cell>
          <cell r="C85">
            <v>0.19210989308431453</v>
          </cell>
          <cell r="D85">
            <v>0.80789010691568541</v>
          </cell>
          <cell r="E85">
            <v>0.31154418730545408</v>
          </cell>
          <cell r="F85">
            <v>0.1943091081337123</v>
          </cell>
          <cell r="G85">
            <v>0.30203681147651901</v>
          </cell>
          <cell r="H85">
            <v>7.9510082555149554E-3</v>
          </cell>
          <cell r="I85">
            <v>0</v>
          </cell>
          <cell r="J85">
            <v>0</v>
          </cell>
          <cell r="K85">
            <v>1.2789281364190013E-2</v>
          </cell>
          <cell r="L85">
            <v>1.2789281364190013E-2</v>
          </cell>
          <cell r="M85">
            <v>1.7356881851400732E-2</v>
          </cell>
          <cell r="N85">
            <v>0.31939369332791973</v>
          </cell>
          <cell r="O85">
            <v>0.2491203139802407</v>
          </cell>
        </row>
        <row r="87">
          <cell r="A87" t="str">
            <v>Year A</v>
          </cell>
          <cell r="B87">
            <v>1</v>
          </cell>
          <cell r="C87">
            <v>0.19647970477039906</v>
          </cell>
          <cell r="D87">
            <v>0.803520295229601</v>
          </cell>
          <cell r="E87">
            <v>0.3090955704727068</v>
          </cell>
          <cell r="F87">
            <v>0.19402427266851308</v>
          </cell>
          <cell r="G87">
            <v>0.30040045208838101</v>
          </cell>
          <cell r="H87">
            <v>9.6863185489840659E-3</v>
          </cell>
          <cell r="I87">
            <v>0</v>
          </cell>
          <cell r="J87">
            <v>0</v>
          </cell>
          <cell r="K87" t="e">
            <v>#NULL!</v>
          </cell>
          <cell r="L87">
            <v>1.0534886995959371E-2</v>
          </cell>
          <cell r="M87">
            <v>1.9318473154544175E-2</v>
          </cell>
          <cell r="N87">
            <v>0.31971892524292517</v>
          </cell>
          <cell r="O87">
            <v>0.24937801738301479</v>
          </cell>
        </row>
        <row r="89">
          <cell r="A89">
            <v>2003</v>
          </cell>
        </row>
        <row r="90">
          <cell r="A90" t="str">
            <v xml:space="preserve"> 1QE</v>
          </cell>
          <cell r="B90">
            <v>1</v>
          </cell>
          <cell r="C90">
            <v>0.215</v>
          </cell>
          <cell r="D90">
            <v>0.78500000000000003</v>
          </cell>
          <cell r="E90">
            <v>0.314</v>
          </cell>
          <cell r="F90">
            <v>0.19700000000000001</v>
          </cell>
          <cell r="G90">
            <v>0.27400000000000002</v>
          </cell>
          <cell r="H90">
            <v>9.7179945946354509E-3</v>
          </cell>
          <cell r="L90">
            <v>8.9981431431809724E-3</v>
          </cell>
        </row>
        <row r="91">
          <cell r="A91" t="str">
            <v xml:space="preserve"> 2QE</v>
          </cell>
          <cell r="B91">
            <v>1</v>
          </cell>
          <cell r="C91">
            <v>0.21299999999999999</v>
          </cell>
          <cell r="D91">
            <v>0.78700000000000003</v>
          </cell>
          <cell r="E91">
            <v>0.32500000000000001</v>
          </cell>
          <cell r="F91">
            <v>0.19600000000000001</v>
          </cell>
          <cell r="G91">
            <v>0.26599999999999996</v>
          </cell>
          <cell r="H91">
            <v>8.7862623408968415E-3</v>
          </cell>
          <cell r="L91">
            <v>8.4483291739392719E-3</v>
          </cell>
        </row>
        <row r="92">
          <cell r="A92" t="str">
            <v xml:space="preserve"> 3QE</v>
          </cell>
          <cell r="B92">
            <v>1</v>
          </cell>
          <cell r="C92">
            <v>0.21299999999999999</v>
          </cell>
          <cell r="D92">
            <v>0.78700000000000003</v>
          </cell>
          <cell r="E92">
            <v>0.311</v>
          </cell>
          <cell r="F92">
            <v>0.19400000000000001</v>
          </cell>
          <cell r="G92">
            <v>0.28199999999999997</v>
          </cell>
          <cell r="H92">
            <v>8.9982303480315544E-3</v>
          </cell>
          <cell r="L92">
            <v>8.3316947666958845E-3</v>
          </cell>
        </row>
        <row r="93">
          <cell r="A93" t="str">
            <v xml:space="preserve"> 4QE</v>
          </cell>
          <cell r="B93">
            <v>1</v>
          </cell>
          <cell r="C93">
            <v>0.21127337208039898</v>
          </cell>
          <cell r="D93">
            <v>0.78872662791960102</v>
          </cell>
          <cell r="E93">
            <v>0.315970586308775</v>
          </cell>
          <cell r="F93">
            <v>0.19328624402522698</v>
          </cell>
          <cell r="G93">
            <v>0.27946979758559903</v>
          </cell>
          <cell r="H93">
            <v>8.4828990658681255E-3</v>
          </cell>
          <cell r="L93">
            <v>7.7682225877913251E-3</v>
          </cell>
        </row>
        <row r="95">
          <cell r="A95" t="str">
            <v>2003E</v>
          </cell>
          <cell r="B95">
            <v>1</v>
          </cell>
          <cell r="C95">
            <v>0.21299999999999999</v>
          </cell>
          <cell r="D95">
            <v>0.78700000000000003</v>
          </cell>
          <cell r="E95">
            <v>0.3165</v>
          </cell>
          <cell r="F95">
            <v>0.19500000000000001</v>
          </cell>
          <cell r="G95">
            <v>0.27549999999999991</v>
          </cell>
          <cell r="H95">
            <v>8.9743141746306525E-3</v>
          </cell>
          <cell r="I95">
            <v>0</v>
          </cell>
          <cell r="J95">
            <v>0</v>
          </cell>
          <cell r="K95" t="e">
            <v>#NULL!</v>
          </cell>
          <cell r="L95">
            <v>8.3637597154060141E-3</v>
          </cell>
          <cell r="M95">
            <v>1.7614562016805432E-2</v>
          </cell>
          <cell r="N95">
            <v>0.29311456201680536</v>
          </cell>
          <cell r="O95">
            <v>0.22862935837310816</v>
          </cell>
        </row>
        <row r="97">
          <cell r="A97" t="str">
            <v>2004E</v>
          </cell>
          <cell r="B97">
            <v>1</v>
          </cell>
          <cell r="C97">
            <v>0.21099999999999999</v>
          </cell>
          <cell r="D97">
            <v>0.78900000000000003</v>
          </cell>
          <cell r="E97">
            <v>0.313</v>
          </cell>
          <cell r="F97">
            <v>0.192</v>
          </cell>
          <cell r="G97">
            <v>0.28399999999999997</v>
          </cell>
          <cell r="H97">
            <v>7.5237585661809573E-3</v>
          </cell>
          <cell r="I97">
            <v>0</v>
          </cell>
          <cell r="J97">
            <v>0</v>
          </cell>
          <cell r="K97" t="e">
            <v>#NULL!</v>
          </cell>
          <cell r="L97">
            <v>5.26663099632667E-3</v>
          </cell>
          <cell r="M97">
            <v>2.1849284438356924E-2</v>
          </cell>
          <cell r="N97">
            <v>0.30584928443835691</v>
          </cell>
          <cell r="O97">
            <v>0.23856244186191838</v>
          </cell>
        </row>
        <row r="98">
          <cell r="A98" t="str">
            <v>2005E</v>
          </cell>
          <cell r="B98">
            <v>1</v>
          </cell>
          <cell r="C98">
            <v>0.20799999999999999</v>
          </cell>
          <cell r="D98">
            <v>0.79200000000000004</v>
          </cell>
          <cell r="E98">
            <v>0.308</v>
          </cell>
          <cell r="F98">
            <v>0.19</v>
          </cell>
          <cell r="G98">
            <v>0.29399999999999998</v>
          </cell>
          <cell r="H98">
            <v>6.6896838661370858E-3</v>
          </cell>
          <cell r="I98">
            <v>0</v>
          </cell>
          <cell r="J98">
            <v>0</v>
          </cell>
          <cell r="K98" t="e">
            <v>#NULL!</v>
          </cell>
          <cell r="L98">
            <v>3.3448419330685429E-3</v>
          </cell>
          <cell r="M98">
            <v>2.3168920426334113E-2</v>
          </cell>
          <cell r="N98">
            <v>0.3171689204263341</v>
          </cell>
          <cell r="O98">
            <v>0.24739175793254059</v>
          </cell>
        </row>
        <row r="99">
          <cell r="A99" t="str">
            <v>2006E</v>
          </cell>
          <cell r="B99">
            <v>1</v>
          </cell>
          <cell r="C99">
            <v>0.20599999999999999</v>
          </cell>
          <cell r="D99">
            <v>0.79400000000000004</v>
          </cell>
          <cell r="E99">
            <v>0.30299999999999999</v>
          </cell>
          <cell r="F99">
            <v>0.1855</v>
          </cell>
          <cell r="G99">
            <v>0.30549999999999999</v>
          </cell>
          <cell r="H99">
            <v>6.1214729932232825E-3</v>
          </cell>
          <cell r="I99">
            <v>0</v>
          </cell>
          <cell r="J99">
            <v>0</v>
          </cell>
          <cell r="L99">
            <v>3.0607364966116412E-3</v>
          </cell>
          <cell r="M99">
            <v>2.5759149249988338E-2</v>
          </cell>
          <cell r="N99">
            <v>0.33125914924998834</v>
          </cell>
          <cell r="O99">
            <v>0.25838213641499091</v>
          </cell>
        </row>
        <row r="100">
          <cell r="A100" t="str">
            <v>2007E</v>
          </cell>
          <cell r="B100">
            <v>1</v>
          </cell>
          <cell r="C100">
            <v>0.20399999999999999</v>
          </cell>
          <cell r="D100">
            <v>0.79600000000000004</v>
          </cell>
          <cell r="E100">
            <v>0.30249999999999999</v>
          </cell>
          <cell r="F100">
            <v>0.185</v>
          </cell>
          <cell r="G100">
            <v>0.30850000000000005</v>
          </cell>
          <cell r="H100">
            <v>5.5896725246402865E-3</v>
          </cell>
          <cell r="I100">
            <v>0</v>
          </cell>
          <cell r="J100">
            <v>0</v>
          </cell>
          <cell r="L100">
            <v>2.7948362623201432E-3</v>
          </cell>
          <cell r="M100">
            <v>2.5153526360881289E-2</v>
          </cell>
          <cell r="N100">
            <v>0.33365352636088136</v>
          </cell>
          <cell r="O100">
            <v>0.26024975056148747</v>
          </cell>
        </row>
        <row r="102">
          <cell r="A102" t="str">
            <v xml:space="preserve">E = Morgan Stanley Research Estimates        A = Actual       NM = Not Meaningful      </v>
          </cell>
        </row>
        <row r="103">
          <cell r="A103" t="str">
            <v>(a) Actos Revenues include royalty payments (we assume 20%) from Takeda.</v>
          </cell>
        </row>
        <row r="104">
          <cell r="A104" t="str">
            <v>(a) 1Q97 includes $24.1 million ($18.1 million after-tax) in other income ($0.03 per share) due to Somatogen charge.</v>
          </cell>
        </row>
        <row r="105">
          <cell r="A105" t="str">
            <v>(b) 2Q97 excludes $4.41 charge for the PCS write-down, $0.03 for the pricing litigation settlement, and a $0.54 gain of the Dow Elanco sale.</v>
          </cell>
        </row>
        <row r="107">
          <cell r="A107" t="str">
            <v>(a)  1Q98 excludes $7.2 million after-tax ($0.01 per share) one-time charge related to the early extinguishment of debt in ESOP plan.</v>
          </cell>
        </row>
        <row r="108">
          <cell r="A108" t="str">
            <v>(b)  3Q98 excludes $127.5 million pretax ($0.07 per share) one-time charge related to the Icos collaboration.</v>
          </cell>
        </row>
      </sheetData>
      <sheetData sheetId="9" refreshError="1">
        <row r="1">
          <cell r="A1" t="str">
            <v>Table 5</v>
          </cell>
          <cell r="T1" t="str">
            <v>Table 5</v>
          </cell>
          <cell r="AU1" t="str">
            <v>Table 5</v>
          </cell>
          <cell r="AV1" t="str">
            <v>(continued)</v>
          </cell>
        </row>
        <row r="2">
          <cell r="A2" t="str">
            <v>Eli Lilly</v>
          </cell>
          <cell r="B2" t="str">
            <v>.</v>
          </cell>
          <cell r="T2" t="str">
            <v>Eli Lilly</v>
          </cell>
          <cell r="AU2" t="str">
            <v>Eli Lilly</v>
          </cell>
        </row>
        <row r="3">
          <cell r="A3" t="str">
            <v>Quarterly Sales Analysis, 2000-2007E</v>
          </cell>
          <cell r="T3" t="str">
            <v>Quarterly Sales Analysis, 2000-2007E</v>
          </cell>
          <cell r="AU3" t="str">
            <v>Quarterly Sales Analysis, 2000-2006E</v>
          </cell>
        </row>
        <row r="4">
          <cell r="A4" t="str">
            <v>($ Millions Except EPS)</v>
          </cell>
          <cell r="T4" t="str">
            <v>($ Millions Except EPS)</v>
          </cell>
          <cell r="AU4" t="str">
            <v>($ Millions Except EPS)</v>
          </cell>
        </row>
        <row r="5">
          <cell r="U5" t="str">
            <v>Antibiotics</v>
          </cell>
        </row>
        <row r="6">
          <cell r="B6" t="str">
            <v>Central Nervous System</v>
          </cell>
          <cell r="Y6" t="str">
            <v>Dyna-</v>
          </cell>
          <cell r="AB6" t="str">
            <v>Other</v>
          </cell>
          <cell r="AF6" t="str">
            <v>Cardiovascular</v>
          </cell>
          <cell r="AV6" t="str">
            <v>Hormones/ Diabetes</v>
          </cell>
          <cell r="BK6" t="str">
            <v>Ulcer</v>
          </cell>
          <cell r="BO6" t="str">
            <v>Oncology</v>
          </cell>
          <cell r="BX6" t="str">
            <v>Other</v>
          </cell>
        </row>
        <row r="7">
          <cell r="B7" t="str">
            <v>Prozac &amp; Sarafem</v>
          </cell>
          <cell r="F7" t="str">
            <v>Zyprexa</v>
          </cell>
          <cell r="J7" t="str">
            <v>Dar-</v>
          </cell>
          <cell r="L7" t="str">
            <v>Per-</v>
          </cell>
          <cell r="N7" t="str">
            <v>Straterra</v>
          </cell>
          <cell r="U7" t="str">
            <v>Ceclor</v>
          </cell>
          <cell r="Y7" t="str">
            <v xml:space="preserve">abac </v>
          </cell>
          <cell r="Z7" t="str">
            <v>Keflex/</v>
          </cell>
          <cell r="AA7" t="str">
            <v>Van-</v>
          </cell>
          <cell r="AB7" t="str">
            <v>Injecta-</v>
          </cell>
          <cell r="AF7" t="str">
            <v>Dobu-</v>
          </cell>
          <cell r="AG7" t="str">
            <v>ReoPro</v>
          </cell>
          <cell r="AI7" t="str">
            <v>Xigris</v>
          </cell>
          <cell r="AM7" t="str">
            <v>Evista</v>
          </cell>
          <cell r="AV7" t="str">
            <v>Huma-</v>
          </cell>
          <cell r="AX7" t="str">
            <v>Humulin</v>
          </cell>
          <cell r="BD7" t="str">
            <v>Other</v>
          </cell>
          <cell r="BF7" t="str">
            <v>Humalog</v>
          </cell>
          <cell r="BK7" t="str">
            <v>Axid</v>
          </cell>
          <cell r="BO7" t="str">
            <v>Gemzar</v>
          </cell>
          <cell r="BV7" t="str">
            <v>New</v>
          </cell>
          <cell r="BX7" t="str">
            <v>Pharma</v>
          </cell>
          <cell r="BY7" t="str">
            <v xml:space="preserve">Total </v>
          </cell>
          <cell r="BZ7" t="str">
            <v>Animal/</v>
          </cell>
          <cell r="CA7" t="str">
            <v>Grand</v>
          </cell>
        </row>
        <row r="8">
          <cell r="B8" t="str">
            <v>U.S.</v>
          </cell>
          <cell r="C8" t="str">
            <v>Intl</v>
          </cell>
          <cell r="D8" t="str">
            <v>Total</v>
          </cell>
          <cell r="F8" t="str">
            <v>U.S.</v>
          </cell>
          <cell r="G8" t="str">
            <v>Intl</v>
          </cell>
          <cell r="H8" t="str">
            <v>Total</v>
          </cell>
          <cell r="J8" t="str">
            <v>von</v>
          </cell>
          <cell r="L8" t="str">
            <v>max</v>
          </cell>
          <cell r="N8" t="str">
            <v>U.S.</v>
          </cell>
          <cell r="O8" t="str">
            <v>Intl</v>
          </cell>
          <cell r="P8" t="str">
            <v>Total</v>
          </cell>
          <cell r="R8" t="str">
            <v>Total</v>
          </cell>
          <cell r="U8" t="str">
            <v>U.S.</v>
          </cell>
          <cell r="V8" t="str">
            <v>Intl</v>
          </cell>
          <cell r="W8" t="str">
            <v>Total</v>
          </cell>
          <cell r="Y8" t="str">
            <v>(a)</v>
          </cell>
          <cell r="Z8" t="str">
            <v>Keftab</v>
          </cell>
          <cell r="AA8" t="str">
            <v>cocin</v>
          </cell>
          <cell r="AB8" t="str">
            <v>bles (b)</v>
          </cell>
          <cell r="AD8" t="str">
            <v>Total</v>
          </cell>
          <cell r="AF8" t="str">
            <v>trex</v>
          </cell>
          <cell r="AG8" t="str">
            <v xml:space="preserve">(c)   </v>
          </cell>
          <cell r="AI8" t="str">
            <v>U.S.</v>
          </cell>
          <cell r="AJ8" t="str">
            <v>Intl</v>
          </cell>
          <cell r="AK8" t="str">
            <v>Total</v>
          </cell>
          <cell r="AM8" t="str">
            <v>U.S.</v>
          </cell>
          <cell r="AN8" t="str">
            <v>Intl</v>
          </cell>
          <cell r="AO8" t="str">
            <v>Total</v>
          </cell>
          <cell r="AV8" t="str">
            <v xml:space="preserve">trope  </v>
          </cell>
          <cell r="AX8" t="str">
            <v>U.S.</v>
          </cell>
          <cell r="AY8" t="str">
            <v>Intl</v>
          </cell>
          <cell r="AZ8" t="str">
            <v>Total</v>
          </cell>
          <cell r="BB8" t="str">
            <v>Actos</v>
          </cell>
          <cell r="BD8" t="str">
            <v>Diabetes</v>
          </cell>
          <cell r="BF8" t="str">
            <v>U.S.</v>
          </cell>
          <cell r="BG8" t="str">
            <v>Intl</v>
          </cell>
          <cell r="BH8" t="str">
            <v>Total</v>
          </cell>
          <cell r="BI8" t="str">
            <v>Total</v>
          </cell>
          <cell r="BK8" t="str">
            <v>U.S.</v>
          </cell>
          <cell r="BL8" t="str">
            <v>Intl</v>
          </cell>
          <cell r="BM8" t="str">
            <v>Total</v>
          </cell>
          <cell r="BO8" t="str">
            <v>U.S.</v>
          </cell>
          <cell r="BP8" t="str">
            <v>Intl</v>
          </cell>
          <cell r="BQ8" t="str">
            <v>Total</v>
          </cell>
          <cell r="BS8" t="str">
            <v>Other</v>
          </cell>
          <cell r="BT8" t="str">
            <v>Total</v>
          </cell>
          <cell r="BV8" t="str">
            <v>Prods</v>
          </cell>
          <cell r="BX8" t="str">
            <v>(d)</v>
          </cell>
          <cell r="BY8" t="str">
            <v>Pharm.</v>
          </cell>
          <cell r="BZ8" t="str">
            <v>Indust.</v>
          </cell>
          <cell r="CA8" t="str">
            <v>Total</v>
          </cell>
        </row>
        <row r="10">
          <cell r="A10">
            <v>1994</v>
          </cell>
          <cell r="T10">
            <v>1994</v>
          </cell>
          <cell r="AU10">
            <v>1994</v>
          </cell>
        </row>
        <row r="11">
          <cell r="A11" t="str">
            <v xml:space="preserve"> 1Q</v>
          </cell>
          <cell r="B11">
            <v>234.8</v>
          </cell>
          <cell r="C11">
            <v>100.9</v>
          </cell>
          <cell r="D11">
            <v>335.70000000000005</v>
          </cell>
          <cell r="F11">
            <v>0</v>
          </cell>
          <cell r="G11">
            <v>0</v>
          </cell>
          <cell r="H11">
            <v>0</v>
          </cell>
          <cell r="J11">
            <v>21.4</v>
          </cell>
          <cell r="L11">
            <v>4.1999999999999673</v>
          </cell>
          <cell r="R11">
            <v>361.3</v>
          </cell>
          <cell r="T11" t="str">
            <v xml:space="preserve"> 1Q</v>
          </cell>
          <cell r="U11">
            <v>118.9</v>
          </cell>
          <cell r="V11">
            <v>91.2</v>
          </cell>
          <cell r="W11">
            <v>210.10000000000002</v>
          </cell>
          <cell r="Y11">
            <v>0</v>
          </cell>
          <cell r="Z11">
            <v>30.4</v>
          </cell>
          <cell r="AA11">
            <v>73.599999999999994</v>
          </cell>
          <cell r="AB11">
            <v>62</v>
          </cell>
          <cell r="AD11">
            <v>376.1</v>
          </cell>
          <cell r="AF11">
            <v>30.1</v>
          </cell>
          <cell r="AG11">
            <v>0</v>
          </cell>
          <cell r="AU11" t="str">
            <v xml:space="preserve"> 1Q</v>
          </cell>
          <cell r="AV11">
            <v>49.7</v>
          </cell>
          <cell r="AX11">
            <v>98.7</v>
          </cell>
          <cell r="AY11">
            <v>48</v>
          </cell>
          <cell r="AZ11">
            <v>146.69999999999999</v>
          </cell>
          <cell r="BD11">
            <v>18.2</v>
          </cell>
          <cell r="BF11">
            <v>0</v>
          </cell>
          <cell r="BG11">
            <v>0</v>
          </cell>
          <cell r="BH11">
            <v>0</v>
          </cell>
          <cell r="BI11">
            <v>214.59999999999997</v>
          </cell>
          <cell r="BK11">
            <v>79.2</v>
          </cell>
          <cell r="BL11">
            <v>30.6</v>
          </cell>
          <cell r="BM11">
            <v>109.80000000000001</v>
          </cell>
          <cell r="BO11">
            <v>0</v>
          </cell>
          <cell r="BP11">
            <v>0</v>
          </cell>
          <cell r="BQ11">
            <v>0</v>
          </cell>
          <cell r="BS11">
            <v>0</v>
          </cell>
          <cell r="BT11">
            <v>0</v>
          </cell>
          <cell r="BV11">
            <v>0</v>
          </cell>
          <cell r="BX11">
            <v>66.92</v>
          </cell>
          <cell r="BY11">
            <v>1158.8200000000002</v>
          </cell>
          <cell r="BZ11">
            <v>108.10000000000001</v>
          </cell>
          <cell r="CA11">
            <v>1266.92</v>
          </cell>
        </row>
        <row r="12">
          <cell r="A12" t="str">
            <v xml:space="preserve"> 2Q</v>
          </cell>
          <cell r="B12">
            <v>289.60000000000002</v>
          </cell>
          <cell r="C12">
            <v>121</v>
          </cell>
          <cell r="D12">
            <v>410.6</v>
          </cell>
          <cell r="F12">
            <v>0</v>
          </cell>
          <cell r="G12">
            <v>0</v>
          </cell>
          <cell r="H12">
            <v>0</v>
          </cell>
          <cell r="J12">
            <v>26.200000000000003</v>
          </cell>
          <cell r="L12">
            <v>5.3999999999999631</v>
          </cell>
          <cell r="R12">
            <v>442.2</v>
          </cell>
          <cell r="T12" t="str">
            <v xml:space="preserve"> 2Q</v>
          </cell>
          <cell r="U12">
            <v>83.5</v>
          </cell>
          <cell r="V12">
            <v>88.8</v>
          </cell>
          <cell r="W12">
            <v>172.3</v>
          </cell>
          <cell r="Y12">
            <v>0</v>
          </cell>
          <cell r="Z12">
            <v>31.9</v>
          </cell>
          <cell r="AA12">
            <v>54.4</v>
          </cell>
          <cell r="AB12">
            <v>53.7</v>
          </cell>
          <cell r="AD12">
            <v>312.3</v>
          </cell>
          <cell r="AF12">
            <v>24.4</v>
          </cell>
          <cell r="AG12">
            <v>0</v>
          </cell>
          <cell r="AU12" t="str">
            <v xml:space="preserve"> 2Q</v>
          </cell>
          <cell r="AV12">
            <v>53.9</v>
          </cell>
          <cell r="AX12">
            <v>115.5</v>
          </cell>
          <cell r="AY12">
            <v>52.3</v>
          </cell>
          <cell r="AZ12">
            <v>167.8</v>
          </cell>
          <cell r="BD12">
            <v>20.099999999999998</v>
          </cell>
          <cell r="BF12">
            <v>0</v>
          </cell>
          <cell r="BG12">
            <v>0</v>
          </cell>
          <cell r="BH12">
            <v>0</v>
          </cell>
          <cell r="BI12">
            <v>241.8</v>
          </cell>
          <cell r="BK12">
            <v>87.3</v>
          </cell>
          <cell r="BL12">
            <v>29.5</v>
          </cell>
          <cell r="BM12">
            <v>116.8</v>
          </cell>
          <cell r="BO12">
            <v>0</v>
          </cell>
          <cell r="BP12">
            <v>0</v>
          </cell>
          <cell r="BQ12">
            <v>0</v>
          </cell>
          <cell r="BS12">
            <v>0</v>
          </cell>
          <cell r="BT12">
            <v>0</v>
          </cell>
          <cell r="BV12">
            <v>0</v>
          </cell>
          <cell r="BX12">
            <v>77.12</v>
          </cell>
          <cell r="BY12">
            <v>1214.6199999999999</v>
          </cell>
          <cell r="BZ12">
            <v>104.6</v>
          </cell>
          <cell r="CA12">
            <v>1319.2199999999998</v>
          </cell>
        </row>
        <row r="13">
          <cell r="A13" t="str">
            <v xml:space="preserve"> 3Q</v>
          </cell>
          <cell r="B13">
            <v>420.9</v>
          </cell>
          <cell r="C13">
            <v>122.9</v>
          </cell>
          <cell r="D13">
            <v>543.79999999999995</v>
          </cell>
          <cell r="F13">
            <v>0</v>
          </cell>
          <cell r="G13">
            <v>0</v>
          </cell>
          <cell r="H13">
            <v>0</v>
          </cell>
          <cell r="J13">
            <v>28.599999999999998</v>
          </cell>
          <cell r="L13">
            <v>6.1000000000000476</v>
          </cell>
          <cell r="R13">
            <v>578.5</v>
          </cell>
          <cell r="T13" t="str">
            <v xml:space="preserve"> 3Q</v>
          </cell>
          <cell r="U13">
            <v>63.4</v>
          </cell>
          <cell r="V13">
            <v>99.7</v>
          </cell>
          <cell r="W13">
            <v>163.1</v>
          </cell>
          <cell r="Y13">
            <v>0</v>
          </cell>
          <cell r="Z13">
            <v>38.6</v>
          </cell>
          <cell r="AA13">
            <v>65.2</v>
          </cell>
          <cell r="AB13">
            <v>57.9</v>
          </cell>
          <cell r="AD13">
            <v>324.79999999999995</v>
          </cell>
          <cell r="AF13">
            <v>24.7</v>
          </cell>
          <cell r="AG13">
            <v>0</v>
          </cell>
          <cell r="AU13" t="str">
            <v xml:space="preserve"> 3Q</v>
          </cell>
          <cell r="AV13">
            <v>57.4</v>
          </cell>
          <cell r="AX13">
            <v>114.1</v>
          </cell>
          <cell r="AY13">
            <v>54.9</v>
          </cell>
          <cell r="AZ13">
            <v>169</v>
          </cell>
          <cell r="BD13">
            <v>18.7</v>
          </cell>
          <cell r="BF13">
            <v>0</v>
          </cell>
          <cell r="BG13">
            <v>0</v>
          </cell>
          <cell r="BH13">
            <v>0</v>
          </cell>
          <cell r="BI13">
            <v>245.1</v>
          </cell>
          <cell r="BK13">
            <v>92.85</v>
          </cell>
          <cell r="BL13">
            <v>39</v>
          </cell>
          <cell r="BM13">
            <v>131.85</v>
          </cell>
          <cell r="BO13">
            <v>0</v>
          </cell>
          <cell r="BP13">
            <v>0</v>
          </cell>
          <cell r="BQ13">
            <v>0</v>
          </cell>
          <cell r="BS13">
            <v>0</v>
          </cell>
          <cell r="BT13">
            <v>0</v>
          </cell>
          <cell r="BV13">
            <v>0</v>
          </cell>
          <cell r="BX13">
            <v>65.22</v>
          </cell>
          <cell r="BY13">
            <v>1370.1699999999998</v>
          </cell>
          <cell r="BZ13">
            <v>118.1</v>
          </cell>
          <cell r="CA13">
            <v>1488.2699999999998</v>
          </cell>
        </row>
        <row r="14">
          <cell r="A14" t="str">
            <v xml:space="preserve"> 4Q</v>
          </cell>
          <cell r="B14">
            <v>235</v>
          </cell>
          <cell r="C14">
            <v>141</v>
          </cell>
          <cell r="D14">
            <v>376</v>
          </cell>
          <cell r="F14">
            <v>0</v>
          </cell>
          <cell r="G14">
            <v>0</v>
          </cell>
          <cell r="H14">
            <v>0</v>
          </cell>
          <cell r="J14">
            <v>26.6</v>
          </cell>
          <cell r="L14">
            <v>9.3999999999999986</v>
          </cell>
          <cell r="R14">
            <v>412</v>
          </cell>
          <cell r="T14" t="str">
            <v xml:space="preserve"> 4Q</v>
          </cell>
          <cell r="U14">
            <v>127.9</v>
          </cell>
          <cell r="V14">
            <v>138.69999999999999</v>
          </cell>
          <cell r="W14">
            <v>266.60000000000002</v>
          </cell>
          <cell r="Y14">
            <v>0</v>
          </cell>
          <cell r="Z14">
            <v>39.200000000000003</v>
          </cell>
          <cell r="AA14">
            <v>55.7</v>
          </cell>
          <cell r="AB14">
            <v>58.3</v>
          </cell>
          <cell r="AD14">
            <v>419.8</v>
          </cell>
          <cell r="AF14">
            <v>22.8</v>
          </cell>
          <cell r="AG14">
            <v>0</v>
          </cell>
          <cell r="AU14" t="str">
            <v xml:space="preserve"> 4Q</v>
          </cell>
          <cell r="AV14">
            <v>64.7</v>
          </cell>
          <cell r="AX14">
            <v>124</v>
          </cell>
          <cell r="AY14">
            <v>57.5</v>
          </cell>
          <cell r="AZ14">
            <v>181.5</v>
          </cell>
          <cell r="BD14">
            <v>21.1</v>
          </cell>
          <cell r="BF14">
            <v>0</v>
          </cell>
          <cell r="BG14">
            <v>0</v>
          </cell>
          <cell r="BH14">
            <v>0</v>
          </cell>
          <cell r="BI14">
            <v>267.3</v>
          </cell>
          <cell r="BK14">
            <v>104.8</v>
          </cell>
          <cell r="BL14">
            <v>24.15</v>
          </cell>
          <cell r="BM14">
            <v>128.94999999999999</v>
          </cell>
          <cell r="BO14">
            <v>0</v>
          </cell>
          <cell r="BP14">
            <v>0</v>
          </cell>
          <cell r="BQ14">
            <v>0</v>
          </cell>
          <cell r="BS14">
            <v>0</v>
          </cell>
          <cell r="BT14">
            <v>0</v>
          </cell>
          <cell r="BV14">
            <v>0</v>
          </cell>
          <cell r="BX14">
            <v>90.2</v>
          </cell>
          <cell r="BY14">
            <v>1341.05</v>
          </cell>
          <cell r="BZ14">
            <v>142.5</v>
          </cell>
          <cell r="CA14">
            <v>1483.55</v>
          </cell>
        </row>
        <row r="16">
          <cell r="A16" t="str">
            <v>1994</v>
          </cell>
          <cell r="B16">
            <v>1180.3000000000002</v>
          </cell>
          <cell r="C16">
            <v>485.8</v>
          </cell>
          <cell r="D16">
            <v>1666.1</v>
          </cell>
          <cell r="F16">
            <v>0</v>
          </cell>
          <cell r="G16">
            <v>0</v>
          </cell>
          <cell r="H16">
            <v>0</v>
          </cell>
          <cell r="J16">
            <v>102.80000000000001</v>
          </cell>
          <cell r="L16">
            <v>25.099999999999977</v>
          </cell>
          <cell r="R16">
            <v>1794</v>
          </cell>
          <cell r="T16" t="str">
            <v>1994</v>
          </cell>
          <cell r="U16">
            <v>393.70000000000005</v>
          </cell>
          <cell r="V16">
            <v>418.4</v>
          </cell>
          <cell r="W16">
            <v>812.1</v>
          </cell>
          <cell r="Y16">
            <v>0</v>
          </cell>
          <cell r="Z16">
            <v>140.10000000000002</v>
          </cell>
          <cell r="AA16">
            <v>248.89999999999998</v>
          </cell>
          <cell r="AB16">
            <v>231.89999999999998</v>
          </cell>
          <cell r="AD16">
            <v>1433</v>
          </cell>
          <cell r="AF16">
            <v>102</v>
          </cell>
          <cell r="AG16">
            <v>0</v>
          </cell>
          <cell r="AM16">
            <v>0</v>
          </cell>
          <cell r="AN16">
            <v>0</v>
          </cell>
          <cell r="AO16">
            <v>0</v>
          </cell>
          <cell r="AU16" t="str">
            <v>1994</v>
          </cell>
          <cell r="AV16">
            <v>225.7</v>
          </cell>
          <cell r="AX16">
            <v>452.29999999999995</v>
          </cell>
          <cell r="AY16">
            <v>212.7</v>
          </cell>
          <cell r="AZ16">
            <v>665</v>
          </cell>
          <cell r="BD16">
            <v>78.099999999999994</v>
          </cell>
          <cell r="BF16">
            <v>0</v>
          </cell>
          <cell r="BG16">
            <v>0</v>
          </cell>
          <cell r="BH16">
            <v>0</v>
          </cell>
          <cell r="BI16">
            <v>968.80000000000007</v>
          </cell>
          <cell r="BK16">
            <v>364.15000000000003</v>
          </cell>
          <cell r="BL16">
            <v>123.25</v>
          </cell>
          <cell r="BM16">
            <v>487.40000000000003</v>
          </cell>
          <cell r="BO16">
            <v>0</v>
          </cell>
          <cell r="BP16">
            <v>0</v>
          </cell>
          <cell r="BQ16">
            <v>0</v>
          </cell>
          <cell r="BS16">
            <v>0</v>
          </cell>
          <cell r="BT16">
            <v>0</v>
          </cell>
          <cell r="BV16">
            <v>0</v>
          </cell>
          <cell r="BX16">
            <v>299.46000000000004</v>
          </cell>
          <cell r="BY16">
            <v>5084.66</v>
          </cell>
          <cell r="BZ16">
            <v>473.29999999999995</v>
          </cell>
          <cell r="CA16">
            <v>5557.96</v>
          </cell>
        </row>
        <row r="18">
          <cell r="A18" t="str">
            <v>1995/94</v>
          </cell>
          <cell r="T18" t="str">
            <v>1995/94</v>
          </cell>
          <cell r="AU18" t="str">
            <v>1995/94</v>
          </cell>
        </row>
        <row r="19">
          <cell r="A19" t="str">
            <v xml:space="preserve"> 1Q</v>
          </cell>
          <cell r="B19">
            <v>0.33134582623509373</v>
          </cell>
          <cell r="C19">
            <v>0.42814667988107025</v>
          </cell>
          <cell r="D19">
            <v>0.36044086982424778</v>
          </cell>
          <cell r="F19" t="str">
            <v>NM</v>
          </cell>
          <cell r="G19" t="str">
            <v>NM</v>
          </cell>
          <cell r="H19" t="str">
            <v>NM</v>
          </cell>
          <cell r="J19">
            <v>0.28971962616822444</v>
          </cell>
          <cell r="L19">
            <v>1.5238095238095268</v>
          </cell>
          <cell r="R19">
            <v>0.36977580957652911</v>
          </cell>
          <cell r="T19" t="str">
            <v xml:space="preserve"> 1Q</v>
          </cell>
          <cell r="U19">
            <v>0.1000841042893188</v>
          </cell>
          <cell r="V19">
            <v>0.49780701754385953</v>
          </cell>
          <cell r="W19">
            <v>0.27272727272727249</v>
          </cell>
          <cell r="Y19" t="str">
            <v>NM</v>
          </cell>
          <cell r="Z19">
            <v>0.37894736842105275</v>
          </cell>
          <cell r="AA19">
            <v>-1.9293478260869398E-2</v>
          </cell>
          <cell r="AB19">
            <v>0.11935483870967752</v>
          </cell>
          <cell r="AD19">
            <v>0.20180802977931395</v>
          </cell>
          <cell r="AF19">
            <v>-0.16611295681063123</v>
          </cell>
          <cell r="AG19" t="str">
            <v>NM</v>
          </cell>
          <cell r="AU19" t="str">
            <v xml:space="preserve"> 1Q</v>
          </cell>
          <cell r="AV19">
            <v>0.14084507042253505</v>
          </cell>
          <cell r="AX19">
            <v>0.55521783181357642</v>
          </cell>
          <cell r="AY19">
            <v>0.23749999999999996</v>
          </cell>
          <cell r="AZ19">
            <v>0.45126107702794832</v>
          </cell>
          <cell r="BD19">
            <v>0.23626373626373631</v>
          </cell>
          <cell r="BF19" t="str">
            <v>NM</v>
          </cell>
          <cell r="BG19" t="str">
            <v>NM</v>
          </cell>
          <cell r="BH19" t="str">
            <v>NM</v>
          </cell>
          <cell r="BI19">
            <v>0.36113699906803387</v>
          </cell>
          <cell r="BK19">
            <v>0.37373737373737365</v>
          </cell>
          <cell r="BL19">
            <v>0.12091503267973842</v>
          </cell>
          <cell r="BM19">
            <v>0.30327868852459</v>
          </cell>
          <cell r="BO19" t="str">
            <v>NM</v>
          </cell>
          <cell r="BP19" t="str">
            <v>NM</v>
          </cell>
          <cell r="BQ19" t="str">
            <v>NM</v>
          </cell>
          <cell r="BS19" t="str">
            <v>NM</v>
          </cell>
          <cell r="BT19" t="str">
            <v>NM</v>
          </cell>
          <cell r="BV19" t="str">
            <v>NM</v>
          </cell>
          <cell r="BX19">
            <v>-0.1497310221159594</v>
          </cell>
          <cell r="BY19">
            <v>0.27301910564194576</v>
          </cell>
          <cell r="BZ19">
            <v>0.14893617021276576</v>
          </cell>
          <cell r="CA19">
            <v>0.26243172418147931</v>
          </cell>
        </row>
        <row r="20">
          <cell r="A20" t="str">
            <v xml:space="preserve"> 2Q</v>
          </cell>
          <cell r="B20">
            <v>0.22651933701657445</v>
          </cell>
          <cell r="C20">
            <v>0.30743801652892555</v>
          </cell>
          <cell r="D20">
            <v>0.25036531904529946</v>
          </cell>
          <cell r="F20" t="str">
            <v>NM</v>
          </cell>
          <cell r="G20" t="str">
            <v>NM</v>
          </cell>
          <cell r="H20" t="str">
            <v>NM</v>
          </cell>
          <cell r="J20">
            <v>1.1450381679389204E-2</v>
          </cell>
          <cell r="L20">
            <v>1.7407407407407722</v>
          </cell>
          <cell r="R20">
            <v>0.25440976933514259</v>
          </cell>
          <cell r="T20" t="str">
            <v xml:space="preserve"> 2Q</v>
          </cell>
          <cell r="U20">
            <v>-0.548502994011976</v>
          </cell>
          <cell r="V20">
            <v>0.30405405405405406</v>
          </cell>
          <cell r="W20">
            <v>-0.10911201392919333</v>
          </cell>
          <cell r="Y20" t="str">
            <v>NM</v>
          </cell>
          <cell r="Z20">
            <v>0.27335423197492159</v>
          </cell>
          <cell r="AA20">
            <v>0.51250000000000007</v>
          </cell>
          <cell r="AB20">
            <v>0.22998137802607063</v>
          </cell>
          <cell r="AD20">
            <v>0.10358629522894641</v>
          </cell>
          <cell r="AF20">
            <v>0.30327868852459028</v>
          </cell>
          <cell r="AG20" t="str">
            <v>NM</v>
          </cell>
          <cell r="AU20" t="str">
            <v xml:space="preserve"> 2Q</v>
          </cell>
          <cell r="AV20">
            <v>0.31539888682745837</v>
          </cell>
          <cell r="AX20">
            <v>-9.4372294372294427E-2</v>
          </cell>
          <cell r="AY20">
            <v>0.30401529636711294</v>
          </cell>
          <cell r="AZ20">
            <v>2.9797377830750892E-2</v>
          </cell>
          <cell r="BD20">
            <v>-9.9502487562188706E-3</v>
          </cell>
          <cell r="BF20" t="str">
            <v>NM</v>
          </cell>
          <cell r="BG20" t="str">
            <v>NM</v>
          </cell>
          <cell r="BH20" t="str">
            <v>NM</v>
          </cell>
          <cell r="BI20">
            <v>9.0157154673283751E-2</v>
          </cell>
          <cell r="BK20">
            <v>-2.6345933562428377E-2</v>
          </cell>
          <cell r="BL20">
            <v>0.31525423728813551</v>
          </cell>
          <cell r="BM20">
            <v>5.9931506849315072E-2</v>
          </cell>
          <cell r="BO20" t="str">
            <v>NM</v>
          </cell>
          <cell r="BP20" t="str">
            <v>NM</v>
          </cell>
          <cell r="BQ20" t="str">
            <v>NM</v>
          </cell>
          <cell r="BS20" t="str">
            <v>NM</v>
          </cell>
          <cell r="BT20" t="str">
            <v>NM</v>
          </cell>
          <cell r="BV20" t="str">
            <v>NM</v>
          </cell>
          <cell r="BX20">
            <v>-7.3521784232365162E-2</v>
          </cell>
          <cell r="BY20">
            <v>0.15616406777428338</v>
          </cell>
          <cell r="BZ20">
            <v>0.14244741873804978</v>
          </cell>
          <cell r="CA20">
            <v>0.1550764845893787</v>
          </cell>
        </row>
        <row r="21">
          <cell r="A21" t="str">
            <v xml:space="preserve"> 3Q</v>
          </cell>
          <cell r="B21">
            <v>2.0432406747446005E-2</v>
          </cell>
          <cell r="C21">
            <v>0.23026851098454013</v>
          </cell>
          <cell r="D21">
            <v>6.7855829349025551E-2</v>
          </cell>
          <cell r="F21" t="str">
            <v>NM</v>
          </cell>
          <cell r="G21" t="str">
            <v>NM</v>
          </cell>
          <cell r="H21" t="str">
            <v>NM</v>
          </cell>
          <cell r="J21">
            <v>-0.11188811188811187</v>
          </cell>
          <cell r="L21">
            <v>1.4754098360655548</v>
          </cell>
          <cell r="R21">
            <v>7.3811581676750296E-2</v>
          </cell>
          <cell r="T21" t="str">
            <v xml:space="preserve"> 3Q</v>
          </cell>
          <cell r="U21">
            <v>-0.70977917981072558</v>
          </cell>
          <cell r="V21">
            <v>1.0030090270811867E-3</v>
          </cell>
          <cell r="W21">
            <v>-0.27529123237277747</v>
          </cell>
          <cell r="Y21" t="str">
            <v>NM</v>
          </cell>
          <cell r="Z21">
            <v>-2.4870466321243543E-2</v>
          </cell>
          <cell r="AA21">
            <v>-0.11687116564417184</v>
          </cell>
          <cell r="AB21">
            <v>-6.8739205526770236E-2</v>
          </cell>
          <cell r="AD21">
            <v>-0.15431034482758624</v>
          </cell>
          <cell r="AF21">
            <v>0.125506072874494</v>
          </cell>
          <cell r="AG21" t="str">
            <v>NM</v>
          </cell>
          <cell r="AU21" t="str">
            <v xml:space="preserve"> 3Q</v>
          </cell>
          <cell r="AV21">
            <v>0.14982578397212545</v>
          </cell>
          <cell r="AX21">
            <v>0.12708150744960561</v>
          </cell>
          <cell r="AY21">
            <v>0.22404371584699462</v>
          </cell>
          <cell r="AZ21">
            <v>0.15857988165680481</v>
          </cell>
          <cell r="BD21">
            <v>1.0695187165775364E-2</v>
          </cell>
          <cell r="BF21" t="str">
            <v>NM</v>
          </cell>
          <cell r="BG21" t="str">
            <v>NM</v>
          </cell>
          <cell r="BH21" t="str">
            <v>NM</v>
          </cell>
          <cell r="BI21">
            <v>0.14524683802529578</v>
          </cell>
          <cell r="BK21">
            <v>9.1007000538502997E-2</v>
          </cell>
          <cell r="BL21">
            <v>-0.21025641025641023</v>
          </cell>
          <cell r="BM21">
            <v>1.8960940462646948E-3</v>
          </cell>
          <cell r="BO21" t="str">
            <v>NM</v>
          </cell>
          <cell r="BP21" t="str">
            <v>NM</v>
          </cell>
          <cell r="BQ21" t="str">
            <v>NM</v>
          </cell>
          <cell r="BS21" t="str">
            <v>NM</v>
          </cell>
          <cell r="BT21" t="str">
            <v>NM</v>
          </cell>
          <cell r="BV21" t="str">
            <v>NM</v>
          </cell>
          <cell r="BX21">
            <v>-4.0171726464274721E-2</v>
          </cell>
          <cell r="BY21">
            <v>3.3360823839377461E-2</v>
          </cell>
          <cell r="BZ21">
            <v>6.8585944115156727E-2</v>
          </cell>
          <cell r="CA21">
            <v>3.6156073830689292E-2</v>
          </cell>
        </row>
        <row r="22">
          <cell r="A22" t="str">
            <v xml:space="preserve"> 4Q</v>
          </cell>
          <cell r="B22">
            <v>0.45148936170212778</v>
          </cell>
          <cell r="C22">
            <v>0.23333333333333336</v>
          </cell>
          <cell r="D22">
            <v>0.36968085106382981</v>
          </cell>
          <cell r="F22" t="str">
            <v>NM</v>
          </cell>
          <cell r="G22" t="str">
            <v>NM</v>
          </cell>
          <cell r="H22" t="str">
            <v>NM</v>
          </cell>
          <cell r="J22">
            <v>7.5187969924812026E-2</v>
          </cell>
          <cell r="L22">
            <v>1.1063829787234021</v>
          </cell>
          <cell r="R22">
            <v>0.36747572815533974</v>
          </cell>
          <cell r="T22" t="str">
            <v xml:space="preserve"> 4Q</v>
          </cell>
          <cell r="U22">
            <v>-0.68256450351837383</v>
          </cell>
          <cell r="V22">
            <v>2.7397260273972688E-2</v>
          </cell>
          <cell r="W22">
            <v>-0.31320330082520637</v>
          </cell>
          <cell r="Y22" t="str">
            <v>NM</v>
          </cell>
          <cell r="Z22">
            <v>0.19642857142857148</v>
          </cell>
          <cell r="AA22">
            <v>0.19389587073608611</v>
          </cell>
          <cell r="AB22">
            <v>0.14579759862778732</v>
          </cell>
          <cell r="AD22">
            <v>-0.10290614578370649</v>
          </cell>
          <cell r="AF22">
            <v>0.21929824561403508</v>
          </cell>
          <cell r="AG22" t="str">
            <v>NM</v>
          </cell>
          <cell r="AU22" t="str">
            <v xml:space="preserve"> 4Q</v>
          </cell>
          <cell r="AV22">
            <v>0.168469860896445</v>
          </cell>
          <cell r="AX22">
            <v>0.12580645161290319</v>
          </cell>
          <cell r="AY22">
            <v>0.26956521739130435</v>
          </cell>
          <cell r="AZ22">
            <v>0.17134986225895313</v>
          </cell>
          <cell r="BD22">
            <v>0</v>
          </cell>
          <cell r="BF22" t="str">
            <v>NM</v>
          </cell>
          <cell r="BG22" t="str">
            <v>NM</v>
          </cell>
          <cell r="BH22" t="str">
            <v>NM</v>
          </cell>
          <cell r="BI22">
            <v>0.15712682379349047</v>
          </cell>
          <cell r="BK22">
            <v>7.0610687022900825E-2</v>
          </cell>
          <cell r="BL22">
            <v>0.53623188405797118</v>
          </cell>
          <cell r="BM22">
            <v>0.15781310585498273</v>
          </cell>
          <cell r="BO22" t="str">
            <v>NM</v>
          </cell>
          <cell r="BP22" t="str">
            <v>NM</v>
          </cell>
          <cell r="BQ22" t="str">
            <v>NM</v>
          </cell>
          <cell r="BS22" t="str">
            <v>NM</v>
          </cell>
          <cell r="BT22" t="str">
            <v>NM</v>
          </cell>
          <cell r="BV22" t="str">
            <v>NM</v>
          </cell>
          <cell r="BX22">
            <v>-0.2328159645232816</v>
          </cell>
          <cell r="BY22">
            <v>0.13321650945154906</v>
          </cell>
          <cell r="BZ22">
            <v>6.7368421052631536E-2</v>
          </cell>
          <cell r="CA22">
            <v>0.12689157763472736</v>
          </cell>
        </row>
        <row r="24">
          <cell r="A24" t="str">
            <v>1995/94</v>
          </cell>
          <cell r="B24">
            <v>0.21867321867321857</v>
          </cell>
          <cell r="C24">
            <v>0.29147797447509255</v>
          </cell>
          <cell r="D24">
            <v>0.23990156653262126</v>
          </cell>
          <cell r="F24" t="str">
            <v>NM</v>
          </cell>
          <cell r="G24" t="str">
            <v>NM</v>
          </cell>
          <cell r="H24" t="str">
            <v>NM</v>
          </cell>
          <cell r="J24">
            <v>5.1556420233462866E-2</v>
          </cell>
          <cell r="L24">
            <v>1.4023904382470134</v>
          </cell>
          <cell r="R24" t="str">
            <v>NM</v>
          </cell>
          <cell r="T24" t="str">
            <v>1995/94</v>
          </cell>
          <cell r="U24">
            <v>-0.42214884429768867</v>
          </cell>
          <cell r="V24">
            <v>0.1823613766730402</v>
          </cell>
          <cell r="W24">
            <v>-0.11070065262898669</v>
          </cell>
          <cell r="Y24" t="str">
            <v>NM</v>
          </cell>
          <cell r="Z24">
            <v>0.19257673090649505</v>
          </cell>
          <cell r="AA24">
            <v>0.11908396946564904</v>
          </cell>
          <cell r="AB24">
            <v>0.10465717981888763</v>
          </cell>
          <cell r="AD24">
            <v>1.0418702023726334E-2</v>
          </cell>
          <cell r="AF24">
            <v>0.10294117647058823</v>
          </cell>
          <cell r="AG24" t="str">
            <v>NM</v>
          </cell>
          <cell r="AM24" t="str">
            <v>NM</v>
          </cell>
          <cell r="AN24" t="str">
            <v>NM</v>
          </cell>
          <cell r="AO24" t="str">
            <v>NM</v>
          </cell>
          <cell r="AU24" t="str">
            <v>1995/94</v>
          </cell>
          <cell r="AV24">
            <v>0.19273371732388128</v>
          </cell>
          <cell r="AX24">
            <v>0.16360822462967084</v>
          </cell>
          <cell r="AY24">
            <v>0.25905030559473446</v>
          </cell>
          <cell r="AZ24">
            <v>0.19413533834586469</v>
          </cell>
          <cell r="BD24">
            <v>5.5057618437900274E-2</v>
          </cell>
          <cell r="BF24" t="str">
            <v>NM</v>
          </cell>
          <cell r="BG24" t="str">
            <v>NM</v>
          </cell>
          <cell r="BH24" t="str">
            <v>NM</v>
          </cell>
          <cell r="BI24">
            <v>0.18259702725020641</v>
          </cell>
          <cell r="BK24">
            <v>0.11849512563504043</v>
          </cell>
          <cell r="BL24">
            <v>0.1440162271805274</v>
          </cell>
          <cell r="BM24">
            <v>0.12494870742716438</v>
          </cell>
          <cell r="BO24" t="str">
            <v>NM</v>
          </cell>
          <cell r="BP24" t="str">
            <v>NM</v>
          </cell>
          <cell r="BQ24" t="str">
            <v>NM</v>
          </cell>
          <cell r="BS24" t="str">
            <v>NM</v>
          </cell>
          <cell r="BT24" t="str">
            <v>NM</v>
          </cell>
          <cell r="BV24" t="str">
            <v>NM</v>
          </cell>
          <cell r="BX24">
            <v>-0.13126961864689793</v>
          </cell>
          <cell r="BY24">
            <v>0.14365168959183094</v>
          </cell>
          <cell r="BZ24">
            <v>0.10289457004014378</v>
          </cell>
          <cell r="CA24">
            <v>0.14018092969362858</v>
          </cell>
        </row>
        <row r="26">
          <cell r="A26" t="str">
            <v>1995</v>
          </cell>
          <cell r="T26" t="str">
            <v>1995</v>
          </cell>
          <cell r="AU26" t="str">
            <v>1995</v>
          </cell>
        </row>
        <row r="27">
          <cell r="A27" t="str">
            <v xml:space="preserve"> 1Q</v>
          </cell>
          <cell r="B27">
            <v>312.60000000000002</v>
          </cell>
          <cell r="C27">
            <v>144.1</v>
          </cell>
          <cell r="D27">
            <v>456.70000000000005</v>
          </cell>
          <cell r="F27">
            <v>0</v>
          </cell>
          <cell r="G27">
            <v>0</v>
          </cell>
          <cell r="H27">
            <v>0</v>
          </cell>
          <cell r="J27">
            <v>27.6</v>
          </cell>
          <cell r="L27">
            <v>10.59999999999993</v>
          </cell>
          <cell r="R27">
            <v>494.9</v>
          </cell>
          <cell r="T27" t="str">
            <v xml:space="preserve"> 1Q</v>
          </cell>
          <cell r="U27">
            <v>130.80000000000001</v>
          </cell>
          <cell r="V27">
            <v>136.6</v>
          </cell>
          <cell r="W27">
            <v>267.39999999999998</v>
          </cell>
          <cell r="Y27">
            <v>1.1000000000000001</v>
          </cell>
          <cell r="Z27">
            <v>41.92</v>
          </cell>
          <cell r="AA27">
            <v>72.180000000000007</v>
          </cell>
          <cell r="AB27">
            <v>69.400000000000006</v>
          </cell>
          <cell r="AD27">
            <v>452</v>
          </cell>
          <cell r="AF27">
            <v>25.1</v>
          </cell>
          <cell r="AG27">
            <v>1</v>
          </cell>
          <cell r="AM27">
            <v>0</v>
          </cell>
          <cell r="AN27">
            <v>0</v>
          </cell>
          <cell r="AO27">
            <v>0</v>
          </cell>
          <cell r="AU27" t="str">
            <v xml:space="preserve"> 1Q</v>
          </cell>
          <cell r="AV27">
            <v>56.699999999999996</v>
          </cell>
          <cell r="AX27">
            <v>153.5</v>
          </cell>
          <cell r="AY27">
            <v>59.4</v>
          </cell>
          <cell r="AZ27">
            <v>212.9</v>
          </cell>
          <cell r="BD27">
            <v>22.5</v>
          </cell>
          <cell r="BF27">
            <v>0</v>
          </cell>
          <cell r="BG27">
            <v>0</v>
          </cell>
          <cell r="BH27">
            <v>0</v>
          </cell>
          <cell r="BI27">
            <v>292.10000000000002</v>
          </cell>
          <cell r="BK27">
            <v>108.8</v>
          </cell>
          <cell r="BL27">
            <v>34.299999999999997</v>
          </cell>
          <cell r="BM27">
            <v>143.1</v>
          </cell>
          <cell r="BO27">
            <v>0</v>
          </cell>
          <cell r="BP27">
            <v>0.1</v>
          </cell>
          <cell r="BQ27">
            <v>0.1</v>
          </cell>
          <cell r="BS27">
            <v>10</v>
          </cell>
          <cell r="BT27">
            <v>10.1</v>
          </cell>
          <cell r="BV27">
            <v>0</v>
          </cell>
          <cell r="BX27">
            <v>56.9</v>
          </cell>
          <cell r="BY27">
            <v>1475.1999999999998</v>
          </cell>
          <cell r="BZ27">
            <v>124.19999999999999</v>
          </cell>
          <cell r="CA27">
            <v>1599.3999999999999</v>
          </cell>
        </row>
        <row r="28">
          <cell r="A28" t="str">
            <v xml:space="preserve"> 2Q</v>
          </cell>
          <cell r="B28">
            <v>355.2</v>
          </cell>
          <cell r="C28">
            <v>158.19999999999999</v>
          </cell>
          <cell r="D28">
            <v>513.4</v>
          </cell>
          <cell r="F28">
            <v>0</v>
          </cell>
          <cell r="G28">
            <v>0</v>
          </cell>
          <cell r="H28">
            <v>0</v>
          </cell>
          <cell r="J28">
            <v>26.5</v>
          </cell>
          <cell r="L28">
            <v>14.800000000000068</v>
          </cell>
          <cell r="R28">
            <v>554.70000000000005</v>
          </cell>
          <cell r="T28" t="str">
            <v xml:space="preserve"> 2Q</v>
          </cell>
          <cell r="U28">
            <v>37.700000000000003</v>
          </cell>
          <cell r="V28">
            <v>115.8</v>
          </cell>
          <cell r="W28">
            <v>153.5</v>
          </cell>
          <cell r="Y28">
            <v>2.2000000000000002</v>
          </cell>
          <cell r="Z28">
            <v>40.619999999999997</v>
          </cell>
          <cell r="AA28">
            <v>82.28</v>
          </cell>
          <cell r="AB28">
            <v>66.05</v>
          </cell>
          <cell r="AD28">
            <v>344.65</v>
          </cell>
          <cell r="AF28">
            <v>31.8</v>
          </cell>
          <cell r="AG28">
            <v>3</v>
          </cell>
          <cell r="AM28">
            <v>0</v>
          </cell>
          <cell r="AN28">
            <v>0</v>
          </cell>
          <cell r="AO28">
            <v>0</v>
          </cell>
          <cell r="AU28" t="str">
            <v xml:space="preserve"> 2Q</v>
          </cell>
          <cell r="AV28">
            <v>70.900000000000006</v>
          </cell>
          <cell r="AX28">
            <v>104.6</v>
          </cell>
          <cell r="AY28">
            <v>68.2</v>
          </cell>
          <cell r="AZ28">
            <v>172.8</v>
          </cell>
          <cell r="BD28">
            <v>19.899999999999999</v>
          </cell>
          <cell r="BF28">
            <v>0</v>
          </cell>
          <cell r="BG28">
            <v>0</v>
          </cell>
          <cell r="BH28">
            <v>0</v>
          </cell>
          <cell r="BI28">
            <v>263.60000000000002</v>
          </cell>
          <cell r="BK28">
            <v>85</v>
          </cell>
          <cell r="BL28">
            <v>38.799999999999997</v>
          </cell>
          <cell r="BM28">
            <v>123.8</v>
          </cell>
          <cell r="BO28">
            <v>0</v>
          </cell>
          <cell r="BP28">
            <v>0.3</v>
          </cell>
          <cell r="BQ28">
            <v>0.3</v>
          </cell>
          <cell r="BS28">
            <v>11</v>
          </cell>
          <cell r="BT28">
            <v>11.3</v>
          </cell>
          <cell r="BV28">
            <v>0</v>
          </cell>
          <cell r="BX28">
            <v>71.45</v>
          </cell>
          <cell r="BY28">
            <v>1404.3</v>
          </cell>
          <cell r="BZ28">
            <v>119.5</v>
          </cell>
          <cell r="CA28">
            <v>1523.8</v>
          </cell>
        </row>
        <row r="29">
          <cell r="A29" t="str">
            <v xml:space="preserve"> 3Q</v>
          </cell>
          <cell r="B29">
            <v>429.5</v>
          </cell>
          <cell r="C29">
            <v>151.19999999999999</v>
          </cell>
          <cell r="D29">
            <v>580.70000000000005</v>
          </cell>
          <cell r="F29">
            <v>0</v>
          </cell>
          <cell r="G29">
            <v>0</v>
          </cell>
          <cell r="H29">
            <v>0</v>
          </cell>
          <cell r="J29">
            <v>25.4</v>
          </cell>
          <cell r="L29">
            <v>15.100000000000001</v>
          </cell>
          <cell r="R29">
            <v>621.20000000000005</v>
          </cell>
          <cell r="T29" t="str">
            <v xml:space="preserve"> 3Q</v>
          </cell>
          <cell r="U29">
            <v>18.399999999999999</v>
          </cell>
          <cell r="V29">
            <v>99.8</v>
          </cell>
          <cell r="W29">
            <v>118.19999999999999</v>
          </cell>
          <cell r="Y29">
            <v>7.34</v>
          </cell>
          <cell r="Z29">
            <v>37.64</v>
          </cell>
          <cell r="AA29">
            <v>57.58</v>
          </cell>
          <cell r="AB29">
            <v>53.92</v>
          </cell>
          <cell r="AD29">
            <v>274.67999999999995</v>
          </cell>
          <cell r="AF29">
            <v>27.8</v>
          </cell>
          <cell r="AG29">
            <v>6.5</v>
          </cell>
          <cell r="AM29">
            <v>0</v>
          </cell>
          <cell r="AN29">
            <v>0</v>
          </cell>
          <cell r="AO29">
            <v>0</v>
          </cell>
          <cell r="AU29" t="str">
            <v xml:space="preserve"> 3Q</v>
          </cell>
          <cell r="AV29">
            <v>66</v>
          </cell>
          <cell r="AX29">
            <v>128.6</v>
          </cell>
          <cell r="AY29">
            <v>67.2</v>
          </cell>
          <cell r="AZ29">
            <v>195.8</v>
          </cell>
          <cell r="BD29">
            <v>18.899999999999999</v>
          </cell>
          <cell r="BF29">
            <v>0</v>
          </cell>
          <cell r="BG29">
            <v>0</v>
          </cell>
          <cell r="BH29">
            <v>0</v>
          </cell>
          <cell r="BI29">
            <v>280.7</v>
          </cell>
          <cell r="BK29">
            <v>101.3</v>
          </cell>
          <cell r="BL29">
            <v>30.8</v>
          </cell>
          <cell r="BM29">
            <v>132.1</v>
          </cell>
          <cell r="BO29">
            <v>0</v>
          </cell>
          <cell r="BP29">
            <v>1.3</v>
          </cell>
          <cell r="BQ29">
            <v>1.3</v>
          </cell>
          <cell r="BS29">
            <v>9</v>
          </cell>
          <cell r="BT29">
            <v>10.3</v>
          </cell>
          <cell r="BV29">
            <v>0</v>
          </cell>
          <cell r="BX29">
            <v>62.6</v>
          </cell>
          <cell r="BY29">
            <v>1415.8799999999997</v>
          </cell>
          <cell r="BZ29">
            <v>126.2</v>
          </cell>
          <cell r="CA29">
            <v>1542.0799999999997</v>
          </cell>
        </row>
        <row r="30">
          <cell r="A30" t="str">
            <v xml:space="preserve"> 4Q</v>
          </cell>
          <cell r="B30">
            <v>341.1</v>
          </cell>
          <cell r="C30">
            <v>173.9</v>
          </cell>
          <cell r="D30">
            <v>515</v>
          </cell>
          <cell r="F30">
            <v>0</v>
          </cell>
          <cell r="G30">
            <v>0</v>
          </cell>
          <cell r="H30">
            <v>0</v>
          </cell>
          <cell r="J30">
            <v>28.6</v>
          </cell>
          <cell r="L30">
            <v>19.799999999999976</v>
          </cell>
          <cell r="R30">
            <v>563.4</v>
          </cell>
          <cell r="T30" t="str">
            <v xml:space="preserve"> 4Q</v>
          </cell>
          <cell r="U30">
            <v>40.6</v>
          </cell>
          <cell r="V30">
            <v>142.5</v>
          </cell>
          <cell r="W30">
            <v>183.1</v>
          </cell>
          <cell r="Y30">
            <v>13.3</v>
          </cell>
          <cell r="Z30">
            <v>46.900000000000006</v>
          </cell>
          <cell r="AA30">
            <v>66.5</v>
          </cell>
          <cell r="AB30">
            <v>66.8</v>
          </cell>
          <cell r="AD30">
            <v>376.6</v>
          </cell>
          <cell r="AF30">
            <v>27.8</v>
          </cell>
          <cell r="AG30">
            <v>12.3</v>
          </cell>
          <cell r="AM30">
            <v>0</v>
          </cell>
          <cell r="AN30">
            <v>0</v>
          </cell>
          <cell r="AO30">
            <v>0</v>
          </cell>
          <cell r="AU30" t="str">
            <v xml:space="preserve"> 4Q</v>
          </cell>
          <cell r="AV30">
            <v>75.599999999999994</v>
          </cell>
          <cell r="AX30">
            <v>139.6</v>
          </cell>
          <cell r="AY30">
            <v>73</v>
          </cell>
          <cell r="AZ30">
            <v>212.6</v>
          </cell>
          <cell r="BD30">
            <v>21.1</v>
          </cell>
          <cell r="BF30">
            <v>0</v>
          </cell>
          <cell r="BG30">
            <v>0</v>
          </cell>
          <cell r="BH30">
            <v>0</v>
          </cell>
          <cell r="BI30">
            <v>309.3</v>
          </cell>
          <cell r="BK30">
            <v>112.2</v>
          </cell>
          <cell r="BL30">
            <v>37.1</v>
          </cell>
          <cell r="BM30">
            <v>149.30000000000001</v>
          </cell>
          <cell r="BO30">
            <v>0</v>
          </cell>
          <cell r="BP30">
            <v>2.7</v>
          </cell>
          <cell r="BQ30">
            <v>2.7</v>
          </cell>
          <cell r="BS30">
            <v>9.1</v>
          </cell>
          <cell r="BT30">
            <v>11.8</v>
          </cell>
          <cell r="BV30">
            <v>0</v>
          </cell>
          <cell r="BX30">
            <v>69.2</v>
          </cell>
          <cell r="BY30">
            <v>1519.6999999999998</v>
          </cell>
          <cell r="BZ30">
            <v>152.1</v>
          </cell>
          <cell r="CA30">
            <v>1671.7999999999997</v>
          </cell>
        </row>
        <row r="32">
          <cell r="A32" t="str">
            <v>1995</v>
          </cell>
          <cell r="B32">
            <v>1438.4</v>
          </cell>
          <cell r="C32">
            <v>627.4</v>
          </cell>
          <cell r="D32">
            <v>2065.8000000000002</v>
          </cell>
          <cell r="F32">
            <v>0</v>
          </cell>
          <cell r="G32">
            <v>0</v>
          </cell>
          <cell r="H32">
            <v>0</v>
          </cell>
          <cell r="I32">
            <v>0</v>
          </cell>
          <cell r="J32">
            <v>108.1</v>
          </cell>
          <cell r="K32">
            <v>0</v>
          </cell>
          <cell r="L32">
            <v>60.299999999999976</v>
          </cell>
          <cell r="M32">
            <v>0</v>
          </cell>
          <cell r="R32">
            <v>2234.1999999999998</v>
          </cell>
          <cell r="T32" t="str">
            <v>1995</v>
          </cell>
          <cell r="U32">
            <v>227.5</v>
          </cell>
          <cell r="V32">
            <v>494.7</v>
          </cell>
          <cell r="W32">
            <v>722.19999999999993</v>
          </cell>
          <cell r="Y32">
            <v>23.94</v>
          </cell>
          <cell r="Z32">
            <v>167.07999999999998</v>
          </cell>
          <cell r="AA32">
            <v>278.54000000000002</v>
          </cell>
          <cell r="AB32">
            <v>256.17</v>
          </cell>
          <cell r="AD32">
            <v>1447.9299999999998</v>
          </cell>
          <cell r="AF32">
            <v>112.5</v>
          </cell>
          <cell r="AG32">
            <v>22.8</v>
          </cell>
          <cell r="AM32">
            <v>0</v>
          </cell>
          <cell r="AN32">
            <v>0</v>
          </cell>
          <cell r="AO32">
            <v>0</v>
          </cell>
          <cell r="AU32" t="str">
            <v>1995</v>
          </cell>
          <cell r="AV32">
            <v>269.2</v>
          </cell>
          <cell r="AX32">
            <v>526.30000000000007</v>
          </cell>
          <cell r="AY32">
            <v>267.8</v>
          </cell>
          <cell r="AZ32">
            <v>794.1</v>
          </cell>
          <cell r="BD32">
            <v>82.4</v>
          </cell>
          <cell r="BF32">
            <v>0</v>
          </cell>
          <cell r="BG32">
            <v>0</v>
          </cell>
          <cell r="BH32">
            <v>0</v>
          </cell>
          <cell r="BI32">
            <v>1145.7</v>
          </cell>
          <cell r="BK32">
            <v>407.3</v>
          </cell>
          <cell r="BL32">
            <v>141</v>
          </cell>
          <cell r="BM32">
            <v>548.29999999999995</v>
          </cell>
          <cell r="BO32">
            <v>0</v>
          </cell>
          <cell r="BP32">
            <v>4.4000000000000004</v>
          </cell>
          <cell r="BQ32">
            <v>4.4000000000000004</v>
          </cell>
          <cell r="BS32">
            <v>39.1</v>
          </cell>
          <cell r="BT32">
            <v>43.5</v>
          </cell>
          <cell r="BV32">
            <v>0</v>
          </cell>
          <cell r="BX32">
            <v>260.14999999999998</v>
          </cell>
          <cell r="BY32">
            <v>5815.079999999999</v>
          </cell>
          <cell r="BZ32">
            <v>522</v>
          </cell>
          <cell r="CA32">
            <v>6337.08</v>
          </cell>
        </row>
        <row r="34">
          <cell r="A34" t="str">
            <v>1996/95</v>
          </cell>
          <cell r="T34" t="str">
            <v>1996/95</v>
          </cell>
          <cell r="AU34" t="str">
            <v>1996/95</v>
          </cell>
        </row>
        <row r="35">
          <cell r="A35" t="str">
            <v xml:space="preserve"> 1Q</v>
          </cell>
          <cell r="B35">
            <v>0.35988483685220729</v>
          </cell>
          <cell r="C35">
            <v>6.6620402498265063E-2</v>
          </cell>
          <cell r="D35">
            <v>0.26735274797460018</v>
          </cell>
          <cell r="F35" t="str">
            <v>NM</v>
          </cell>
          <cell r="G35" t="str">
            <v>NM</v>
          </cell>
          <cell r="H35" t="str">
            <v>NM</v>
          </cell>
          <cell r="J35">
            <v>-0.15942028985507253</v>
          </cell>
          <cell r="L35">
            <v>0.57547169811322652</v>
          </cell>
          <cell r="R35">
            <v>0.25015154576682175</v>
          </cell>
          <cell r="T35" t="str">
            <v xml:space="preserve"> 1Q</v>
          </cell>
          <cell r="U35">
            <v>-0.8379204892966361</v>
          </cell>
          <cell r="V35">
            <v>-3.6603221083455345E-3</v>
          </cell>
          <cell r="W35">
            <v>-0.41174270755422587</v>
          </cell>
          <cell r="Y35" t="str">
            <v>NM</v>
          </cell>
          <cell r="Z35">
            <v>-1.001908396946569E-2</v>
          </cell>
          <cell r="AA35">
            <v>-0.10640066500415636</v>
          </cell>
          <cell r="AB35">
            <v>-9.6541786743515878E-2</v>
          </cell>
          <cell r="AD35">
            <v>-0.25685840707964619</v>
          </cell>
          <cell r="AF35">
            <v>4.3824701195219036E-2</v>
          </cell>
          <cell r="AG35" t="str">
            <v>NM</v>
          </cell>
          <cell r="AM35" t="str">
            <v>NM</v>
          </cell>
          <cell r="AN35" t="str">
            <v>NM</v>
          </cell>
          <cell r="AO35" t="str">
            <v>NM</v>
          </cell>
          <cell r="AU35" t="str">
            <v xml:space="preserve"> 1Q</v>
          </cell>
          <cell r="AV35">
            <v>4.9382716049382797E-2</v>
          </cell>
          <cell r="AX35">
            <v>-0.16091205211726378</v>
          </cell>
          <cell r="AY35">
            <v>0.32323232323232315</v>
          </cell>
          <cell r="AZ35">
            <v>-2.5833724753405354E-2</v>
          </cell>
          <cell r="BD35">
            <v>-0.15111111111111106</v>
          </cell>
          <cell r="BF35" t="str">
            <v>NM</v>
          </cell>
          <cell r="BG35" t="str">
            <v>NM</v>
          </cell>
          <cell r="BH35" t="str">
            <v>NM</v>
          </cell>
          <cell r="BI35">
            <v>-2.0883259157822739E-2</v>
          </cell>
          <cell r="BK35">
            <v>6.2499999999999972E-2</v>
          </cell>
          <cell r="BL35">
            <v>-5.8309037900873394E-3</v>
          </cell>
          <cell r="BM35">
            <v>4.6121593291404576E-2</v>
          </cell>
          <cell r="BO35" t="str">
            <v>NM</v>
          </cell>
          <cell r="BP35" t="str">
            <v>NM</v>
          </cell>
          <cell r="BQ35" t="str">
            <v>NM</v>
          </cell>
          <cell r="BS35">
            <v>-0.05</v>
          </cell>
          <cell r="BT35">
            <v>0.33663366336633666</v>
          </cell>
          <cell r="BV35" t="str">
            <v>NM</v>
          </cell>
          <cell r="BX35">
            <v>0.19332161687170488</v>
          </cell>
          <cell r="BY35">
            <v>3.0843275488069571E-2</v>
          </cell>
          <cell r="BZ35">
            <v>8.9371980676328691E-2</v>
          </cell>
          <cell r="CA35">
            <v>3.538827060147564E-2</v>
          </cell>
        </row>
        <row r="36">
          <cell r="A36" t="str">
            <v xml:space="preserve"> 2Q</v>
          </cell>
          <cell r="B36">
            <v>3.9132882882882983E-2</v>
          </cell>
          <cell r="C36">
            <v>5.8786346396965942E-2</v>
          </cell>
          <cell r="D36">
            <v>4.518893650175311E-2</v>
          </cell>
          <cell r="F36" t="str">
            <v>NM</v>
          </cell>
          <cell r="G36" t="str">
            <v>NM</v>
          </cell>
          <cell r="H36" t="str">
            <v>NM</v>
          </cell>
          <cell r="J36">
            <v>-3.7735849056603772E-2</v>
          </cell>
          <cell r="L36">
            <v>0.42567567567567066</v>
          </cell>
          <cell r="R36">
            <v>5.1379123850730117E-2</v>
          </cell>
          <cell r="T36" t="str">
            <v xml:space="preserve"> 2Q</v>
          </cell>
          <cell r="U36">
            <v>-0.70557029177718833</v>
          </cell>
          <cell r="V36">
            <v>-2.5906735751295339E-2</v>
          </cell>
          <cell r="W36">
            <v>-0.19283387622149842</v>
          </cell>
          <cell r="Y36" t="str">
            <v>NM</v>
          </cell>
          <cell r="Z36">
            <v>2.9049729197439679E-2</v>
          </cell>
          <cell r="AA36">
            <v>-0.17233835683033552</v>
          </cell>
          <cell r="AB36">
            <v>-0.13247539742619227</v>
          </cell>
          <cell r="AD36">
            <v>-0.14086754678659513</v>
          </cell>
          <cell r="AF36">
            <v>-0.14465408805031452</v>
          </cell>
          <cell r="AG36" t="str">
            <v>NM</v>
          </cell>
          <cell r="AM36" t="str">
            <v>NM</v>
          </cell>
          <cell r="AN36" t="str">
            <v>NM</v>
          </cell>
          <cell r="AO36" t="str">
            <v>NM</v>
          </cell>
          <cell r="AU36" t="str">
            <v xml:space="preserve"> 2Q</v>
          </cell>
          <cell r="AV36">
            <v>-5.5007052186177789E-2</v>
          </cell>
          <cell r="AX36">
            <v>0.34799235181644367</v>
          </cell>
          <cell r="AY36">
            <v>4.5454545454545373E-2</v>
          </cell>
          <cell r="AZ36">
            <v>0.22858796296296294</v>
          </cell>
          <cell r="BD36">
            <v>-2.5125628140703519E-2</v>
          </cell>
          <cell r="BF36" t="str">
            <v>NM</v>
          </cell>
          <cell r="BG36" t="str">
            <v>NM</v>
          </cell>
          <cell r="BH36" t="str">
            <v>NM</v>
          </cell>
          <cell r="BI36">
            <v>0.13884673748103171</v>
          </cell>
          <cell r="BK36">
            <v>6.5882352941176406E-2</v>
          </cell>
          <cell r="BL36">
            <v>-0.29896907216494845</v>
          </cell>
          <cell r="BM36">
            <v>-4.8465266558966075E-2</v>
          </cell>
          <cell r="BO36" t="str">
            <v>NM</v>
          </cell>
          <cell r="BP36" t="str">
            <v>NM</v>
          </cell>
          <cell r="BQ36" t="str">
            <v>NM</v>
          </cell>
          <cell r="BS36">
            <v>-0.14545454545454542</v>
          </cell>
          <cell r="BT36">
            <v>0.85840707964601759</v>
          </cell>
          <cell r="BV36" t="str">
            <v>NM</v>
          </cell>
          <cell r="BX36">
            <v>-3.0090972708187624E-2</v>
          </cell>
          <cell r="BY36">
            <v>3.3967101046784909E-2</v>
          </cell>
          <cell r="BZ36">
            <v>1.4225941422594167E-2</v>
          </cell>
          <cell r="CA36">
            <v>3.2418952618453928E-2</v>
          </cell>
        </row>
        <row r="37">
          <cell r="A37" t="str">
            <v xml:space="preserve"> 3Q</v>
          </cell>
          <cell r="B37">
            <v>0.14994179278230496</v>
          </cell>
          <cell r="C37">
            <v>-5.0264550264550234E-2</v>
          </cell>
          <cell r="D37">
            <v>9.781298432925771E-2</v>
          </cell>
          <cell r="F37" t="str">
            <v>NM</v>
          </cell>
          <cell r="G37" t="str">
            <v>NM</v>
          </cell>
          <cell r="H37" t="str">
            <v>NM</v>
          </cell>
          <cell r="J37">
            <v>-3.937007874015748E-2</v>
          </cell>
          <cell r="L37">
            <v>0.45695364238410441</v>
          </cell>
          <cell r="R37">
            <v>0.10093367675466827</v>
          </cell>
          <cell r="T37" t="str">
            <v xml:space="preserve"> 3Q</v>
          </cell>
          <cell r="U37">
            <v>-0.34782608695652167</v>
          </cell>
          <cell r="V37">
            <v>-7.7154308617234504E-2</v>
          </cell>
          <cell r="W37">
            <v>-0.11928934010152281</v>
          </cell>
          <cell r="Y37" t="str">
            <v>NM</v>
          </cell>
          <cell r="Z37">
            <v>0.11849096705632309</v>
          </cell>
          <cell r="AA37">
            <v>7.2941993747829403E-3</v>
          </cell>
          <cell r="AB37">
            <v>-7.0845697329376858E-2</v>
          </cell>
          <cell r="AD37">
            <v>-5.1623707587010167E-2</v>
          </cell>
          <cell r="AF37">
            <v>-0.14748201438848926</v>
          </cell>
          <cell r="AG37" t="str">
            <v>NM</v>
          </cell>
          <cell r="AM37" t="str">
            <v>NM</v>
          </cell>
          <cell r="AN37" t="str">
            <v>NM</v>
          </cell>
          <cell r="AO37" t="str">
            <v>NM</v>
          </cell>
          <cell r="AU37" t="str">
            <v xml:space="preserve"> 3Q</v>
          </cell>
          <cell r="AV37">
            <v>1.3636363636363722E-2</v>
          </cell>
          <cell r="AX37">
            <v>0.1166407465007776</v>
          </cell>
          <cell r="AY37">
            <v>0.22172619047619033</v>
          </cell>
          <cell r="AZ37">
            <v>0.15270684371807955</v>
          </cell>
          <cell r="BD37">
            <v>-4.7619047619047547E-2</v>
          </cell>
          <cell r="BF37" t="str">
            <v>NM</v>
          </cell>
          <cell r="BG37" t="str">
            <v>NM</v>
          </cell>
          <cell r="BH37" t="str">
            <v>NM</v>
          </cell>
          <cell r="BI37">
            <v>0.1389383683648025</v>
          </cell>
          <cell r="BK37">
            <v>-2.8627838104639602E-2</v>
          </cell>
          <cell r="BL37">
            <v>-7.792207792207799E-2</v>
          </cell>
          <cell r="BM37">
            <v>-4.0121120363360963E-2</v>
          </cell>
          <cell r="BO37" t="str">
            <v>NM</v>
          </cell>
          <cell r="BP37" t="str">
            <v>NM</v>
          </cell>
          <cell r="BQ37" t="str">
            <v>NM</v>
          </cell>
          <cell r="BS37">
            <v>-5.5555555555555552E-2</v>
          </cell>
          <cell r="BT37">
            <v>1.7766990291262135</v>
          </cell>
          <cell r="BV37" t="str">
            <v>NM</v>
          </cell>
          <cell r="BX37">
            <v>0.11501597444089449</v>
          </cell>
          <cell r="BY37">
            <v>9.5784953527135341E-2</v>
          </cell>
          <cell r="BZ37">
            <v>2.2979397781299458E-2</v>
          </cell>
          <cell r="CA37">
            <v>8.9826727536833517E-2</v>
          </cell>
        </row>
        <row r="38">
          <cell r="A38" t="str">
            <v xml:space="preserve"> 4Q</v>
          </cell>
          <cell r="B38">
            <v>0.29610085019055993</v>
          </cell>
          <cell r="C38">
            <v>-7.4755606670500283E-2</v>
          </cell>
          <cell r="D38">
            <v>0.17087378640776699</v>
          </cell>
          <cell r="F38" t="str">
            <v>NM</v>
          </cell>
          <cell r="G38" t="str">
            <v>NM</v>
          </cell>
          <cell r="H38" t="str">
            <v>NM</v>
          </cell>
          <cell r="J38">
            <v>2.4475524475524448E-2</v>
          </cell>
          <cell r="L38">
            <v>0.41414141414141858</v>
          </cell>
          <cell r="R38">
            <v>0.3262335818246363</v>
          </cell>
          <cell r="T38" t="str">
            <v xml:space="preserve"> 4Q</v>
          </cell>
          <cell r="U38">
            <v>-0.33497536945812811</v>
          </cell>
          <cell r="V38">
            <v>-8.9824561403508849E-2</v>
          </cell>
          <cell r="W38">
            <v>-0.14418350628072096</v>
          </cell>
          <cell r="Y38" t="str">
            <v>NM</v>
          </cell>
          <cell r="Z38">
            <v>-6.1833688699360456E-2</v>
          </cell>
          <cell r="AA38">
            <v>-0.11428571428571431</v>
          </cell>
          <cell r="AB38">
            <v>-0.2035928143712574</v>
          </cell>
          <cell r="AD38">
            <v>-0.15082315454062684</v>
          </cell>
          <cell r="AF38">
            <v>-0.15107913669064746</v>
          </cell>
          <cell r="AG38" t="str">
            <v>NM</v>
          </cell>
          <cell r="AM38" t="str">
            <v>NM</v>
          </cell>
          <cell r="AN38" t="str">
            <v>NM</v>
          </cell>
          <cell r="AO38" t="str">
            <v>NM</v>
          </cell>
          <cell r="AU38" t="str">
            <v xml:space="preserve"> 4Q</v>
          </cell>
          <cell r="AV38">
            <v>-1.3227513227513229E-2</v>
          </cell>
          <cell r="AX38">
            <v>7.5931232091690504E-2</v>
          </cell>
          <cell r="AY38">
            <v>0.21095890410958912</v>
          </cell>
          <cell r="AZ38">
            <v>0.12229539040451552</v>
          </cell>
          <cell r="BD38">
            <v>1.8957345971563913E-2</v>
          </cell>
          <cell r="BF38" t="str">
            <v>NM</v>
          </cell>
          <cell r="BG38" t="str">
            <v>NM</v>
          </cell>
          <cell r="BH38" t="str">
            <v>NM</v>
          </cell>
          <cell r="BI38">
            <v>0.11251212415130926</v>
          </cell>
          <cell r="BK38">
            <v>-6.7736185383244288E-2</v>
          </cell>
          <cell r="BL38">
            <v>-0.12668463611859845</v>
          </cell>
          <cell r="BM38">
            <v>-8.238446081714676E-2</v>
          </cell>
          <cell r="BO38" t="str">
            <v>NM</v>
          </cell>
          <cell r="BP38" t="str">
            <v>NM</v>
          </cell>
          <cell r="BQ38" t="str">
            <v>NM</v>
          </cell>
          <cell r="BS38">
            <v>-3.296703296703285E-2</v>
          </cell>
          <cell r="BT38">
            <v>1.9661016949152541</v>
          </cell>
          <cell r="BV38" t="str">
            <v>NM</v>
          </cell>
          <cell r="BX38">
            <v>5.491329479768782E-2</v>
          </cell>
          <cell r="BY38">
            <v>0.13871158781338422</v>
          </cell>
          <cell r="BZ38">
            <v>0.14332675871137418</v>
          </cell>
          <cell r="CA38">
            <v>0.13913147505682508</v>
          </cell>
        </row>
        <row r="40">
          <cell r="A40" t="str">
            <v>1996/95</v>
          </cell>
          <cell r="B40">
            <v>0.20286429365962161</v>
          </cell>
          <cell r="C40">
            <v>-2.7095951546062032E-3</v>
          </cell>
          <cell r="D40">
            <v>0.14042985768225358</v>
          </cell>
          <cell r="F40" t="str">
            <v>NM</v>
          </cell>
          <cell r="G40" t="str">
            <v>NM</v>
          </cell>
          <cell r="H40" t="str">
            <v>NM</v>
          </cell>
          <cell r="J40">
            <v>-5.272895467160027E-2</v>
          </cell>
          <cell r="L40">
            <v>0.45605306799336942</v>
          </cell>
          <cell r="R40">
            <v>0.17849789633873431</v>
          </cell>
          <cell r="T40" t="str">
            <v>1996/95</v>
          </cell>
          <cell r="U40">
            <v>-0.68659340659340651</v>
          </cell>
          <cell r="V40">
            <v>-4.8514251061249361E-2</v>
          </cell>
          <cell r="W40">
            <v>-0.24951536970368327</v>
          </cell>
          <cell r="Y40" t="str">
            <v>NM</v>
          </cell>
          <cell r="Z40">
            <v>1.3885563801771568E-2</v>
          </cell>
          <cell r="AA40">
            <v>-0.10425791627773397</v>
          </cell>
          <cell r="AB40">
            <v>-0.1283132294960378</v>
          </cell>
          <cell r="AD40">
            <v>-0.16273576761307532</v>
          </cell>
          <cell r="AF40">
            <v>-0.10488888888888899</v>
          </cell>
          <cell r="AG40" t="str">
            <v>NM</v>
          </cell>
          <cell r="AM40" t="str">
            <v>NM</v>
          </cell>
          <cell r="AN40" t="str">
            <v>NM</v>
          </cell>
          <cell r="AO40" t="str">
            <v>NM</v>
          </cell>
          <cell r="AU40" t="str">
            <v>1996/95</v>
          </cell>
          <cell r="AV40">
            <v>-4.4576523031203148E-3</v>
          </cell>
          <cell r="AX40">
            <v>7.0872126163784605E-2</v>
          </cell>
          <cell r="AY40">
            <v>0.19641523525018656</v>
          </cell>
          <cell r="AZ40">
            <v>0.11320992318347797</v>
          </cell>
          <cell r="BD40">
            <v>-5.3398058252427251E-2</v>
          </cell>
          <cell r="BF40" t="str">
            <v>NM</v>
          </cell>
          <cell r="BG40" t="str">
            <v>NM</v>
          </cell>
          <cell r="BH40" t="str">
            <v>NM</v>
          </cell>
          <cell r="BI40">
            <v>9.1036047831020289E-2</v>
          </cell>
          <cell r="BK40">
            <v>4.6648661919961552E-3</v>
          </cell>
          <cell r="BL40">
            <v>-0.13404255319148939</v>
          </cell>
          <cell r="BM40">
            <v>-3.1004924311508301E-2</v>
          </cell>
          <cell r="BO40" t="str">
            <v>NM</v>
          </cell>
          <cell r="BP40" t="str">
            <v>NM</v>
          </cell>
          <cell r="BQ40" t="str">
            <v>NM</v>
          </cell>
          <cell r="BS40">
            <v>-7.4168797953964152E-2</v>
          </cell>
          <cell r="BT40">
            <v>1.2551724137931033</v>
          </cell>
          <cell r="BV40" t="str">
            <v>NM</v>
          </cell>
          <cell r="BX40">
            <v>7.6302133384585913E-2</v>
          </cell>
          <cell r="BY40">
            <v>7.5599991745599518E-2</v>
          </cell>
          <cell r="BZ40">
            <v>7.183908045977011E-2</v>
          </cell>
          <cell r="CA40">
            <v>7.5290196746766638E-2</v>
          </cell>
        </row>
        <row r="42">
          <cell r="A42" t="str">
            <v>1996</v>
          </cell>
          <cell r="T42" t="str">
            <v>1996</v>
          </cell>
          <cell r="AU42" t="str">
            <v>1996</v>
          </cell>
        </row>
        <row r="43">
          <cell r="A43" t="str">
            <v xml:space="preserve"> 1Q</v>
          </cell>
          <cell r="B43">
            <v>425.1</v>
          </cell>
          <cell r="C43">
            <v>153.69999999999999</v>
          </cell>
          <cell r="D43">
            <v>578.79999999999995</v>
          </cell>
          <cell r="F43">
            <v>0</v>
          </cell>
          <cell r="G43">
            <v>0</v>
          </cell>
          <cell r="H43">
            <v>0</v>
          </cell>
          <cell r="J43">
            <v>23.2</v>
          </cell>
          <cell r="L43">
            <v>16.700000000000092</v>
          </cell>
          <cell r="R43">
            <v>618.70000000000005</v>
          </cell>
          <cell r="T43" t="str">
            <v xml:space="preserve"> 1Q</v>
          </cell>
          <cell r="U43">
            <v>21.2</v>
          </cell>
          <cell r="V43">
            <v>136.1</v>
          </cell>
          <cell r="W43">
            <v>157.29999999999998</v>
          </cell>
          <cell r="Y43">
            <v>9.9</v>
          </cell>
          <cell r="Z43">
            <v>41.5</v>
          </cell>
          <cell r="AA43">
            <v>64.5</v>
          </cell>
          <cell r="AB43">
            <v>62.7</v>
          </cell>
          <cell r="AD43">
            <v>335.89999999999992</v>
          </cell>
          <cell r="AF43">
            <v>26.2</v>
          </cell>
          <cell r="AG43">
            <v>22.8</v>
          </cell>
          <cell r="AM43">
            <v>0</v>
          </cell>
          <cell r="AN43">
            <v>0</v>
          </cell>
          <cell r="AO43">
            <v>0</v>
          </cell>
          <cell r="AU43" t="str">
            <v xml:space="preserve"> 1Q</v>
          </cell>
          <cell r="AV43">
            <v>59.5</v>
          </cell>
          <cell r="AX43">
            <v>128.80000000000001</v>
          </cell>
          <cell r="AY43">
            <v>78.599999999999994</v>
          </cell>
          <cell r="AZ43">
            <v>207.4</v>
          </cell>
          <cell r="BD43">
            <v>19.100000000000001</v>
          </cell>
          <cell r="BF43">
            <v>0</v>
          </cell>
          <cell r="BG43">
            <v>0</v>
          </cell>
          <cell r="BH43">
            <v>0</v>
          </cell>
          <cell r="BI43">
            <v>286</v>
          </cell>
          <cell r="BK43">
            <v>115.6</v>
          </cell>
          <cell r="BL43">
            <v>34.1</v>
          </cell>
          <cell r="BM43">
            <v>149.69999999999999</v>
          </cell>
          <cell r="BO43">
            <v>0</v>
          </cell>
          <cell r="BP43">
            <v>4</v>
          </cell>
          <cell r="BQ43">
            <v>4</v>
          </cell>
          <cell r="BS43">
            <v>9.5</v>
          </cell>
          <cell r="BT43">
            <v>13.5</v>
          </cell>
          <cell r="BV43">
            <v>0</v>
          </cell>
          <cell r="BX43">
            <v>67.900000000000006</v>
          </cell>
          <cell r="BY43">
            <v>1520.7</v>
          </cell>
          <cell r="BZ43">
            <v>135.30000000000001</v>
          </cell>
          <cell r="CA43">
            <v>1656</v>
          </cell>
        </row>
        <row r="44">
          <cell r="A44" t="str">
            <v xml:space="preserve"> 2Q</v>
          </cell>
          <cell r="B44">
            <v>369.1</v>
          </cell>
          <cell r="C44">
            <v>167.5</v>
          </cell>
          <cell r="D44">
            <v>536.6</v>
          </cell>
          <cell r="F44">
            <v>0</v>
          </cell>
          <cell r="G44">
            <v>0</v>
          </cell>
          <cell r="H44">
            <v>0</v>
          </cell>
          <cell r="J44">
            <v>25.5</v>
          </cell>
          <cell r="L44">
            <v>21.100000000000023</v>
          </cell>
          <cell r="R44">
            <v>583.20000000000005</v>
          </cell>
          <cell r="T44" t="str">
            <v xml:space="preserve"> 2Q</v>
          </cell>
          <cell r="U44">
            <v>11.1</v>
          </cell>
          <cell r="V44">
            <v>112.8</v>
          </cell>
          <cell r="W44">
            <v>123.89999999999999</v>
          </cell>
          <cell r="Y44">
            <v>5</v>
          </cell>
          <cell r="Z44">
            <v>41.8</v>
          </cell>
          <cell r="AA44">
            <v>68.099999999999994</v>
          </cell>
          <cell r="AB44">
            <v>57.3</v>
          </cell>
          <cell r="AD44">
            <v>296.09999999999997</v>
          </cell>
          <cell r="AF44">
            <v>27.2</v>
          </cell>
          <cell r="AG44">
            <v>37.200000000000003</v>
          </cell>
          <cell r="AM44">
            <v>0</v>
          </cell>
          <cell r="AN44">
            <v>0</v>
          </cell>
          <cell r="AO44">
            <v>0</v>
          </cell>
          <cell r="AU44" t="str">
            <v xml:space="preserve"> 2Q</v>
          </cell>
          <cell r="AV44">
            <v>67</v>
          </cell>
          <cell r="AX44">
            <v>141</v>
          </cell>
          <cell r="AY44">
            <v>71.3</v>
          </cell>
          <cell r="AZ44">
            <v>212.3</v>
          </cell>
          <cell r="BD44">
            <v>19.399999999999999</v>
          </cell>
          <cell r="BF44">
            <v>0</v>
          </cell>
          <cell r="BG44">
            <v>1.5</v>
          </cell>
          <cell r="BH44">
            <v>1.5</v>
          </cell>
          <cell r="BI44">
            <v>300.2</v>
          </cell>
          <cell r="BK44">
            <v>90.6</v>
          </cell>
          <cell r="BL44">
            <v>27.2</v>
          </cell>
          <cell r="BM44">
            <v>117.8</v>
          </cell>
          <cell r="BO44">
            <v>5.7</v>
          </cell>
          <cell r="BP44">
            <v>5.9</v>
          </cell>
          <cell r="BQ44">
            <v>11.600000000000001</v>
          </cell>
          <cell r="BS44">
            <v>9.4</v>
          </cell>
          <cell r="BT44">
            <v>21</v>
          </cell>
          <cell r="BV44">
            <v>0</v>
          </cell>
          <cell r="BX44">
            <v>69.3</v>
          </cell>
          <cell r="BY44">
            <v>1452</v>
          </cell>
          <cell r="BZ44">
            <v>121.2</v>
          </cell>
          <cell r="CA44">
            <v>1573.2</v>
          </cell>
        </row>
        <row r="45">
          <cell r="A45" t="str">
            <v xml:space="preserve"> 3Q</v>
          </cell>
          <cell r="B45">
            <v>493.9</v>
          </cell>
          <cell r="C45">
            <v>143.6</v>
          </cell>
          <cell r="D45">
            <v>637.5</v>
          </cell>
          <cell r="F45">
            <v>0</v>
          </cell>
          <cell r="G45">
            <v>0</v>
          </cell>
          <cell r="H45">
            <v>0</v>
          </cell>
          <cell r="J45">
            <v>24.4</v>
          </cell>
          <cell r="L45">
            <v>21.999999999999979</v>
          </cell>
          <cell r="R45">
            <v>683.9</v>
          </cell>
          <cell r="T45" t="str">
            <v xml:space="preserve"> 3Q</v>
          </cell>
          <cell r="U45">
            <v>12</v>
          </cell>
          <cell r="V45">
            <v>92.1</v>
          </cell>
          <cell r="W45">
            <v>104.1</v>
          </cell>
          <cell r="Y45">
            <v>6.2</v>
          </cell>
          <cell r="Z45">
            <v>42.1</v>
          </cell>
          <cell r="AA45">
            <v>58</v>
          </cell>
          <cell r="AB45">
            <v>50.1</v>
          </cell>
          <cell r="AD45">
            <v>260.5</v>
          </cell>
          <cell r="AF45">
            <v>23.7</v>
          </cell>
          <cell r="AG45">
            <v>38.5</v>
          </cell>
          <cell r="AM45">
            <v>0</v>
          </cell>
          <cell r="AN45">
            <v>0</v>
          </cell>
          <cell r="AO45">
            <v>0</v>
          </cell>
          <cell r="AU45" t="str">
            <v xml:space="preserve"> 3Q</v>
          </cell>
          <cell r="AV45">
            <v>66.900000000000006</v>
          </cell>
          <cell r="AX45">
            <v>143.6</v>
          </cell>
          <cell r="AY45">
            <v>82.1</v>
          </cell>
          <cell r="AZ45">
            <v>225.7</v>
          </cell>
          <cell r="BD45">
            <v>18</v>
          </cell>
          <cell r="BF45">
            <v>6.7</v>
          </cell>
          <cell r="BG45">
            <v>2.4</v>
          </cell>
          <cell r="BH45">
            <v>9.1</v>
          </cell>
          <cell r="BI45">
            <v>319.70000000000005</v>
          </cell>
          <cell r="BK45">
            <v>98.4</v>
          </cell>
          <cell r="BL45">
            <v>28.4</v>
          </cell>
          <cell r="BM45">
            <v>126.80000000000001</v>
          </cell>
          <cell r="BO45">
            <v>11.1</v>
          </cell>
          <cell r="BP45">
            <v>9</v>
          </cell>
          <cell r="BQ45">
            <v>20.100000000000001</v>
          </cell>
          <cell r="BS45">
            <v>8.5</v>
          </cell>
          <cell r="BT45">
            <v>28.6</v>
          </cell>
          <cell r="BV45">
            <v>0</v>
          </cell>
          <cell r="BX45">
            <v>69.8</v>
          </cell>
          <cell r="BY45">
            <v>1551.5</v>
          </cell>
          <cell r="BZ45">
            <v>129.1</v>
          </cell>
          <cell r="CA45">
            <v>1680.6</v>
          </cell>
        </row>
        <row r="46">
          <cell r="A46" t="str">
            <v xml:space="preserve"> 4Q</v>
          </cell>
          <cell r="B46">
            <v>442.1</v>
          </cell>
          <cell r="C46">
            <v>160.9</v>
          </cell>
          <cell r="D46">
            <v>603</v>
          </cell>
          <cell r="F46">
            <v>78.3</v>
          </cell>
          <cell r="G46">
            <v>8.6</v>
          </cell>
          <cell r="H46">
            <v>86.899999999999991</v>
          </cell>
          <cell r="J46">
            <v>29.3</v>
          </cell>
          <cell r="L46">
            <v>28.000000000000053</v>
          </cell>
          <cell r="R46">
            <v>747.2</v>
          </cell>
          <cell r="T46" t="str">
            <v xml:space="preserve"> 4Q</v>
          </cell>
          <cell r="U46">
            <v>27</v>
          </cell>
          <cell r="V46">
            <v>129.69999999999999</v>
          </cell>
          <cell r="W46">
            <v>156.69999999999999</v>
          </cell>
          <cell r="Y46">
            <v>7</v>
          </cell>
          <cell r="Z46">
            <v>44</v>
          </cell>
          <cell r="AA46">
            <v>58.9</v>
          </cell>
          <cell r="AB46">
            <v>53.2</v>
          </cell>
          <cell r="AD46">
            <v>319.79999999999995</v>
          </cell>
          <cell r="AF46">
            <v>23.6</v>
          </cell>
          <cell r="AG46">
            <v>50.8</v>
          </cell>
          <cell r="AM46">
            <v>0</v>
          </cell>
          <cell r="AN46">
            <v>0</v>
          </cell>
          <cell r="AO46">
            <v>0</v>
          </cell>
          <cell r="AU46" t="str">
            <v xml:space="preserve"> 4Q</v>
          </cell>
          <cell r="AV46">
            <v>74.599999999999994</v>
          </cell>
          <cell r="AX46">
            <v>150.19999999999999</v>
          </cell>
          <cell r="AY46">
            <v>88.4</v>
          </cell>
          <cell r="AZ46">
            <v>238.6</v>
          </cell>
          <cell r="BD46">
            <v>21.5</v>
          </cell>
          <cell r="BF46">
            <v>3.9</v>
          </cell>
          <cell r="BG46">
            <v>5.5</v>
          </cell>
          <cell r="BH46">
            <v>9.4</v>
          </cell>
          <cell r="BI46">
            <v>344.09999999999997</v>
          </cell>
          <cell r="BK46">
            <v>104.6</v>
          </cell>
          <cell r="BL46">
            <v>32.4</v>
          </cell>
          <cell r="BM46">
            <v>137</v>
          </cell>
          <cell r="BO46">
            <v>14.8</v>
          </cell>
          <cell r="BP46">
            <v>11.4</v>
          </cell>
          <cell r="BQ46">
            <v>26.200000000000003</v>
          </cell>
          <cell r="BS46">
            <v>8.8000000000000007</v>
          </cell>
          <cell r="BT46">
            <v>35</v>
          </cell>
          <cell r="BV46">
            <v>0</v>
          </cell>
          <cell r="BX46">
            <v>73</v>
          </cell>
          <cell r="BY46">
            <v>1730.4999999999998</v>
          </cell>
          <cell r="BZ46">
            <v>173.9</v>
          </cell>
          <cell r="CA46">
            <v>1904.3999999999999</v>
          </cell>
        </row>
        <row r="48">
          <cell r="A48" t="str">
            <v>1996</v>
          </cell>
          <cell r="B48">
            <v>1730.1999999999998</v>
          </cell>
          <cell r="C48">
            <v>625.70000000000005</v>
          </cell>
          <cell r="D48">
            <v>2355.8999999999996</v>
          </cell>
          <cell r="F48">
            <v>78.3</v>
          </cell>
          <cell r="G48">
            <v>8.6</v>
          </cell>
          <cell r="H48">
            <v>86.899999999999991</v>
          </cell>
          <cell r="J48">
            <v>102.4</v>
          </cell>
          <cell r="L48">
            <v>87.800000000000139</v>
          </cell>
          <cell r="R48">
            <v>2633</v>
          </cell>
          <cell r="T48" t="str">
            <v>1996</v>
          </cell>
          <cell r="U48">
            <v>71.3</v>
          </cell>
          <cell r="V48">
            <v>470.69999999999993</v>
          </cell>
          <cell r="W48">
            <v>541.99999999999989</v>
          </cell>
          <cell r="Y48">
            <v>28.1</v>
          </cell>
          <cell r="Z48">
            <v>169.39999999999998</v>
          </cell>
          <cell r="AA48">
            <v>249.5</v>
          </cell>
          <cell r="AB48">
            <v>223.3</v>
          </cell>
          <cell r="AD48">
            <v>1212.2999999999997</v>
          </cell>
          <cell r="AF48">
            <v>100.69999999999999</v>
          </cell>
          <cell r="AG48">
            <v>149.30000000000001</v>
          </cell>
          <cell r="AM48">
            <v>0</v>
          </cell>
          <cell r="AN48">
            <v>0</v>
          </cell>
          <cell r="AO48">
            <v>0</v>
          </cell>
          <cell r="AU48" t="str">
            <v>1996</v>
          </cell>
          <cell r="AV48">
            <v>268</v>
          </cell>
          <cell r="AX48">
            <v>563.59999999999991</v>
          </cell>
          <cell r="AY48">
            <v>320.39999999999998</v>
          </cell>
          <cell r="AZ48">
            <v>883.99999999999989</v>
          </cell>
          <cell r="BD48">
            <v>78</v>
          </cell>
          <cell r="BF48">
            <v>10.6</v>
          </cell>
          <cell r="BG48">
            <v>9.4</v>
          </cell>
          <cell r="BH48">
            <v>20</v>
          </cell>
          <cell r="BI48">
            <v>1250</v>
          </cell>
          <cell r="BK48">
            <v>409.20000000000005</v>
          </cell>
          <cell r="BL48">
            <v>122.1</v>
          </cell>
          <cell r="BM48">
            <v>531.29999999999995</v>
          </cell>
          <cell r="BO48">
            <v>31.6</v>
          </cell>
          <cell r="BP48">
            <v>30.299999999999997</v>
          </cell>
          <cell r="BQ48">
            <v>61.900000000000006</v>
          </cell>
          <cell r="BS48">
            <v>36.200000000000003</v>
          </cell>
          <cell r="BT48">
            <v>98.1</v>
          </cell>
          <cell r="BV48">
            <v>0</v>
          </cell>
          <cell r="BX48">
            <v>280</v>
          </cell>
          <cell r="BY48">
            <v>6254.7</v>
          </cell>
          <cell r="BZ48">
            <v>559.5</v>
          </cell>
          <cell r="CA48">
            <v>6814.2</v>
          </cell>
        </row>
        <row r="50">
          <cell r="A50" t="str">
            <v>1997/96</v>
          </cell>
          <cell r="T50" t="str">
            <v>1997/96</v>
          </cell>
          <cell r="AU50" t="str">
            <v>1997/96</v>
          </cell>
        </row>
        <row r="51">
          <cell r="A51" t="str">
            <v xml:space="preserve"> 1Q</v>
          </cell>
          <cell r="B51">
            <v>2.4935309338978983E-2</v>
          </cell>
          <cell r="C51">
            <v>-0.16916070266753408</v>
          </cell>
          <cell r="D51">
            <v>-2.6606772633033828E-2</v>
          </cell>
          <cell r="F51" t="str">
            <v>NM</v>
          </cell>
          <cell r="G51" t="str">
            <v>NM</v>
          </cell>
          <cell r="H51" t="str">
            <v>NM</v>
          </cell>
          <cell r="J51">
            <v>-0.28448275862068956</v>
          </cell>
          <cell r="L51">
            <v>0.22155688622753728</v>
          </cell>
          <cell r="R51">
            <v>0.14077905285275563</v>
          </cell>
          <cell r="T51" t="str">
            <v xml:space="preserve"> 1Q</v>
          </cell>
          <cell r="U51">
            <v>0.3726415094339624</v>
          </cell>
          <cell r="V51">
            <v>-0.18295371050698012</v>
          </cell>
          <cell r="W51">
            <v>-0.10807374443738063</v>
          </cell>
          <cell r="Y51">
            <v>-0.32323232323232326</v>
          </cell>
          <cell r="Z51">
            <v>2.1686746987951772E-2</v>
          </cell>
          <cell r="AA51">
            <v>-0.13333333333333336</v>
          </cell>
          <cell r="AB51">
            <v>-0.14673046251993624</v>
          </cell>
          <cell r="AD51">
            <v>-0.11044953855314057</v>
          </cell>
          <cell r="AF51">
            <v>-0.10687022900763361</v>
          </cell>
          <cell r="AG51">
            <v>1.2675438596491229</v>
          </cell>
          <cell r="AM51" t="str">
            <v>NM</v>
          </cell>
          <cell r="AN51" t="str">
            <v>NM</v>
          </cell>
          <cell r="AO51" t="str">
            <v>NM</v>
          </cell>
          <cell r="AU51" t="str">
            <v xml:space="preserve"> 1Q</v>
          </cell>
          <cell r="AV51">
            <v>-2.6890756302521031E-2</v>
          </cell>
          <cell r="AX51">
            <v>-3.0279503105590102E-2</v>
          </cell>
          <cell r="AY51">
            <v>8.0152671755725338E-2</v>
          </cell>
          <cell r="AZ51">
            <v>1.1571841851494723E-2</v>
          </cell>
          <cell r="BD51">
            <v>-7.8534031413612565E-2</v>
          </cell>
          <cell r="BF51" t="str">
            <v>NM</v>
          </cell>
          <cell r="BG51" t="str">
            <v>NM</v>
          </cell>
          <cell r="BH51" t="str">
            <v>NM</v>
          </cell>
          <cell r="BI51">
            <v>3.8461538461538464E-2</v>
          </cell>
          <cell r="BK51">
            <v>0.19377162629757791</v>
          </cell>
          <cell r="BL51">
            <v>-0.24633431085043994</v>
          </cell>
          <cell r="BM51">
            <v>9.3520374081496327E-2</v>
          </cell>
          <cell r="BO51" t="str">
            <v>NM</v>
          </cell>
          <cell r="BP51" t="str">
            <v>NM</v>
          </cell>
          <cell r="BQ51" t="str">
            <v>NM</v>
          </cell>
          <cell r="BS51">
            <v>-0.20000000000000004</v>
          </cell>
          <cell r="BT51">
            <v>2.0074074074074075</v>
          </cell>
          <cell r="BV51" t="str">
            <v>NM</v>
          </cell>
          <cell r="BX51">
            <v>3.6818851251840937E-2</v>
          </cell>
          <cell r="BY51">
            <v>8.5947261129742908E-2</v>
          </cell>
          <cell r="BZ51">
            <v>2.1433850702143216E-2</v>
          </cell>
          <cell r="CA51">
            <v>8.0676328502415545E-2</v>
          </cell>
        </row>
        <row r="52">
          <cell r="A52" t="str">
            <v xml:space="preserve"> 2Q</v>
          </cell>
          <cell r="B52">
            <v>0.24356542942292053</v>
          </cell>
          <cell r="C52">
            <v>-0.17253731343283585</v>
          </cell>
          <cell r="D52">
            <v>0.11367871785314945</v>
          </cell>
          <cell r="F52" t="str">
            <v>NM</v>
          </cell>
          <cell r="G52" t="str">
            <v>NM</v>
          </cell>
          <cell r="H52" t="str">
            <v>NM</v>
          </cell>
          <cell r="J52">
            <v>-0.12549019607843134</v>
          </cell>
          <cell r="L52">
            <v>0.21327014218009238</v>
          </cell>
          <cell r="R52">
            <v>0.37431412894375848</v>
          </cell>
          <cell r="T52" t="str">
            <v xml:space="preserve"> 2Q</v>
          </cell>
          <cell r="U52">
            <v>-0.29729729729729731</v>
          </cell>
          <cell r="V52">
            <v>-0.17819148936170209</v>
          </cell>
          <cell r="W52">
            <v>-0.18886198547215491</v>
          </cell>
          <cell r="Y52">
            <v>0</v>
          </cell>
          <cell r="Z52">
            <v>-5.502392344497601E-2</v>
          </cell>
          <cell r="AA52">
            <v>-0.14243759177679877</v>
          </cell>
          <cell r="AB52">
            <v>-0.18848167539267011</v>
          </cell>
          <cell r="AD52">
            <v>-0.15602836879432613</v>
          </cell>
          <cell r="AF52">
            <v>-0.11029411764705882</v>
          </cell>
          <cell r="AG52">
            <v>0.6075268817204299</v>
          </cell>
          <cell r="AM52" t="str">
            <v>NM</v>
          </cell>
          <cell r="AN52" t="str">
            <v>NM</v>
          </cell>
          <cell r="AO52" t="str">
            <v>NM</v>
          </cell>
          <cell r="AU52" t="str">
            <v xml:space="preserve"> 2Q</v>
          </cell>
          <cell r="AV52">
            <v>-2.9850746268656716E-2</v>
          </cell>
          <cell r="AX52">
            <v>-6.0283687943262408E-2</v>
          </cell>
          <cell r="AY52">
            <v>0.21458625525946701</v>
          </cell>
          <cell r="AZ52">
            <v>3.2030146019783247E-2</v>
          </cell>
          <cell r="BD52">
            <v>-0.12886597938144331</v>
          </cell>
          <cell r="BF52" t="str">
            <v>NM</v>
          </cell>
          <cell r="BG52" t="str">
            <v>NM</v>
          </cell>
          <cell r="BH52" t="str">
            <v>NM</v>
          </cell>
          <cell r="BI52">
            <v>5.2964690206529094E-2</v>
          </cell>
          <cell r="BK52">
            <v>-4.9668874172185434E-2</v>
          </cell>
          <cell r="BL52">
            <v>0.22426470588235287</v>
          </cell>
          <cell r="BM52">
            <v>1.3582342954159544E-2</v>
          </cell>
          <cell r="BO52" t="str">
            <v>NM</v>
          </cell>
          <cell r="BP52" t="str">
            <v>NM</v>
          </cell>
          <cell r="BQ52" t="str">
            <v>NM</v>
          </cell>
          <cell r="BS52">
            <v>-0.13829787234042559</v>
          </cell>
          <cell r="BT52">
            <v>1.3380952380952382</v>
          </cell>
          <cell r="BV52" t="str">
            <v>NM</v>
          </cell>
          <cell r="BX52">
            <v>9.090909090909087E-2</v>
          </cell>
          <cell r="BY52">
            <v>0.16776859504132224</v>
          </cell>
          <cell r="BZ52">
            <v>6.848184818481845E-2</v>
          </cell>
          <cell r="CA52">
            <v>0.16011950165268235</v>
          </cell>
        </row>
        <row r="53">
          <cell r="A53" t="str">
            <v xml:space="preserve"> 3Q</v>
          </cell>
          <cell r="B53">
            <v>0.16744280218667756</v>
          </cell>
          <cell r="C53">
            <v>-0.11350974930362115</v>
          </cell>
          <cell r="D53">
            <v>0.104156862745098</v>
          </cell>
          <cell r="F53" t="str">
            <v>NM</v>
          </cell>
          <cell r="G53" t="str">
            <v>NM</v>
          </cell>
          <cell r="H53" t="str">
            <v>NM</v>
          </cell>
          <cell r="J53">
            <v>-2.8688524590163907E-2</v>
          </cell>
          <cell r="L53">
            <v>0.18181818181818296</v>
          </cell>
          <cell r="R53">
            <v>0.39669542330750118</v>
          </cell>
          <cell r="T53" t="str">
            <v xml:space="preserve"> 3Q</v>
          </cell>
          <cell r="U53">
            <v>-0.48333333333333334</v>
          </cell>
          <cell r="V53">
            <v>-0.12920738327904444</v>
          </cell>
          <cell r="W53">
            <v>-0.17002881844380394</v>
          </cell>
          <cell r="Y53">
            <v>-0.24193548387096772</v>
          </cell>
          <cell r="Z53">
            <v>-4.9881235154394334E-2</v>
          </cell>
          <cell r="AA53">
            <v>-6.8965517241379309E-2</v>
          </cell>
          <cell r="AB53">
            <v>-0.15169660678642716</v>
          </cell>
          <cell r="AD53">
            <v>-0.12629558541266797</v>
          </cell>
          <cell r="AF53">
            <v>-0.12658227848101267</v>
          </cell>
          <cell r="AG53">
            <v>0.64415584415584404</v>
          </cell>
          <cell r="AM53" t="str">
            <v>NM</v>
          </cell>
          <cell r="AN53" t="str">
            <v>NM</v>
          </cell>
          <cell r="AO53" t="str">
            <v>NM</v>
          </cell>
          <cell r="AU53" t="str">
            <v xml:space="preserve"> 3Q</v>
          </cell>
          <cell r="AV53">
            <v>-5.979073243647319E-3</v>
          </cell>
          <cell r="AX53">
            <v>1.3927576601671311E-2</v>
          </cell>
          <cell r="AY53">
            <v>-1.7052375152253246E-2</v>
          </cell>
          <cell r="AZ53">
            <v>2.6583961010191526E-3</v>
          </cell>
          <cell r="BD53">
            <v>-2.2222222222222143E-2</v>
          </cell>
          <cell r="BF53" t="str">
            <v>NM</v>
          </cell>
          <cell r="BG53" t="str">
            <v>NM</v>
          </cell>
          <cell r="BH53" t="str">
            <v>NM</v>
          </cell>
          <cell r="BI53">
            <v>2.5649045980606779E-2</v>
          </cell>
          <cell r="BK53">
            <v>0</v>
          </cell>
          <cell r="BL53">
            <v>0.1901408450704225</v>
          </cell>
          <cell r="BM53">
            <v>4.2586750788643352E-2</v>
          </cell>
          <cell r="BO53" t="str">
            <v>NM</v>
          </cell>
          <cell r="BP53" t="str">
            <v>NM</v>
          </cell>
          <cell r="BQ53" t="str">
            <v>NM</v>
          </cell>
          <cell r="BS53">
            <v>-0.29411764705882354</v>
          </cell>
          <cell r="BT53">
            <v>0.86363636363636342</v>
          </cell>
          <cell r="BV53" t="str">
            <v>NM</v>
          </cell>
          <cell r="BX53">
            <v>5.0143266475644703E-2</v>
          </cell>
          <cell r="BY53">
            <v>0.19465033838221077</v>
          </cell>
          <cell r="BZ53">
            <v>0.10689388071262597</v>
          </cell>
          <cell r="CA53">
            <v>0.18790908009044402</v>
          </cell>
        </row>
        <row r="54">
          <cell r="A54" t="str">
            <v xml:space="preserve"> 4Q</v>
          </cell>
          <cell r="B54">
            <v>0.23705044107667936</v>
          </cell>
          <cell r="C54">
            <v>-0.10192666252330643</v>
          </cell>
          <cell r="D54">
            <v>0.14660033167495851</v>
          </cell>
          <cell r="F54" t="str">
            <v>NM</v>
          </cell>
          <cell r="G54" t="str">
            <v>NM</v>
          </cell>
          <cell r="H54" t="str">
            <v>NM</v>
          </cell>
          <cell r="J54">
            <v>8.1911262798634768E-2</v>
          </cell>
          <cell r="L54">
            <v>0.19285714285714053</v>
          </cell>
          <cell r="R54">
            <v>0.36978051391862948</v>
          </cell>
          <cell r="T54" t="str">
            <v xml:space="preserve"> 4Q</v>
          </cell>
          <cell r="U54">
            <v>-0.50740740740740742</v>
          </cell>
          <cell r="V54">
            <v>-0.21511179645335385</v>
          </cell>
          <cell r="W54">
            <v>-0.26547543075941288</v>
          </cell>
          <cell r="Y54">
            <v>-0.23571428571428577</v>
          </cell>
          <cell r="Z54">
            <v>-9.0909090909090912E-2</v>
          </cell>
          <cell r="AA54">
            <v>-0.14940577249575548</v>
          </cell>
          <cell r="AB54">
            <v>-0.14285714285714288</v>
          </cell>
          <cell r="AD54">
            <v>-0.19903064415259533</v>
          </cell>
          <cell r="AF54">
            <v>-6.7796610169491581E-2</v>
          </cell>
          <cell r="AG54">
            <v>0.56692913385826771</v>
          </cell>
          <cell r="AM54" t="str">
            <v>NM</v>
          </cell>
          <cell r="AN54" t="str">
            <v>NM</v>
          </cell>
          <cell r="AO54" t="str">
            <v>NM</v>
          </cell>
          <cell r="AU54" t="str">
            <v xml:space="preserve"> 4Q</v>
          </cell>
          <cell r="AV54">
            <v>-5.7640750670241256E-2</v>
          </cell>
          <cell r="AX54">
            <v>0.22037283621837567</v>
          </cell>
          <cell r="AY54">
            <v>9.841628959276004E-2</v>
          </cell>
          <cell r="AZ54">
            <v>0.17518860016764454</v>
          </cell>
          <cell r="BD54">
            <v>-0.1953488372093023</v>
          </cell>
          <cell r="BF54">
            <v>2.2051282051282053</v>
          </cell>
          <cell r="BG54">
            <v>1</v>
          </cell>
          <cell r="BH54">
            <v>1.5</v>
          </cell>
          <cell r="BI54">
            <v>0.13775065387968624</v>
          </cell>
          <cell r="BK54">
            <v>-0.2523900573613766</v>
          </cell>
          <cell r="BL54">
            <v>1.8518518518518563E-2</v>
          </cell>
          <cell r="BM54">
            <v>-0.18832116788321165</v>
          </cell>
          <cell r="BO54">
            <v>0.87162162162162149</v>
          </cell>
          <cell r="BP54">
            <v>1.263157894736842</v>
          </cell>
          <cell r="BQ54">
            <v>1.0419847328244272</v>
          </cell>
          <cell r="BS54">
            <v>-7.9545454545454655E-2</v>
          </cell>
          <cell r="BT54">
            <v>0.76</v>
          </cell>
          <cell r="BV54" t="str">
            <v>NM</v>
          </cell>
          <cell r="BX54">
            <v>2.4657534246575304E-2</v>
          </cell>
          <cell r="BY54">
            <v>0.16749494365790243</v>
          </cell>
          <cell r="BZ54">
            <v>8.1656124209315631E-2</v>
          </cell>
          <cell r="CA54">
            <v>0.1596565847511027</v>
          </cell>
        </row>
        <row r="56">
          <cell r="A56" t="str">
            <v>Year</v>
          </cell>
          <cell r="B56">
            <v>0.16645474511617181</v>
          </cell>
          <cell r="C56">
            <v>-0.14000319642000961</v>
          </cell>
          <cell r="D56">
            <v>8.506303323570634E-2</v>
          </cell>
          <cell r="F56" t="str">
            <v>NM</v>
          </cell>
          <cell r="G56" t="str">
            <v>NM</v>
          </cell>
          <cell r="H56" t="str">
            <v>NM</v>
          </cell>
          <cell r="J56">
            <v>-7.9101562499999944E-2</v>
          </cell>
          <cell r="L56">
            <v>0.20045558086560117</v>
          </cell>
          <cell r="R56">
            <v>0.32396505886821114</v>
          </cell>
          <cell r="T56" t="str">
            <v>Year</v>
          </cell>
          <cell r="U56">
            <v>-0.20897615708274883</v>
          </cell>
          <cell r="V56">
            <v>-0.18015721266199258</v>
          </cell>
          <cell r="W56">
            <v>-0.18394833948339454</v>
          </cell>
          <cell r="Y56">
            <v>-0.22597864768683279</v>
          </cell>
          <cell r="Z56">
            <v>-4.4273907910271387E-2</v>
          </cell>
          <cell r="AA56">
            <v>-0.12464929859719437</v>
          </cell>
          <cell r="AB56">
            <v>-0.15763546798029562</v>
          </cell>
          <cell r="AD56">
            <v>-0.1483543677307595</v>
          </cell>
          <cell r="AF56">
            <v>-0.10327706057596815</v>
          </cell>
          <cell r="AG56">
            <v>0.70395177494976546</v>
          </cell>
          <cell r="AM56" t="str">
            <v>NM</v>
          </cell>
          <cell r="AN56" t="str">
            <v>NM</v>
          </cell>
          <cell r="AO56" t="str">
            <v>NM</v>
          </cell>
          <cell r="AU56" t="str">
            <v>Year</v>
          </cell>
          <cell r="AV56">
            <v>-3.0970149253731385E-2</v>
          </cell>
          <cell r="AX56">
            <v>4.0276792051100158E-2</v>
          </cell>
          <cell r="AY56">
            <v>9.0199750312109792E-2</v>
          </cell>
          <cell r="AZ56">
            <v>5.8371040723982061E-2</v>
          </cell>
          <cell r="BD56">
            <v>-0.11025641025641018</v>
          </cell>
          <cell r="BF56">
            <v>2.5660377358490565</v>
          </cell>
          <cell r="BG56">
            <v>2.1914893617021276</v>
          </cell>
          <cell r="BH56">
            <v>2.3899999999999997</v>
          </cell>
          <cell r="BI56">
            <v>6.6000000000000003E-2</v>
          </cell>
          <cell r="BK56">
            <v>-2.0772238514174136E-2</v>
          </cell>
          <cell r="BL56">
            <v>3.0303030303030328E-2</v>
          </cell>
          <cell r="BM56">
            <v>-9.0344438170524271E-3</v>
          </cell>
          <cell r="BO56">
            <v>2.0063291139240507</v>
          </cell>
          <cell r="BP56">
            <v>1.6336633663366338</v>
          </cell>
          <cell r="BQ56">
            <v>1.8239095315024232</v>
          </cell>
          <cell r="BS56">
            <v>-0.17679558011049737</v>
          </cell>
          <cell r="BT56">
            <v>1.0856269113149848</v>
          </cell>
          <cell r="BV56" t="str">
            <v>NM</v>
          </cell>
          <cell r="BX56">
            <v>5.0357142857142941E-2</v>
          </cell>
          <cell r="BY56">
            <v>0.15446784018418158</v>
          </cell>
          <cell r="BZ56">
            <v>7.006255585344065E-2</v>
          </cell>
          <cell r="CA56">
            <v>0.14753749523054815</v>
          </cell>
        </row>
        <row r="58">
          <cell r="A58" t="str">
            <v>1997</v>
          </cell>
          <cell r="T58" t="str">
            <v>1997</v>
          </cell>
          <cell r="AU58" t="str">
            <v>1997</v>
          </cell>
        </row>
        <row r="59">
          <cell r="A59" t="str">
            <v xml:space="preserve"> 1Q</v>
          </cell>
          <cell r="B59">
            <v>435.7</v>
          </cell>
          <cell r="C59">
            <v>127.7</v>
          </cell>
          <cell r="D59">
            <v>563.4</v>
          </cell>
          <cell r="F59">
            <v>91.3</v>
          </cell>
          <cell r="G59">
            <v>14.1</v>
          </cell>
          <cell r="H59">
            <v>105.39999999999999</v>
          </cell>
          <cell r="J59">
            <v>16.600000000000001</v>
          </cell>
          <cell r="L59">
            <v>20.399999999999984</v>
          </cell>
          <cell r="R59">
            <v>705.8</v>
          </cell>
          <cell r="T59" t="str">
            <v xml:space="preserve"> 1Q</v>
          </cell>
          <cell r="U59">
            <v>29.1</v>
          </cell>
          <cell r="V59">
            <v>111.2</v>
          </cell>
          <cell r="W59">
            <v>140.30000000000001</v>
          </cell>
          <cell r="Y59">
            <v>6.7</v>
          </cell>
          <cell r="Z59">
            <v>42.4</v>
          </cell>
          <cell r="AA59">
            <v>55.9</v>
          </cell>
          <cell r="AB59">
            <v>53.5</v>
          </cell>
          <cell r="AD59">
            <v>298.8</v>
          </cell>
          <cell r="AF59">
            <v>23.4</v>
          </cell>
          <cell r="AG59">
            <v>51.7</v>
          </cell>
          <cell r="AM59">
            <v>0</v>
          </cell>
          <cell r="AN59">
            <v>0</v>
          </cell>
          <cell r="AO59">
            <v>0</v>
          </cell>
          <cell r="AU59" t="str">
            <v xml:space="preserve"> 1Q</v>
          </cell>
          <cell r="AV59">
            <v>57.9</v>
          </cell>
          <cell r="AX59">
            <v>124.9</v>
          </cell>
          <cell r="AY59">
            <v>84.9</v>
          </cell>
          <cell r="AZ59">
            <v>209.8</v>
          </cell>
          <cell r="BD59">
            <v>17.600000000000001</v>
          </cell>
          <cell r="BF59">
            <v>6.7</v>
          </cell>
          <cell r="BG59">
            <v>5</v>
          </cell>
          <cell r="BH59">
            <v>11.7</v>
          </cell>
          <cell r="BI59">
            <v>297</v>
          </cell>
          <cell r="BK59">
            <v>138</v>
          </cell>
          <cell r="BL59">
            <v>25.7</v>
          </cell>
          <cell r="BM59">
            <v>163.69999999999999</v>
          </cell>
          <cell r="BO59">
            <v>19</v>
          </cell>
          <cell r="BP59">
            <v>14</v>
          </cell>
          <cell r="BQ59">
            <v>33</v>
          </cell>
          <cell r="BS59">
            <v>7.6</v>
          </cell>
          <cell r="BT59">
            <v>40.6</v>
          </cell>
          <cell r="BV59">
            <v>0</v>
          </cell>
          <cell r="BX59">
            <v>70.400000000000006</v>
          </cell>
          <cell r="BY59">
            <v>1651.4</v>
          </cell>
          <cell r="BZ59">
            <v>138.19999999999999</v>
          </cell>
          <cell r="CA59">
            <v>1789.6000000000001</v>
          </cell>
        </row>
        <row r="60">
          <cell r="A60" t="str">
            <v xml:space="preserve"> 2Q</v>
          </cell>
          <cell r="B60">
            <v>459</v>
          </cell>
          <cell r="C60">
            <v>138.6</v>
          </cell>
          <cell r="D60">
            <v>597.6</v>
          </cell>
          <cell r="F60">
            <v>125.8</v>
          </cell>
          <cell r="G60">
            <v>30.2</v>
          </cell>
          <cell r="H60">
            <v>156</v>
          </cell>
          <cell r="J60">
            <v>22.3</v>
          </cell>
          <cell r="L60">
            <v>25.599999999999977</v>
          </cell>
          <cell r="R60">
            <v>801.5</v>
          </cell>
          <cell r="T60" t="str">
            <v xml:space="preserve"> 2Q</v>
          </cell>
          <cell r="U60">
            <v>7.8</v>
          </cell>
          <cell r="V60">
            <v>92.7</v>
          </cell>
          <cell r="W60">
            <v>100.5</v>
          </cell>
          <cell r="Y60">
            <v>5</v>
          </cell>
          <cell r="Z60">
            <v>39.5</v>
          </cell>
          <cell r="AA60">
            <v>58.4</v>
          </cell>
          <cell r="AB60">
            <v>46.5</v>
          </cell>
          <cell r="AD60">
            <v>249.9</v>
          </cell>
          <cell r="AF60">
            <v>24.2</v>
          </cell>
          <cell r="AG60">
            <v>59.8</v>
          </cell>
          <cell r="AM60">
            <v>0</v>
          </cell>
          <cell r="AN60">
            <v>0</v>
          </cell>
          <cell r="AO60">
            <v>0</v>
          </cell>
          <cell r="AU60" t="str">
            <v xml:space="preserve"> 2Q</v>
          </cell>
          <cell r="AV60">
            <v>65</v>
          </cell>
          <cell r="AX60">
            <v>132.5</v>
          </cell>
          <cell r="AY60">
            <v>86.6</v>
          </cell>
          <cell r="AZ60">
            <v>219.1</v>
          </cell>
          <cell r="BD60">
            <v>16.899999999999999</v>
          </cell>
          <cell r="BF60">
            <v>8.5</v>
          </cell>
          <cell r="BG60">
            <v>6.6</v>
          </cell>
          <cell r="BH60">
            <v>15.1</v>
          </cell>
          <cell r="BI60">
            <v>316.10000000000002</v>
          </cell>
          <cell r="BK60">
            <v>86.1</v>
          </cell>
          <cell r="BL60">
            <v>33.299999999999997</v>
          </cell>
          <cell r="BM60">
            <v>119.39999999999999</v>
          </cell>
          <cell r="BO60">
            <v>22.1</v>
          </cell>
          <cell r="BP60">
            <v>18.899999999999999</v>
          </cell>
          <cell r="BQ60">
            <v>41</v>
          </cell>
          <cell r="BS60">
            <v>8.1</v>
          </cell>
          <cell r="BT60">
            <v>49.1</v>
          </cell>
          <cell r="BV60">
            <v>0</v>
          </cell>
          <cell r="BX60">
            <v>75.599999999999994</v>
          </cell>
          <cell r="BY60">
            <v>1695.6</v>
          </cell>
          <cell r="BZ60">
            <v>129.5</v>
          </cell>
          <cell r="CA60">
            <v>1825.1</v>
          </cell>
        </row>
        <row r="61">
          <cell r="A61" t="str">
            <v xml:space="preserve"> 3Q</v>
          </cell>
          <cell r="B61">
            <v>576.6</v>
          </cell>
          <cell r="C61">
            <v>127.3</v>
          </cell>
          <cell r="D61">
            <v>703.9</v>
          </cell>
          <cell r="F61">
            <v>162.69999999999999</v>
          </cell>
          <cell r="G61">
            <v>39.1</v>
          </cell>
          <cell r="H61">
            <v>201.79999999999998</v>
          </cell>
          <cell r="J61">
            <v>23.7</v>
          </cell>
          <cell r="L61">
            <v>26</v>
          </cell>
          <cell r="R61">
            <v>955.2</v>
          </cell>
          <cell r="T61" t="str">
            <v xml:space="preserve"> 3Q</v>
          </cell>
          <cell r="U61">
            <v>6.2</v>
          </cell>
          <cell r="V61">
            <v>80.2</v>
          </cell>
          <cell r="W61">
            <v>86.4</v>
          </cell>
          <cell r="Y61">
            <v>4.7</v>
          </cell>
          <cell r="Z61">
            <v>40</v>
          </cell>
          <cell r="AA61">
            <v>54</v>
          </cell>
          <cell r="AB61">
            <v>42.5</v>
          </cell>
          <cell r="AD61">
            <v>227.6</v>
          </cell>
          <cell r="AF61">
            <v>20.7</v>
          </cell>
          <cell r="AG61">
            <v>63.3</v>
          </cell>
          <cell r="AM61">
            <v>0</v>
          </cell>
          <cell r="AN61">
            <v>0</v>
          </cell>
          <cell r="AO61">
            <v>0</v>
          </cell>
          <cell r="AU61" t="str">
            <v xml:space="preserve"> 3Q</v>
          </cell>
          <cell r="AV61">
            <v>66.5</v>
          </cell>
          <cell r="AX61">
            <v>145.6</v>
          </cell>
          <cell r="AY61">
            <v>80.7</v>
          </cell>
          <cell r="AZ61">
            <v>226.3</v>
          </cell>
          <cell r="BD61">
            <v>17.600000000000001</v>
          </cell>
          <cell r="BF61">
            <v>10.1</v>
          </cell>
          <cell r="BG61">
            <v>7.4</v>
          </cell>
          <cell r="BH61">
            <v>17.5</v>
          </cell>
          <cell r="BI61">
            <v>327.90000000000003</v>
          </cell>
          <cell r="BK61">
            <v>98.4</v>
          </cell>
          <cell r="BL61">
            <v>33.799999999999997</v>
          </cell>
          <cell r="BM61">
            <v>132.19999999999999</v>
          </cell>
          <cell r="BO61">
            <v>26.2</v>
          </cell>
          <cell r="BP61">
            <v>21.1</v>
          </cell>
          <cell r="BQ61">
            <v>47.3</v>
          </cell>
          <cell r="BS61">
            <v>6</v>
          </cell>
          <cell r="BT61">
            <v>53.3</v>
          </cell>
          <cell r="BV61">
            <v>0</v>
          </cell>
          <cell r="BX61">
            <v>73.3</v>
          </cell>
          <cell r="BY61">
            <v>1853.5</v>
          </cell>
          <cell r="BZ61">
            <v>142.9</v>
          </cell>
          <cell r="CA61">
            <v>1996.4</v>
          </cell>
        </row>
        <row r="62">
          <cell r="A62" t="str">
            <v xml:space="preserve"> 4Q</v>
          </cell>
          <cell r="B62">
            <v>546.9</v>
          </cell>
          <cell r="C62">
            <v>144.5</v>
          </cell>
          <cell r="D62">
            <v>691.4</v>
          </cell>
          <cell r="F62">
            <v>210.2</v>
          </cell>
          <cell r="G62">
            <v>56.8</v>
          </cell>
          <cell r="H62">
            <v>267</v>
          </cell>
          <cell r="J62">
            <v>31.7</v>
          </cell>
          <cell r="L62">
            <v>33.4</v>
          </cell>
          <cell r="R62">
            <v>1023.5</v>
          </cell>
          <cell r="T62" t="str">
            <v xml:space="preserve"> 4Q</v>
          </cell>
          <cell r="U62">
            <v>13.3</v>
          </cell>
          <cell r="V62">
            <v>101.8</v>
          </cell>
          <cell r="W62">
            <v>115.1</v>
          </cell>
          <cell r="Y62">
            <v>5.35</v>
          </cell>
          <cell r="Z62">
            <v>40</v>
          </cell>
          <cell r="AA62">
            <v>50.1</v>
          </cell>
          <cell r="AB62">
            <v>45.6</v>
          </cell>
          <cell r="AD62">
            <v>256.14999999999998</v>
          </cell>
          <cell r="AF62">
            <v>22</v>
          </cell>
          <cell r="AG62">
            <v>79.599999999999994</v>
          </cell>
          <cell r="AM62">
            <v>0</v>
          </cell>
          <cell r="AN62">
            <v>0</v>
          </cell>
          <cell r="AO62">
            <v>0</v>
          </cell>
          <cell r="AU62" t="str">
            <v xml:space="preserve"> 4Q</v>
          </cell>
          <cell r="AV62">
            <v>70.3</v>
          </cell>
          <cell r="AX62">
            <v>183.3</v>
          </cell>
          <cell r="AY62">
            <v>97.1</v>
          </cell>
          <cell r="AZ62">
            <v>280.39999999999998</v>
          </cell>
          <cell r="BD62">
            <v>17.3</v>
          </cell>
          <cell r="BF62">
            <v>12.5</v>
          </cell>
          <cell r="BG62">
            <v>11</v>
          </cell>
          <cell r="BH62">
            <v>23.5</v>
          </cell>
          <cell r="BI62">
            <v>391.5</v>
          </cell>
          <cell r="BK62">
            <v>78.2</v>
          </cell>
          <cell r="BL62">
            <v>33</v>
          </cell>
          <cell r="BM62">
            <v>111.2</v>
          </cell>
          <cell r="BO62">
            <v>27.7</v>
          </cell>
          <cell r="BP62">
            <v>25.8</v>
          </cell>
          <cell r="BQ62">
            <v>53.5</v>
          </cell>
          <cell r="BS62">
            <v>8.1</v>
          </cell>
          <cell r="BT62">
            <v>61.6</v>
          </cell>
          <cell r="BV62">
            <v>0</v>
          </cell>
          <cell r="BX62">
            <v>74.8</v>
          </cell>
          <cell r="BY62">
            <v>2020.35</v>
          </cell>
          <cell r="BZ62">
            <v>188.1</v>
          </cell>
          <cell r="CA62">
            <v>2208.4499999999998</v>
          </cell>
        </row>
        <row r="64">
          <cell r="A64" t="str">
            <v>Year</v>
          </cell>
          <cell r="B64">
            <v>2018.2000000000003</v>
          </cell>
          <cell r="C64">
            <v>538.1</v>
          </cell>
          <cell r="D64">
            <v>2556.3000000000002</v>
          </cell>
          <cell r="F64">
            <v>590</v>
          </cell>
          <cell r="G64">
            <v>140.19999999999999</v>
          </cell>
          <cell r="H64">
            <v>730.19999999999993</v>
          </cell>
          <cell r="J64">
            <v>94.300000000000011</v>
          </cell>
          <cell r="L64">
            <v>105.39999999999995</v>
          </cell>
          <cell r="R64">
            <v>3486</v>
          </cell>
          <cell r="T64" t="str">
            <v>Year</v>
          </cell>
          <cell r="U64">
            <v>56.400000000000006</v>
          </cell>
          <cell r="V64">
            <v>385.90000000000003</v>
          </cell>
          <cell r="W64">
            <v>442.30000000000007</v>
          </cell>
          <cell r="Y64">
            <v>21.75</v>
          </cell>
          <cell r="Z64">
            <v>161.9</v>
          </cell>
          <cell r="AA64">
            <v>218.4</v>
          </cell>
          <cell r="AB64">
            <v>188.1</v>
          </cell>
          <cell r="AD64">
            <v>1032.45</v>
          </cell>
          <cell r="AF64">
            <v>90.3</v>
          </cell>
          <cell r="AG64">
            <v>254.4</v>
          </cell>
          <cell r="AM64">
            <v>0</v>
          </cell>
          <cell r="AN64">
            <v>0</v>
          </cell>
          <cell r="AO64">
            <v>0</v>
          </cell>
          <cell r="AU64" t="str">
            <v>Year</v>
          </cell>
          <cell r="AV64">
            <v>259.7</v>
          </cell>
          <cell r="AX64">
            <v>586.29999999999995</v>
          </cell>
          <cell r="AY64">
            <v>349.29999999999995</v>
          </cell>
          <cell r="AZ64">
            <v>935.6</v>
          </cell>
          <cell r="BD64">
            <v>69.400000000000006</v>
          </cell>
          <cell r="BF64">
            <v>37.799999999999997</v>
          </cell>
          <cell r="BG64">
            <v>30</v>
          </cell>
          <cell r="BH64">
            <v>67.8</v>
          </cell>
          <cell r="BI64">
            <v>1332.5</v>
          </cell>
          <cell r="BK64">
            <v>400.7</v>
          </cell>
          <cell r="BL64">
            <v>125.8</v>
          </cell>
          <cell r="BM64">
            <v>526.5</v>
          </cell>
          <cell r="BO64">
            <v>95</v>
          </cell>
          <cell r="BP64">
            <v>79.8</v>
          </cell>
          <cell r="BQ64">
            <v>174.8</v>
          </cell>
          <cell r="BS64">
            <v>29.799999999999997</v>
          </cell>
          <cell r="BT64">
            <v>204.6</v>
          </cell>
          <cell r="BV64">
            <v>0</v>
          </cell>
          <cell r="BX64">
            <v>294.10000000000002</v>
          </cell>
          <cell r="BY64">
            <v>7220.85</v>
          </cell>
          <cell r="BZ64">
            <v>598.70000000000005</v>
          </cell>
          <cell r="CA64">
            <v>7819.5500000000011</v>
          </cell>
        </row>
        <row r="66">
          <cell r="A66" t="str">
            <v>1998/97</v>
          </cell>
          <cell r="T66" t="str">
            <v>1998/97</v>
          </cell>
          <cell r="AU66" t="str">
            <v>1998/97</v>
          </cell>
        </row>
        <row r="67">
          <cell r="A67" t="str">
            <v xml:space="preserve"> 1Q</v>
          </cell>
          <cell r="B67">
            <v>0.10626577920587563</v>
          </cell>
          <cell r="C67">
            <v>3.9154267815191747E-2</v>
          </cell>
          <cell r="D67">
            <v>9.1054313099041662E-2</v>
          </cell>
          <cell r="F67">
            <v>1.5235487404162107</v>
          </cell>
          <cell r="G67">
            <v>3.0283687943262407</v>
          </cell>
          <cell r="H67">
            <v>1.7248576850094879</v>
          </cell>
          <cell r="J67">
            <v>-3.012048192771084E-2</v>
          </cell>
          <cell r="L67">
            <v>0.22549019607843232</v>
          </cell>
          <cell r="R67">
            <v>0.33550580901105143</v>
          </cell>
          <cell r="T67" t="str">
            <v xml:space="preserve"> 1Q</v>
          </cell>
          <cell r="U67">
            <v>-0.57388316151202756</v>
          </cell>
          <cell r="V67">
            <v>-6.1151079136690621E-2</v>
          </cell>
          <cell r="W67">
            <v>-0.16749821810406271</v>
          </cell>
          <cell r="Y67">
            <v>-0.17910447761194032</v>
          </cell>
          <cell r="Z67">
            <v>-0.11320754716981125</v>
          </cell>
          <cell r="AA67">
            <v>-1.7889087656529516E-2</v>
          </cell>
          <cell r="AB67">
            <v>-0.18317757009345789</v>
          </cell>
          <cell r="AD67">
            <v>-0.13487282463186082</v>
          </cell>
          <cell r="AF67">
            <v>-3.8461538461538401E-2</v>
          </cell>
          <cell r="AG67">
            <v>0.3539651837524177</v>
          </cell>
          <cell r="AM67" t="str">
            <v>NM</v>
          </cell>
          <cell r="AN67" t="str">
            <v>NM</v>
          </cell>
          <cell r="AO67" t="str">
            <v>NM</v>
          </cell>
          <cell r="AU67" t="str">
            <v xml:space="preserve"> 1Q</v>
          </cell>
          <cell r="AV67">
            <v>5.1813471502590677E-2</v>
          </cell>
          <cell r="AX67">
            <v>-0.16092874299439558</v>
          </cell>
          <cell r="AY67">
            <v>5.8892815076560655E-2</v>
          </cell>
          <cell r="AZ67">
            <v>-7.1973307912297529E-2</v>
          </cell>
          <cell r="BD67">
            <v>-3.4090909090909172E-2</v>
          </cell>
          <cell r="BF67">
            <v>0.8955223880597013</v>
          </cell>
          <cell r="BG67">
            <v>1.4</v>
          </cell>
          <cell r="BH67">
            <v>1.1111111111111112</v>
          </cell>
          <cell r="BI67">
            <v>1.0101010101010485E-3</v>
          </cell>
          <cell r="BK67">
            <v>-0.15000000000000002</v>
          </cell>
          <cell r="BL67">
            <v>6.6147859922178961E-2</v>
          </cell>
          <cell r="BM67">
            <v>-0.11606597434331094</v>
          </cell>
          <cell r="BO67">
            <v>0.61578947368421044</v>
          </cell>
          <cell r="BP67">
            <v>0.87857142857142867</v>
          </cell>
          <cell r="BQ67">
            <v>0.72727272727272729</v>
          </cell>
          <cell r="BS67">
            <v>-6.5789473684210523E-2</v>
          </cell>
          <cell r="BT67">
            <v>0.57881773399014758</v>
          </cell>
          <cell r="BV67" t="str">
            <v>NM</v>
          </cell>
          <cell r="BX67">
            <v>0</v>
          </cell>
          <cell r="BY67">
            <v>0.15265835049049284</v>
          </cell>
          <cell r="BZ67">
            <v>5.7887120115774453E-2</v>
          </cell>
          <cell r="CA67">
            <v>0.14533974072418399</v>
          </cell>
        </row>
        <row r="68">
          <cell r="A68" t="str">
            <v xml:space="preserve"> 2Q</v>
          </cell>
          <cell r="B68">
            <v>0.14880174291938988</v>
          </cell>
          <cell r="C68">
            <v>-1.94805194805194E-2</v>
          </cell>
          <cell r="D68">
            <v>0.10977242302543491</v>
          </cell>
          <cell r="F68">
            <v>1.032591414944356</v>
          </cell>
          <cell r="G68">
            <v>1.380794701986755</v>
          </cell>
          <cell r="H68">
            <v>1.1000000000000001</v>
          </cell>
          <cell r="J68">
            <v>-0.15246636771300456</v>
          </cell>
          <cell r="L68">
            <v>9.3750000000000999E-2</v>
          </cell>
          <cell r="R68">
            <v>0.29407361197754217</v>
          </cell>
          <cell r="T68" t="str">
            <v xml:space="preserve"> 2Q</v>
          </cell>
          <cell r="U68">
            <v>-0.35897435897435898</v>
          </cell>
          <cell r="V68">
            <v>-9.1693635382955774E-2</v>
          </cell>
          <cell r="W68">
            <v>-0.11243781094527361</v>
          </cell>
          <cell r="Y68">
            <v>-0.27999999999999997</v>
          </cell>
          <cell r="Z68">
            <v>-2.5316455696202892E-3</v>
          </cell>
          <cell r="AA68">
            <v>-0.14212328767123283</v>
          </cell>
          <cell r="AB68">
            <v>-9.4623655913978463E-2</v>
          </cell>
          <cell r="AD68">
            <v>-0.10204081632653073</v>
          </cell>
          <cell r="AF68">
            <v>-0.33884297520661155</v>
          </cell>
          <cell r="AG68">
            <v>0.68896321070234123</v>
          </cell>
          <cell r="AM68" t="str">
            <v>NM</v>
          </cell>
          <cell r="AN68" t="str">
            <v>NM</v>
          </cell>
          <cell r="AO68" t="str">
            <v>NM</v>
          </cell>
          <cell r="AU68" t="str">
            <v xml:space="preserve"> 2Q</v>
          </cell>
          <cell r="AV68">
            <v>9.2307692307691432E-3</v>
          </cell>
          <cell r="AX68">
            <v>0.11622641509433966</v>
          </cell>
          <cell r="AY68">
            <v>0.10969976905311779</v>
          </cell>
          <cell r="AZ68">
            <v>0.11364673664993157</v>
          </cell>
          <cell r="BD68">
            <v>-1.1834319526627177E-2</v>
          </cell>
          <cell r="BF68">
            <v>0.88235294117647056</v>
          </cell>
          <cell r="BG68">
            <v>1.0606060606060606</v>
          </cell>
          <cell r="BH68">
            <v>0.96026490066225179</v>
          </cell>
          <cell r="BI68">
            <v>0.12590952230306868</v>
          </cell>
          <cell r="BK68">
            <v>-0.49128919860627179</v>
          </cell>
          <cell r="BL68">
            <v>-3.3033033033032864E-2</v>
          </cell>
          <cell r="BM68">
            <v>-0.3634840871021775</v>
          </cell>
          <cell r="BO68">
            <v>1.3891402714932124</v>
          </cell>
          <cell r="BP68">
            <v>0.72486772486772511</v>
          </cell>
          <cell r="BQ68">
            <v>1.0829268292682928</v>
          </cell>
          <cell r="BS68">
            <v>-0.14814814814814806</v>
          </cell>
          <cell r="BT68">
            <v>0.87983706720977617</v>
          </cell>
          <cell r="BV68" t="str">
            <v>NM</v>
          </cell>
          <cell r="BX68">
            <v>-6.6137566137566143E-3</v>
          </cell>
          <cell r="BY68">
            <v>0.17515923566878983</v>
          </cell>
          <cell r="BZ68">
            <v>5.5598455598455727E-2</v>
          </cell>
          <cell r="CA68">
            <v>0.16667579858637874</v>
          </cell>
        </row>
        <row r="69">
          <cell r="A69" t="str">
            <v xml:space="preserve"> 3Q</v>
          </cell>
          <cell r="B69">
            <v>0.14793617759278521</v>
          </cell>
          <cell r="C69">
            <v>-7.8554595443829003E-4</v>
          </cell>
          <cell r="D69">
            <v>0.12103992044324485</v>
          </cell>
          <cell r="F69">
            <v>0.91518131530424118</v>
          </cell>
          <cell r="G69">
            <v>1.1611253196930946</v>
          </cell>
          <cell r="H69">
            <v>0.96283448959365736</v>
          </cell>
          <cell r="J69">
            <v>-9.2827004219409259E-2</v>
          </cell>
          <cell r="L69">
            <v>0.15384615384615385</v>
          </cell>
          <cell r="R69">
            <v>0.29501675041876041</v>
          </cell>
          <cell r="T69" t="str">
            <v xml:space="preserve"> 3Q</v>
          </cell>
          <cell r="U69">
            <v>0.38709677419354827</v>
          </cell>
          <cell r="V69">
            <v>-0.10224438902743145</v>
          </cell>
          <cell r="W69">
            <v>-6.7129629629629761E-2</v>
          </cell>
          <cell r="Y69">
            <v>-0.23404255319148937</v>
          </cell>
          <cell r="Z69">
            <v>-5.500000000000007E-2</v>
          </cell>
          <cell r="AA69">
            <v>-0.1518518518518519</v>
          </cell>
          <cell r="AB69">
            <v>-4.000000000000007E-2</v>
          </cell>
          <cell r="AD69">
            <v>-8.3479789103690819E-2</v>
          </cell>
          <cell r="AF69">
            <v>-1.4492753623188441E-2</v>
          </cell>
          <cell r="AG69">
            <v>0.36966824644549773</v>
          </cell>
          <cell r="AM69" t="str">
            <v>NM</v>
          </cell>
          <cell r="AN69" t="str">
            <v>NM</v>
          </cell>
          <cell r="AO69" t="str">
            <v>NM</v>
          </cell>
          <cell r="AU69" t="str">
            <v xml:space="preserve"> 3Q</v>
          </cell>
          <cell r="AV69">
            <v>-2.4060150375939764E-2</v>
          </cell>
          <cell r="AX69">
            <v>3.1593406593406557E-2</v>
          </cell>
          <cell r="AY69">
            <v>0.11771995043370508</v>
          </cell>
          <cell r="AZ69">
            <v>6.2306672558550442E-2</v>
          </cell>
          <cell r="BD69">
            <v>-9.6590909090909144E-2</v>
          </cell>
          <cell r="BF69">
            <v>0.68316831683168322</v>
          </cell>
          <cell r="BG69">
            <v>1.027027027027027</v>
          </cell>
          <cell r="BH69">
            <v>0.82857142857142863</v>
          </cell>
          <cell r="BI69">
            <v>7.7157670021347657E-2</v>
          </cell>
          <cell r="BK69">
            <v>-0.31707317073170732</v>
          </cell>
          <cell r="BL69">
            <v>-0.14201183431952655</v>
          </cell>
          <cell r="BM69">
            <v>-0.27231467473524956</v>
          </cell>
          <cell r="BO69">
            <v>0.24427480916030544</v>
          </cell>
          <cell r="BP69">
            <v>0.73933649289099523</v>
          </cell>
          <cell r="BQ69">
            <v>0.46511627906976777</v>
          </cell>
          <cell r="BS69">
            <v>0.1333333333333333</v>
          </cell>
          <cell r="BT69">
            <v>0.42776735459662313</v>
          </cell>
          <cell r="BV69" t="str">
            <v>NM</v>
          </cell>
          <cell r="BX69">
            <v>2.0463847203274411E-2</v>
          </cell>
          <cell r="BY69">
            <v>0.17944429457782593</v>
          </cell>
          <cell r="BZ69">
            <v>5.4583624912526121E-2</v>
          </cell>
          <cell r="CA69">
            <v>0.17050691244239635</v>
          </cell>
        </row>
        <row r="70">
          <cell r="A70" t="str">
            <v xml:space="preserve"> 4Q</v>
          </cell>
          <cell r="B70">
            <v>9.7641250685682898E-2</v>
          </cell>
          <cell r="C70">
            <v>-2.0761245674741271E-3</v>
          </cell>
          <cell r="D70">
            <v>7.6800694243563825E-2</v>
          </cell>
          <cell r="F70">
            <v>0.55851569933396783</v>
          </cell>
          <cell r="G70">
            <v>0.84330985915492973</v>
          </cell>
          <cell r="H70">
            <v>0.61910112359550562</v>
          </cell>
          <cell r="J70">
            <v>-3.1545741324921134E-2</v>
          </cell>
          <cell r="L70">
            <v>0.13772455089820365</v>
          </cell>
          <cell r="R70">
            <v>0.21641426477772349</v>
          </cell>
          <cell r="T70" t="str">
            <v xml:space="preserve"> 4Q</v>
          </cell>
          <cell r="U70">
            <v>-0.22556390977443608</v>
          </cell>
          <cell r="V70">
            <v>0</v>
          </cell>
          <cell r="W70">
            <v>-2.6064291920069507E-2</v>
          </cell>
          <cell r="Y70">
            <v>-0.19626168224299062</v>
          </cell>
          <cell r="Z70">
            <v>4.0000000000000036E-2</v>
          </cell>
          <cell r="AA70">
            <v>0.11576846307385223</v>
          </cell>
          <cell r="AB70">
            <v>-9.2105263157894801E-2</v>
          </cell>
          <cell r="AD70">
            <v>-3.3183681436656878E-3</v>
          </cell>
          <cell r="AF70">
            <v>0.19999999999999993</v>
          </cell>
          <cell r="AG70">
            <v>0.35301507537688454</v>
          </cell>
          <cell r="AM70" t="str">
            <v>NM</v>
          </cell>
          <cell r="AN70" t="str">
            <v>NM</v>
          </cell>
          <cell r="AO70" t="str">
            <v>NM</v>
          </cell>
          <cell r="AU70" t="str">
            <v xml:space="preserve"> 4Q</v>
          </cell>
          <cell r="AV70">
            <v>9.10384068278806E-2</v>
          </cell>
          <cell r="AX70">
            <v>-1.0911074740861974E-2</v>
          </cell>
          <cell r="AY70">
            <v>2.7806385169927939E-2</v>
          </cell>
          <cell r="AZ70">
            <v>2.496433666191318E-3</v>
          </cell>
          <cell r="BD70">
            <v>-3.4682080924855571E-2</v>
          </cell>
          <cell r="BF70">
            <v>0.89599999999999991</v>
          </cell>
          <cell r="BG70">
            <v>0.80909090909090897</v>
          </cell>
          <cell r="BH70">
            <v>0.85531914893617</v>
          </cell>
          <cell r="BI70">
            <v>6.7943805874840418E-2</v>
          </cell>
          <cell r="BK70">
            <v>-6.1381074168797914E-2</v>
          </cell>
          <cell r="BL70">
            <v>-0.14848484848484844</v>
          </cell>
          <cell r="BM70">
            <v>-8.7230215827338156E-2</v>
          </cell>
          <cell r="BO70">
            <v>0.88808664259927794</v>
          </cell>
          <cell r="BP70">
            <v>0.65891472868217038</v>
          </cell>
          <cell r="BQ70">
            <v>0.77757009345794381</v>
          </cell>
          <cell r="BS70">
            <v>-0.14814814814814806</v>
          </cell>
          <cell r="BT70">
            <v>0.65584415584415579</v>
          </cell>
          <cell r="BV70" t="str">
            <v>NM</v>
          </cell>
          <cell r="BX70">
            <v>0.17513368983957231</v>
          </cell>
          <cell r="BY70">
            <v>0.19122924245799014</v>
          </cell>
          <cell r="BZ70">
            <v>-4.2530568846358922E-3</v>
          </cell>
          <cell r="CA70">
            <v>0.17457945617967383</v>
          </cell>
        </row>
        <row r="72">
          <cell r="A72" t="str">
            <v>Year</v>
          </cell>
          <cell r="B72">
            <v>0.12550787830740248</v>
          </cell>
          <cell r="C72">
            <v>3.530942204051249E-3</v>
          </cell>
          <cell r="D72">
            <v>9.9831788131283419E-2</v>
          </cell>
          <cell r="F72">
            <v>0.90728813559322063</v>
          </cell>
          <cell r="G72">
            <v>1.2674750356633382</v>
          </cell>
          <cell r="H72">
            <v>0.9764448096411944</v>
          </cell>
          <cell r="J72">
            <v>-7.5291622481442291E-2</v>
          </cell>
          <cell r="L72">
            <v>0.14800759013282788</v>
          </cell>
          <cell r="R72">
            <v>0.27991967871485951</v>
          </cell>
          <cell r="T72" t="str">
            <v>Year</v>
          </cell>
          <cell r="U72">
            <v>-0.35638297872340435</v>
          </cell>
          <cell r="V72">
            <v>-6.0896605338170505E-2</v>
          </cell>
          <cell r="W72">
            <v>-9.8575627402215732E-2</v>
          </cell>
          <cell r="Y72">
            <v>-0.21839080459770116</v>
          </cell>
          <cell r="Z72">
            <v>-3.3971587399629397E-2</v>
          </cell>
          <cell r="AA72">
            <v>-5.357142857142852E-2</v>
          </cell>
          <cell r="AB72">
            <v>-0.10685805422647525</v>
          </cell>
          <cell r="AD72">
            <v>-8.2958012494551883E-2</v>
          </cell>
          <cell r="AF72">
            <v>-5.5370985603543747E-2</v>
          </cell>
          <cell r="AG72">
            <v>0.43632075471698101</v>
          </cell>
          <cell r="AM72" t="str">
            <v>NM</v>
          </cell>
          <cell r="AN72" t="str">
            <v>NM</v>
          </cell>
          <cell r="AO72" t="str">
            <v>NM</v>
          </cell>
          <cell r="AU72" t="str">
            <v>Year</v>
          </cell>
          <cell r="AV72">
            <v>3.2345013477089082E-2</v>
          </cell>
          <cell r="AX72">
            <v>-3.5817840695887928E-3</v>
          </cell>
          <cell r="AY72">
            <v>7.6438591468651729E-2</v>
          </cell>
          <cell r="AZ72">
            <v>2.6293287729798963E-2</v>
          </cell>
          <cell r="BD72">
            <v>-4.466858789625372E-2</v>
          </cell>
          <cell r="BF72">
            <v>0.83597883597883627</v>
          </cell>
          <cell r="BG72">
            <v>1.0166666666666666</v>
          </cell>
          <cell r="BH72">
            <v>0.91592920353982277</v>
          </cell>
          <cell r="BI72">
            <v>6.9043151969981245E-2</v>
          </cell>
          <cell r="BK72">
            <v>-0.24706763164462178</v>
          </cell>
          <cell r="BL72">
            <v>-7.2337042925278289E-2</v>
          </cell>
          <cell r="BM72">
            <v>-0.20531813865147203</v>
          </cell>
          <cell r="BO72">
            <v>0.77263157894736822</v>
          </cell>
          <cell r="BP72">
            <v>0.73433583959899762</v>
          </cell>
          <cell r="BQ72">
            <v>0.7551487414187642</v>
          </cell>
          <cell r="BS72">
            <v>-7.0469798657717936E-2</v>
          </cell>
          <cell r="BT72">
            <v>0.63489736070381231</v>
          </cell>
          <cell r="BV72" t="str">
            <v>NM</v>
          </cell>
          <cell r="BX72">
            <v>4.7942876572594433E-2</v>
          </cell>
          <cell r="BY72">
            <v>0.17560951965488841</v>
          </cell>
          <cell r="BZ72">
            <v>3.7080340738266125E-2</v>
          </cell>
          <cell r="CA72">
            <v>0.16500310120147554</v>
          </cell>
        </row>
        <row r="74">
          <cell r="A74" t="str">
            <v>1998</v>
          </cell>
          <cell r="T74" t="str">
            <v>1998</v>
          </cell>
          <cell r="AU74" t="str">
            <v>1998</v>
          </cell>
        </row>
        <row r="75">
          <cell r="A75" t="str">
            <v xml:space="preserve"> 1Q</v>
          </cell>
          <cell r="B75">
            <v>482</v>
          </cell>
          <cell r="C75">
            <v>132.69999999999999</v>
          </cell>
          <cell r="D75">
            <v>614.70000000000005</v>
          </cell>
          <cell r="F75">
            <v>230.4</v>
          </cell>
          <cell r="G75">
            <v>56.8</v>
          </cell>
          <cell r="H75">
            <v>287.2</v>
          </cell>
          <cell r="J75">
            <v>16.100000000000001</v>
          </cell>
          <cell r="L75">
            <v>25</v>
          </cell>
          <cell r="R75">
            <v>942.6</v>
          </cell>
          <cell r="T75" t="str">
            <v xml:space="preserve"> 1Q</v>
          </cell>
          <cell r="U75">
            <v>12.4</v>
          </cell>
          <cell r="V75">
            <v>104.4</v>
          </cell>
          <cell r="W75">
            <v>116.80000000000001</v>
          </cell>
          <cell r="Y75">
            <v>5.5</v>
          </cell>
          <cell r="Z75">
            <v>37.6</v>
          </cell>
          <cell r="AA75">
            <v>54.9</v>
          </cell>
          <cell r="AB75">
            <v>43.7</v>
          </cell>
          <cell r="AD75">
            <v>258.5</v>
          </cell>
          <cell r="AF75">
            <v>22.5</v>
          </cell>
          <cell r="AG75">
            <v>70</v>
          </cell>
          <cell r="AM75">
            <v>32.700000000000003</v>
          </cell>
          <cell r="AN75">
            <v>0.7</v>
          </cell>
          <cell r="AO75">
            <v>33.400000000000006</v>
          </cell>
          <cell r="AU75" t="str">
            <v xml:space="preserve"> 1Q</v>
          </cell>
          <cell r="AV75">
            <v>60.9</v>
          </cell>
          <cell r="AX75">
            <v>104.8</v>
          </cell>
          <cell r="AY75">
            <v>89.9</v>
          </cell>
          <cell r="AZ75">
            <v>194.7</v>
          </cell>
          <cell r="BD75">
            <v>17</v>
          </cell>
          <cell r="BF75">
            <v>12.7</v>
          </cell>
          <cell r="BG75">
            <v>12</v>
          </cell>
          <cell r="BH75">
            <v>24.7</v>
          </cell>
          <cell r="BI75">
            <v>297.3</v>
          </cell>
          <cell r="BK75">
            <v>117.3</v>
          </cell>
          <cell r="BL75">
            <v>27.4</v>
          </cell>
          <cell r="BM75">
            <v>144.69999999999999</v>
          </cell>
          <cell r="BO75">
            <v>30.7</v>
          </cell>
          <cell r="BP75">
            <v>26.3</v>
          </cell>
          <cell r="BQ75">
            <v>57</v>
          </cell>
          <cell r="BS75">
            <v>7.1</v>
          </cell>
          <cell r="BT75">
            <v>64.099999999999994</v>
          </cell>
          <cell r="BV75">
            <v>0</v>
          </cell>
          <cell r="BX75">
            <v>70.400000000000006</v>
          </cell>
          <cell r="BY75">
            <v>1903.5</v>
          </cell>
          <cell r="BZ75">
            <v>146.20000000000002</v>
          </cell>
          <cell r="CA75">
            <v>2049.6999999999998</v>
          </cell>
        </row>
        <row r="76">
          <cell r="A76" t="str">
            <v xml:space="preserve"> 2Q</v>
          </cell>
          <cell r="B76">
            <v>527.29999999999995</v>
          </cell>
          <cell r="C76">
            <v>135.9</v>
          </cell>
          <cell r="D76">
            <v>663.19999999999993</v>
          </cell>
          <cell r="F76">
            <v>255.7</v>
          </cell>
          <cell r="G76">
            <v>71.900000000000006</v>
          </cell>
          <cell r="H76">
            <v>327.60000000000002</v>
          </cell>
          <cell r="J76">
            <v>18.899999999999999</v>
          </cell>
          <cell r="L76">
            <v>28</v>
          </cell>
          <cell r="R76">
            <v>1037.2</v>
          </cell>
          <cell r="T76" t="str">
            <v xml:space="preserve"> 2Q</v>
          </cell>
          <cell r="U76">
            <v>5</v>
          </cell>
          <cell r="V76">
            <v>84.2</v>
          </cell>
          <cell r="W76">
            <v>89.2</v>
          </cell>
          <cell r="Y76">
            <v>3.6</v>
          </cell>
          <cell r="Z76">
            <v>39.4</v>
          </cell>
          <cell r="AA76">
            <v>50.1</v>
          </cell>
          <cell r="AB76">
            <v>42.1</v>
          </cell>
          <cell r="AD76">
            <v>224.39999999999998</v>
          </cell>
          <cell r="AF76">
            <v>16</v>
          </cell>
          <cell r="AG76">
            <v>101</v>
          </cell>
          <cell r="AM76">
            <v>14</v>
          </cell>
          <cell r="AN76">
            <v>0.7</v>
          </cell>
          <cell r="AO76">
            <v>14.7</v>
          </cell>
          <cell r="AU76" t="str">
            <v xml:space="preserve"> 2Q</v>
          </cell>
          <cell r="AV76">
            <v>65.599999999999994</v>
          </cell>
          <cell r="AX76">
            <v>147.9</v>
          </cell>
          <cell r="AY76">
            <v>96.1</v>
          </cell>
          <cell r="AZ76">
            <v>244</v>
          </cell>
          <cell r="BD76">
            <v>16.7</v>
          </cell>
          <cell r="BF76">
            <v>16</v>
          </cell>
          <cell r="BG76">
            <v>13.6</v>
          </cell>
          <cell r="BH76">
            <v>29.6</v>
          </cell>
          <cell r="BI76">
            <v>355.90000000000003</v>
          </cell>
          <cell r="BK76">
            <v>43.8</v>
          </cell>
          <cell r="BL76">
            <v>32.200000000000003</v>
          </cell>
          <cell r="BM76">
            <v>76</v>
          </cell>
          <cell r="BO76">
            <v>52.8</v>
          </cell>
          <cell r="BP76">
            <v>32.6</v>
          </cell>
          <cell r="BQ76">
            <v>85.4</v>
          </cell>
          <cell r="BS76">
            <v>6.9</v>
          </cell>
          <cell r="BT76">
            <v>92.300000000000011</v>
          </cell>
          <cell r="BV76">
            <v>0</v>
          </cell>
          <cell r="BX76">
            <v>75.099999999999994</v>
          </cell>
          <cell r="BY76">
            <v>1992.6</v>
          </cell>
          <cell r="BZ76">
            <v>136.70000000000002</v>
          </cell>
          <cell r="CA76">
            <v>2129.2999999999997</v>
          </cell>
        </row>
        <row r="77">
          <cell r="A77" t="str">
            <v xml:space="preserve"> 3Q</v>
          </cell>
          <cell r="B77">
            <v>661.9</v>
          </cell>
          <cell r="C77">
            <v>127.2</v>
          </cell>
          <cell r="D77">
            <v>789.1</v>
          </cell>
          <cell r="F77">
            <v>311.60000000000002</v>
          </cell>
          <cell r="G77">
            <v>84.5</v>
          </cell>
          <cell r="H77">
            <v>396.1</v>
          </cell>
          <cell r="J77">
            <v>21.5</v>
          </cell>
          <cell r="L77">
            <v>30</v>
          </cell>
          <cell r="R77">
            <v>1237</v>
          </cell>
          <cell r="T77" t="str">
            <v xml:space="preserve"> 3Q</v>
          </cell>
          <cell r="U77">
            <v>8.6</v>
          </cell>
          <cell r="V77">
            <v>72</v>
          </cell>
          <cell r="W77">
            <v>80.599999999999994</v>
          </cell>
          <cell r="Y77">
            <v>3.6</v>
          </cell>
          <cell r="Z77">
            <v>37.799999999999997</v>
          </cell>
          <cell r="AA77">
            <v>45.8</v>
          </cell>
          <cell r="AB77">
            <v>40.799999999999997</v>
          </cell>
          <cell r="AD77">
            <v>208.59999999999997</v>
          </cell>
          <cell r="AF77">
            <v>20.399999999999999</v>
          </cell>
          <cell r="AG77">
            <v>86.7</v>
          </cell>
          <cell r="AM77">
            <v>31</v>
          </cell>
          <cell r="AN77">
            <v>2.1</v>
          </cell>
          <cell r="AO77">
            <v>33.1</v>
          </cell>
          <cell r="AU77" t="str">
            <v xml:space="preserve"> 3Q</v>
          </cell>
          <cell r="AV77">
            <v>64.900000000000006</v>
          </cell>
          <cell r="AX77">
            <v>150.19999999999999</v>
          </cell>
          <cell r="AY77">
            <v>90.2</v>
          </cell>
          <cell r="AZ77">
            <v>240.39999999999998</v>
          </cell>
          <cell r="BD77">
            <v>15.9</v>
          </cell>
          <cell r="BF77">
            <v>17</v>
          </cell>
          <cell r="BG77">
            <v>15</v>
          </cell>
          <cell r="BH77">
            <v>32</v>
          </cell>
          <cell r="BI77">
            <v>353.19999999999993</v>
          </cell>
          <cell r="BK77">
            <v>67.2</v>
          </cell>
          <cell r="BL77">
            <v>29</v>
          </cell>
          <cell r="BM77">
            <v>96.2</v>
          </cell>
          <cell r="BO77">
            <v>32.6</v>
          </cell>
          <cell r="BP77">
            <v>36.700000000000003</v>
          </cell>
          <cell r="BQ77">
            <v>69.300000000000011</v>
          </cell>
          <cell r="BS77">
            <v>6.8</v>
          </cell>
          <cell r="BT77">
            <v>76.100000000000009</v>
          </cell>
          <cell r="BV77">
            <v>0</v>
          </cell>
          <cell r="BX77">
            <v>74.800000000000011</v>
          </cell>
          <cell r="BY77">
            <v>2186.1000000000004</v>
          </cell>
          <cell r="BZ77">
            <v>150.69999999999999</v>
          </cell>
          <cell r="CA77">
            <v>2336.8000000000002</v>
          </cell>
        </row>
        <row r="78">
          <cell r="A78" t="str">
            <v xml:space="preserve"> 4Q</v>
          </cell>
          <cell r="B78">
            <v>600.29999999999995</v>
          </cell>
          <cell r="C78">
            <v>144.19999999999999</v>
          </cell>
          <cell r="D78">
            <v>744.5</v>
          </cell>
          <cell r="F78">
            <v>327.60000000000002</v>
          </cell>
          <cell r="G78">
            <v>104.7</v>
          </cell>
          <cell r="H78">
            <v>432.3</v>
          </cell>
          <cell r="J78">
            <v>30.7</v>
          </cell>
          <cell r="L78">
            <v>38</v>
          </cell>
          <cell r="R78">
            <v>1245</v>
          </cell>
          <cell r="T78" t="str">
            <v xml:space="preserve"> 4Q</v>
          </cell>
          <cell r="U78">
            <v>10.3</v>
          </cell>
          <cell r="V78">
            <v>101.8</v>
          </cell>
          <cell r="W78">
            <v>112.1</v>
          </cell>
          <cell r="Y78">
            <v>4.3</v>
          </cell>
          <cell r="Z78">
            <v>41.6</v>
          </cell>
          <cell r="AA78">
            <v>55.9</v>
          </cell>
          <cell r="AB78">
            <v>41.4</v>
          </cell>
          <cell r="AD78">
            <v>255.3</v>
          </cell>
          <cell r="AF78">
            <v>26.4</v>
          </cell>
          <cell r="AG78">
            <v>107.7</v>
          </cell>
          <cell r="AM78">
            <v>60</v>
          </cell>
          <cell r="AN78">
            <v>2.8</v>
          </cell>
          <cell r="AO78">
            <v>62.8</v>
          </cell>
          <cell r="AU78" t="str">
            <v xml:space="preserve"> 4Q</v>
          </cell>
          <cell r="AV78">
            <v>76.7</v>
          </cell>
          <cell r="AX78">
            <v>181.3</v>
          </cell>
          <cell r="AY78">
            <v>99.8</v>
          </cell>
          <cell r="AZ78">
            <v>281.10000000000002</v>
          </cell>
          <cell r="BD78">
            <v>16.7</v>
          </cell>
          <cell r="BF78">
            <v>23.7</v>
          </cell>
          <cell r="BG78">
            <v>19.899999999999999</v>
          </cell>
          <cell r="BH78">
            <v>43.599999999999994</v>
          </cell>
          <cell r="BI78">
            <v>418.1</v>
          </cell>
          <cell r="BK78">
            <v>73.400000000000006</v>
          </cell>
          <cell r="BL78">
            <v>28.1</v>
          </cell>
          <cell r="BM78">
            <v>101.5</v>
          </cell>
          <cell r="BO78">
            <v>52.3</v>
          </cell>
          <cell r="BP78">
            <v>42.8</v>
          </cell>
          <cell r="BQ78">
            <v>95.1</v>
          </cell>
          <cell r="BS78">
            <v>6.9</v>
          </cell>
          <cell r="BT78">
            <v>102</v>
          </cell>
          <cell r="BV78">
            <v>0</v>
          </cell>
          <cell r="BX78">
            <v>87.9</v>
          </cell>
          <cell r="BY78">
            <v>2406.7000000000003</v>
          </cell>
          <cell r="BZ78">
            <v>187.29999999999998</v>
          </cell>
          <cell r="CA78">
            <v>2594.0000000000005</v>
          </cell>
        </row>
        <row r="80">
          <cell r="A80" t="str">
            <v>Year</v>
          </cell>
          <cell r="B80">
            <v>2271.5</v>
          </cell>
          <cell r="C80">
            <v>540</v>
          </cell>
          <cell r="D80">
            <v>2811.5</v>
          </cell>
          <cell r="F80">
            <v>1125.3000000000002</v>
          </cell>
          <cell r="G80">
            <v>317.89999999999998</v>
          </cell>
          <cell r="H80">
            <v>1443.2</v>
          </cell>
          <cell r="J80">
            <v>87.2</v>
          </cell>
          <cell r="L80">
            <v>121</v>
          </cell>
          <cell r="R80">
            <v>4461.8</v>
          </cell>
          <cell r="T80" t="str">
            <v>Year</v>
          </cell>
          <cell r="U80">
            <v>36.299999999999997</v>
          </cell>
          <cell r="V80">
            <v>362.40000000000003</v>
          </cell>
          <cell r="W80">
            <v>398.70000000000005</v>
          </cell>
          <cell r="Y80">
            <v>17</v>
          </cell>
          <cell r="Z80">
            <v>156.4</v>
          </cell>
          <cell r="AA80">
            <v>206.70000000000002</v>
          </cell>
          <cell r="AB80">
            <v>168</v>
          </cell>
          <cell r="AD80">
            <v>946.8</v>
          </cell>
          <cell r="AF80">
            <v>85.3</v>
          </cell>
          <cell r="AG80">
            <v>365.4</v>
          </cell>
          <cell r="AM80">
            <v>137.69999999999999</v>
          </cell>
          <cell r="AN80">
            <v>6.3</v>
          </cell>
          <cell r="AO80">
            <v>144</v>
          </cell>
          <cell r="AU80" t="str">
            <v>Year</v>
          </cell>
          <cell r="AV80">
            <v>268.10000000000002</v>
          </cell>
          <cell r="AX80">
            <v>584.20000000000005</v>
          </cell>
          <cell r="AY80">
            <v>376</v>
          </cell>
          <cell r="AZ80">
            <v>960.19999999999993</v>
          </cell>
          <cell r="BD80">
            <v>66.3</v>
          </cell>
          <cell r="BF80">
            <v>69.400000000000006</v>
          </cell>
          <cell r="BG80">
            <v>60.5</v>
          </cell>
          <cell r="BH80">
            <v>129.89999999999998</v>
          </cell>
          <cell r="BI80">
            <v>1424.5</v>
          </cell>
          <cell r="BK80">
            <v>301.70000000000005</v>
          </cell>
          <cell r="BL80">
            <v>116.69999999999999</v>
          </cell>
          <cell r="BM80">
            <v>418.4</v>
          </cell>
          <cell r="BO80">
            <v>168.39999999999998</v>
          </cell>
          <cell r="BP80">
            <v>138.4</v>
          </cell>
          <cell r="BQ80">
            <v>306.8</v>
          </cell>
          <cell r="BS80">
            <v>27.700000000000003</v>
          </cell>
          <cell r="BT80">
            <v>334.5</v>
          </cell>
          <cell r="BV80">
            <v>0</v>
          </cell>
          <cell r="BX80">
            <v>308.20000000000005</v>
          </cell>
          <cell r="BY80">
            <v>8488.9000000000015</v>
          </cell>
          <cell r="BZ80">
            <v>620.9</v>
          </cell>
          <cell r="CA80">
            <v>9109.7999999999993</v>
          </cell>
        </row>
        <row r="82">
          <cell r="A82" t="str">
            <v>1999/98</v>
          </cell>
          <cell r="T82" t="str">
            <v>1999/98</v>
          </cell>
          <cell r="AU82" t="str">
            <v>1999/98</v>
          </cell>
        </row>
        <row r="83">
          <cell r="A83" t="str">
            <v xml:space="preserve"> 1QA</v>
          </cell>
          <cell r="B83">
            <v>-5.7261410788381789E-2</v>
          </cell>
          <cell r="C83">
            <v>2.0346646571213392E-2</v>
          </cell>
          <cell r="D83">
            <v>-4.0344883683097521E-2</v>
          </cell>
          <cell r="F83">
            <v>0.29210069444444436</v>
          </cell>
          <cell r="G83">
            <v>0.82218309859154937</v>
          </cell>
          <cell r="H83">
            <v>0.39693593314763231</v>
          </cell>
          <cell r="J83">
            <v>6.8322981366459493E-2</v>
          </cell>
          <cell r="L83">
            <v>0.24800000000000011</v>
          </cell>
          <cell r="R83">
            <v>0.10280076384468484</v>
          </cell>
          <cell r="T83" t="str">
            <v xml:space="preserve"> 1QA</v>
          </cell>
          <cell r="U83">
            <v>-0.33064516129032256</v>
          </cell>
          <cell r="V83">
            <v>-0.10344827586206908</v>
          </cell>
          <cell r="W83">
            <v>-0.12756849315068508</v>
          </cell>
          <cell r="Y83">
            <v>-0.23636363636363633</v>
          </cell>
          <cell r="Z83">
            <v>-0.12234042553191493</v>
          </cell>
          <cell r="AA83">
            <v>-0.10200364298724958</v>
          </cell>
          <cell r="AB83">
            <v>0.17162471395881007</v>
          </cell>
          <cell r="AD83">
            <v>-7.3114119922630727E-2</v>
          </cell>
          <cell r="AF83">
            <v>0.19111111111111098</v>
          </cell>
          <cell r="AG83">
            <v>0.44285714285714284</v>
          </cell>
          <cell r="AM83">
            <v>0.48623853211009171</v>
          </cell>
          <cell r="AN83" t="str">
            <v>NM</v>
          </cell>
          <cell r="AO83">
            <v>0.63473053892215536</v>
          </cell>
          <cell r="AU83" t="str">
            <v xml:space="preserve"> 1QA</v>
          </cell>
          <cell r="AV83">
            <v>0.11330049261083765</v>
          </cell>
          <cell r="AX83">
            <v>2.8625954198473014E-3</v>
          </cell>
          <cell r="AY83">
            <v>8.7875417130144504E-2</v>
          </cell>
          <cell r="AZ83">
            <v>4.2116076014381054E-2</v>
          </cell>
          <cell r="BD83">
            <v>0.49411764705882344</v>
          </cell>
          <cell r="BF83">
            <v>0.73228346456692917</v>
          </cell>
          <cell r="BG83">
            <v>0.70833333333333326</v>
          </cell>
          <cell r="BH83">
            <v>0.72064777327935237</v>
          </cell>
          <cell r="BI83">
            <v>0.13891691893710045</v>
          </cell>
          <cell r="BK83">
            <v>-0.30008525149190113</v>
          </cell>
          <cell r="BL83">
            <v>7.2992700729927015E-2</v>
          </cell>
          <cell r="BM83">
            <v>-0.22944022114720108</v>
          </cell>
          <cell r="BO83">
            <v>1.315960912052117</v>
          </cell>
          <cell r="BP83">
            <v>0.64638783269961952</v>
          </cell>
          <cell r="BQ83">
            <v>1.0070175438596491</v>
          </cell>
          <cell r="BS83">
            <v>-5.6338028169014009E-2</v>
          </cell>
          <cell r="BT83">
            <v>0.88923556942277693</v>
          </cell>
          <cell r="BV83" t="str">
            <v>NM</v>
          </cell>
          <cell r="BX83">
            <v>-0.38636363636363635</v>
          </cell>
          <cell r="BY83">
            <v>0.10664565274494353</v>
          </cell>
          <cell r="BZ83">
            <v>1.9835841313269532E-2</v>
          </cell>
          <cell r="CA83">
            <v>0.10045372493535654</v>
          </cell>
        </row>
        <row r="84">
          <cell r="A84" t="str">
            <v xml:space="preserve"> 2QA</v>
          </cell>
          <cell r="B84">
            <v>6.5427650293950312E-2</v>
          </cell>
          <cell r="C84">
            <v>-7.0640176600441557E-2</v>
          </cell>
          <cell r="D84">
            <v>3.7545235223160445E-2</v>
          </cell>
          <cell r="F84">
            <v>8.1736409855299313E-2</v>
          </cell>
          <cell r="G84">
            <v>0.61752433936022233</v>
          </cell>
          <cell r="H84">
            <v>0.19963369963369981</v>
          </cell>
          <cell r="J84">
            <v>-0.21164021164021157</v>
          </cell>
          <cell r="L84">
            <v>0.17142857142857132</v>
          </cell>
          <cell r="R84">
            <v>8.8314693405321831E-2</v>
          </cell>
          <cell r="T84" t="str">
            <v xml:space="preserve"> 2QA</v>
          </cell>
          <cell r="U84">
            <v>0.98</v>
          </cell>
          <cell r="V84">
            <v>-0.29216152019002378</v>
          </cell>
          <cell r="W84">
            <v>-0.22085201793721976</v>
          </cell>
          <cell r="Y84">
            <v>-0.5</v>
          </cell>
          <cell r="Z84">
            <v>-0.21319796954314718</v>
          </cell>
          <cell r="AA84">
            <v>3.5928143712574932E-2</v>
          </cell>
          <cell r="AB84">
            <v>0.43705463182897858</v>
          </cell>
          <cell r="AD84">
            <v>-4.3226381461675456E-2</v>
          </cell>
          <cell r="AF84">
            <v>0.27500000000000013</v>
          </cell>
          <cell r="AG84">
            <v>0.13069306930693081</v>
          </cell>
          <cell r="AM84">
            <v>3.1428571428571432</v>
          </cell>
          <cell r="AN84" t="str">
            <v>NM</v>
          </cell>
          <cell r="AO84">
            <v>3.5306122448979593</v>
          </cell>
          <cell r="AU84" t="str">
            <v xml:space="preserve"> 2QA</v>
          </cell>
          <cell r="AV84">
            <v>0.11737804878048785</v>
          </cell>
          <cell r="AX84">
            <v>0.17647058823529407</v>
          </cell>
          <cell r="AY84">
            <v>8.6368366285119791E-2</v>
          </cell>
          <cell r="AZ84">
            <v>0.14057377049180309</v>
          </cell>
          <cell r="BD84">
            <v>0.52694610778443118</v>
          </cell>
          <cell r="BF84">
            <v>0.64375000000000004</v>
          </cell>
          <cell r="BG84">
            <v>0.77205882352941191</v>
          </cell>
          <cell r="BH84">
            <v>0.70270270270270285</v>
          </cell>
          <cell r="BI84">
            <v>0.20118010677156484</v>
          </cell>
          <cell r="BK84">
            <v>0.27625570776255715</v>
          </cell>
          <cell r="BL84">
            <v>-0.21118012422360261</v>
          </cell>
          <cell r="BM84">
            <v>6.9736842105263097E-2</v>
          </cell>
          <cell r="BO84">
            <v>-0.19128787878787867</v>
          </cell>
          <cell r="BP84">
            <v>0.34355828220858875</v>
          </cell>
          <cell r="BQ84">
            <v>1.2880562060889833E-2</v>
          </cell>
          <cell r="BS84">
            <v>2.8985507246376708E-2</v>
          </cell>
          <cell r="BT84">
            <v>1.408450704225328E-2</v>
          </cell>
          <cell r="BV84" t="str">
            <v>NM</v>
          </cell>
          <cell r="BX84">
            <v>-0.4434087882822903</v>
          </cell>
          <cell r="BY84">
            <v>9.8564689350597368E-2</v>
          </cell>
          <cell r="BZ84">
            <v>2.9261155815654506E-2</v>
          </cell>
          <cell r="CA84">
            <v>9.4115436998074564E-2</v>
          </cell>
        </row>
        <row r="85">
          <cell r="A85" t="str">
            <v xml:space="preserve"> 3Q</v>
          </cell>
          <cell r="B85">
            <v>-0.14609457621997271</v>
          </cell>
          <cell r="C85">
            <v>-1.729559748427675E-2</v>
          </cell>
          <cell r="D85">
            <v>-0.12533265745786337</v>
          </cell>
          <cell r="F85">
            <v>0.18902439024390236</v>
          </cell>
          <cell r="G85">
            <v>0.56686390532544384</v>
          </cell>
          <cell r="H85">
            <v>0.26962888159555654</v>
          </cell>
          <cell r="J85">
            <v>-0.11162790697674412</v>
          </cell>
          <cell r="L85">
            <v>0.1733333333333332</v>
          </cell>
          <cell r="R85">
            <v>8.4074373484235299E-3</v>
          </cell>
          <cell r="T85" t="str">
            <v xml:space="preserve"> 3Q</v>
          </cell>
          <cell r="U85">
            <v>-3.4883720930232398E-2</v>
          </cell>
          <cell r="V85">
            <v>-7.9166666666666705E-2</v>
          </cell>
          <cell r="W85">
            <v>-7.4441687344913188E-2</v>
          </cell>
          <cell r="Y85">
            <v>-0.16666666666666669</v>
          </cell>
          <cell r="Z85">
            <v>-0.12698412698412692</v>
          </cell>
          <cell r="AA85">
            <v>0.30131004366812236</v>
          </cell>
          <cell r="AB85">
            <v>0.31372549019607854</v>
          </cell>
          <cell r="AD85">
            <v>7.286673058485138E-2</v>
          </cell>
          <cell r="AF85">
            <v>-1.4705882352941037E-2</v>
          </cell>
          <cell r="AG85">
            <v>0.23760092272202993</v>
          </cell>
          <cell r="AM85">
            <v>1.6483870967741932</v>
          </cell>
          <cell r="AN85" t="str">
            <v>NM</v>
          </cell>
          <cell r="AO85">
            <v>1.8036253776435043</v>
          </cell>
          <cell r="AU85" t="str">
            <v xml:space="preserve"> 3Q</v>
          </cell>
          <cell r="AV85">
            <v>0.11248073959938361</v>
          </cell>
          <cell r="AX85">
            <v>0.21637816245006661</v>
          </cell>
          <cell r="AY85">
            <v>0.21507760532150766</v>
          </cell>
          <cell r="AZ85">
            <v>0.21589018302828622</v>
          </cell>
          <cell r="BD85">
            <v>1.6666666666666665</v>
          </cell>
          <cell r="BF85">
            <v>0.87058823529411766</v>
          </cell>
          <cell r="BG85">
            <v>0.79333333333333322</v>
          </cell>
          <cell r="BH85">
            <v>0.83437500000000009</v>
          </cell>
          <cell r="BI85">
            <v>0.31823329558323898</v>
          </cell>
          <cell r="BK85">
            <v>-0.19494047619047616</v>
          </cell>
          <cell r="BL85">
            <v>-4.1379310344827565E-2</v>
          </cell>
          <cell r="BM85">
            <v>-0.14760914760914767</v>
          </cell>
          <cell r="BO85">
            <v>1.1871165644171779</v>
          </cell>
          <cell r="BP85">
            <v>0.3051771117166211</v>
          </cell>
          <cell r="BQ85">
            <v>0.72005772005771962</v>
          </cell>
          <cell r="BS85">
            <v>4.4117647058823505E-2</v>
          </cell>
          <cell r="BT85">
            <v>0.65965834428383663</v>
          </cell>
          <cell r="BV85" t="str">
            <v>NM</v>
          </cell>
          <cell r="BX85">
            <v>-0.37834224598930488</v>
          </cell>
          <cell r="BY85">
            <v>0.10333470564018077</v>
          </cell>
          <cell r="BZ85">
            <v>3.3178500331785005E-3</v>
          </cell>
          <cell r="CA85">
            <v>9.6884628551865415E-2</v>
          </cell>
        </row>
        <row r="86">
          <cell r="A86" t="str">
            <v xml:space="preserve"> 4Q</v>
          </cell>
          <cell r="B86">
            <v>-0.15558887223055137</v>
          </cell>
          <cell r="C86">
            <v>-0.12135922330097078</v>
          </cell>
          <cell r="D86">
            <v>-0.14895903290799195</v>
          </cell>
          <cell r="F86">
            <v>0.30067155067155066</v>
          </cell>
          <cell r="G86">
            <v>0.38395415472779371</v>
          </cell>
          <cell r="H86">
            <v>0.32084200786490857</v>
          </cell>
          <cell r="J86">
            <v>-0.05</v>
          </cell>
          <cell r="L86">
            <v>1.3157894736842105E-2</v>
          </cell>
          <cell r="R86">
            <v>1.5903614457831283E-2</v>
          </cell>
          <cell r="T86" t="str">
            <v xml:space="preserve"> 4Q</v>
          </cell>
          <cell r="U86">
            <v>-0.39805825242718451</v>
          </cell>
          <cell r="V86">
            <v>-0.16895874263261301</v>
          </cell>
          <cell r="W86">
            <v>-0.19000892060660124</v>
          </cell>
          <cell r="Y86">
            <v>0</v>
          </cell>
          <cell r="Z86">
            <v>-0.16346153846153855</v>
          </cell>
          <cell r="AA86">
            <v>1.0733452593917735E-2</v>
          </cell>
          <cell r="AB86">
            <v>0.43478260869565216</v>
          </cell>
          <cell r="AD86">
            <v>-3.7211124167645937E-2</v>
          </cell>
          <cell r="AF86">
            <v>-6.818181818181808E-2</v>
          </cell>
          <cell r="AG86">
            <v>0.15134633240482809</v>
          </cell>
          <cell r="AM86">
            <v>0.60999999999999988</v>
          </cell>
          <cell r="AN86" t="str">
            <v>NM</v>
          </cell>
          <cell r="AO86">
            <v>0.77388535031847128</v>
          </cell>
          <cell r="AU86" t="str">
            <v xml:space="preserve"> 4Q</v>
          </cell>
          <cell r="AV86">
            <v>9.6479791395045519E-2</v>
          </cell>
          <cell r="AX86">
            <v>5.5157198014337732E-4</v>
          </cell>
          <cell r="AY86">
            <v>9.9198396793587232E-2</v>
          </cell>
          <cell r="AZ86">
            <v>3.5218783351120608E-2</v>
          </cell>
          <cell r="BD86">
            <v>1.6287425149700598</v>
          </cell>
          <cell r="BF86">
            <v>0.66666666666666674</v>
          </cell>
          <cell r="BG86">
            <v>0.67839195979899491</v>
          </cell>
          <cell r="BH86">
            <v>0.67201834862385357</v>
          </cell>
          <cell r="BI86">
            <v>0.17651279598182246</v>
          </cell>
          <cell r="BK86">
            <v>-0.31471389645776571</v>
          </cell>
          <cell r="BL86">
            <v>-0.12099644128113886</v>
          </cell>
          <cell r="BM86">
            <v>-0.26108374384236455</v>
          </cell>
          <cell r="BO86">
            <v>0.51242829827915859</v>
          </cell>
          <cell r="BP86">
            <v>0.25934579439252348</v>
          </cell>
          <cell r="BQ86">
            <v>0.3985278654048372</v>
          </cell>
          <cell r="BS86">
            <v>0.33333333333333315</v>
          </cell>
          <cell r="BT86">
            <v>0.39411764705882346</v>
          </cell>
          <cell r="BV86" t="str">
            <v>NM</v>
          </cell>
          <cell r="BX86">
            <v>-0.52559726962457343</v>
          </cell>
          <cell r="BY86">
            <v>4.7658619686707704E-2</v>
          </cell>
          <cell r="BZ86">
            <v>3.8441003737319901E-2</v>
          </cell>
          <cell r="CA86">
            <v>4.6954510408635075E-2</v>
          </cell>
        </row>
        <row r="88">
          <cell r="A88" t="str">
            <v>Year</v>
          </cell>
          <cell r="B88">
            <v>-8.0651551837992441E-2</v>
          </cell>
          <cell r="C88">
            <v>-4.9259259259259301E-2</v>
          </cell>
          <cell r="D88">
            <v>-7.4586519651431593E-2</v>
          </cell>
          <cell r="F88">
            <v>0.21825291033502164</v>
          </cell>
          <cell r="G88">
            <v>0.56369927650204488</v>
          </cell>
          <cell r="H88">
            <v>0.29441518847006631</v>
          </cell>
          <cell r="J88">
            <v>-0.16399082568807336</v>
          </cell>
          <cell r="L88">
            <v>0.13801652892561975</v>
          </cell>
          <cell r="R88">
            <v>4.9016092160114599E-2</v>
          </cell>
          <cell r="T88" t="str">
            <v>Year</v>
          </cell>
          <cell r="U88">
            <v>-9.9173553719008115E-2</v>
          </cell>
          <cell r="V88">
            <v>-0.16087196467991172</v>
          </cell>
          <cell r="W88">
            <v>-0.15525457737647375</v>
          </cell>
          <cell r="Y88">
            <v>-0.21764705882352936</v>
          </cell>
          <cell r="Z88">
            <v>-0.15728900255754472</v>
          </cell>
          <cell r="AA88">
            <v>5.1282051282051253E-2</v>
          </cell>
          <cell r="AB88">
            <v>0.33750000000000008</v>
          </cell>
          <cell r="AD88">
            <v>-2.4186734262779952E-2</v>
          </cell>
          <cell r="AF88">
            <v>7.7373974208675367E-2</v>
          </cell>
          <cell r="AG88">
            <v>0.2219485495347564</v>
          </cell>
          <cell r="AM88">
            <v>1.0718954248366011</v>
          </cell>
          <cell r="AN88" t="str">
            <v>NM</v>
          </cell>
          <cell r="AO88">
            <v>1.259722222222222</v>
          </cell>
          <cell r="AU88" t="str">
            <v>Year</v>
          </cell>
          <cell r="AV88">
            <v>0.10928757926146943</v>
          </cell>
          <cell r="AX88">
            <v>0.10099281068127353</v>
          </cell>
          <cell r="AY88">
            <v>0.12101063829787219</v>
          </cell>
          <cell r="AZ88">
            <v>0.10862320349927113</v>
          </cell>
          <cell r="BD88">
            <v>1.0693815987933635</v>
          </cell>
          <cell r="BF88">
            <v>0.72334293948126782</v>
          </cell>
          <cell r="BG88">
            <v>0.7338842975206612</v>
          </cell>
          <cell r="BH88">
            <v>0.72825250192455782</v>
          </cell>
          <cell r="BI88">
            <v>0.20996840996841004</v>
          </cell>
          <cell r="BK88">
            <v>-0.19655286708650999</v>
          </cell>
          <cell r="BL88">
            <v>-8.0548414738646032E-2</v>
          </cell>
          <cell r="BM88">
            <v>-0.16395793499043965</v>
          </cell>
          <cell r="BO88">
            <v>0.56888361045130653</v>
          </cell>
          <cell r="BP88">
            <v>0.36488439306358378</v>
          </cell>
          <cell r="BQ88">
            <v>0.47685788787483685</v>
          </cell>
          <cell r="BS88">
            <v>8.6642599277978155E-2</v>
          </cell>
          <cell r="BT88">
            <v>0.44454409566517183</v>
          </cell>
          <cell r="BV88" t="str">
            <v>NM</v>
          </cell>
          <cell r="BX88">
            <v>-0.43802725502920192</v>
          </cell>
          <cell r="BY88">
            <v>8.7172660768768395E-2</v>
          </cell>
          <cell r="BZ88">
            <v>2.3514253502979584E-2</v>
          </cell>
          <cell r="CA88">
            <v>8.2822894026213456E-2</v>
          </cell>
        </row>
        <row r="90">
          <cell r="A90">
            <v>1999</v>
          </cell>
          <cell r="T90">
            <v>1999</v>
          </cell>
          <cell r="AU90">
            <v>1999</v>
          </cell>
        </row>
        <row r="91">
          <cell r="A91" t="str">
            <v xml:space="preserve"> 1Q</v>
          </cell>
          <cell r="B91">
            <v>454.4</v>
          </cell>
          <cell r="C91">
            <v>135.4</v>
          </cell>
          <cell r="D91">
            <v>589.9</v>
          </cell>
          <cell r="F91">
            <v>297.7</v>
          </cell>
          <cell r="G91">
            <v>103.5</v>
          </cell>
          <cell r="H91">
            <v>401.2</v>
          </cell>
          <cell r="J91">
            <v>17.2</v>
          </cell>
          <cell r="L91">
            <v>31.200000000000003</v>
          </cell>
          <cell r="R91">
            <v>1039.5</v>
          </cell>
          <cell r="T91" t="str">
            <v xml:space="preserve"> 1Q</v>
          </cell>
          <cell r="U91">
            <v>8.3000000000000007</v>
          </cell>
          <cell r="V91">
            <v>93.6</v>
          </cell>
          <cell r="W91">
            <v>101.89999999999999</v>
          </cell>
          <cell r="Y91">
            <v>4.2</v>
          </cell>
          <cell r="Z91">
            <v>33</v>
          </cell>
          <cell r="AA91">
            <v>49.3</v>
          </cell>
          <cell r="AB91">
            <v>51.2</v>
          </cell>
          <cell r="AD91">
            <v>239.59999999999997</v>
          </cell>
          <cell r="AF91">
            <v>26.799999999999997</v>
          </cell>
          <cell r="AG91">
            <v>101</v>
          </cell>
          <cell r="AM91">
            <v>48.6</v>
          </cell>
          <cell r="AN91">
            <v>6</v>
          </cell>
          <cell r="AO91">
            <v>54.6</v>
          </cell>
          <cell r="AU91" t="str">
            <v xml:space="preserve"> 1Q</v>
          </cell>
          <cell r="AV91">
            <v>67.800000000000011</v>
          </cell>
          <cell r="AX91">
            <v>105.1</v>
          </cell>
          <cell r="AY91">
            <v>97.8</v>
          </cell>
          <cell r="AZ91">
            <v>202.89999999999998</v>
          </cell>
          <cell r="BD91">
            <v>25.4</v>
          </cell>
          <cell r="BF91">
            <v>22</v>
          </cell>
          <cell r="BG91">
            <v>20.5</v>
          </cell>
          <cell r="BH91">
            <v>42.5</v>
          </cell>
          <cell r="BI91">
            <v>338.59999999999997</v>
          </cell>
          <cell r="BK91">
            <v>82.1</v>
          </cell>
          <cell r="BL91">
            <v>29.4</v>
          </cell>
          <cell r="BM91">
            <v>111.5</v>
          </cell>
          <cell r="BO91">
            <v>71.099999999999994</v>
          </cell>
          <cell r="BP91">
            <v>43.3</v>
          </cell>
          <cell r="BQ91">
            <v>114.39999999999999</v>
          </cell>
          <cell r="BS91">
            <v>6.7</v>
          </cell>
          <cell r="BT91">
            <v>121.1</v>
          </cell>
          <cell r="BV91">
            <v>0</v>
          </cell>
          <cell r="BX91">
            <v>43.2</v>
          </cell>
          <cell r="BY91">
            <v>2106.5</v>
          </cell>
          <cell r="BZ91">
            <v>149.10000000000002</v>
          </cell>
          <cell r="CA91">
            <v>2255.6</v>
          </cell>
        </row>
        <row r="92">
          <cell r="A92" t="str">
            <v xml:space="preserve"> 2Q</v>
          </cell>
          <cell r="B92">
            <v>561.79999999999995</v>
          </cell>
          <cell r="C92">
            <v>126.3</v>
          </cell>
          <cell r="D92">
            <v>688.09999999999991</v>
          </cell>
          <cell r="F92">
            <v>276.60000000000002</v>
          </cell>
          <cell r="G92">
            <v>116.3</v>
          </cell>
          <cell r="H92">
            <v>393.00000000000006</v>
          </cell>
          <cell r="J92">
            <v>14.9</v>
          </cell>
          <cell r="L92">
            <v>32.799999999999997</v>
          </cell>
          <cell r="R92">
            <v>1128.8</v>
          </cell>
          <cell r="T92" t="str">
            <v xml:space="preserve"> 2Q</v>
          </cell>
          <cell r="U92">
            <v>9.9</v>
          </cell>
          <cell r="V92">
            <v>59.6</v>
          </cell>
          <cell r="W92">
            <v>69.5</v>
          </cell>
          <cell r="Y92">
            <v>1.8</v>
          </cell>
          <cell r="Z92">
            <v>31</v>
          </cell>
          <cell r="AA92">
            <v>51.900000000000006</v>
          </cell>
          <cell r="AB92">
            <v>60.5</v>
          </cell>
          <cell r="AD92">
            <v>214.70000000000002</v>
          </cell>
          <cell r="AF92">
            <v>20.400000000000002</v>
          </cell>
          <cell r="AG92">
            <v>114.2</v>
          </cell>
          <cell r="AM92">
            <v>58</v>
          </cell>
          <cell r="AN92">
            <v>8.6</v>
          </cell>
          <cell r="AO92">
            <v>66.599999999999994</v>
          </cell>
          <cell r="AU92" t="str">
            <v xml:space="preserve"> 2Q</v>
          </cell>
          <cell r="AV92">
            <v>73.3</v>
          </cell>
          <cell r="AX92">
            <v>174</v>
          </cell>
          <cell r="AY92">
            <v>104.4</v>
          </cell>
          <cell r="AZ92">
            <v>278.29999999999995</v>
          </cell>
          <cell r="BD92">
            <v>25.5</v>
          </cell>
          <cell r="BF92">
            <v>26.3</v>
          </cell>
          <cell r="BG92">
            <v>24.1</v>
          </cell>
          <cell r="BH92">
            <v>50.400000000000006</v>
          </cell>
          <cell r="BI92">
            <v>427.5</v>
          </cell>
          <cell r="BK92">
            <v>55.9</v>
          </cell>
          <cell r="BL92">
            <v>25.4</v>
          </cell>
          <cell r="BM92">
            <v>81.3</v>
          </cell>
          <cell r="BO92">
            <v>42.7</v>
          </cell>
          <cell r="BP92">
            <v>43.8</v>
          </cell>
          <cell r="BQ92">
            <v>86.5</v>
          </cell>
          <cell r="BS92">
            <v>7.1</v>
          </cell>
          <cell r="BT92">
            <v>93.6</v>
          </cell>
          <cell r="BV92">
            <v>0</v>
          </cell>
          <cell r="BX92">
            <v>41.8</v>
          </cell>
          <cell r="BY92">
            <v>2189</v>
          </cell>
          <cell r="BZ92">
            <v>140.69999999999999</v>
          </cell>
          <cell r="CA92">
            <v>2329.6999999999998</v>
          </cell>
        </row>
        <row r="93">
          <cell r="A93" t="str">
            <v xml:space="preserve"> 3Q</v>
          </cell>
          <cell r="B93">
            <v>565.20000000000005</v>
          </cell>
          <cell r="C93">
            <v>125</v>
          </cell>
          <cell r="D93">
            <v>690.2</v>
          </cell>
          <cell r="F93">
            <v>370.5</v>
          </cell>
          <cell r="G93">
            <v>132.4</v>
          </cell>
          <cell r="H93">
            <v>502.9</v>
          </cell>
          <cell r="J93">
            <v>19.100000000000001</v>
          </cell>
          <cell r="L93">
            <v>35.199999999999996</v>
          </cell>
          <cell r="R93">
            <v>1247.3999999999999</v>
          </cell>
          <cell r="T93" t="str">
            <v xml:space="preserve"> 3Q</v>
          </cell>
          <cell r="U93">
            <v>8.3000000000000007</v>
          </cell>
          <cell r="V93">
            <v>66.3</v>
          </cell>
          <cell r="W93">
            <v>74.599999999999994</v>
          </cell>
          <cell r="Y93">
            <v>3</v>
          </cell>
          <cell r="Z93">
            <v>33</v>
          </cell>
          <cell r="AA93">
            <v>59.6</v>
          </cell>
          <cell r="AB93">
            <v>53.6</v>
          </cell>
          <cell r="AD93">
            <v>223.79999999999998</v>
          </cell>
          <cell r="AF93">
            <v>20.100000000000001</v>
          </cell>
          <cell r="AG93">
            <v>107.3</v>
          </cell>
          <cell r="AM93">
            <v>82.1</v>
          </cell>
          <cell r="AN93">
            <v>10.7</v>
          </cell>
          <cell r="AO93">
            <v>92.8</v>
          </cell>
          <cell r="AU93" t="str">
            <v xml:space="preserve"> 3Q</v>
          </cell>
          <cell r="AV93">
            <v>72.2</v>
          </cell>
          <cell r="AX93">
            <v>182.7</v>
          </cell>
          <cell r="AY93">
            <v>109.6</v>
          </cell>
          <cell r="AZ93">
            <v>292.29999999999995</v>
          </cell>
          <cell r="BD93">
            <v>42.4</v>
          </cell>
          <cell r="BF93">
            <v>31.8</v>
          </cell>
          <cell r="BG93">
            <v>26.9</v>
          </cell>
          <cell r="BH93">
            <v>58.7</v>
          </cell>
          <cell r="BI93">
            <v>465.59999999999991</v>
          </cell>
          <cell r="BK93">
            <v>54.1</v>
          </cell>
          <cell r="BL93">
            <v>27.8</v>
          </cell>
          <cell r="BM93">
            <v>82</v>
          </cell>
          <cell r="BO93">
            <v>71.3</v>
          </cell>
          <cell r="BP93">
            <v>47.9</v>
          </cell>
          <cell r="BQ93">
            <v>119.19999999999999</v>
          </cell>
          <cell r="BS93">
            <v>7.1</v>
          </cell>
          <cell r="BT93">
            <v>126.29999999999998</v>
          </cell>
          <cell r="BV93">
            <v>0</v>
          </cell>
          <cell r="BX93">
            <v>46.5</v>
          </cell>
          <cell r="BY93">
            <v>2411.9999999999995</v>
          </cell>
          <cell r="BZ93">
            <v>151.19999999999999</v>
          </cell>
          <cell r="CA93">
            <v>2563.1999999999994</v>
          </cell>
        </row>
        <row r="94">
          <cell r="A94" t="str">
            <v xml:space="preserve"> 4Q</v>
          </cell>
          <cell r="B94">
            <v>506.9</v>
          </cell>
          <cell r="C94">
            <v>126.7</v>
          </cell>
          <cell r="D94">
            <v>633.6</v>
          </cell>
          <cell r="F94">
            <v>426.1</v>
          </cell>
          <cell r="G94">
            <v>144.9</v>
          </cell>
          <cell r="H94">
            <v>571</v>
          </cell>
          <cell r="J94">
            <v>21.7</v>
          </cell>
          <cell r="L94">
            <v>38.5</v>
          </cell>
          <cell r="R94">
            <v>1264.8</v>
          </cell>
          <cell r="T94" t="str">
            <v xml:space="preserve"> 4Q</v>
          </cell>
          <cell r="U94">
            <v>6.2</v>
          </cell>
          <cell r="V94">
            <v>84.6</v>
          </cell>
          <cell r="W94">
            <v>90.8</v>
          </cell>
          <cell r="Y94">
            <v>4.3</v>
          </cell>
          <cell r="Z94">
            <v>34.799999999999997</v>
          </cell>
          <cell r="AA94">
            <v>56.5</v>
          </cell>
          <cell r="AB94">
            <v>59.4</v>
          </cell>
          <cell r="AD94">
            <v>245.8</v>
          </cell>
          <cell r="AF94">
            <v>24.6</v>
          </cell>
          <cell r="AG94">
            <v>124</v>
          </cell>
          <cell r="AM94">
            <v>96.6</v>
          </cell>
          <cell r="AN94">
            <v>14.8</v>
          </cell>
          <cell r="AO94">
            <v>111.39999999999999</v>
          </cell>
          <cell r="AU94" t="str">
            <v xml:space="preserve"> 4Q</v>
          </cell>
          <cell r="AV94">
            <v>84.1</v>
          </cell>
          <cell r="AX94">
            <v>181.4</v>
          </cell>
          <cell r="AY94">
            <v>109.7</v>
          </cell>
          <cell r="AZ94">
            <v>291</v>
          </cell>
          <cell r="BD94">
            <v>43.9</v>
          </cell>
          <cell r="BF94">
            <v>39.5</v>
          </cell>
          <cell r="BG94">
            <v>33.4</v>
          </cell>
          <cell r="BH94">
            <v>72.900000000000006</v>
          </cell>
          <cell r="BI94">
            <v>491.9</v>
          </cell>
          <cell r="BK94">
            <v>50.3</v>
          </cell>
          <cell r="BL94">
            <v>24.7</v>
          </cell>
          <cell r="BM94">
            <v>75</v>
          </cell>
          <cell r="BO94">
            <v>79.099999999999994</v>
          </cell>
          <cell r="BP94">
            <v>53.9</v>
          </cell>
          <cell r="BQ94">
            <v>133</v>
          </cell>
          <cell r="BS94">
            <v>9.1999999999999993</v>
          </cell>
          <cell r="BT94">
            <v>142.19999999999999</v>
          </cell>
          <cell r="BV94">
            <v>0</v>
          </cell>
          <cell r="BX94">
            <v>41.7</v>
          </cell>
          <cell r="BY94">
            <v>2521.3999999999996</v>
          </cell>
          <cell r="BZ94">
            <v>194.5</v>
          </cell>
          <cell r="CA94">
            <v>2715.7999999999997</v>
          </cell>
        </row>
        <row r="96">
          <cell r="A96" t="str">
            <v>Year</v>
          </cell>
          <cell r="B96">
            <v>2088.3000000000002</v>
          </cell>
          <cell r="C96">
            <v>513.4</v>
          </cell>
          <cell r="D96">
            <v>2601.8000000000002</v>
          </cell>
          <cell r="F96">
            <v>1370.9</v>
          </cell>
          <cell r="G96">
            <v>497.1</v>
          </cell>
          <cell r="H96">
            <v>1868.1</v>
          </cell>
          <cell r="J96">
            <v>72.900000000000006</v>
          </cell>
          <cell r="L96">
            <v>137.69999999999999</v>
          </cell>
          <cell r="R96">
            <v>4680.5</v>
          </cell>
          <cell r="T96" t="str">
            <v>Year</v>
          </cell>
          <cell r="U96">
            <v>32.700000000000003</v>
          </cell>
          <cell r="V96">
            <v>304.10000000000002</v>
          </cell>
          <cell r="W96">
            <v>336.79999999999995</v>
          </cell>
          <cell r="Y96">
            <v>13.3</v>
          </cell>
          <cell r="Z96">
            <v>131.80000000000001</v>
          </cell>
          <cell r="AA96">
            <v>217.3</v>
          </cell>
          <cell r="AB96">
            <v>224.70000000000002</v>
          </cell>
          <cell r="AD96">
            <v>923.89999999999986</v>
          </cell>
          <cell r="AF96">
            <v>91.9</v>
          </cell>
          <cell r="AG96">
            <v>446.5</v>
          </cell>
          <cell r="AM96">
            <v>285.29999999999995</v>
          </cell>
          <cell r="AN96">
            <v>40.099999999999994</v>
          </cell>
          <cell r="AO96">
            <v>325.39999999999998</v>
          </cell>
          <cell r="AU96" t="str">
            <v>Year</v>
          </cell>
          <cell r="AV96">
            <v>297.39999999999998</v>
          </cell>
          <cell r="AX96">
            <v>643.20000000000005</v>
          </cell>
          <cell r="AY96">
            <v>421.49999999999994</v>
          </cell>
          <cell r="AZ96">
            <v>1064.5</v>
          </cell>
          <cell r="BD96">
            <v>137.19999999999999</v>
          </cell>
          <cell r="BF96">
            <v>119.6</v>
          </cell>
          <cell r="BG96">
            <v>104.9</v>
          </cell>
          <cell r="BH96">
            <v>224.50000000000003</v>
          </cell>
          <cell r="BI96">
            <v>1723.6000000000001</v>
          </cell>
          <cell r="BK96">
            <v>242.39999999999998</v>
          </cell>
          <cell r="BL96">
            <v>107.3</v>
          </cell>
          <cell r="BM96">
            <v>349.8</v>
          </cell>
          <cell r="BO96">
            <v>264.2</v>
          </cell>
          <cell r="BP96">
            <v>188.9</v>
          </cell>
          <cell r="BQ96">
            <v>453.09999999999997</v>
          </cell>
          <cell r="BS96">
            <v>30.099999999999998</v>
          </cell>
          <cell r="BT96">
            <v>483.2</v>
          </cell>
          <cell r="BV96">
            <v>0</v>
          </cell>
          <cell r="BX96">
            <v>173.2</v>
          </cell>
          <cell r="BY96">
            <v>9228.9</v>
          </cell>
          <cell r="BZ96">
            <v>635.5</v>
          </cell>
          <cell r="CA96">
            <v>9864.2999999999993</v>
          </cell>
        </row>
        <row r="98">
          <cell r="A98" t="str">
            <v>2000/99</v>
          </cell>
          <cell r="T98" t="str">
            <v>2000/99</v>
          </cell>
          <cell r="AU98" t="str">
            <v>2000/99</v>
          </cell>
        </row>
        <row r="99">
          <cell r="A99" t="str">
            <v xml:space="preserve"> 1QA</v>
          </cell>
          <cell r="B99">
            <v>0.11795774647887325</v>
          </cell>
          <cell r="C99">
            <v>-0.26292466765140332</v>
          </cell>
          <cell r="D99">
            <v>3.0513646380742498E-2</v>
          </cell>
          <cell r="F99">
            <v>7.0540812898891581E-3</v>
          </cell>
          <cell r="G99">
            <v>0.6908212560386473</v>
          </cell>
          <cell r="H99">
            <v>0.18344965104685951</v>
          </cell>
          <cell r="J99">
            <v>0.18604651162790686</v>
          </cell>
          <cell r="L99">
            <v>-7.37179487179489E-2</v>
          </cell>
          <cell r="R99">
            <v>8.8985088985089167E-2</v>
          </cell>
          <cell r="T99" t="str">
            <v xml:space="preserve"> 1QA</v>
          </cell>
          <cell r="U99">
            <v>8.674698795180702E-2</v>
          </cell>
          <cell r="V99">
            <v>-0.19615384615384612</v>
          </cell>
          <cell r="W99">
            <v>-0.17311089303238469</v>
          </cell>
          <cell r="Y99">
            <v>0.23809523809523814</v>
          </cell>
          <cell r="Z99">
            <v>-3.6363636363636376E-2</v>
          </cell>
          <cell r="AA99">
            <v>0.20081135902636937</v>
          </cell>
          <cell r="AB99">
            <v>8.7890625E-2</v>
          </cell>
          <cell r="AD99">
            <v>-1.519198664440724E-2</v>
          </cell>
          <cell r="AF99">
            <v>0.13432835820895539</v>
          </cell>
          <cell r="AG99">
            <v>9.9999999999999867E-2</v>
          </cell>
          <cell r="AM99">
            <v>0.71399176954732502</v>
          </cell>
          <cell r="AN99">
            <v>2</v>
          </cell>
          <cell r="AO99">
            <v>0.85531135531135516</v>
          </cell>
          <cell r="AU99" t="str">
            <v xml:space="preserve"> 1QA</v>
          </cell>
          <cell r="AV99">
            <v>5.6047197640117785E-2</v>
          </cell>
          <cell r="AX99">
            <v>0.53282588011417698</v>
          </cell>
          <cell r="AY99">
            <v>0.38548057259713708</v>
          </cell>
          <cell r="AZ99">
            <v>0.46229669788072991</v>
          </cell>
          <cell r="BD99">
            <v>-0.36023622047244086</v>
          </cell>
          <cell r="BF99">
            <v>0.75454545454545463</v>
          </cell>
          <cell r="BG99">
            <v>0.62926829268292672</v>
          </cell>
          <cell r="BH99">
            <v>0.69647058823529395</v>
          </cell>
          <cell r="BI99">
            <v>0.47740696987596043</v>
          </cell>
          <cell r="BK99">
            <v>-0.4056029232643118</v>
          </cell>
          <cell r="BL99">
            <v>-0.18707482993197277</v>
          </cell>
          <cell r="BM99">
            <v>-0.34798206278026911</v>
          </cell>
          <cell r="BO99">
            <v>0.10829817158931099</v>
          </cell>
          <cell r="BP99">
            <v>0.38337182448036966</v>
          </cell>
          <cell r="BQ99">
            <v>0.21241258741258751</v>
          </cell>
          <cell r="BS99">
            <v>-0.20895522388059706</v>
          </cell>
          <cell r="BT99">
            <v>0.18909991742361698</v>
          </cell>
          <cell r="BV99">
            <v>0</v>
          </cell>
          <cell r="BX99">
            <v>0.25</v>
          </cell>
          <cell r="BY99">
            <v>0.13064799430334673</v>
          </cell>
          <cell r="BZ99">
            <v>7.3775989268946907E-2</v>
          </cell>
          <cell r="CA99">
            <v>0.1268886327363008</v>
          </cell>
        </row>
        <row r="100">
          <cell r="A100" t="str">
            <v xml:space="preserve"> 2QA</v>
          </cell>
          <cell r="B100">
            <v>-3.9159843360626612E-2</v>
          </cell>
          <cell r="C100">
            <v>-0.30641330166270786</v>
          </cell>
          <cell r="D100">
            <v>-8.8213922395000588E-2</v>
          </cell>
          <cell r="F100">
            <v>0.43383947939262479</v>
          </cell>
          <cell r="G100">
            <v>0.32502149613069653</v>
          </cell>
          <cell r="H100">
            <v>0.40127226463104315</v>
          </cell>
          <cell r="J100">
            <v>0.34899328859060419</v>
          </cell>
          <cell r="L100">
            <v>2.1341463414634276E-2</v>
          </cell>
          <cell r="R100">
            <v>9.1158752657689357E-2</v>
          </cell>
          <cell r="T100" t="str">
            <v xml:space="preserve"> 2QA</v>
          </cell>
          <cell r="U100">
            <v>-0.54545454545454541</v>
          </cell>
          <cell r="V100">
            <v>9.5302013422818854E-2</v>
          </cell>
          <cell r="W100">
            <v>4.0287769784173033E-3</v>
          </cell>
          <cell r="Y100">
            <v>0.55555555555555536</v>
          </cell>
          <cell r="Z100">
            <v>-5.4838709677419328E-2</v>
          </cell>
          <cell r="AA100">
            <v>5.3949903660886367E-2</v>
          </cell>
          <cell r="AB100">
            <v>-6.6115702479338845E-2</v>
          </cell>
          <cell r="AD100">
            <v>-7.5454122030740312E-3</v>
          </cell>
          <cell r="AF100">
            <v>5.3921568627450789E-2</v>
          </cell>
          <cell r="AG100">
            <v>-8.4938704028021061E-2</v>
          </cell>
          <cell r="AM100">
            <v>0.93103448275862077</v>
          </cell>
          <cell r="AN100">
            <v>1.5348837209302326</v>
          </cell>
          <cell r="AO100">
            <v>1.0075075075075079</v>
          </cell>
          <cell r="AU100" t="str">
            <v xml:space="preserve"> 2QA</v>
          </cell>
          <cell r="AV100">
            <v>2.3192360163710735E-2</v>
          </cell>
          <cell r="AX100">
            <v>-0.22068965517241379</v>
          </cell>
          <cell r="AY100">
            <v>0.23946360153256707</v>
          </cell>
          <cell r="AZ100">
            <v>-4.7790154509521954E-2</v>
          </cell>
          <cell r="BD100">
            <v>-9.2156862745098378E-2</v>
          </cell>
          <cell r="BF100">
            <v>0.51330798479087436</v>
          </cell>
          <cell r="BG100">
            <v>0.52987551867219906</v>
          </cell>
          <cell r="BH100">
            <v>0.52123015873015821</v>
          </cell>
          <cell r="BI100">
            <v>0.20472514619883042</v>
          </cell>
          <cell r="BK100">
            <v>-0.10554561717352418</v>
          </cell>
          <cell r="BL100">
            <v>0.40157480314960647</v>
          </cell>
          <cell r="BM100">
            <v>5.2890528905289003E-2</v>
          </cell>
          <cell r="BO100">
            <v>0.14988290398126458</v>
          </cell>
          <cell r="BP100">
            <v>0.3447488584474887</v>
          </cell>
          <cell r="BQ100">
            <v>0.24739884393063583</v>
          </cell>
          <cell r="BS100">
            <v>-0.12676056338028163</v>
          </cell>
          <cell r="BT100">
            <v>0.21901709401709413</v>
          </cell>
          <cell r="BV100">
            <v>0</v>
          </cell>
          <cell r="BX100">
            <v>0.13875598086124419</v>
          </cell>
          <cell r="BY100">
            <v>0.1269072635906805</v>
          </cell>
          <cell r="BZ100">
            <v>9.8791755508173651E-2</v>
          </cell>
          <cell r="CA100">
            <v>0.12520925441043906</v>
          </cell>
        </row>
        <row r="101">
          <cell r="A101" t="str">
            <v xml:space="preserve"> 3QA</v>
          </cell>
          <cell r="B101">
            <v>5.927105449398451E-2</v>
          </cell>
          <cell r="C101">
            <v>-0.3488</v>
          </cell>
          <cell r="D101">
            <v>-1.4633439582729668E-2</v>
          </cell>
          <cell r="F101">
            <v>0.28097165991902839</v>
          </cell>
          <cell r="G101">
            <v>0.28625377643504524</v>
          </cell>
          <cell r="H101">
            <v>0.28236229866772744</v>
          </cell>
          <cell r="J101">
            <v>0.10994764397905743</v>
          </cell>
          <cell r="L101">
            <v>3.9772727272727515E-2</v>
          </cell>
          <cell r="R101">
            <v>0.10854577521244191</v>
          </cell>
          <cell r="T101" t="str">
            <v xml:space="preserve"> 3QA</v>
          </cell>
          <cell r="U101">
            <v>-0.51807228915662651</v>
          </cell>
          <cell r="V101">
            <v>-0.20965309200603321</v>
          </cell>
          <cell r="W101">
            <v>-0.2439678284182305</v>
          </cell>
          <cell r="Y101">
            <v>-0.56666666666666665</v>
          </cell>
          <cell r="Z101">
            <v>-0.14848484848484844</v>
          </cell>
          <cell r="AA101">
            <v>-0.1023489932885906</v>
          </cell>
          <cell r="AB101">
            <v>-0.15111940298507465</v>
          </cell>
          <cell r="AD101">
            <v>-0.1742627345844503</v>
          </cell>
          <cell r="AF101">
            <v>-6.9651741293532465E-2</v>
          </cell>
          <cell r="AG101">
            <v>-8.9468779123951458E-2</v>
          </cell>
          <cell r="AM101">
            <v>0.45310596833130345</v>
          </cell>
          <cell r="AN101">
            <v>1.0747663551401869</v>
          </cell>
          <cell r="AO101">
            <v>0.52478448275862077</v>
          </cell>
          <cell r="AU101" t="str">
            <v xml:space="preserve"> 3QA</v>
          </cell>
          <cell r="AV101">
            <v>8.1717451523545481E-2</v>
          </cell>
          <cell r="AX101">
            <v>-8.9764641488779273E-2</v>
          </cell>
          <cell r="AY101">
            <v>6.1131386861313919E-2</v>
          </cell>
          <cell r="AZ101">
            <v>-3.3185083817995009E-2</v>
          </cell>
          <cell r="BD101">
            <v>-0.62853773584905659</v>
          </cell>
          <cell r="BF101">
            <v>0.60062893081761004</v>
          </cell>
          <cell r="BG101">
            <v>0.47472118959107812</v>
          </cell>
          <cell r="BH101">
            <v>0.54293015332197592</v>
          </cell>
          <cell r="BI101">
            <v>0.1340635738831617</v>
          </cell>
          <cell r="BK101">
            <v>-2.7726432532347522E-2</v>
          </cell>
          <cell r="BL101">
            <v>-3.345323741007189E-2</v>
          </cell>
          <cell r="BM101">
            <v>-3.0853658536585393E-2</v>
          </cell>
          <cell r="BO101">
            <v>0.30154277699859744</v>
          </cell>
          <cell r="BP101">
            <v>0.30062630480167019</v>
          </cell>
          <cell r="BQ101">
            <v>0.3011744966442953</v>
          </cell>
          <cell r="BS101">
            <v>-0.23943661971830976</v>
          </cell>
          <cell r="BT101">
            <v>0.27078384798099786</v>
          </cell>
          <cell r="BV101">
            <v>0</v>
          </cell>
          <cell r="BX101">
            <v>9.0322580645161299E-2</v>
          </cell>
          <cell r="BY101">
            <v>9.6264510779436208E-2</v>
          </cell>
          <cell r="BZ101">
            <v>0.1084656084656086</v>
          </cell>
          <cell r="CA101">
            <v>9.6984238451935267E-2</v>
          </cell>
        </row>
        <row r="102">
          <cell r="A102" t="str">
            <v xml:space="preserve"> 4QA</v>
          </cell>
          <cell r="B102">
            <v>0.15644111264549232</v>
          </cell>
          <cell r="C102">
            <v>-0.33977900552486184</v>
          </cell>
          <cell r="D102">
            <v>5.7212752525252597E-2</v>
          </cell>
          <cell r="F102">
            <v>0.21825862473597746</v>
          </cell>
          <cell r="G102">
            <v>0.21946169772256718</v>
          </cell>
          <cell r="H102">
            <v>0.2185639229422065</v>
          </cell>
          <cell r="J102">
            <v>-6.9124423963133674E-2</v>
          </cell>
          <cell r="L102">
            <v>7.2727272727272751E-2</v>
          </cell>
          <cell r="R102">
            <v>0.12836021505376349</v>
          </cell>
          <cell r="T102" t="str">
            <v xml:space="preserve"> 4QA</v>
          </cell>
          <cell r="U102">
            <v>0.38709677419354827</v>
          </cell>
          <cell r="V102">
            <v>-0.13593380614657213</v>
          </cell>
          <cell r="W102">
            <v>-0.10022026431718067</v>
          </cell>
          <cell r="Y102">
            <v>-0.37209302325581384</v>
          </cell>
          <cell r="Z102">
            <v>-5.1724137931034364E-2</v>
          </cell>
          <cell r="AA102">
            <v>-0.14336283185840715</v>
          </cell>
          <cell r="AB102">
            <v>6.9023569023568987E-2</v>
          </cell>
          <cell r="AD102">
            <v>-6.7127746135069222E-2</v>
          </cell>
          <cell r="AF102">
            <v>-0.31300813008130091</v>
          </cell>
          <cell r="AG102">
            <v>-0.14838709677419359</v>
          </cell>
          <cell r="AM102">
            <v>0.23395445134575588</v>
          </cell>
          <cell r="AN102">
            <v>0.79054054054054035</v>
          </cell>
          <cell r="AO102">
            <v>0.30789946140035895</v>
          </cell>
          <cell r="AU102" t="str">
            <v xml:space="preserve"> 4QA</v>
          </cell>
          <cell r="AV102">
            <v>-6.5398335315101086E-2</v>
          </cell>
          <cell r="AX102">
            <v>-7.7728776185226001E-2</v>
          </cell>
          <cell r="AY102">
            <v>0.14676390154968089</v>
          </cell>
          <cell r="AZ102">
            <v>7.2164948453607991E-3</v>
          </cell>
          <cell r="BD102">
            <v>-0.60250569476082005</v>
          </cell>
          <cell r="BF102">
            <v>0.68101265822784818</v>
          </cell>
          <cell r="BG102">
            <v>0.33233532934131738</v>
          </cell>
          <cell r="BH102">
            <v>0.52126200274348422</v>
          </cell>
          <cell r="BI102">
            <v>0.10642406993291331</v>
          </cell>
          <cell r="BK102">
            <v>0.28429423459244529</v>
          </cell>
          <cell r="BL102">
            <v>-3.238866396761142E-2</v>
          </cell>
          <cell r="BM102">
            <v>0.17999999999999994</v>
          </cell>
          <cell r="BO102">
            <v>0.20353982300884965</v>
          </cell>
          <cell r="BP102">
            <v>0.20593692022263443</v>
          </cell>
          <cell r="BQ102">
            <v>0.20451127819548853</v>
          </cell>
          <cell r="BS102">
            <v>-0.51086956521739124</v>
          </cell>
          <cell r="BT102">
            <v>0.15822784810126578</v>
          </cell>
          <cell r="BV102">
            <v>0</v>
          </cell>
          <cell r="BX102">
            <v>0.35251798561151082</v>
          </cell>
          <cell r="BY102">
            <v>0.10196716110097581</v>
          </cell>
          <cell r="BZ102">
            <v>2.6735218508997516E-2</v>
          </cell>
          <cell r="CA102">
            <v>9.66197805434863E-2</v>
          </cell>
        </row>
        <row r="104">
          <cell r="A104" t="str">
            <v>Year</v>
          </cell>
          <cell r="B104">
            <v>6.9147153186802479E-2</v>
          </cell>
          <cell r="C104">
            <v>-0.31349824698091167</v>
          </cell>
          <cell r="D104">
            <v>-6.360980859405097E-3</v>
          </cell>
          <cell r="F104">
            <v>0.2328397403165802</v>
          </cell>
          <cell r="G104">
            <v>0.36008851337759001</v>
          </cell>
          <cell r="H104">
            <v>0.2666345484717092</v>
          </cell>
          <cell r="J104">
            <v>0.12345679012345678</v>
          </cell>
          <cell r="L104">
            <v>1.8881626724764147E-2</v>
          </cell>
          <cell r="R104">
            <v>0.10536267492789224</v>
          </cell>
          <cell r="T104" t="str">
            <v>Year</v>
          </cell>
          <cell r="U104">
            <v>-0.20122324159021421</v>
          </cell>
          <cell r="V104">
            <v>-0.12522196645840197</v>
          </cell>
          <cell r="W104">
            <v>-0.13260095011876477</v>
          </cell>
          <cell r="Y104">
            <v>-9.7744360902255689E-2</v>
          </cell>
          <cell r="Z104">
            <v>-7.2837632776934808E-2</v>
          </cell>
          <cell r="AA104">
            <v>-6.9028992176714214E-3</v>
          </cell>
          <cell r="AB104">
            <v>-1.5576323987539066E-2</v>
          </cell>
          <cell r="AD104">
            <v>-6.5764693148609152E-2</v>
          </cell>
          <cell r="AF104">
            <v>-4.7878128400435316E-2</v>
          </cell>
          <cell r="AG104">
            <v>-6.181410974244126E-2</v>
          </cell>
          <cell r="AM104">
            <v>0.52050473186119905</v>
          </cell>
          <cell r="AN104">
            <v>1.2069825436408981</v>
          </cell>
          <cell r="AO104">
            <v>0.6047940995697606</v>
          </cell>
          <cell r="AU104" t="str">
            <v>Year</v>
          </cell>
          <cell r="AV104">
            <v>1.9838601210490848E-2</v>
          </cell>
          <cell r="AX104">
            <v>-2.0055970149253873E-2</v>
          </cell>
          <cell r="AY104">
            <v>0.20284697508896812</v>
          </cell>
          <cell r="AZ104">
            <v>6.8482855800845552E-2</v>
          </cell>
          <cell r="BD104">
            <v>-0.4708454810495627</v>
          </cell>
          <cell r="BF104">
            <v>0.63628762541806039</v>
          </cell>
          <cell r="BG104">
            <v>0.47225929456625348</v>
          </cell>
          <cell r="BH104">
            <v>0.56008908685968806</v>
          </cell>
          <cell r="BI104">
            <v>0.21115107913669054</v>
          </cell>
          <cell r="BK104">
            <v>-0.10891089108910883</v>
          </cell>
          <cell r="BL104">
            <v>2.7679403541472629E-2</v>
          </cell>
          <cell r="BM104">
            <v>-6.7267009719839996E-2</v>
          </cell>
          <cell r="BO104">
            <v>0.19568508705526114</v>
          </cell>
          <cell r="BP104">
            <v>0.30280571731074635</v>
          </cell>
          <cell r="BQ104">
            <v>0.23990289119399691</v>
          </cell>
          <cell r="BS104">
            <v>-0.28903654485049834</v>
          </cell>
          <cell r="BT104">
            <v>0.20716059602649001</v>
          </cell>
          <cell r="BV104" t="str">
            <v>NM</v>
          </cell>
          <cell r="BX104">
            <v>0.20496535796766763</v>
          </cell>
          <cell r="BY104">
            <v>0.11293870342077597</v>
          </cell>
          <cell r="BZ104">
            <v>7.3170731707317249E-2</v>
          </cell>
          <cell r="CA104">
            <v>0.11038796468071731</v>
          </cell>
        </row>
        <row r="106">
          <cell r="A106" t="str">
            <v>2000</v>
          </cell>
          <cell r="T106" t="str">
            <v>2000</v>
          </cell>
          <cell r="AU106" t="str">
            <v>2000</v>
          </cell>
        </row>
        <row r="107">
          <cell r="A107" t="str">
            <v xml:space="preserve"> 1QA</v>
          </cell>
          <cell r="B107">
            <v>508</v>
          </cell>
          <cell r="C107">
            <v>99.8</v>
          </cell>
          <cell r="D107">
            <v>607.9</v>
          </cell>
          <cell r="F107">
            <v>299.8</v>
          </cell>
          <cell r="G107">
            <v>175</v>
          </cell>
          <cell r="H107">
            <v>474.8</v>
          </cell>
          <cell r="J107">
            <v>20.399999999999999</v>
          </cell>
          <cell r="L107">
            <v>28.9</v>
          </cell>
          <cell r="R107">
            <v>1132.0000000000002</v>
          </cell>
          <cell r="T107" t="str">
            <v xml:space="preserve"> 1QA</v>
          </cell>
          <cell r="U107">
            <v>9.02</v>
          </cell>
          <cell r="V107">
            <v>75.239999999999995</v>
          </cell>
          <cell r="W107">
            <v>84.259999999999991</v>
          </cell>
          <cell r="Y107">
            <v>5.2</v>
          </cell>
          <cell r="Z107">
            <v>31.8</v>
          </cell>
          <cell r="AA107">
            <v>59.2</v>
          </cell>
          <cell r="AB107">
            <v>55.7</v>
          </cell>
          <cell r="AD107">
            <v>235.95999999999998</v>
          </cell>
          <cell r="AF107">
            <v>30.4</v>
          </cell>
          <cell r="AG107">
            <v>111.1</v>
          </cell>
          <cell r="AM107">
            <v>83.3</v>
          </cell>
          <cell r="AN107">
            <v>18</v>
          </cell>
          <cell r="AO107">
            <v>101.3</v>
          </cell>
          <cell r="AU107" t="str">
            <v xml:space="preserve"> 1QA</v>
          </cell>
          <cell r="AV107">
            <v>71.599999999999994</v>
          </cell>
          <cell r="AX107">
            <v>161.1</v>
          </cell>
          <cell r="AY107">
            <v>135.5</v>
          </cell>
          <cell r="AZ107">
            <v>296.70000000000005</v>
          </cell>
          <cell r="BB107">
            <v>43.6</v>
          </cell>
          <cell r="BD107">
            <v>16.25</v>
          </cell>
          <cell r="BF107">
            <v>38.6</v>
          </cell>
          <cell r="BG107">
            <v>33.4</v>
          </cell>
          <cell r="BH107">
            <v>72.099999999999994</v>
          </cell>
          <cell r="BI107">
            <v>500.25000000000011</v>
          </cell>
          <cell r="BK107">
            <v>48.8</v>
          </cell>
          <cell r="BL107">
            <v>23.9</v>
          </cell>
          <cell r="BM107">
            <v>72.699999999999989</v>
          </cell>
          <cell r="BO107">
            <v>78.8</v>
          </cell>
          <cell r="BP107">
            <v>59.9</v>
          </cell>
          <cell r="BQ107">
            <v>138.69999999999999</v>
          </cell>
          <cell r="BS107">
            <v>5.3</v>
          </cell>
          <cell r="BT107">
            <v>144</v>
          </cell>
          <cell r="BV107">
            <v>0</v>
          </cell>
          <cell r="BX107">
            <v>54.000000000000007</v>
          </cell>
          <cell r="BY107">
            <v>2381.71</v>
          </cell>
          <cell r="BZ107">
            <v>160.1</v>
          </cell>
          <cell r="CA107">
            <v>2541.81</v>
          </cell>
        </row>
        <row r="108">
          <cell r="A108" t="str">
            <v xml:space="preserve"> 2QA</v>
          </cell>
          <cell r="B108">
            <v>539.79999999999995</v>
          </cell>
          <cell r="C108">
            <v>87.6</v>
          </cell>
          <cell r="D108">
            <v>627.4</v>
          </cell>
          <cell r="F108">
            <v>396.6</v>
          </cell>
          <cell r="G108">
            <v>154.1</v>
          </cell>
          <cell r="H108">
            <v>550.70000000000005</v>
          </cell>
          <cell r="J108">
            <v>20.100000000000001</v>
          </cell>
          <cell r="L108">
            <v>33.5</v>
          </cell>
          <cell r="R108">
            <v>1231.6999999999998</v>
          </cell>
          <cell r="T108" t="str">
            <v xml:space="preserve"> 2QA</v>
          </cell>
          <cell r="U108">
            <v>4.5</v>
          </cell>
          <cell r="V108">
            <v>65.28</v>
          </cell>
          <cell r="W108">
            <v>69.78</v>
          </cell>
          <cell r="Y108">
            <v>2.8</v>
          </cell>
          <cell r="Z108">
            <v>29.3</v>
          </cell>
          <cell r="AA108">
            <v>54.7</v>
          </cell>
          <cell r="AB108">
            <v>56.5</v>
          </cell>
          <cell r="AD108">
            <v>213.08</v>
          </cell>
          <cell r="AF108">
            <v>21.5</v>
          </cell>
          <cell r="AG108">
            <v>104.5</v>
          </cell>
          <cell r="AM108">
            <v>112</v>
          </cell>
          <cell r="AN108">
            <v>21.8</v>
          </cell>
          <cell r="AO108">
            <v>133.70000000000002</v>
          </cell>
          <cell r="AU108" t="str">
            <v xml:space="preserve"> 2QA</v>
          </cell>
          <cell r="AV108">
            <v>75</v>
          </cell>
          <cell r="AX108">
            <v>135.6</v>
          </cell>
          <cell r="AY108">
            <v>129.4</v>
          </cell>
          <cell r="AZ108">
            <v>265</v>
          </cell>
          <cell r="BB108">
            <v>75.2</v>
          </cell>
          <cell r="BD108">
            <v>23.149999999999991</v>
          </cell>
          <cell r="BF108">
            <v>39.799999999999997</v>
          </cell>
          <cell r="BG108">
            <v>36.869999999999997</v>
          </cell>
          <cell r="BH108">
            <v>76.669999999999987</v>
          </cell>
          <cell r="BI108">
            <v>515.02</v>
          </cell>
          <cell r="BK108">
            <v>50</v>
          </cell>
          <cell r="BL108">
            <v>35.6</v>
          </cell>
          <cell r="BM108">
            <v>85.6</v>
          </cell>
          <cell r="BO108">
            <v>49.1</v>
          </cell>
          <cell r="BP108">
            <v>58.9</v>
          </cell>
          <cell r="BQ108">
            <v>107.9</v>
          </cell>
          <cell r="BS108">
            <v>6.2</v>
          </cell>
          <cell r="BT108">
            <v>114.10000000000001</v>
          </cell>
          <cell r="BV108">
            <v>0</v>
          </cell>
          <cell r="BX108">
            <v>47.6</v>
          </cell>
          <cell r="BY108">
            <v>2466.7999999999997</v>
          </cell>
          <cell r="BZ108">
            <v>154.60000000000002</v>
          </cell>
          <cell r="CA108">
            <v>2621.3999999999996</v>
          </cell>
        </row>
        <row r="109">
          <cell r="A109" t="str">
            <v xml:space="preserve"> 3QA</v>
          </cell>
          <cell r="B109">
            <v>598.70000000000005</v>
          </cell>
          <cell r="C109">
            <v>81.400000000000006</v>
          </cell>
          <cell r="D109">
            <v>680.1</v>
          </cell>
          <cell r="F109">
            <v>474.6</v>
          </cell>
          <cell r="G109">
            <v>170.3</v>
          </cell>
          <cell r="H109">
            <v>644.90000000000009</v>
          </cell>
          <cell r="J109">
            <v>21.2</v>
          </cell>
          <cell r="L109">
            <v>36.6</v>
          </cell>
          <cell r="R109">
            <v>1382.8</v>
          </cell>
          <cell r="T109" t="str">
            <v xml:space="preserve"> 3QA</v>
          </cell>
          <cell r="U109">
            <v>4</v>
          </cell>
          <cell r="V109">
            <v>52.4</v>
          </cell>
          <cell r="W109">
            <v>56.4</v>
          </cell>
          <cell r="Y109">
            <v>1.3</v>
          </cell>
          <cell r="Z109">
            <v>28.1</v>
          </cell>
          <cell r="AA109">
            <v>53.5</v>
          </cell>
          <cell r="AB109">
            <v>45.5</v>
          </cell>
          <cell r="AD109">
            <v>184.8</v>
          </cell>
          <cell r="AF109">
            <v>18.7</v>
          </cell>
          <cell r="AG109">
            <v>97.7</v>
          </cell>
          <cell r="AM109">
            <v>119.3</v>
          </cell>
          <cell r="AN109">
            <v>22.2</v>
          </cell>
          <cell r="AO109">
            <v>141.5</v>
          </cell>
          <cell r="AU109" t="str">
            <v xml:space="preserve"> 3QA</v>
          </cell>
          <cell r="AV109">
            <v>78.099999999999994</v>
          </cell>
          <cell r="AX109">
            <v>166.3</v>
          </cell>
          <cell r="AY109">
            <v>116.3</v>
          </cell>
          <cell r="AZ109">
            <v>282.60000000000002</v>
          </cell>
          <cell r="BB109">
            <v>61</v>
          </cell>
          <cell r="BD109">
            <v>15.75</v>
          </cell>
          <cell r="BF109">
            <v>50.9</v>
          </cell>
          <cell r="BG109">
            <v>39.67</v>
          </cell>
          <cell r="BH109">
            <v>90.57</v>
          </cell>
          <cell r="BI109">
            <v>528.02</v>
          </cell>
          <cell r="BK109">
            <v>52.6</v>
          </cell>
          <cell r="BL109">
            <v>26.87</v>
          </cell>
          <cell r="BM109">
            <v>79.47</v>
          </cell>
          <cell r="BO109">
            <v>92.8</v>
          </cell>
          <cell r="BP109">
            <v>62.3</v>
          </cell>
          <cell r="BQ109">
            <v>155.1</v>
          </cell>
          <cell r="BS109">
            <v>5.4</v>
          </cell>
          <cell r="BT109">
            <v>160.5</v>
          </cell>
          <cell r="BV109">
            <v>0</v>
          </cell>
          <cell r="BX109">
            <v>50.699999999999996</v>
          </cell>
          <cell r="BY109">
            <v>2644.1899999999996</v>
          </cell>
          <cell r="BZ109">
            <v>167.6</v>
          </cell>
          <cell r="CA109">
            <v>2811.7899999999995</v>
          </cell>
        </row>
        <row r="110">
          <cell r="A110" t="str">
            <v xml:space="preserve"> 4QA</v>
          </cell>
          <cell r="B110">
            <v>586.20000000000005</v>
          </cell>
          <cell r="C110">
            <v>83.65</v>
          </cell>
          <cell r="D110">
            <v>669.85</v>
          </cell>
          <cell r="F110">
            <v>519.1</v>
          </cell>
          <cell r="G110">
            <v>176.7</v>
          </cell>
          <cell r="H110">
            <v>695.8</v>
          </cell>
          <cell r="J110">
            <v>20.2</v>
          </cell>
          <cell r="L110">
            <v>41.3</v>
          </cell>
          <cell r="R110">
            <v>1427.15</v>
          </cell>
          <cell r="T110" t="str">
            <v xml:space="preserve"> 4QA</v>
          </cell>
          <cell r="U110">
            <v>8.6</v>
          </cell>
          <cell r="V110">
            <v>73.099999999999994</v>
          </cell>
          <cell r="W110">
            <v>81.699999999999989</v>
          </cell>
          <cell r="Y110">
            <v>2.7</v>
          </cell>
          <cell r="Z110">
            <v>33</v>
          </cell>
          <cell r="AA110">
            <v>48.4</v>
          </cell>
          <cell r="AB110">
            <v>63.5</v>
          </cell>
          <cell r="AD110">
            <v>229.29999999999998</v>
          </cell>
          <cell r="AF110">
            <v>16.899999999999999</v>
          </cell>
          <cell r="AG110">
            <v>105.6</v>
          </cell>
          <cell r="AM110">
            <v>119.2</v>
          </cell>
          <cell r="AN110">
            <v>26.5</v>
          </cell>
          <cell r="AO110">
            <v>145.69999999999999</v>
          </cell>
          <cell r="AU110" t="str">
            <v xml:space="preserve"> 4QA</v>
          </cell>
          <cell r="AV110">
            <v>78.599999999999994</v>
          </cell>
          <cell r="AX110">
            <v>167.3</v>
          </cell>
          <cell r="AY110">
            <v>125.8</v>
          </cell>
          <cell r="AZ110">
            <v>293.10000000000002</v>
          </cell>
          <cell r="BB110">
            <v>44.2</v>
          </cell>
          <cell r="BD110">
            <v>17.449999999999996</v>
          </cell>
          <cell r="BF110">
            <v>66.400000000000006</v>
          </cell>
          <cell r="BG110">
            <v>44.5</v>
          </cell>
          <cell r="BH110">
            <v>110.9</v>
          </cell>
          <cell r="BI110">
            <v>544.25</v>
          </cell>
          <cell r="BK110">
            <v>64.599999999999994</v>
          </cell>
          <cell r="BL110">
            <v>23.9</v>
          </cell>
          <cell r="BM110">
            <v>88.5</v>
          </cell>
          <cell r="BO110">
            <v>95.2</v>
          </cell>
          <cell r="BP110">
            <v>65</v>
          </cell>
          <cell r="BQ110">
            <v>160.19999999999999</v>
          </cell>
          <cell r="BS110">
            <v>4.5</v>
          </cell>
          <cell r="BT110">
            <v>164.7</v>
          </cell>
          <cell r="BV110">
            <v>0</v>
          </cell>
          <cell r="BX110">
            <v>56.400000000000006</v>
          </cell>
          <cell r="BY110">
            <v>2778.5</v>
          </cell>
          <cell r="BZ110">
            <v>199.70000000000002</v>
          </cell>
          <cell r="CA110">
            <v>2978.2</v>
          </cell>
        </row>
        <row r="112">
          <cell r="A112" t="str">
            <v>YearA</v>
          </cell>
          <cell r="B112">
            <v>2232.6999999999998</v>
          </cell>
          <cell r="C112">
            <v>352.44999999999993</v>
          </cell>
          <cell r="D112">
            <v>2585.25</v>
          </cell>
          <cell r="F112">
            <v>1690.1</v>
          </cell>
          <cell r="G112">
            <v>676.1</v>
          </cell>
          <cell r="H112">
            <v>2366.1999999999998</v>
          </cell>
          <cell r="J112">
            <v>81.900000000000006</v>
          </cell>
          <cell r="L112">
            <v>140.30000000000001</v>
          </cell>
          <cell r="R112">
            <v>5173.6499999999996</v>
          </cell>
          <cell r="T112" t="str">
            <v>YearA</v>
          </cell>
          <cell r="U112">
            <v>26.119999999999997</v>
          </cell>
          <cell r="V112">
            <v>266.02</v>
          </cell>
          <cell r="W112">
            <v>292.14</v>
          </cell>
          <cell r="Y112">
            <v>12</v>
          </cell>
          <cell r="Z112">
            <v>122.2</v>
          </cell>
          <cell r="AA112">
            <v>215.8</v>
          </cell>
          <cell r="AB112">
            <v>221.2</v>
          </cell>
          <cell r="AD112">
            <v>863.13999999999987</v>
          </cell>
          <cell r="AF112">
            <v>87.5</v>
          </cell>
          <cell r="AG112">
            <v>418.9</v>
          </cell>
          <cell r="AM112">
            <v>433.8</v>
          </cell>
          <cell r="AN112">
            <v>88.5</v>
          </cell>
          <cell r="AO112">
            <v>522.20000000000005</v>
          </cell>
          <cell r="AU112" t="str">
            <v>YearA</v>
          </cell>
          <cell r="AV112">
            <v>303.29999999999995</v>
          </cell>
          <cell r="AX112">
            <v>630.29999999999995</v>
          </cell>
          <cell r="AY112">
            <v>507</v>
          </cell>
          <cell r="AZ112">
            <v>1137.4000000000001</v>
          </cell>
          <cell r="BB112">
            <v>224</v>
          </cell>
          <cell r="BD112">
            <v>72.599999999999994</v>
          </cell>
          <cell r="BF112">
            <v>195.70000000000002</v>
          </cell>
          <cell r="BG112">
            <v>154.44</v>
          </cell>
          <cell r="BH112">
            <v>350.24</v>
          </cell>
          <cell r="BI112">
            <v>2087.54</v>
          </cell>
          <cell r="BK112">
            <v>216</v>
          </cell>
          <cell r="BL112">
            <v>110.27000000000001</v>
          </cell>
          <cell r="BM112">
            <v>326.27</v>
          </cell>
          <cell r="BO112">
            <v>315.89999999999998</v>
          </cell>
          <cell r="BP112">
            <v>246.1</v>
          </cell>
          <cell r="BQ112">
            <v>561.79999999999995</v>
          </cell>
          <cell r="BS112">
            <v>21.4</v>
          </cell>
          <cell r="BT112">
            <v>583.29999999999995</v>
          </cell>
          <cell r="BV112">
            <v>0</v>
          </cell>
          <cell r="BX112">
            <v>208.70000000000002</v>
          </cell>
          <cell r="BY112">
            <v>10271.199999999999</v>
          </cell>
          <cell r="BZ112">
            <v>682.00000000000011</v>
          </cell>
          <cell r="CA112">
            <v>10953.199999999999</v>
          </cell>
        </row>
        <row r="114">
          <cell r="A114" t="str">
            <v>2001/00</v>
          </cell>
          <cell r="T114" t="str">
            <v>2001/00</v>
          </cell>
          <cell r="AU114" t="str">
            <v>2001/00</v>
          </cell>
        </row>
        <row r="115">
          <cell r="A115" t="str">
            <v xml:space="preserve"> 1QA</v>
          </cell>
          <cell r="B115">
            <v>6.5944881889763884E-2</v>
          </cell>
          <cell r="C115">
            <v>-0.18436873747494986</v>
          </cell>
          <cell r="D115">
            <v>2.4675111037999686E-2</v>
          </cell>
          <cell r="F115">
            <v>0.50333555703802535</v>
          </cell>
          <cell r="G115">
            <v>6.5142857142857169E-2</v>
          </cell>
          <cell r="H115">
            <v>0.34182813816343716</v>
          </cell>
          <cell r="I115" t="e">
            <v>#DIV/0!</v>
          </cell>
          <cell r="J115">
            <v>9.3137254901960898E-2</v>
          </cell>
          <cell r="K115" t="e">
            <v>#DIV/0!</v>
          </cell>
          <cell r="L115">
            <v>0.21107266435986172</v>
          </cell>
          <cell r="M115" t="e">
            <v>#DIV/0!</v>
          </cell>
          <cell r="R115">
            <v>0.16369257950530014</v>
          </cell>
          <cell r="T115" t="str">
            <v xml:space="preserve"> 1QA</v>
          </cell>
          <cell r="U115">
            <v>-0.85587583148558755</v>
          </cell>
          <cell r="V115">
            <v>-9.4896331738437034E-2</v>
          </cell>
          <cell r="W115">
            <v>-0.17635888915262288</v>
          </cell>
          <cell r="Y115">
            <v>-0.13461538461538469</v>
          </cell>
          <cell r="Z115">
            <v>-0.53144654088050314</v>
          </cell>
          <cell r="AA115">
            <v>-1.8581081081081141E-2</v>
          </cell>
          <cell r="AB115">
            <v>-0.2459605026929983</v>
          </cell>
          <cell r="AD115">
            <v>-0.19944058314968627</v>
          </cell>
          <cell r="AF115">
            <v>-0.51973684210526316</v>
          </cell>
          <cell r="AG115">
            <v>-3.6003600360035026E-3</v>
          </cell>
          <cell r="AM115">
            <v>0.44417767106842732</v>
          </cell>
          <cell r="AN115">
            <v>0.60000000000000009</v>
          </cell>
          <cell r="AO115">
            <v>0.4718657453109576</v>
          </cell>
          <cell r="AU115" t="str">
            <v xml:space="preserve"> 1QA</v>
          </cell>
          <cell r="AV115">
            <v>3.6312849162011274E-2</v>
          </cell>
          <cell r="AX115">
            <v>-4.2830540037243958E-2</v>
          </cell>
          <cell r="AY115">
            <v>-0.12029520295202945</v>
          </cell>
          <cell r="AZ115">
            <v>-7.8530502190765294E-2</v>
          </cell>
          <cell r="BB115">
            <v>0.46788990825688059</v>
          </cell>
          <cell r="BD115">
            <v>0.24923076923076914</v>
          </cell>
          <cell r="BF115">
            <v>0.99222797927461137</v>
          </cell>
          <cell r="BG115">
            <v>0.44610778443113763</v>
          </cell>
          <cell r="BH115">
            <v>0.73647711511789193</v>
          </cell>
          <cell r="BI115">
            <v>0.1136431784107943</v>
          </cell>
          <cell r="BK115">
            <v>-0.11270491803278693</v>
          </cell>
          <cell r="BL115">
            <v>0.35983263598326376</v>
          </cell>
          <cell r="BM115">
            <v>4.2640990371389353E-2</v>
          </cell>
          <cell r="BO115">
            <v>0.28807106598984777</v>
          </cell>
          <cell r="BP115">
            <v>0.21035058430717868</v>
          </cell>
          <cell r="BQ115">
            <v>0.25450612833453512</v>
          </cell>
          <cell r="BS115">
            <v>-0.28301886792452835</v>
          </cell>
          <cell r="BT115">
            <v>0.23472222222222228</v>
          </cell>
          <cell r="BV115" t="str">
            <v>NM</v>
          </cell>
          <cell r="BX115">
            <v>-0.1425925925925926</v>
          </cell>
          <cell r="BY115">
            <v>0.10743961271523417</v>
          </cell>
          <cell r="BZ115">
            <v>4.9968769519050493E-2</v>
          </cell>
          <cell r="CA115">
            <v>0.10381971901912435</v>
          </cell>
        </row>
        <row r="116">
          <cell r="A116" t="str">
            <v xml:space="preserve"> 2QA</v>
          </cell>
          <cell r="B116">
            <v>0.12189699888847727</v>
          </cell>
          <cell r="C116">
            <v>-1.0273972602739656E-2</v>
          </cell>
          <cell r="D116">
            <v>0.10344277972585281</v>
          </cell>
          <cell r="F116">
            <v>0.31921331316187596</v>
          </cell>
          <cell r="G116">
            <v>0.38481505515898773</v>
          </cell>
          <cell r="H116">
            <v>0.33757036499001258</v>
          </cell>
          <cell r="J116">
            <v>0.19900497512437809</v>
          </cell>
          <cell r="L116">
            <v>8.6567164179104372E-2</v>
          </cell>
          <cell r="R116">
            <v>0.20922302508727797</v>
          </cell>
          <cell r="T116" t="str">
            <v xml:space="preserve"> 2QA</v>
          </cell>
          <cell r="U116">
            <v>-0.57777777777777772</v>
          </cell>
          <cell r="V116">
            <v>-0.22947303921568629</v>
          </cell>
          <cell r="W116">
            <v>-0.25193465176268282</v>
          </cell>
          <cell r="Y116">
            <v>-0.75</v>
          </cell>
          <cell r="Z116">
            <v>-0.29351535836177478</v>
          </cell>
          <cell r="AA116">
            <v>2.5594149908592323E-2</v>
          </cell>
          <cell r="AB116">
            <v>-7.2566371681415998E-2</v>
          </cell>
          <cell r="AD116">
            <v>-0.14539140229021974</v>
          </cell>
          <cell r="AF116">
            <v>-0.32093023255813957</v>
          </cell>
          <cell r="AG116">
            <v>5.3588516746411408E-2</v>
          </cell>
          <cell r="AM116">
            <v>0.1875</v>
          </cell>
          <cell r="AN116">
            <v>0.55963302752293576</v>
          </cell>
          <cell r="AO116">
            <v>0.24906507105459963</v>
          </cell>
          <cell r="AU116" t="str">
            <v xml:space="preserve"> 2QA</v>
          </cell>
          <cell r="AV116">
            <v>5.0666666666666638E-2</v>
          </cell>
          <cell r="AX116">
            <v>3.2448377581121068E-2</v>
          </cell>
          <cell r="AY116">
            <v>-3.6321483771251994E-2</v>
          </cell>
          <cell r="AZ116">
            <v>-1.1320754716981352E-3</v>
          </cell>
          <cell r="BB116">
            <v>0.79521276595744683</v>
          </cell>
          <cell r="BD116">
            <v>-0.28293736501079914</v>
          </cell>
          <cell r="BF116">
            <v>1.2437185929648242</v>
          </cell>
          <cell r="BG116">
            <v>0.52698671006238129</v>
          </cell>
          <cell r="BH116">
            <v>0.89904786748402277</v>
          </cell>
          <cell r="BI116">
            <v>0.24402935808318138</v>
          </cell>
          <cell r="BK116">
            <v>1.6000000000000014E-2</v>
          </cell>
          <cell r="BL116">
            <v>-0.45505617977528101</v>
          </cell>
          <cell r="BM116">
            <v>-0.17990654205607481</v>
          </cell>
          <cell r="BO116">
            <v>0.80855397148676156</v>
          </cell>
          <cell r="BP116">
            <v>0.22241086587436332</v>
          </cell>
          <cell r="BQ116">
            <v>0.49026876737720104</v>
          </cell>
          <cell r="BS116">
            <v>-0.38709677419354849</v>
          </cell>
          <cell r="BT116">
            <v>0.44259421560035062</v>
          </cell>
          <cell r="BV116" t="str">
            <v>NM</v>
          </cell>
          <cell r="BX116">
            <v>-0.23109243697478987</v>
          </cell>
          <cell r="BY116">
            <v>0.16559915680233495</v>
          </cell>
          <cell r="BZ116">
            <v>2.3285899094437124E-2</v>
          </cell>
          <cell r="CA116">
            <v>0.15720607309071477</v>
          </cell>
        </row>
        <row r="117">
          <cell r="A117" t="str">
            <v xml:space="preserve"> 3QA</v>
          </cell>
          <cell r="B117">
            <v>-0.37948889260063479</v>
          </cell>
          <cell r="C117">
            <v>-4.2997542997542992E-2</v>
          </cell>
          <cell r="D117">
            <v>-0.33921482134980152</v>
          </cell>
          <cell r="F117">
            <v>0.21744627054361554</v>
          </cell>
          <cell r="G117">
            <v>0.37756899588960646</v>
          </cell>
          <cell r="H117">
            <v>0.25973019072724424</v>
          </cell>
          <cell r="J117">
            <v>2.8301886792452935E-2</v>
          </cell>
          <cell r="L117">
            <v>-2.4590163934426146E-2</v>
          </cell>
          <cell r="R117">
            <v>-4.5921319062771193E-2</v>
          </cell>
          <cell r="T117" t="str">
            <v xml:space="preserve"> 3QA</v>
          </cell>
          <cell r="U117">
            <v>-0.77500000000000002</v>
          </cell>
          <cell r="V117">
            <v>-8.0152671755725158E-2</v>
          </cell>
          <cell r="W117">
            <v>-0.12943262411347511</v>
          </cell>
          <cell r="Y117">
            <v>-0.15384615384615385</v>
          </cell>
          <cell r="Z117">
            <v>-0.33096085409252674</v>
          </cell>
          <cell r="AA117">
            <v>-0.108411214953271</v>
          </cell>
          <cell r="AB117">
            <v>-0.13846153846153841</v>
          </cell>
          <cell r="AD117">
            <v>-0.1563852813852814</v>
          </cell>
          <cell r="AF117">
            <v>-0.39572192513368976</v>
          </cell>
          <cell r="AG117">
            <v>7.5742067553735914E-2</v>
          </cell>
          <cell r="AM117">
            <v>0.24979044425817265</v>
          </cell>
          <cell r="AN117">
            <v>0.53153153153153165</v>
          </cell>
          <cell r="AO117">
            <v>0.29399293286219086</v>
          </cell>
          <cell r="AU117" t="str">
            <v xml:space="preserve"> 3QA</v>
          </cell>
          <cell r="AV117">
            <v>-1.7925736235595235E-2</v>
          </cell>
          <cell r="AX117">
            <v>-0.14251352976548415</v>
          </cell>
          <cell r="AY117">
            <v>-3.6113499570077368E-2</v>
          </cell>
          <cell r="AZ117">
            <v>-9.8726114649681618E-2</v>
          </cell>
          <cell r="BB117">
            <v>0.55737704918032782</v>
          </cell>
          <cell r="BD117">
            <v>0.2000000000000004</v>
          </cell>
          <cell r="BF117">
            <v>1.0825147347740667</v>
          </cell>
          <cell r="BG117">
            <v>0.47214519788253084</v>
          </cell>
          <cell r="BH117">
            <v>0.81517058628685013</v>
          </cell>
          <cell r="BI117">
            <v>0.15469111018522019</v>
          </cell>
          <cell r="BK117">
            <v>-5.1330798479087503E-2</v>
          </cell>
          <cell r="BL117">
            <v>-0.15891328619278</v>
          </cell>
          <cell r="BM117">
            <v>-8.7706052598464868E-2</v>
          </cell>
          <cell r="BO117">
            <v>0.18211206896551735</v>
          </cell>
          <cell r="BP117">
            <v>0.24237560192616381</v>
          </cell>
          <cell r="BQ117">
            <v>0.20631850419084485</v>
          </cell>
          <cell r="BS117">
            <v>-0.22222222222222221</v>
          </cell>
          <cell r="BT117">
            <v>0.19190031152647991</v>
          </cell>
          <cell r="BV117" t="str">
            <v>NM</v>
          </cell>
          <cell r="BX117">
            <v>-0.12623274161735698</v>
          </cell>
          <cell r="BY117">
            <v>1.8270245330328061E-2</v>
          </cell>
          <cell r="BZ117">
            <v>8.5322195704057302E-2</v>
          </cell>
          <cell r="CA117">
            <v>2.2266954502292435E-2</v>
          </cell>
        </row>
        <row r="118">
          <cell r="A118" t="str">
            <v xml:space="preserve"> 4QA</v>
          </cell>
          <cell r="B118">
            <v>-0.76049129989764597</v>
          </cell>
          <cell r="C118">
            <v>1.4943215780035863E-2</v>
          </cell>
          <cell r="D118">
            <v>-0.66365604239755172</v>
          </cell>
          <cell r="F118">
            <v>0.2028510884222692</v>
          </cell>
          <cell r="G118">
            <v>0.56253537068477666</v>
          </cell>
          <cell r="H118">
            <v>0.29419373383156078</v>
          </cell>
          <cell r="J118">
            <v>-9.9009900990099015E-2</v>
          </cell>
          <cell r="L118">
            <v>3.14769975786926E-2</v>
          </cell>
          <cell r="R118">
            <v>-0.16855270994639682</v>
          </cell>
          <cell r="T118" t="str">
            <v xml:space="preserve"> 4QA</v>
          </cell>
          <cell r="U118">
            <v>-0.9883720930232559</v>
          </cell>
          <cell r="V118">
            <v>-0.16826265389876879</v>
          </cell>
          <cell r="W118">
            <v>-0.25458996328029365</v>
          </cell>
          <cell r="Y118">
            <v>0.85185185185185164</v>
          </cell>
          <cell r="Z118">
            <v>-0.22121212121212119</v>
          </cell>
          <cell r="AA118">
            <v>6.1983471074380514E-3</v>
          </cell>
          <cell r="AB118">
            <v>1.4173228346456845E-2</v>
          </cell>
          <cell r="AD118">
            <v>-0.10728303532490169</v>
          </cell>
          <cell r="AF118">
            <v>-0.18343195266272183</v>
          </cell>
          <cell r="AG118">
            <v>-9.4696969696961286E-4</v>
          </cell>
          <cell r="AM118">
            <v>3.8590604026845554E-2</v>
          </cell>
          <cell r="AN118">
            <v>0.58113207547169798</v>
          </cell>
          <cell r="AO118">
            <v>0.13726835964310236</v>
          </cell>
          <cell r="AU118" t="str">
            <v xml:space="preserve"> 4QA</v>
          </cell>
          <cell r="AV118">
            <v>5.5979643765903385E-2</v>
          </cell>
          <cell r="AX118">
            <v>-0.15361625821876876</v>
          </cell>
          <cell r="AY118">
            <v>2.3847376788553032E-3</v>
          </cell>
          <cell r="AZ118">
            <v>-8.665984305697727E-2</v>
          </cell>
          <cell r="BB118">
            <v>0.51583710407239813</v>
          </cell>
          <cell r="BD118">
            <v>0.14613180515759341</v>
          </cell>
          <cell r="BF118">
            <v>0.84337349397590355</v>
          </cell>
          <cell r="BG118">
            <v>0.57977528089887631</v>
          </cell>
          <cell r="BH118">
            <v>0.73760144274120809</v>
          </cell>
          <cell r="BI118">
            <v>0.15829122645842908</v>
          </cell>
          <cell r="BK118">
            <v>-0.34365325077399378</v>
          </cell>
          <cell r="BL118">
            <v>0</v>
          </cell>
          <cell r="BM118">
            <v>-0.25084745762711869</v>
          </cell>
          <cell r="BO118">
            <v>0.23214285714285698</v>
          </cell>
          <cell r="BP118">
            <v>0.28615384615384598</v>
          </cell>
          <cell r="BQ118">
            <v>0.25405742821473143</v>
          </cell>
          <cell r="BS118">
            <v>-2.2222222222222143E-2</v>
          </cell>
          <cell r="BT118">
            <v>0.24650880388585295</v>
          </cell>
          <cell r="BV118" t="str">
            <v>NM</v>
          </cell>
          <cell r="BX118">
            <v>-0.27304964539007104</v>
          </cell>
          <cell r="BY118">
            <v>-4.9667086557494855E-2</v>
          </cell>
          <cell r="BZ118">
            <v>-5.7085628442664071E-2</v>
          </cell>
          <cell r="CA118">
            <v>-5.0164528910079609E-2</v>
          </cell>
        </row>
        <row r="120">
          <cell r="A120" t="str">
            <v>Year</v>
          </cell>
          <cell r="B120">
            <v>-0.25695346441528188</v>
          </cell>
          <cell r="C120">
            <v>-6.1143424599233658E-2</v>
          </cell>
          <cell r="D120">
            <v>-0.2302872062663186</v>
          </cell>
          <cell r="F120">
            <v>0.28755694929294129</v>
          </cell>
          <cell r="G120">
            <v>0.34669427599467528</v>
          </cell>
          <cell r="H120">
            <v>0.30445439945904834</v>
          </cell>
          <cell r="J120">
            <v>5.4945054945054944E-2</v>
          </cell>
          <cell r="L120">
            <v>6.7712045616535987E-2</v>
          </cell>
          <cell r="R120">
            <v>2.6876576498216963E-2</v>
          </cell>
          <cell r="T120" t="str">
            <v>Year</v>
          </cell>
          <cell r="U120">
            <v>-0.83920367534456353</v>
          </cell>
          <cell r="V120">
            <v>-0.1451770543568153</v>
          </cell>
          <cell r="W120">
            <v>-0.20722941055658245</v>
          </cell>
          <cell r="Y120">
            <v>-5.8333333333333272E-2</v>
          </cell>
          <cell r="Z120">
            <v>-0.34451718494271683</v>
          </cell>
          <cell r="AA120">
            <v>-2.409638554216862E-2</v>
          </cell>
          <cell r="AB120">
            <v>-0.10488245931283889</v>
          </cell>
          <cell r="AD120">
            <v>-0.15228120582987678</v>
          </cell>
          <cell r="AF120">
            <v>-0.37828571428571428</v>
          </cell>
          <cell r="AG120">
            <v>2.9840057292910005E-2</v>
          </cell>
          <cell r="AM120">
            <v>0.21300138312586425</v>
          </cell>
          <cell r="AN120">
            <v>0.567231638418079</v>
          </cell>
          <cell r="AO120">
            <v>0.27307545001914979</v>
          </cell>
          <cell r="AU120" t="str">
            <v>Year</v>
          </cell>
          <cell r="AV120">
            <v>3.0992416749093425E-2</v>
          </cell>
          <cell r="AX120">
            <v>-8.2341742027605871E-2</v>
          </cell>
          <cell r="AY120">
            <v>-4.9112426035502914E-2</v>
          </cell>
          <cell r="AZ120">
            <v>-6.7610339370494182E-2</v>
          </cell>
          <cell r="BB120">
            <v>0.6116071428571429</v>
          </cell>
          <cell r="BD120">
            <v>4.5454545454545421E-2</v>
          </cell>
          <cell r="BF120">
            <v>1.0163515585079201</v>
          </cell>
          <cell r="BG120">
            <v>0.51061901061901072</v>
          </cell>
          <cell r="BH120">
            <v>0.792485153037917</v>
          </cell>
          <cell r="BI120">
            <v>0.16783390976939369</v>
          </cell>
          <cell r="BK120">
            <v>-0.13703703703703701</v>
          </cell>
          <cell r="BL120">
            <v>-0.10764487167860709</v>
          </cell>
          <cell r="BM120">
            <v>-0.12740981395776502</v>
          </cell>
          <cell r="BO120">
            <v>0.3209876543209878</v>
          </cell>
          <cell r="BP120">
            <v>0.24136529865908171</v>
          </cell>
          <cell r="BQ120">
            <v>0.28640085439658258</v>
          </cell>
          <cell r="BS120">
            <v>-0.25233644859813065</v>
          </cell>
          <cell r="BT120">
            <v>0.2669295388307904</v>
          </cell>
          <cell r="BV120" t="str">
            <v>NM</v>
          </cell>
          <cell r="BX120">
            <v>-0.19405845711547687</v>
          </cell>
          <cell r="BY120">
            <v>5.5942830438507889E-2</v>
          </cell>
          <cell r="BZ120">
            <v>2.1407624633430947E-2</v>
          </cell>
          <cell r="CA120">
            <v>5.3792498995727515E-2</v>
          </cell>
        </row>
        <row r="122">
          <cell r="A122" t="str">
            <v>2001A</v>
          </cell>
          <cell r="T122" t="str">
            <v>2001A</v>
          </cell>
          <cell r="AU122" t="str">
            <v>2001A</v>
          </cell>
        </row>
        <row r="123">
          <cell r="A123" t="str">
            <v xml:space="preserve"> 1QA</v>
          </cell>
          <cell r="B123">
            <v>541.5</v>
          </cell>
          <cell r="C123">
            <v>81.400000000000006</v>
          </cell>
          <cell r="D123">
            <v>622.9</v>
          </cell>
          <cell r="F123">
            <v>450.7</v>
          </cell>
          <cell r="G123">
            <v>186.4</v>
          </cell>
          <cell r="H123">
            <v>637.1</v>
          </cell>
          <cell r="J123">
            <v>22.3</v>
          </cell>
          <cell r="L123">
            <v>35</v>
          </cell>
          <cell r="R123">
            <v>1317.3</v>
          </cell>
          <cell r="T123" t="str">
            <v xml:space="preserve"> 1QA</v>
          </cell>
          <cell r="U123">
            <v>1.3</v>
          </cell>
          <cell r="V123">
            <v>68.099999999999994</v>
          </cell>
          <cell r="W123">
            <v>69.399999999999991</v>
          </cell>
          <cell r="Y123">
            <v>4.5</v>
          </cell>
          <cell r="Z123">
            <v>14.9</v>
          </cell>
          <cell r="AA123">
            <v>58.1</v>
          </cell>
          <cell r="AB123">
            <v>42</v>
          </cell>
          <cell r="AD123">
            <v>188.9</v>
          </cell>
          <cell r="AF123">
            <v>14.6</v>
          </cell>
          <cell r="AG123">
            <v>110.7</v>
          </cell>
          <cell r="AI123">
            <v>0</v>
          </cell>
          <cell r="AJ123">
            <v>0</v>
          </cell>
          <cell r="AK123">
            <v>0</v>
          </cell>
          <cell r="AM123">
            <v>120.3</v>
          </cell>
          <cell r="AN123">
            <v>28.8</v>
          </cell>
          <cell r="AO123">
            <v>149.1</v>
          </cell>
          <cell r="AU123" t="str">
            <v xml:space="preserve"> 1QA</v>
          </cell>
          <cell r="AV123">
            <v>74.2</v>
          </cell>
          <cell r="AX123">
            <v>154.19999999999999</v>
          </cell>
          <cell r="AY123">
            <v>119.2</v>
          </cell>
          <cell r="AZ123">
            <v>273.39999999999998</v>
          </cell>
          <cell r="BB123">
            <v>64</v>
          </cell>
          <cell r="BD123">
            <v>20.299999999999997</v>
          </cell>
          <cell r="BF123">
            <v>76.900000000000006</v>
          </cell>
          <cell r="BG123">
            <v>48.3</v>
          </cell>
          <cell r="BH123">
            <v>125.2</v>
          </cell>
          <cell r="BI123">
            <v>557.1</v>
          </cell>
          <cell r="BK123">
            <v>43.3</v>
          </cell>
          <cell r="BL123">
            <v>32.5</v>
          </cell>
          <cell r="BM123">
            <v>75.8</v>
          </cell>
          <cell r="BO123">
            <v>101.5</v>
          </cell>
          <cell r="BP123">
            <v>72.5</v>
          </cell>
          <cell r="BQ123">
            <v>174</v>
          </cell>
          <cell r="BS123">
            <v>3.8</v>
          </cell>
          <cell r="BT123">
            <v>177.8</v>
          </cell>
          <cell r="BV123">
            <v>0</v>
          </cell>
          <cell r="BX123">
            <v>46.300000000000004</v>
          </cell>
          <cell r="BY123">
            <v>2637.6000000000004</v>
          </cell>
          <cell r="BZ123">
            <v>168.1</v>
          </cell>
          <cell r="CA123">
            <v>2805.7000000000003</v>
          </cell>
        </row>
        <row r="124">
          <cell r="A124" t="str">
            <v xml:space="preserve"> 2QA</v>
          </cell>
          <cell r="B124">
            <v>605.6</v>
          </cell>
          <cell r="C124">
            <v>86.7</v>
          </cell>
          <cell r="D124">
            <v>692.30000000000007</v>
          </cell>
          <cell r="F124">
            <v>523.20000000000005</v>
          </cell>
          <cell r="G124">
            <v>213.4</v>
          </cell>
          <cell r="H124">
            <v>736.6</v>
          </cell>
          <cell r="J124">
            <v>24.1</v>
          </cell>
          <cell r="L124">
            <v>36.4</v>
          </cell>
          <cell r="R124">
            <v>1489.4</v>
          </cell>
          <cell r="T124" t="str">
            <v xml:space="preserve"> 2QA</v>
          </cell>
          <cell r="U124">
            <v>1.9</v>
          </cell>
          <cell r="V124">
            <v>50.3</v>
          </cell>
          <cell r="W124">
            <v>52.199999999999996</v>
          </cell>
          <cell r="Y124">
            <v>0.7</v>
          </cell>
          <cell r="Z124">
            <v>20.7</v>
          </cell>
          <cell r="AA124">
            <v>56.1</v>
          </cell>
          <cell r="AB124">
            <v>52.4</v>
          </cell>
          <cell r="AD124">
            <v>182.1</v>
          </cell>
          <cell r="AF124">
            <v>14.6</v>
          </cell>
          <cell r="AG124">
            <v>110.1</v>
          </cell>
          <cell r="AI124">
            <v>0</v>
          </cell>
          <cell r="AJ124">
            <v>0</v>
          </cell>
          <cell r="AK124">
            <v>0</v>
          </cell>
          <cell r="AM124">
            <v>133</v>
          </cell>
          <cell r="AN124">
            <v>34</v>
          </cell>
          <cell r="AO124">
            <v>167</v>
          </cell>
          <cell r="AU124" t="str">
            <v xml:space="preserve"> 2QA</v>
          </cell>
          <cell r="AV124">
            <v>78.8</v>
          </cell>
          <cell r="AX124">
            <v>140</v>
          </cell>
          <cell r="AY124">
            <v>124.7</v>
          </cell>
          <cell r="AZ124">
            <v>264.7</v>
          </cell>
          <cell r="BB124">
            <v>135</v>
          </cell>
          <cell r="BD124">
            <v>16.599999999999994</v>
          </cell>
          <cell r="BF124">
            <v>89.3</v>
          </cell>
          <cell r="BG124">
            <v>56.3</v>
          </cell>
          <cell r="BH124">
            <v>145.6</v>
          </cell>
          <cell r="BI124">
            <v>640.70000000000005</v>
          </cell>
          <cell r="BK124">
            <v>50.8</v>
          </cell>
          <cell r="BL124">
            <v>19.399999999999999</v>
          </cell>
          <cell r="BM124">
            <v>70.199999999999989</v>
          </cell>
          <cell r="BO124">
            <v>88.8</v>
          </cell>
          <cell r="BP124">
            <v>72</v>
          </cell>
          <cell r="BQ124">
            <v>160.80000000000001</v>
          </cell>
          <cell r="BS124">
            <v>3.8</v>
          </cell>
          <cell r="BT124">
            <v>164.60000000000002</v>
          </cell>
          <cell r="BV124">
            <v>0</v>
          </cell>
          <cell r="BX124">
            <v>36.6</v>
          </cell>
          <cell r="BY124">
            <v>2875.2999999999993</v>
          </cell>
          <cell r="BZ124">
            <v>158.19999999999999</v>
          </cell>
          <cell r="CA124">
            <v>3033.4999999999991</v>
          </cell>
        </row>
        <row r="125">
          <cell r="A125" t="str">
            <v xml:space="preserve"> 3QA</v>
          </cell>
          <cell r="B125">
            <v>371.5</v>
          </cell>
          <cell r="C125">
            <v>77.900000000000006</v>
          </cell>
          <cell r="D125">
            <v>449.4</v>
          </cell>
          <cell r="F125">
            <v>577.79999999999995</v>
          </cell>
          <cell r="G125">
            <v>234.6</v>
          </cell>
          <cell r="H125">
            <v>812.4</v>
          </cell>
          <cell r="J125">
            <v>21.8</v>
          </cell>
          <cell r="L125">
            <v>35.700000000000003</v>
          </cell>
          <cell r="R125">
            <v>1319.3</v>
          </cell>
          <cell r="T125" t="str">
            <v xml:space="preserve"> 3QA</v>
          </cell>
          <cell r="U125">
            <v>0.9</v>
          </cell>
          <cell r="V125">
            <v>48.2</v>
          </cell>
          <cell r="W125">
            <v>49.1</v>
          </cell>
          <cell r="Y125">
            <v>1.1000000000000001</v>
          </cell>
          <cell r="Z125">
            <v>18.8</v>
          </cell>
          <cell r="AA125">
            <v>47.7</v>
          </cell>
          <cell r="AB125">
            <v>39.200000000000003</v>
          </cell>
          <cell r="AD125">
            <v>155.9</v>
          </cell>
          <cell r="AF125">
            <v>11.3</v>
          </cell>
          <cell r="AG125">
            <v>105.1</v>
          </cell>
          <cell r="AI125">
            <v>0</v>
          </cell>
          <cell r="AJ125">
            <v>0</v>
          </cell>
          <cell r="AK125">
            <v>0</v>
          </cell>
          <cell r="AM125">
            <v>149.1</v>
          </cell>
          <cell r="AN125">
            <v>34</v>
          </cell>
          <cell r="AO125">
            <v>183.1</v>
          </cell>
          <cell r="AU125" t="str">
            <v xml:space="preserve"> 3QA</v>
          </cell>
          <cell r="AV125">
            <v>76.7</v>
          </cell>
          <cell r="AX125">
            <v>142.6</v>
          </cell>
          <cell r="AY125">
            <v>112.1</v>
          </cell>
          <cell r="AZ125">
            <v>254.7</v>
          </cell>
          <cell r="BB125">
            <v>95</v>
          </cell>
          <cell r="BD125">
            <v>18.900000000000006</v>
          </cell>
          <cell r="BF125">
            <v>106</v>
          </cell>
          <cell r="BG125">
            <v>58.4</v>
          </cell>
          <cell r="BH125">
            <v>164.4</v>
          </cell>
          <cell r="BI125">
            <v>609.69999999999993</v>
          </cell>
          <cell r="BK125">
            <v>49.9</v>
          </cell>
          <cell r="BL125">
            <v>22.6</v>
          </cell>
          <cell r="BM125">
            <v>72.5</v>
          </cell>
          <cell r="BO125">
            <v>109.7</v>
          </cell>
          <cell r="BP125">
            <v>77.400000000000006</v>
          </cell>
          <cell r="BQ125">
            <v>187.10000000000002</v>
          </cell>
          <cell r="BS125">
            <v>4.2</v>
          </cell>
          <cell r="BT125">
            <v>191.3</v>
          </cell>
          <cell r="BV125">
            <v>0</v>
          </cell>
          <cell r="BX125">
            <v>44.3</v>
          </cell>
          <cell r="BY125">
            <v>2692.5</v>
          </cell>
          <cell r="BZ125">
            <v>181.9</v>
          </cell>
          <cell r="CA125">
            <v>2874.4</v>
          </cell>
        </row>
        <row r="126">
          <cell r="A126" t="str">
            <v xml:space="preserve"> 4QA</v>
          </cell>
          <cell r="B126">
            <v>140.4</v>
          </cell>
          <cell r="C126">
            <v>84.9</v>
          </cell>
          <cell r="D126">
            <v>225.3</v>
          </cell>
          <cell r="F126">
            <v>624.4</v>
          </cell>
          <cell r="G126">
            <v>276.10000000000002</v>
          </cell>
          <cell r="H126">
            <v>900.5</v>
          </cell>
          <cell r="J126">
            <v>18.2</v>
          </cell>
          <cell r="L126">
            <v>42.6</v>
          </cell>
          <cell r="R126">
            <v>1186.5999999999999</v>
          </cell>
          <cell r="T126" t="str">
            <v xml:space="preserve"> 4QA</v>
          </cell>
          <cell r="U126">
            <v>0.1</v>
          </cell>
          <cell r="V126">
            <v>60.8</v>
          </cell>
          <cell r="W126">
            <v>60.9</v>
          </cell>
          <cell r="Y126">
            <v>5</v>
          </cell>
          <cell r="Z126">
            <v>25.7</v>
          </cell>
          <cell r="AA126">
            <v>48.7</v>
          </cell>
          <cell r="AB126">
            <v>64.400000000000006</v>
          </cell>
          <cell r="AD126">
            <v>204.70000000000002</v>
          </cell>
          <cell r="AF126">
            <v>13.8</v>
          </cell>
          <cell r="AG126">
            <v>105.5</v>
          </cell>
          <cell r="AI126">
            <v>21.1</v>
          </cell>
          <cell r="AJ126">
            <v>0.1</v>
          </cell>
          <cell r="AK126">
            <v>21.200000000000003</v>
          </cell>
          <cell r="AM126">
            <v>123.8</v>
          </cell>
          <cell r="AN126">
            <v>41.9</v>
          </cell>
          <cell r="AO126">
            <v>165.7</v>
          </cell>
          <cell r="AU126" t="str">
            <v xml:space="preserve"> 4QA</v>
          </cell>
          <cell r="AV126">
            <v>83</v>
          </cell>
          <cell r="AX126">
            <v>141.6</v>
          </cell>
          <cell r="AY126">
            <v>126.1</v>
          </cell>
          <cell r="AZ126">
            <v>267.7</v>
          </cell>
          <cell r="BB126">
            <v>67</v>
          </cell>
          <cell r="BD126">
            <v>20</v>
          </cell>
          <cell r="BF126">
            <v>122.4</v>
          </cell>
          <cell r="BG126">
            <v>70.3</v>
          </cell>
          <cell r="BH126">
            <v>192.7</v>
          </cell>
          <cell r="BI126">
            <v>630.4</v>
          </cell>
          <cell r="BK126">
            <v>42.4</v>
          </cell>
          <cell r="BL126">
            <v>23.9</v>
          </cell>
          <cell r="BM126">
            <v>66.3</v>
          </cell>
          <cell r="BO126">
            <v>117.3</v>
          </cell>
          <cell r="BP126">
            <v>83.6</v>
          </cell>
          <cell r="BQ126">
            <v>200.89999999999998</v>
          </cell>
          <cell r="BS126">
            <v>4.4000000000000004</v>
          </cell>
          <cell r="BT126">
            <v>205.29999999999998</v>
          </cell>
          <cell r="BV126">
            <v>0</v>
          </cell>
          <cell r="BX126">
            <v>41</v>
          </cell>
          <cell r="BY126">
            <v>2640.5000000000005</v>
          </cell>
          <cell r="BZ126">
            <v>188.3</v>
          </cell>
          <cell r="CA126">
            <v>2828.8000000000006</v>
          </cell>
        </row>
        <row r="128">
          <cell r="A128" t="str">
            <v>YearA</v>
          </cell>
          <cell r="B128">
            <v>1659</v>
          </cell>
          <cell r="C128">
            <v>330.90000000000003</v>
          </cell>
          <cell r="D128">
            <v>1989.8999999999999</v>
          </cell>
          <cell r="F128">
            <v>2176.1</v>
          </cell>
          <cell r="G128">
            <v>910.5</v>
          </cell>
          <cell r="H128">
            <v>3086.6</v>
          </cell>
          <cell r="J128">
            <v>86.4</v>
          </cell>
          <cell r="L128">
            <v>149.80000000000001</v>
          </cell>
          <cell r="R128">
            <v>5312.7</v>
          </cell>
          <cell r="T128" t="str">
            <v>YearA</v>
          </cell>
          <cell r="U128">
            <v>4.2</v>
          </cell>
          <cell r="V128">
            <v>227.39999999999998</v>
          </cell>
          <cell r="W128">
            <v>231.6</v>
          </cell>
          <cell r="Y128">
            <v>11.3</v>
          </cell>
          <cell r="Z128">
            <v>80.100000000000009</v>
          </cell>
          <cell r="AA128">
            <v>210.60000000000002</v>
          </cell>
          <cell r="AB128">
            <v>198.00000000000003</v>
          </cell>
          <cell r="AD128">
            <v>731.7</v>
          </cell>
          <cell r="AF128">
            <v>54.4</v>
          </cell>
          <cell r="AG128">
            <v>431.4</v>
          </cell>
          <cell r="AI128">
            <v>21.1</v>
          </cell>
          <cell r="AJ128">
            <v>0.1</v>
          </cell>
          <cell r="AK128">
            <v>21.1</v>
          </cell>
          <cell r="AM128">
            <v>526.19999999999993</v>
          </cell>
          <cell r="AN128">
            <v>138.69999999999999</v>
          </cell>
          <cell r="AO128">
            <v>664.80000000000007</v>
          </cell>
          <cell r="AU128" t="str">
            <v>YearA</v>
          </cell>
          <cell r="AV128">
            <v>312.7</v>
          </cell>
          <cell r="AX128">
            <v>578.4</v>
          </cell>
          <cell r="AY128">
            <v>482.1</v>
          </cell>
          <cell r="AZ128">
            <v>1060.5</v>
          </cell>
          <cell r="BB128">
            <v>361</v>
          </cell>
          <cell r="BD128">
            <v>75.899999999999991</v>
          </cell>
          <cell r="BF128">
            <v>394.6</v>
          </cell>
          <cell r="BG128">
            <v>233.3</v>
          </cell>
          <cell r="BH128">
            <v>627.80000000000007</v>
          </cell>
          <cell r="BI128">
            <v>2437.9</v>
          </cell>
          <cell r="BK128">
            <v>186.4</v>
          </cell>
          <cell r="BL128">
            <v>98.4</v>
          </cell>
          <cell r="BM128">
            <v>284.7</v>
          </cell>
          <cell r="BO128">
            <v>417.3</v>
          </cell>
          <cell r="BP128">
            <v>305.5</v>
          </cell>
          <cell r="BQ128">
            <v>722.7</v>
          </cell>
          <cell r="BS128">
            <v>16.000000000000004</v>
          </cell>
          <cell r="BT128">
            <v>739</v>
          </cell>
          <cell r="BV128">
            <v>0</v>
          </cell>
          <cell r="BX128">
            <v>168.2</v>
          </cell>
          <cell r="BY128">
            <v>10845.800000000001</v>
          </cell>
          <cell r="BZ128">
            <v>696.6</v>
          </cell>
          <cell r="CA128">
            <v>11542.400000000001</v>
          </cell>
        </row>
        <row r="130">
          <cell r="A130" t="str">
            <v>2002A/01</v>
          </cell>
          <cell r="T130" t="str">
            <v>2002A/01</v>
          </cell>
          <cell r="AU130" t="str">
            <v>2002A/01</v>
          </cell>
        </row>
        <row r="131">
          <cell r="A131" t="str">
            <v xml:space="preserve"> 1QA</v>
          </cell>
          <cell r="B131">
            <v>-0.79686057248384112</v>
          </cell>
          <cell r="C131">
            <v>-6.3882063882063966E-2</v>
          </cell>
          <cell r="D131">
            <v>-0.70107561406325258</v>
          </cell>
          <cell r="F131">
            <v>0.23163967162192156</v>
          </cell>
          <cell r="G131">
            <v>0.4179184549356223</v>
          </cell>
          <cell r="H131">
            <v>0.28614032334013517</v>
          </cell>
          <cell r="J131">
            <v>-0.33632286995515692</v>
          </cell>
          <cell r="L131">
            <v>-0.12571428571428567</v>
          </cell>
          <cell r="R131">
            <v>-0.2021559249981022</v>
          </cell>
          <cell r="T131" t="str">
            <v xml:space="preserve"> 1QA</v>
          </cell>
          <cell r="U131" t="str">
            <v>NM</v>
          </cell>
          <cell r="V131">
            <v>-0.12481644640234935</v>
          </cell>
          <cell r="W131">
            <v>-0.13400576368876072</v>
          </cell>
          <cell r="Y131">
            <v>-0.1333333333333333</v>
          </cell>
          <cell r="Z131">
            <v>0.28187919463087252</v>
          </cell>
          <cell r="AA131">
            <v>-0.25301204819277112</v>
          </cell>
          <cell r="AB131">
            <v>6.6666666666666652E-2</v>
          </cell>
          <cell r="AD131">
            <v>-9.317098994176809E-2</v>
          </cell>
          <cell r="AF131">
            <v>-0.22602739726027388</v>
          </cell>
          <cell r="AG131">
            <v>-0.17163504968383014</v>
          </cell>
          <cell r="AI131" t="str">
            <v>NM</v>
          </cell>
          <cell r="AJ131" t="str">
            <v>NM</v>
          </cell>
          <cell r="AK131" t="str">
            <v>NM</v>
          </cell>
          <cell r="AM131">
            <v>0.15960099750623447</v>
          </cell>
          <cell r="AN131">
            <v>0.33333333333333326</v>
          </cell>
          <cell r="AO131">
            <v>0.19315895372233416</v>
          </cell>
          <cell r="AU131" t="str">
            <v xml:space="preserve"> 1QA</v>
          </cell>
          <cell r="AV131">
            <v>4.582210242587581E-2</v>
          </cell>
          <cell r="AX131">
            <v>-0.17574578469520097</v>
          </cell>
          <cell r="AY131">
            <v>-9.8993288590603967E-2</v>
          </cell>
          <cell r="AZ131">
            <v>-0.142282370153621</v>
          </cell>
          <cell r="BB131">
            <v>0.15312499999999996</v>
          </cell>
          <cell r="BD131">
            <v>-0.15270935960591125</v>
          </cell>
          <cell r="BF131">
            <v>0.47204161248374499</v>
          </cell>
          <cell r="BG131">
            <v>0.329192546583851</v>
          </cell>
          <cell r="BH131">
            <v>0.41693290734824284</v>
          </cell>
          <cell r="BI131">
            <v>4.2003231017770482E-2</v>
          </cell>
          <cell r="BK131">
            <v>-0.32563510392609696</v>
          </cell>
          <cell r="BL131">
            <v>-0.6</v>
          </cell>
          <cell r="BM131">
            <v>-0.44327176781002631</v>
          </cell>
          <cell r="BO131">
            <v>7.4876847290640258E-2</v>
          </cell>
          <cell r="BP131">
            <v>0.21931034482758638</v>
          </cell>
          <cell r="BQ131">
            <v>0.13505747126436773</v>
          </cell>
          <cell r="BS131">
            <v>5.2631578947368363E-2</v>
          </cell>
          <cell r="BT131">
            <v>0.13329583802024736</v>
          </cell>
          <cell r="BV131" t="str">
            <v>NM</v>
          </cell>
          <cell r="BX131">
            <v>-5.1835853131749543E-2</v>
          </cell>
          <cell r="BY131">
            <v>-9.2622080679405694E-2</v>
          </cell>
          <cell r="BZ131">
            <v>-1.7846519928612636E-3</v>
          </cell>
          <cell r="CA131">
            <v>-8.7179669957586414E-2</v>
          </cell>
        </row>
        <row r="132">
          <cell r="A132" t="str">
            <v xml:space="preserve"> 2QA</v>
          </cell>
          <cell r="B132">
            <v>-0.79425363276089833</v>
          </cell>
          <cell r="C132">
            <v>-0.18915801614763561</v>
          </cell>
          <cell r="D132">
            <v>-0.7184746497183303</v>
          </cell>
          <cell r="F132">
            <v>0.20967125382262974</v>
          </cell>
          <cell r="G132">
            <v>0.28350515463917514</v>
          </cell>
          <cell r="H132">
            <v>0.23106163453706219</v>
          </cell>
          <cell r="J132">
            <v>-0.10373443983402486</v>
          </cell>
          <cell r="L132">
            <v>6.3186813186813406E-2</v>
          </cell>
          <cell r="R132">
            <v>-0.21982006176984037</v>
          </cell>
          <cell r="T132" t="str">
            <v xml:space="preserve"> 2QA</v>
          </cell>
          <cell r="U132" t="str">
            <v>NM</v>
          </cell>
          <cell r="V132">
            <v>-0.12326043737574544</v>
          </cell>
          <cell r="W132">
            <v>-0.15517241379310331</v>
          </cell>
          <cell r="Y132">
            <v>2.1428571428571432</v>
          </cell>
          <cell r="Z132">
            <v>-0.2125603864734299</v>
          </cell>
          <cell r="AA132">
            <v>-0.22103386809269154</v>
          </cell>
          <cell r="AB132">
            <v>-0.30534351145038163</v>
          </cell>
          <cell r="AD132">
            <v>-0.21636463481603507</v>
          </cell>
          <cell r="AF132">
            <v>-0.21232876712328763</v>
          </cell>
          <cell r="AG132">
            <v>-8.2652134423251589E-2</v>
          </cell>
          <cell r="AI132" t="str">
            <v>NM</v>
          </cell>
          <cell r="AJ132" t="str">
            <v>NM</v>
          </cell>
          <cell r="AK132" t="str">
            <v>NM</v>
          </cell>
          <cell r="AM132">
            <v>4.8120300751879785E-2</v>
          </cell>
          <cell r="AN132">
            <v>0.43529411764705883</v>
          </cell>
          <cell r="AO132">
            <v>0.12694610778443116</v>
          </cell>
          <cell r="AU132" t="str">
            <v xml:space="preserve"> 2QA</v>
          </cell>
          <cell r="AV132">
            <v>4.8223350253806974E-2</v>
          </cell>
          <cell r="AX132">
            <v>-4.500000000000004E-2</v>
          </cell>
          <cell r="AY132">
            <v>-6.4153969526864474E-3</v>
          </cell>
          <cell r="AZ132">
            <v>-2.6822818284850669E-2</v>
          </cell>
          <cell r="BB132">
            <v>4.0000000000000036E-2</v>
          </cell>
          <cell r="BD132">
            <v>-0.27710843373493954</v>
          </cell>
          <cell r="BF132">
            <v>0.44680851063829774</v>
          </cell>
          <cell r="BG132">
            <v>0.34103019538188284</v>
          </cell>
          <cell r="BH132">
            <v>0.4059065934065933</v>
          </cell>
          <cell r="BI132">
            <v>8.8340877165600018E-2</v>
          </cell>
          <cell r="BK132">
            <v>-0.96259842519685035</v>
          </cell>
          <cell r="BL132">
            <v>0.40206185567010322</v>
          </cell>
          <cell r="BM132">
            <v>-0.58547008547008539</v>
          </cell>
          <cell r="BO132">
            <v>0.45720720720720731</v>
          </cell>
          <cell r="BP132">
            <v>0.24583333333333335</v>
          </cell>
          <cell r="BQ132">
            <v>0.36256218905472637</v>
          </cell>
          <cell r="BS132">
            <v>-2.631578947368407E-2</v>
          </cell>
          <cell r="BT132">
            <v>0.35358444714459281</v>
          </cell>
          <cell r="BV132" t="str">
            <v>NM</v>
          </cell>
          <cell r="BX132">
            <v>-2.7868852459016269E-2</v>
          </cell>
          <cell r="BY132">
            <v>-9.1301777205856638E-2</v>
          </cell>
          <cell r="BZ132">
            <v>2.6548672566371723E-2</v>
          </cell>
          <cell r="CA132">
            <v>-8.515576067249031E-2</v>
          </cell>
        </row>
        <row r="133">
          <cell r="A133" t="str">
            <v xml:space="preserve"> 3QA</v>
          </cell>
          <cell r="B133">
            <v>-0.67886944818304173</v>
          </cell>
          <cell r="C133">
            <v>-9.3709884467265914E-2</v>
          </cell>
          <cell r="D133">
            <v>-0.57743658210947935</v>
          </cell>
          <cell r="F133">
            <v>0.18241606092073392</v>
          </cell>
          <cell r="G133">
            <v>0.2395566922421144</v>
          </cell>
          <cell r="H133">
            <v>0.19891678975873961</v>
          </cell>
          <cell r="J133">
            <v>-1</v>
          </cell>
          <cell r="L133">
            <v>0.13725490196078427</v>
          </cell>
          <cell r="R133">
            <v>-8.701584173425303E-2</v>
          </cell>
          <cell r="T133" t="str">
            <v xml:space="preserve"> 3QA</v>
          </cell>
          <cell r="U133" t="str">
            <v>NM</v>
          </cell>
          <cell r="V133">
            <v>-0.11825726141078841</v>
          </cell>
          <cell r="W133">
            <v>-0.13238289205702647</v>
          </cell>
          <cell r="Y133">
            <v>-0.54545454545454541</v>
          </cell>
          <cell r="Z133">
            <v>-0.11170212765957455</v>
          </cell>
          <cell r="AA133">
            <v>-0.34171907756813424</v>
          </cell>
          <cell r="AB133">
            <v>-0.1479591836734695</v>
          </cell>
          <cell r="AD133">
            <v>-0.2007697241821681</v>
          </cell>
          <cell r="AF133">
            <v>-9.7345132743362983E-2</v>
          </cell>
          <cell r="AG133">
            <v>-0.1208372978116079</v>
          </cell>
          <cell r="AI133" t="str">
            <v>NM</v>
          </cell>
          <cell r="AJ133" t="str">
            <v>NM</v>
          </cell>
          <cell r="AK133" t="str">
            <v>NM</v>
          </cell>
          <cell r="AM133">
            <v>0.11401743796109987</v>
          </cell>
          <cell r="AN133">
            <v>0.50882352941176467</v>
          </cell>
          <cell r="AO133">
            <v>0.18732932823593651</v>
          </cell>
          <cell r="AU133" t="str">
            <v xml:space="preserve"> 3QA</v>
          </cell>
          <cell r="AV133">
            <v>8.4745762711864403E-2</v>
          </cell>
          <cell r="AX133">
            <v>-8.9761570827489368E-2</v>
          </cell>
          <cell r="AY133">
            <v>0.1382694023193578</v>
          </cell>
          <cell r="AZ133">
            <v>1.0600706713780772E-2</v>
          </cell>
          <cell r="BB133">
            <v>-0.14000000000000001</v>
          </cell>
          <cell r="BD133">
            <v>-4.2328042328042548E-2</v>
          </cell>
          <cell r="BF133">
            <v>0.26132075471698113</v>
          </cell>
          <cell r="BG133">
            <v>0.37671232876712346</v>
          </cell>
          <cell r="BH133">
            <v>0.30231143552311424</v>
          </cell>
          <cell r="BI133">
            <v>7.3478760045924352E-2</v>
          </cell>
          <cell r="BK133">
            <v>-0.72945891783567141</v>
          </cell>
          <cell r="BL133">
            <v>-0.4823008849557523</v>
          </cell>
          <cell r="BM133">
            <v>-0.65241379310344827</v>
          </cell>
          <cell r="BO133">
            <v>-0.15041020966271645</v>
          </cell>
          <cell r="BP133">
            <v>0.34366925064599463</v>
          </cell>
          <cell r="BQ133">
            <v>5.3981827899518775E-2</v>
          </cell>
          <cell r="BS133">
            <v>0.57142857142857117</v>
          </cell>
          <cell r="BT133">
            <v>6.5342394145321281E-2</v>
          </cell>
          <cell r="BV133" t="str">
            <v>NM</v>
          </cell>
          <cell r="BX133">
            <v>0.45146726862302522</v>
          </cell>
          <cell r="BY133">
            <v>-2.766945218198702E-2</v>
          </cell>
          <cell r="BZ133">
            <v>-7.8614623419461349E-2</v>
          </cell>
          <cell r="CA133">
            <v>-3.0893403840801636E-2</v>
          </cell>
        </row>
        <row r="134">
          <cell r="A134" t="str">
            <v xml:space="preserve"> 4QA</v>
          </cell>
          <cell r="B134">
            <v>-0.30341880341880334</v>
          </cell>
          <cell r="C134">
            <v>-0.23439340400471143</v>
          </cell>
          <cell r="D134">
            <v>-0.27740790057700837</v>
          </cell>
          <cell r="F134">
            <v>5.9577194106342102E-2</v>
          </cell>
          <cell r="G134">
            <v>0.18507787033683432</v>
          </cell>
          <cell r="H134">
            <v>9.8056635202665055E-2</v>
          </cell>
          <cell r="J134" t="str">
            <v>NM</v>
          </cell>
          <cell r="L134">
            <v>-1.4084507042253502E-2</v>
          </cell>
          <cell r="R134">
            <v>8.0903421540534648E-3</v>
          </cell>
          <cell r="T134" t="str">
            <v xml:space="preserve"> 4QA</v>
          </cell>
          <cell r="U134" t="str">
            <v>NM</v>
          </cell>
          <cell r="V134">
            <v>-0.16940789473684204</v>
          </cell>
          <cell r="W134">
            <v>-0.16912972085385869</v>
          </cell>
          <cell r="Y134">
            <v>-0.54</v>
          </cell>
          <cell r="Z134">
            <v>-0.1245136186770428</v>
          </cell>
          <cell r="AA134">
            <v>-0.45995893223819306</v>
          </cell>
          <cell r="AB134">
            <v>-0.42701863354037273</v>
          </cell>
          <cell r="AD134">
            <v>-0.32291157791890579</v>
          </cell>
          <cell r="AF134">
            <v>-7.2463768115942018E-2</v>
          </cell>
          <cell r="AG134">
            <v>-6.2559241706161117E-2</v>
          </cell>
          <cell r="AI134">
            <v>0.27488151658767768</v>
          </cell>
          <cell r="AJ134" t="str">
            <v>NM</v>
          </cell>
          <cell r="AK134">
            <v>0.62735849056603743</v>
          </cell>
          <cell r="AM134">
            <v>0.4628432956381261</v>
          </cell>
          <cell r="AN134">
            <v>0.36754176610978528</v>
          </cell>
          <cell r="AO134">
            <v>0.4387447193723597</v>
          </cell>
          <cell r="AU134" t="str">
            <v xml:space="preserve"> 4QA</v>
          </cell>
          <cell r="AV134">
            <v>3.4939759036144658E-2</v>
          </cell>
          <cell r="AX134">
            <v>-0.11864406779661019</v>
          </cell>
          <cell r="AY134">
            <v>2.8548770816811952E-2</v>
          </cell>
          <cell r="AZ134">
            <v>-4.930892790437047E-2</v>
          </cell>
          <cell r="BB134">
            <v>0.43582089552238812</v>
          </cell>
          <cell r="BD134">
            <v>-0.47499999999999998</v>
          </cell>
          <cell r="BF134">
            <v>0.2434640522875815</v>
          </cell>
          <cell r="BG134">
            <v>0.2204836415362732</v>
          </cell>
          <cell r="BH134">
            <v>0.23508043591074212</v>
          </cell>
          <cell r="BI134">
            <v>8.6770304568527745E-2</v>
          </cell>
          <cell r="BK134">
            <v>-1.0070754716981132</v>
          </cell>
          <cell r="BL134">
            <v>-0.30962343096234302</v>
          </cell>
          <cell r="BM134">
            <v>-0.75565610859728505</v>
          </cell>
          <cell r="BO134">
            <v>0.28303495311167959</v>
          </cell>
          <cell r="BP134">
            <v>0.32057416267942607</v>
          </cell>
          <cell r="BQ134">
            <v>0.29865604778496757</v>
          </cell>
          <cell r="BS134">
            <v>-4.5454545454545525E-2</v>
          </cell>
          <cell r="BT134">
            <v>0.29128105211885047</v>
          </cell>
          <cell r="BV134" t="str">
            <v>NM</v>
          </cell>
          <cell r="BX134">
            <v>0.66829268292682942</v>
          </cell>
          <cell r="BY134">
            <v>4.5142965347471753E-2</v>
          </cell>
          <cell r="BZ134">
            <v>4.036112586298457E-2</v>
          </cell>
          <cell r="CA134">
            <v>4.4824660633483671E-2</v>
          </cell>
        </row>
        <row r="136">
          <cell r="A136" t="str">
            <v>2002/01A</v>
          </cell>
          <cell r="B136">
            <v>-0.72772754671488848</v>
          </cell>
          <cell r="C136">
            <v>-0.14747657902689637</v>
          </cell>
          <cell r="D136">
            <v>-0.63123775064073573</v>
          </cell>
          <cell r="F136">
            <v>0.16391709939800569</v>
          </cell>
          <cell r="G136">
            <v>0.26985172981878103</v>
          </cell>
          <cell r="H136">
            <v>0.19516620229378609</v>
          </cell>
          <cell r="J136">
            <v>-0.57870370370370372</v>
          </cell>
          <cell r="K136" t="e">
            <v>#DIV/0!</v>
          </cell>
          <cell r="L136">
            <v>-0.01</v>
          </cell>
          <cell r="R136">
            <v>-0.13157151730758371</v>
          </cell>
          <cell r="T136" t="str">
            <v>2002/01A</v>
          </cell>
          <cell r="U136">
            <v>-0.83333333333333337</v>
          </cell>
          <cell r="V136">
            <v>-0.13500439753737903</v>
          </cell>
          <cell r="W136">
            <v>-0.1476683937823835</v>
          </cell>
          <cell r="Y136">
            <v>-0.21238938053097367</v>
          </cell>
          <cell r="Z136">
            <v>-6.8664169787765239E-2</v>
          </cell>
          <cell r="AA136">
            <v>-0.31244064577397912</v>
          </cell>
          <cell r="AB136">
            <v>-0.23484848484848497</v>
          </cell>
          <cell r="AD136">
            <v>-0.21115211152111521</v>
          </cell>
          <cell r="AF136">
            <v>-0.15808823529411764</v>
          </cell>
          <cell r="AG136">
            <v>-0.10987482614742694</v>
          </cell>
          <cell r="AI136" t="str">
            <v>NM</v>
          </cell>
          <cell r="AJ136" t="str">
            <v>NM</v>
          </cell>
          <cell r="AK136" t="str">
            <v>NM</v>
          </cell>
          <cell r="AM136">
            <v>0.18985176738882581</v>
          </cell>
          <cell r="AN136">
            <v>0.41167988464311489</v>
          </cell>
          <cell r="AO136">
            <v>0.23631167268351386</v>
          </cell>
          <cell r="AU136" t="str">
            <v>2002/01A</v>
          </cell>
          <cell r="AV136">
            <v>5.3086024944035692E-2</v>
          </cell>
          <cell r="AX136">
            <v>-0.1089211618257262</v>
          </cell>
          <cell r="AY136">
            <v>1.3482679941920539E-2</v>
          </cell>
          <cell r="AZ136">
            <v>-5.3276756247053275E-2</v>
          </cell>
          <cell r="BB136">
            <v>8.6149584487534625E-2</v>
          </cell>
          <cell r="BD136">
            <v>-0.23847167325428187</v>
          </cell>
          <cell r="BF136">
            <v>0.33882412569690801</v>
          </cell>
          <cell r="BG136">
            <v>0.3111873124732103</v>
          </cell>
          <cell r="BH136">
            <v>0.32876712328767099</v>
          </cell>
          <cell r="BI136">
            <v>7.3628942942696396E-2</v>
          </cell>
          <cell r="BK136">
            <v>-0.76233905579399142</v>
          </cell>
          <cell r="BL136">
            <v>-0.30487804878048774</v>
          </cell>
          <cell r="BM136">
            <v>-0.60414471373375489</v>
          </cell>
          <cell r="BO136">
            <v>0.15552360412173494</v>
          </cell>
          <cell r="BP136">
            <v>0.28477905073649756</v>
          </cell>
          <cell r="BQ136">
            <v>0.210322402103224</v>
          </cell>
          <cell r="BS136">
            <v>0.15624999999999978</v>
          </cell>
          <cell r="BT136">
            <v>0.20866035182679302</v>
          </cell>
          <cell r="BV136" t="str">
            <v>NM</v>
          </cell>
          <cell r="BX136">
            <v>0.26147443519619529</v>
          </cell>
          <cell r="BY136">
            <v>-4.2598978406387933E-2</v>
          </cell>
          <cell r="BZ136">
            <v>-4.1630778064886131E-3</v>
          </cell>
          <cell r="CA136">
            <v>-4.0279317992791955E-2</v>
          </cell>
        </row>
        <row r="138">
          <cell r="A138" t="str">
            <v>2002A</v>
          </cell>
          <cell r="T138" t="str">
            <v>2002A</v>
          </cell>
          <cell r="AU138" t="str">
            <v>2002A</v>
          </cell>
        </row>
        <row r="139">
          <cell r="A139" t="str">
            <v xml:space="preserve"> 1QA</v>
          </cell>
          <cell r="B139">
            <v>110</v>
          </cell>
          <cell r="C139">
            <v>76.2</v>
          </cell>
          <cell r="D139">
            <v>186.2</v>
          </cell>
          <cell r="F139">
            <v>555.1</v>
          </cell>
          <cell r="G139">
            <v>264.3</v>
          </cell>
          <cell r="H139">
            <v>819.40000000000009</v>
          </cell>
          <cell r="J139">
            <v>14.8</v>
          </cell>
          <cell r="L139">
            <v>30.6</v>
          </cell>
          <cell r="R139">
            <v>1051</v>
          </cell>
          <cell r="T139" t="str">
            <v xml:space="preserve"> 1QA</v>
          </cell>
          <cell r="U139">
            <v>0.5</v>
          </cell>
          <cell r="V139">
            <v>59.6</v>
          </cell>
          <cell r="W139">
            <v>60.1</v>
          </cell>
          <cell r="Y139">
            <v>3.9</v>
          </cell>
          <cell r="Z139">
            <v>19.100000000000001</v>
          </cell>
          <cell r="AA139">
            <v>43.4</v>
          </cell>
          <cell r="AB139">
            <v>44.8</v>
          </cell>
          <cell r="AD139">
            <v>171.3</v>
          </cell>
          <cell r="AF139">
            <v>11.3</v>
          </cell>
          <cell r="AG139">
            <v>91.7</v>
          </cell>
          <cell r="AI139">
            <v>21.9</v>
          </cell>
          <cell r="AJ139">
            <v>0.1</v>
          </cell>
          <cell r="AK139">
            <v>22</v>
          </cell>
          <cell r="AM139">
            <v>139.5</v>
          </cell>
          <cell r="AN139">
            <v>38.4</v>
          </cell>
          <cell r="AO139">
            <v>177.9</v>
          </cell>
          <cell r="AU139" t="str">
            <v xml:space="preserve"> 1QA</v>
          </cell>
          <cell r="AV139">
            <v>77.599999999999994</v>
          </cell>
          <cell r="AX139">
            <v>127.1</v>
          </cell>
          <cell r="AY139">
            <v>107.4</v>
          </cell>
          <cell r="AZ139">
            <v>234.5</v>
          </cell>
          <cell r="BB139">
            <v>73.8</v>
          </cell>
          <cell r="BD139">
            <v>17.2</v>
          </cell>
          <cell r="BF139">
            <v>113.2</v>
          </cell>
          <cell r="BG139">
            <v>64.2</v>
          </cell>
          <cell r="BH139">
            <v>177.4</v>
          </cell>
          <cell r="BI139">
            <v>580.5</v>
          </cell>
          <cell r="BK139">
            <v>29.2</v>
          </cell>
          <cell r="BL139">
            <v>13</v>
          </cell>
          <cell r="BM139">
            <v>42.2</v>
          </cell>
          <cell r="BO139">
            <v>109.1</v>
          </cell>
          <cell r="BP139">
            <v>88.4</v>
          </cell>
          <cell r="BQ139">
            <v>197.5</v>
          </cell>
          <cell r="BS139">
            <v>4</v>
          </cell>
          <cell r="BT139">
            <v>201.5</v>
          </cell>
          <cell r="BV139">
            <v>0</v>
          </cell>
          <cell r="BX139">
            <v>43.9</v>
          </cell>
          <cell r="BY139">
            <v>2393.2999999999997</v>
          </cell>
          <cell r="BZ139">
            <v>167.8</v>
          </cell>
          <cell r="CA139">
            <v>2561.1</v>
          </cell>
        </row>
        <row r="140">
          <cell r="A140" t="str">
            <v xml:space="preserve"> 2QA</v>
          </cell>
          <cell r="B140">
            <v>124.6</v>
          </cell>
          <cell r="C140">
            <v>70.3</v>
          </cell>
          <cell r="D140">
            <v>194.89999999999998</v>
          </cell>
          <cell r="F140">
            <v>632.9</v>
          </cell>
          <cell r="G140">
            <v>273.89999999999998</v>
          </cell>
          <cell r="H140">
            <v>906.8</v>
          </cell>
          <cell r="J140">
            <v>21.6</v>
          </cell>
          <cell r="L140">
            <v>38.700000000000003</v>
          </cell>
          <cell r="R140">
            <v>1161.9999999999998</v>
          </cell>
          <cell r="T140" t="str">
            <v xml:space="preserve"> 2QA</v>
          </cell>
          <cell r="U140">
            <v>0</v>
          </cell>
          <cell r="V140">
            <v>44.1</v>
          </cell>
          <cell r="W140">
            <v>44.1</v>
          </cell>
          <cell r="Y140">
            <v>2.2000000000000002</v>
          </cell>
          <cell r="Z140">
            <v>16.3</v>
          </cell>
          <cell r="AA140">
            <v>43.7</v>
          </cell>
          <cell r="AB140">
            <v>36.4</v>
          </cell>
          <cell r="AD140">
            <v>142.70000000000002</v>
          </cell>
          <cell r="AF140">
            <v>11.5</v>
          </cell>
          <cell r="AG140">
            <v>101</v>
          </cell>
          <cell r="AI140">
            <v>20.9</v>
          </cell>
          <cell r="AJ140">
            <v>1.7</v>
          </cell>
          <cell r="AK140">
            <v>22.6</v>
          </cell>
          <cell r="AM140">
            <v>139.4</v>
          </cell>
          <cell r="AN140">
            <v>48.8</v>
          </cell>
          <cell r="AO140">
            <v>188.2</v>
          </cell>
          <cell r="AU140" t="str">
            <v xml:space="preserve"> 2QA</v>
          </cell>
          <cell r="AV140">
            <v>82.6</v>
          </cell>
          <cell r="AX140">
            <v>133.69999999999999</v>
          </cell>
          <cell r="AY140">
            <v>123.9</v>
          </cell>
          <cell r="AZ140">
            <v>257.60000000000002</v>
          </cell>
          <cell r="BB140">
            <v>140.4</v>
          </cell>
          <cell r="BD140">
            <v>12</v>
          </cell>
          <cell r="BF140">
            <v>129.19999999999999</v>
          </cell>
          <cell r="BG140">
            <v>75.5</v>
          </cell>
          <cell r="BH140">
            <v>204.7</v>
          </cell>
          <cell r="BI140">
            <v>697.3</v>
          </cell>
          <cell r="BK140">
            <v>1.9</v>
          </cell>
          <cell r="BL140">
            <v>27.2</v>
          </cell>
          <cell r="BM140">
            <v>29.099999999999998</v>
          </cell>
          <cell r="BO140">
            <v>129.4</v>
          </cell>
          <cell r="BP140">
            <v>89.7</v>
          </cell>
          <cell r="BQ140">
            <v>219.10000000000002</v>
          </cell>
          <cell r="BS140">
            <v>3.7</v>
          </cell>
          <cell r="BT140">
            <v>222.8</v>
          </cell>
          <cell r="BV140">
            <v>0</v>
          </cell>
          <cell r="BX140">
            <v>35.580000000000005</v>
          </cell>
          <cell r="BY140">
            <v>2612.7799999999997</v>
          </cell>
          <cell r="BZ140">
            <v>162.4</v>
          </cell>
          <cell r="CA140">
            <v>2775.18</v>
          </cell>
        </row>
        <row r="141">
          <cell r="A141" t="str">
            <v xml:space="preserve"> 3QA</v>
          </cell>
          <cell r="B141">
            <v>119.3</v>
          </cell>
          <cell r="C141">
            <v>70.599999999999994</v>
          </cell>
          <cell r="D141">
            <v>189.89999999999998</v>
          </cell>
          <cell r="F141">
            <v>683.2</v>
          </cell>
          <cell r="G141">
            <v>290.8</v>
          </cell>
          <cell r="H141">
            <v>974</v>
          </cell>
          <cell r="J141">
            <v>0</v>
          </cell>
          <cell r="L141">
            <v>40.6</v>
          </cell>
          <cell r="R141">
            <v>1204.5</v>
          </cell>
          <cell r="T141" t="str">
            <v xml:space="preserve"> 3QA</v>
          </cell>
          <cell r="U141">
            <v>0.1</v>
          </cell>
          <cell r="V141">
            <v>42.5</v>
          </cell>
          <cell r="W141">
            <v>42.6</v>
          </cell>
          <cell r="Y141">
            <v>0.5</v>
          </cell>
          <cell r="Z141">
            <v>16.7</v>
          </cell>
          <cell r="AA141">
            <v>31.4</v>
          </cell>
          <cell r="AB141">
            <v>33.4</v>
          </cell>
          <cell r="AD141">
            <v>124.6</v>
          </cell>
          <cell r="AF141">
            <v>10.199999999999999</v>
          </cell>
          <cell r="AG141">
            <v>92.4</v>
          </cell>
          <cell r="AI141">
            <v>19.600000000000001</v>
          </cell>
          <cell r="AJ141">
            <v>1.5</v>
          </cell>
          <cell r="AK141">
            <v>21.1</v>
          </cell>
          <cell r="AM141">
            <v>166.1</v>
          </cell>
          <cell r="AN141">
            <v>51.3</v>
          </cell>
          <cell r="AO141">
            <v>217.39999999999998</v>
          </cell>
          <cell r="AU141" t="str">
            <v xml:space="preserve"> 3QA</v>
          </cell>
          <cell r="AV141">
            <v>83.2</v>
          </cell>
          <cell r="AX141">
            <v>129.80000000000001</v>
          </cell>
          <cell r="AY141">
            <v>127.6</v>
          </cell>
          <cell r="AZ141">
            <v>257.39999999999998</v>
          </cell>
          <cell r="BB141">
            <v>81.7</v>
          </cell>
          <cell r="BD141">
            <v>18.100000000000001</v>
          </cell>
          <cell r="BF141">
            <v>133.69999999999999</v>
          </cell>
          <cell r="BG141">
            <v>80.400000000000006</v>
          </cell>
          <cell r="BH141">
            <v>214.1</v>
          </cell>
          <cell r="BI141">
            <v>654.5</v>
          </cell>
          <cell r="BK141">
            <v>13.5</v>
          </cell>
          <cell r="BL141">
            <v>11.7</v>
          </cell>
          <cell r="BM141">
            <v>25.2</v>
          </cell>
          <cell r="BO141">
            <v>93.2</v>
          </cell>
          <cell r="BP141">
            <v>104</v>
          </cell>
          <cell r="BQ141">
            <v>197.2</v>
          </cell>
          <cell r="BS141">
            <v>6.6</v>
          </cell>
          <cell r="BT141">
            <v>203.79999999999998</v>
          </cell>
          <cell r="BV141">
            <v>0</v>
          </cell>
          <cell r="BX141">
            <v>64.300000000000011</v>
          </cell>
          <cell r="BY141">
            <v>2618</v>
          </cell>
          <cell r="BZ141">
            <v>167.6</v>
          </cell>
          <cell r="CA141">
            <v>2785.6</v>
          </cell>
        </row>
        <row r="142">
          <cell r="A142" t="str">
            <v xml:space="preserve"> 4QA</v>
          </cell>
          <cell r="B142">
            <v>97.800000000000011</v>
          </cell>
          <cell r="C142">
            <v>65</v>
          </cell>
          <cell r="D142">
            <v>162.80000000000001</v>
          </cell>
          <cell r="F142">
            <v>661.6</v>
          </cell>
          <cell r="G142">
            <v>327.2</v>
          </cell>
          <cell r="H142">
            <v>988.8</v>
          </cell>
          <cell r="J142">
            <v>0</v>
          </cell>
          <cell r="L142">
            <v>42</v>
          </cell>
          <cell r="N142">
            <v>2.6</v>
          </cell>
          <cell r="O142">
            <v>0</v>
          </cell>
          <cell r="P142">
            <v>2.6</v>
          </cell>
          <cell r="R142">
            <v>1196.1999999999998</v>
          </cell>
          <cell r="T142" t="str">
            <v xml:space="preserve"> 4QA</v>
          </cell>
          <cell r="U142">
            <v>0.1</v>
          </cell>
          <cell r="V142">
            <v>50.5</v>
          </cell>
          <cell r="W142">
            <v>50.6</v>
          </cell>
          <cell r="Y142">
            <v>2.2999999999999998</v>
          </cell>
          <cell r="Z142">
            <v>22.5</v>
          </cell>
          <cell r="AA142">
            <v>26.3</v>
          </cell>
          <cell r="AB142">
            <v>36.9</v>
          </cell>
          <cell r="AD142">
            <v>138.6</v>
          </cell>
          <cell r="AF142">
            <v>12.8</v>
          </cell>
          <cell r="AG142">
            <v>98.9</v>
          </cell>
          <cell r="AI142">
            <v>26.9</v>
          </cell>
          <cell r="AJ142">
            <v>7.6</v>
          </cell>
          <cell r="AK142">
            <v>34.5</v>
          </cell>
          <cell r="AM142">
            <v>181.1</v>
          </cell>
          <cell r="AN142">
            <v>57.3</v>
          </cell>
          <cell r="AO142">
            <v>238.39999999999998</v>
          </cell>
          <cell r="AU142" t="str">
            <v xml:space="preserve"> 4QA</v>
          </cell>
          <cell r="AV142">
            <v>85.9</v>
          </cell>
          <cell r="AX142">
            <v>124.8</v>
          </cell>
          <cell r="AY142">
            <v>129.69999999999999</v>
          </cell>
          <cell r="AZ142">
            <v>254.5</v>
          </cell>
          <cell r="BB142">
            <v>96.2</v>
          </cell>
          <cell r="BD142">
            <v>10.5</v>
          </cell>
          <cell r="BF142">
            <v>152.19999999999999</v>
          </cell>
          <cell r="BG142">
            <v>85.8</v>
          </cell>
          <cell r="BH142">
            <v>238</v>
          </cell>
          <cell r="BI142">
            <v>685.09999999999991</v>
          </cell>
          <cell r="BK142">
            <v>-0.3</v>
          </cell>
          <cell r="BL142">
            <v>16.5</v>
          </cell>
          <cell r="BM142">
            <v>16.2</v>
          </cell>
          <cell r="BO142">
            <v>150.5</v>
          </cell>
          <cell r="BP142">
            <v>110.4</v>
          </cell>
          <cell r="BQ142">
            <v>260.89999999999998</v>
          </cell>
          <cell r="BS142">
            <v>4.2</v>
          </cell>
          <cell r="BT142">
            <v>265.09999999999997</v>
          </cell>
          <cell r="BV142">
            <v>0</v>
          </cell>
          <cell r="BX142">
            <v>68.400000000000006</v>
          </cell>
          <cell r="BY142">
            <v>2759.6999999999994</v>
          </cell>
          <cell r="BZ142">
            <v>195.9</v>
          </cell>
          <cell r="CA142">
            <v>2955.5999999999995</v>
          </cell>
        </row>
        <row r="144">
          <cell r="A144" t="str">
            <v>Year A</v>
          </cell>
          <cell r="B144">
            <v>451.7</v>
          </cell>
          <cell r="C144">
            <v>282.10000000000002</v>
          </cell>
          <cell r="D144">
            <v>733.8</v>
          </cell>
          <cell r="F144">
            <v>2532.8000000000002</v>
          </cell>
          <cell r="G144">
            <v>1156.2</v>
          </cell>
          <cell r="H144">
            <v>3689</v>
          </cell>
          <cell r="J144">
            <v>36.400000000000006</v>
          </cell>
          <cell r="L144">
            <v>151.9</v>
          </cell>
          <cell r="N144">
            <v>2.6</v>
          </cell>
          <cell r="O144">
            <v>0</v>
          </cell>
          <cell r="P144">
            <v>2.6</v>
          </cell>
          <cell r="R144">
            <v>4613.7</v>
          </cell>
          <cell r="T144" t="str">
            <v>Year A</v>
          </cell>
          <cell r="U144">
            <v>0.7</v>
          </cell>
          <cell r="V144">
            <v>196.7</v>
          </cell>
          <cell r="W144">
            <v>197.39999999999998</v>
          </cell>
          <cell r="Y144">
            <v>8.8999999999999986</v>
          </cell>
          <cell r="Z144">
            <v>74.600000000000009</v>
          </cell>
          <cell r="AA144">
            <v>144.80000000000001</v>
          </cell>
          <cell r="AB144">
            <v>151.5</v>
          </cell>
          <cell r="AD144">
            <v>577.20000000000005</v>
          </cell>
          <cell r="AF144">
            <v>45.8</v>
          </cell>
          <cell r="AG144">
            <v>384</v>
          </cell>
          <cell r="AI144">
            <v>89.3</v>
          </cell>
          <cell r="AJ144">
            <v>10.899999999999999</v>
          </cell>
          <cell r="AK144">
            <v>100.19999999999999</v>
          </cell>
          <cell r="AM144">
            <v>626.1</v>
          </cell>
          <cell r="AN144">
            <v>195.8</v>
          </cell>
          <cell r="AO144">
            <v>821.90000000000009</v>
          </cell>
          <cell r="AU144" t="str">
            <v>Year A</v>
          </cell>
          <cell r="AV144">
            <v>329.29999999999995</v>
          </cell>
          <cell r="AX144">
            <v>515.4</v>
          </cell>
          <cell r="AY144">
            <v>488.59999999999997</v>
          </cell>
          <cell r="AZ144">
            <v>1004</v>
          </cell>
          <cell r="BB144">
            <v>392.09999999999997</v>
          </cell>
          <cell r="BD144">
            <v>57.8</v>
          </cell>
          <cell r="BF144">
            <v>528.29999999999995</v>
          </cell>
          <cell r="BG144">
            <v>305.89999999999998</v>
          </cell>
          <cell r="BH144">
            <v>834.19999999999993</v>
          </cell>
          <cell r="BI144">
            <v>2617.3999999999996</v>
          </cell>
          <cell r="BK144">
            <v>44.3</v>
          </cell>
          <cell r="BL144">
            <v>68.400000000000006</v>
          </cell>
          <cell r="BM144">
            <v>112.7</v>
          </cell>
          <cell r="BO144">
            <v>482.2</v>
          </cell>
          <cell r="BP144">
            <v>392.5</v>
          </cell>
          <cell r="BQ144">
            <v>874.7</v>
          </cell>
          <cell r="BS144">
            <v>18.5</v>
          </cell>
          <cell r="BT144">
            <v>893.2</v>
          </cell>
          <cell r="BV144">
            <v>0</v>
          </cell>
          <cell r="BX144">
            <v>212.18000000000004</v>
          </cell>
          <cell r="BY144">
            <v>10383.779999999999</v>
          </cell>
          <cell r="BZ144">
            <v>693.7</v>
          </cell>
          <cell r="CA144">
            <v>11077.48</v>
          </cell>
        </row>
        <row r="146">
          <cell r="A146" t="str">
            <v>2003E/02</v>
          </cell>
          <cell r="T146" t="str">
            <v>2003E/02</v>
          </cell>
          <cell r="AU146" t="str">
            <v>2003E/02</v>
          </cell>
        </row>
        <row r="147">
          <cell r="A147" t="str">
            <v xml:space="preserve"> 1QE</v>
          </cell>
          <cell r="B147">
            <v>-0.3</v>
          </cell>
          <cell r="C147">
            <v>-0.18</v>
          </cell>
          <cell r="D147">
            <v>-0.25089151450053693</v>
          </cell>
          <cell r="F147">
            <v>0.2</v>
          </cell>
          <cell r="G147">
            <v>0.2</v>
          </cell>
          <cell r="H147">
            <v>0.19999999999999973</v>
          </cell>
          <cell r="J147" t="str">
            <v>NM</v>
          </cell>
          <cell r="L147">
            <v>-0.03</v>
          </cell>
          <cell r="N147" t="str">
            <v>NM</v>
          </cell>
          <cell r="O147" t="str">
            <v>NM</v>
          </cell>
          <cell r="P147" t="str">
            <v>NM</v>
          </cell>
          <cell r="T147" t="str">
            <v xml:space="preserve"> 1QE</v>
          </cell>
          <cell r="U147">
            <v>-1</v>
          </cell>
          <cell r="V147">
            <v>-0.12</v>
          </cell>
          <cell r="W147">
            <v>-0.12732113144758739</v>
          </cell>
          <cell r="Y147">
            <v>-0.25</v>
          </cell>
          <cell r="Z147">
            <v>-0.2</v>
          </cell>
          <cell r="AA147">
            <v>-0.1</v>
          </cell>
          <cell r="AB147">
            <v>-0.2</v>
          </cell>
          <cell r="AD147">
            <v>-0.15030356100408648</v>
          </cell>
          <cell r="AF147">
            <v>-0.08</v>
          </cell>
          <cell r="AG147">
            <v>-0.05</v>
          </cell>
          <cell r="AI147">
            <v>0.3</v>
          </cell>
          <cell r="AJ147" t="str">
            <v>NM</v>
          </cell>
          <cell r="AK147">
            <v>0.74863636363636354</v>
          </cell>
          <cell r="AM147">
            <v>7.0000000000000007E-2</v>
          </cell>
          <cell r="AN147">
            <v>0.45</v>
          </cell>
          <cell r="AO147">
            <v>0.15202360876897147</v>
          </cell>
          <cell r="AU147" t="str">
            <v xml:space="preserve"> 1QE</v>
          </cell>
          <cell r="AV147">
            <v>7.0000000000000007E-2</v>
          </cell>
          <cell r="AX147">
            <v>-0.1</v>
          </cell>
          <cell r="AY147">
            <v>0.05</v>
          </cell>
          <cell r="AZ147">
            <v>-3.130063965884855E-2</v>
          </cell>
          <cell r="BB147">
            <v>0.2</v>
          </cell>
          <cell r="BD147">
            <v>-0.2</v>
          </cell>
          <cell r="BF147">
            <v>0.25</v>
          </cell>
          <cell r="BG147">
            <v>0.28000000000000003</v>
          </cell>
          <cell r="BH147">
            <v>0.26085682074408112</v>
          </cell>
          <cell r="BI147">
            <v>9.5931093884582319E-2</v>
          </cell>
          <cell r="BK147">
            <v>-0.9</v>
          </cell>
          <cell r="BL147">
            <v>0.2</v>
          </cell>
          <cell r="BM147">
            <v>-0.56113744075829386</v>
          </cell>
          <cell r="BO147">
            <v>-0.05</v>
          </cell>
          <cell r="BP147">
            <v>0.12</v>
          </cell>
          <cell r="BQ147">
            <v>2.6091139240506322E-2</v>
          </cell>
          <cell r="BS147">
            <v>0</v>
          </cell>
          <cell r="BT147">
            <v>2.5573200992556E-2</v>
          </cell>
          <cell r="BV147" t="str">
            <v>NM</v>
          </cell>
          <cell r="BX147">
            <v>0.45</v>
          </cell>
          <cell r="BY147">
            <v>9.4280282455187603E-2</v>
          </cell>
          <cell r="BZ147">
            <v>-0.05</v>
          </cell>
          <cell r="CA147">
            <v>8.4827222677755776E-2</v>
          </cell>
        </row>
        <row r="148">
          <cell r="A148" t="str">
            <v xml:space="preserve"> 2QE</v>
          </cell>
          <cell r="B148">
            <v>-0.5</v>
          </cell>
          <cell r="C148">
            <v>-0.12</v>
          </cell>
          <cell r="D148">
            <v>-0.3629348383786557</v>
          </cell>
          <cell r="F148">
            <v>0.12</v>
          </cell>
          <cell r="G148">
            <v>0.19</v>
          </cell>
          <cell r="H148">
            <v>0.14114358182620212</v>
          </cell>
          <cell r="J148" t="str">
            <v>NM</v>
          </cell>
          <cell r="L148">
            <v>-0.03</v>
          </cell>
          <cell r="N148" t="str">
            <v>NM</v>
          </cell>
          <cell r="O148" t="str">
            <v>NM</v>
          </cell>
          <cell r="P148" t="str">
            <v>NM</v>
          </cell>
          <cell r="T148" t="str">
            <v xml:space="preserve"> 2QE</v>
          </cell>
          <cell r="U148">
            <v>-1</v>
          </cell>
          <cell r="V148">
            <v>0</v>
          </cell>
          <cell r="W148">
            <v>0</v>
          </cell>
          <cell r="Y148">
            <v>-0.1</v>
          </cell>
          <cell r="Z148">
            <v>-0.05</v>
          </cell>
          <cell r="AA148">
            <v>-0.15</v>
          </cell>
          <cell r="AB148">
            <v>-0.12</v>
          </cell>
          <cell r="AD148">
            <v>-8.3798177995795364E-2</v>
          </cell>
          <cell r="AF148">
            <v>-0.08</v>
          </cell>
          <cell r="AG148">
            <v>-0.18</v>
          </cell>
          <cell r="AI148">
            <v>0.5</v>
          </cell>
          <cell r="AJ148" t="str">
            <v>NM</v>
          </cell>
          <cell r="AK148">
            <v>0.82964601769911472</v>
          </cell>
          <cell r="AM148">
            <v>0.2</v>
          </cell>
          <cell r="AN148">
            <v>0.2</v>
          </cell>
          <cell r="AO148">
            <v>0.20000000000000018</v>
          </cell>
          <cell r="AU148" t="str">
            <v xml:space="preserve"> 2QE</v>
          </cell>
          <cell r="AV148">
            <v>0.05</v>
          </cell>
          <cell r="AX148">
            <v>-0.1</v>
          </cell>
          <cell r="AY148">
            <v>-0.05</v>
          </cell>
          <cell r="AZ148">
            <v>-7.5951086956521863E-2</v>
          </cell>
          <cell r="BB148">
            <v>7.0000000000000007E-2</v>
          </cell>
          <cell r="BD148">
            <v>0</v>
          </cell>
          <cell r="BF148">
            <v>0.22</v>
          </cell>
          <cell r="BG148">
            <v>0.14000000000000001</v>
          </cell>
          <cell r="BH148">
            <v>0.1904934049829019</v>
          </cell>
          <cell r="BI148">
            <v>4.788039581241943E-2</v>
          </cell>
          <cell r="BK148">
            <v>-0.9</v>
          </cell>
          <cell r="BL148">
            <v>-0.3</v>
          </cell>
          <cell r="BM148">
            <v>-0.33917525773195867</v>
          </cell>
          <cell r="BO148">
            <v>0.08</v>
          </cell>
          <cell r="BP148">
            <v>0.2</v>
          </cell>
          <cell r="BQ148">
            <v>0.12912825193975341</v>
          </cell>
          <cell r="BS148">
            <v>0</v>
          </cell>
          <cell r="BT148">
            <v>0.12698384201077184</v>
          </cell>
          <cell r="BV148" t="str">
            <v>NM</v>
          </cell>
          <cell r="BX148">
            <v>0.4</v>
          </cell>
          <cell r="BY148">
            <v>6.7309532375477321E-2</v>
          </cell>
          <cell r="BZ148">
            <v>0.05</v>
          </cell>
          <cell r="CA148">
            <v>6.6296600580863174E-2</v>
          </cell>
        </row>
        <row r="149">
          <cell r="A149" t="str">
            <v xml:space="preserve"> 3QE</v>
          </cell>
          <cell r="B149">
            <v>-0.5</v>
          </cell>
          <cell r="C149">
            <v>-0.12</v>
          </cell>
          <cell r="D149">
            <v>-0.35872564507635596</v>
          </cell>
          <cell r="F149">
            <v>0.08</v>
          </cell>
          <cell r="G149">
            <v>0.15</v>
          </cell>
          <cell r="H149">
            <v>0.10089938398357301</v>
          </cell>
          <cell r="J149" t="str">
            <v>NM</v>
          </cell>
          <cell r="L149">
            <v>-0.03</v>
          </cell>
          <cell r="N149" t="str">
            <v>NM</v>
          </cell>
          <cell r="O149" t="str">
            <v>NM</v>
          </cell>
          <cell r="P149" t="str">
            <v>NM</v>
          </cell>
          <cell r="T149" t="str">
            <v xml:space="preserve"> 3QE</v>
          </cell>
          <cell r="U149">
            <v>-1</v>
          </cell>
          <cell r="V149">
            <v>0</v>
          </cell>
          <cell r="W149">
            <v>-2.3474178403756207E-3</v>
          </cell>
          <cell r="Y149">
            <v>2</v>
          </cell>
          <cell r="Z149">
            <v>0</v>
          </cell>
          <cell r="AA149">
            <v>-0.15</v>
          </cell>
          <cell r="AB149">
            <v>-0.05</v>
          </cell>
          <cell r="AD149">
            <v>-4.398073836276073E-2</v>
          </cell>
          <cell r="AF149">
            <v>-0.08</v>
          </cell>
          <cell r="AG149">
            <v>-0.15</v>
          </cell>
          <cell r="AI149">
            <v>0.65</v>
          </cell>
          <cell r="AJ149" t="str">
            <v>NM</v>
          </cell>
          <cell r="AK149">
            <v>1.1014218009478673</v>
          </cell>
          <cell r="AM149">
            <v>0.08</v>
          </cell>
          <cell r="AN149">
            <v>0.25</v>
          </cell>
          <cell r="AO149">
            <v>0.12011499540018411</v>
          </cell>
          <cell r="AU149" t="str">
            <v xml:space="preserve"> 3QE</v>
          </cell>
          <cell r="AV149">
            <v>0.05</v>
          </cell>
          <cell r="AX149">
            <v>-0.1</v>
          </cell>
          <cell r="AY149">
            <v>-0.05</v>
          </cell>
          <cell r="AZ149">
            <v>-7.5213675213675169E-2</v>
          </cell>
          <cell r="BB149">
            <v>0.18</v>
          </cell>
          <cell r="BD149">
            <v>-0.15</v>
          </cell>
          <cell r="BF149">
            <v>0.22</v>
          </cell>
          <cell r="BG149">
            <v>0.15</v>
          </cell>
          <cell r="BH149">
            <v>0.19371321812237263</v>
          </cell>
          <cell r="BI149">
            <v>5.8464476699770618E-2</v>
          </cell>
          <cell r="BK149">
            <v>-0.9</v>
          </cell>
          <cell r="BL149">
            <v>0.2</v>
          </cell>
          <cell r="BM149">
            <v>-0.38928571428571435</v>
          </cell>
          <cell r="BO149">
            <v>0.34</v>
          </cell>
          <cell r="BP149">
            <v>0.13</v>
          </cell>
          <cell r="BQ149">
            <v>0.22924949290060859</v>
          </cell>
          <cell r="BS149">
            <v>-0.05</v>
          </cell>
          <cell r="BT149">
            <v>0.22020608439646727</v>
          </cell>
          <cell r="BV149" t="str">
            <v>NM</v>
          </cell>
          <cell r="BX149">
            <v>0.08</v>
          </cell>
          <cell r="BY149">
            <v>7.8919022154316121E-2</v>
          </cell>
          <cell r="BZ149">
            <v>0.05</v>
          </cell>
          <cell r="CA149">
            <v>7.7179063756461774E-2</v>
          </cell>
        </row>
        <row r="150">
          <cell r="A150" t="str">
            <v xml:space="preserve"> 4QE</v>
          </cell>
          <cell r="B150">
            <v>-0.49401840490797566</v>
          </cell>
          <cell r="C150">
            <v>-4.9661538461538202E-2</v>
          </cell>
          <cell r="D150">
            <v>-0.31660319410319415</v>
          </cell>
          <cell r="F150">
            <v>0.15160822249093098</v>
          </cell>
          <cell r="G150">
            <v>7.6127750611247436E-2</v>
          </cell>
          <cell r="H150">
            <v>0.12663127022653731</v>
          </cell>
          <cell r="J150" t="str">
            <v>NM</v>
          </cell>
          <cell r="L150">
            <v>-2.9999999999999805E-2</v>
          </cell>
          <cell r="N150" t="str">
            <v>NM</v>
          </cell>
          <cell r="O150" t="str">
            <v>NM</v>
          </cell>
          <cell r="P150" t="str">
            <v>NM</v>
          </cell>
          <cell r="T150" t="str">
            <v xml:space="preserve"> 4QE</v>
          </cell>
          <cell r="U150">
            <v>-1</v>
          </cell>
          <cell r="V150">
            <v>2.477227722772235E-2</v>
          </cell>
          <cell r="W150">
            <v>2.2747035573122076E-2</v>
          </cell>
          <cell r="Y150">
            <v>-0.30217391304347918</v>
          </cell>
          <cell r="Z150">
            <v>-0.12555555555555509</v>
          </cell>
          <cell r="AA150">
            <v>-0.23250950570342199</v>
          </cell>
          <cell r="AB150">
            <v>-8.6233062330622778E-2</v>
          </cell>
          <cell r="AD150">
            <v>-8.4170274170274006E-2</v>
          </cell>
          <cell r="AF150">
            <v>-8.0000000000000293E-2</v>
          </cell>
          <cell r="AG150">
            <v>-0.21208291203235641</v>
          </cell>
          <cell r="AI150">
            <v>0.22156133828996283</v>
          </cell>
          <cell r="AJ150" t="str">
            <v>NM</v>
          </cell>
          <cell r="AK150">
            <v>0.2886956521739128</v>
          </cell>
          <cell r="AM150">
            <v>2.9906129210381494E-2</v>
          </cell>
          <cell r="AN150">
            <v>0.15855148342059322</v>
          </cell>
          <cell r="AO150">
            <v>6.0826342281879553E-2</v>
          </cell>
          <cell r="AU150" t="str">
            <v xml:space="preserve"> 4QE</v>
          </cell>
          <cell r="AV150">
            <v>3.1932479627472699E-2</v>
          </cell>
          <cell r="AX150">
            <v>-0.10000000000000053</v>
          </cell>
          <cell r="AY150">
            <v>-1.9791827293754838E-2</v>
          </cell>
          <cell r="AZ150">
            <v>-5.9123772102161465E-2</v>
          </cell>
          <cell r="BB150">
            <v>0.12140332640332607</v>
          </cell>
          <cell r="BD150">
            <v>3.5714285714285809E-2</v>
          </cell>
          <cell r="BF150">
            <v>0.19768725361366601</v>
          </cell>
          <cell r="BG150">
            <v>0.23979020979020937</v>
          </cell>
          <cell r="BH150">
            <v>0.21286554621848697</v>
          </cell>
          <cell r="BI150">
            <v>7.3583418479053808E-2</v>
          </cell>
          <cell r="BK150">
            <v>-0.90000000000000213</v>
          </cell>
          <cell r="BL150">
            <v>-1.2121212121211866E-2</v>
          </cell>
          <cell r="BM150">
            <v>4.3209876543213177E-3</v>
          </cell>
          <cell r="BO150">
            <v>4.5269102990033172E-2</v>
          </cell>
          <cell r="BP150">
            <v>8.1132246376811379E-2</v>
          </cell>
          <cell r="BQ150">
            <v>6.0444614794940454E-2</v>
          </cell>
          <cell r="BS150">
            <v>7.8571428571428736E-2</v>
          </cell>
          <cell r="BT150">
            <v>6.0731799321010804E-2</v>
          </cell>
          <cell r="BV150" t="str">
            <v>NM</v>
          </cell>
          <cell r="BX150">
            <v>-1.3722222222221969E-2</v>
          </cell>
          <cell r="BY150">
            <v>9.810827263833044E-2</v>
          </cell>
          <cell r="BZ150">
            <v>-4.1398672792240521E-2</v>
          </cell>
          <cell r="CA150">
            <v>8.8861618622276595E-2</v>
          </cell>
        </row>
        <row r="151">
          <cell r="AU151">
            <v>0</v>
          </cell>
        </row>
        <row r="152">
          <cell r="A152" t="str">
            <v xml:space="preserve">2003/02E </v>
          </cell>
          <cell r="B152">
            <v>-0.45</v>
          </cell>
          <cell r="C152">
            <v>-0.12</v>
          </cell>
          <cell r="D152">
            <v>-0.32313573180703187</v>
          </cell>
          <cell r="F152">
            <v>0.13500000000000001</v>
          </cell>
          <cell r="G152">
            <v>0.15</v>
          </cell>
          <cell r="H152">
            <v>0.13970127405801036</v>
          </cell>
          <cell r="J152" t="str">
            <v>NM</v>
          </cell>
          <cell r="L152">
            <v>-0.03</v>
          </cell>
          <cell r="N152" t="str">
            <v>NM</v>
          </cell>
          <cell r="O152" t="str">
            <v>NM</v>
          </cell>
          <cell r="P152" t="str">
            <v>NM</v>
          </cell>
          <cell r="R152">
            <v>8.8797277673017358E-2</v>
          </cell>
          <cell r="T152" t="str">
            <v xml:space="preserve">2003/02E </v>
          </cell>
          <cell r="U152">
            <v>-1</v>
          </cell>
          <cell r="V152">
            <v>-0.03</v>
          </cell>
          <cell r="W152">
            <v>-3.3439716312056736E-2</v>
          </cell>
          <cell r="Y152">
            <v>-0.1</v>
          </cell>
          <cell r="Z152">
            <v>-0.1</v>
          </cell>
          <cell r="AA152">
            <v>-0.15</v>
          </cell>
          <cell r="AB152">
            <v>-0.12</v>
          </cell>
          <cell r="AD152">
            <v>-9.5029452529452718E-2</v>
          </cell>
          <cell r="AF152">
            <v>-0.08</v>
          </cell>
          <cell r="AG152">
            <v>-0.15</v>
          </cell>
          <cell r="AI152">
            <v>0.4</v>
          </cell>
          <cell r="AJ152">
            <v>3</v>
          </cell>
          <cell r="AK152">
            <v>0.68283433133732563</v>
          </cell>
          <cell r="AM152">
            <v>0.09</v>
          </cell>
          <cell r="AN152">
            <v>0.25</v>
          </cell>
          <cell r="AO152">
            <v>0.12811655919211579</v>
          </cell>
          <cell r="AU152" t="str">
            <v xml:space="preserve">2003/02E </v>
          </cell>
          <cell r="AV152">
            <v>0.05</v>
          </cell>
          <cell r="AX152">
            <v>-0.1</v>
          </cell>
          <cell r="AY152">
            <v>-0.02</v>
          </cell>
          <cell r="AZ152">
            <v>-6.1067729083665465E-2</v>
          </cell>
          <cell r="BB152">
            <v>0.13</v>
          </cell>
          <cell r="BD152">
            <v>-0.1</v>
          </cell>
          <cell r="BF152">
            <v>0.22</v>
          </cell>
          <cell r="BG152">
            <v>0.2</v>
          </cell>
          <cell r="BH152">
            <v>0.21266602733157525</v>
          </cell>
          <cell r="BI152">
            <v>6.7911668067548114E-2</v>
          </cell>
          <cell r="BK152">
            <v>-0.9</v>
          </cell>
          <cell r="BL152">
            <v>-0.05</v>
          </cell>
          <cell r="BM152">
            <v>-0.384117125110914</v>
          </cell>
          <cell r="BO152">
            <v>0.09</v>
          </cell>
          <cell r="BP152">
            <v>0.13</v>
          </cell>
          <cell r="BQ152">
            <v>0.10794901108951627</v>
          </cell>
          <cell r="BS152">
            <v>0</v>
          </cell>
          <cell r="BT152">
            <v>0.1057131661442005</v>
          </cell>
          <cell r="BV152" t="str">
            <v>NM</v>
          </cell>
          <cell r="BX152">
            <v>0.18</v>
          </cell>
          <cell r="BY152">
            <v>8.4638291643313004E-2</v>
          </cell>
          <cell r="BZ152">
            <v>0</v>
          </cell>
          <cell r="CA152">
            <v>7.9338026338120274E-2</v>
          </cell>
        </row>
        <row r="153">
          <cell r="AU153">
            <v>0</v>
          </cell>
        </row>
        <row r="154">
          <cell r="A154" t="str">
            <v>2003E</v>
          </cell>
          <cell r="T154" t="str">
            <v>2003E</v>
          </cell>
          <cell r="AU154" t="str">
            <v>2003E</v>
          </cell>
        </row>
        <row r="155">
          <cell r="A155" t="str">
            <v xml:space="preserve"> 1QE</v>
          </cell>
          <cell r="B155">
            <v>77</v>
          </cell>
          <cell r="C155">
            <v>62.484000000000009</v>
          </cell>
          <cell r="D155">
            <v>139.48400000000001</v>
          </cell>
          <cell r="F155">
            <v>666.12</v>
          </cell>
          <cell r="G155">
            <v>317.16000000000003</v>
          </cell>
          <cell r="H155">
            <v>983.28</v>
          </cell>
          <cell r="J155">
            <v>0</v>
          </cell>
          <cell r="L155">
            <v>29.682000000000002</v>
          </cell>
          <cell r="N155">
            <v>40</v>
          </cell>
          <cell r="O155">
            <v>0</v>
          </cell>
          <cell r="P155">
            <v>40</v>
          </cell>
          <cell r="R155">
            <v>1192.4459999999999</v>
          </cell>
          <cell r="T155" t="str">
            <v xml:space="preserve"> 1QE</v>
          </cell>
          <cell r="U155">
            <v>0</v>
          </cell>
          <cell r="V155">
            <v>52.448</v>
          </cell>
          <cell r="W155">
            <v>52.448</v>
          </cell>
          <cell r="Y155">
            <v>2.9249999999999998</v>
          </cell>
          <cell r="Z155">
            <v>15.280000000000001</v>
          </cell>
          <cell r="AA155">
            <v>39.06</v>
          </cell>
          <cell r="AB155">
            <v>35.839999999999996</v>
          </cell>
          <cell r="AD155">
            <v>145.553</v>
          </cell>
          <cell r="AF155">
            <v>10.396000000000001</v>
          </cell>
          <cell r="AG155">
            <v>87.114999999999995</v>
          </cell>
          <cell r="AI155">
            <v>28.47</v>
          </cell>
          <cell r="AJ155">
            <v>10</v>
          </cell>
          <cell r="AK155">
            <v>38.47</v>
          </cell>
          <cell r="AM155">
            <v>149.26500000000001</v>
          </cell>
          <cell r="AN155">
            <v>55.68</v>
          </cell>
          <cell r="AO155">
            <v>204.94500000000002</v>
          </cell>
          <cell r="AU155" t="str">
            <v xml:space="preserve"> 1QE</v>
          </cell>
          <cell r="AV155">
            <v>83.031999999999996</v>
          </cell>
          <cell r="AX155">
            <v>114.39</v>
          </cell>
          <cell r="AY155">
            <v>112.77000000000001</v>
          </cell>
          <cell r="AZ155">
            <v>227.16000000000003</v>
          </cell>
          <cell r="BB155">
            <v>88.559999999999988</v>
          </cell>
          <cell r="BD155">
            <v>13.76</v>
          </cell>
          <cell r="BF155">
            <v>141.5</v>
          </cell>
          <cell r="BG155">
            <v>82.176000000000002</v>
          </cell>
          <cell r="BH155">
            <v>223.67599999999999</v>
          </cell>
          <cell r="BI155">
            <v>636.18799999999999</v>
          </cell>
          <cell r="BK155">
            <v>2.9199999999999995</v>
          </cell>
          <cell r="BL155">
            <v>15.6</v>
          </cell>
          <cell r="BM155">
            <v>18.52</v>
          </cell>
          <cell r="BO155">
            <v>103.645</v>
          </cell>
          <cell r="BP155">
            <v>99.00800000000001</v>
          </cell>
          <cell r="BQ155">
            <v>202.65300000000002</v>
          </cell>
          <cell r="BS155">
            <v>4</v>
          </cell>
          <cell r="BT155">
            <v>206.65300000000002</v>
          </cell>
          <cell r="BV155">
            <v>0</v>
          </cell>
          <cell r="BX155">
            <v>63.654999999999994</v>
          </cell>
          <cell r="BY155">
            <v>2618.9410000000003</v>
          </cell>
          <cell r="BZ155">
            <v>159.41</v>
          </cell>
          <cell r="CA155">
            <v>2778.3510000000001</v>
          </cell>
        </row>
        <row r="156">
          <cell r="A156" t="str">
            <v xml:space="preserve"> 2QE</v>
          </cell>
          <cell r="B156">
            <v>62.3</v>
          </cell>
          <cell r="C156">
            <v>61.863999999999997</v>
          </cell>
          <cell r="D156">
            <v>124.16399999999999</v>
          </cell>
          <cell r="F156">
            <v>708.84800000000007</v>
          </cell>
          <cell r="G156">
            <v>325.94099999999997</v>
          </cell>
          <cell r="H156">
            <v>1034.789</v>
          </cell>
          <cell r="J156">
            <v>0</v>
          </cell>
          <cell r="L156">
            <v>37.539000000000001</v>
          </cell>
          <cell r="N156">
            <v>35</v>
          </cell>
          <cell r="O156">
            <v>0</v>
          </cell>
          <cell r="P156">
            <v>35</v>
          </cell>
          <cell r="R156">
            <v>1231.492</v>
          </cell>
          <cell r="T156" t="str">
            <v xml:space="preserve"> 2QE</v>
          </cell>
          <cell r="U156">
            <v>0</v>
          </cell>
          <cell r="V156">
            <v>44.1</v>
          </cell>
          <cell r="W156">
            <v>44.1</v>
          </cell>
          <cell r="Y156">
            <v>1.9800000000000002</v>
          </cell>
          <cell r="Z156">
            <v>15.484999999999999</v>
          </cell>
          <cell r="AA156">
            <v>37.145000000000003</v>
          </cell>
          <cell r="AB156">
            <v>32.031999999999996</v>
          </cell>
          <cell r="AD156">
            <v>130.74200000000002</v>
          </cell>
          <cell r="AF156">
            <v>10.58</v>
          </cell>
          <cell r="AG156">
            <v>82.820000000000007</v>
          </cell>
          <cell r="AI156">
            <v>31.349999999999998</v>
          </cell>
          <cell r="AJ156">
            <v>10</v>
          </cell>
          <cell r="AK156">
            <v>41.349999999999994</v>
          </cell>
          <cell r="AM156">
            <v>167.28</v>
          </cell>
          <cell r="AN156">
            <v>58.559999999999995</v>
          </cell>
          <cell r="AO156">
            <v>225.84</v>
          </cell>
          <cell r="AU156" t="str">
            <v xml:space="preserve"> 2QE</v>
          </cell>
          <cell r="AV156">
            <v>86.73</v>
          </cell>
          <cell r="AX156">
            <v>120.33</v>
          </cell>
          <cell r="AY156">
            <v>117.705</v>
          </cell>
          <cell r="AZ156">
            <v>238.035</v>
          </cell>
          <cell r="BB156">
            <v>150.22800000000001</v>
          </cell>
          <cell r="BD156">
            <v>12</v>
          </cell>
          <cell r="BF156">
            <v>157.624</v>
          </cell>
          <cell r="BG156">
            <v>86.070000000000007</v>
          </cell>
          <cell r="BH156">
            <v>243.69400000000002</v>
          </cell>
          <cell r="BI156">
            <v>730.68700000000001</v>
          </cell>
          <cell r="BK156">
            <v>0.18999999999999995</v>
          </cell>
          <cell r="BL156">
            <v>19.04</v>
          </cell>
          <cell r="BM156">
            <v>19.23</v>
          </cell>
          <cell r="BO156">
            <v>139.75200000000001</v>
          </cell>
          <cell r="BP156">
            <v>107.64</v>
          </cell>
          <cell r="BQ156">
            <v>247.392</v>
          </cell>
          <cell r="BS156">
            <v>3.7</v>
          </cell>
          <cell r="BT156">
            <v>251.09199999999998</v>
          </cell>
          <cell r="BV156">
            <v>0</v>
          </cell>
          <cell r="BX156">
            <v>49.812000000000005</v>
          </cell>
          <cell r="BY156">
            <v>2788.6449999999995</v>
          </cell>
          <cell r="BZ156">
            <v>170.52</v>
          </cell>
          <cell r="CA156">
            <v>2959.1649999999995</v>
          </cell>
        </row>
        <row r="157">
          <cell r="A157" t="str">
            <v xml:space="preserve"> 3QE</v>
          </cell>
          <cell r="B157">
            <v>59.65</v>
          </cell>
          <cell r="C157">
            <v>62.127999999999993</v>
          </cell>
          <cell r="D157">
            <v>121.77799999999999</v>
          </cell>
          <cell r="F157">
            <v>737.85600000000011</v>
          </cell>
          <cell r="G157">
            <v>334.41999999999996</v>
          </cell>
          <cell r="H157">
            <v>1072.2760000000001</v>
          </cell>
          <cell r="J157">
            <v>0</v>
          </cell>
          <cell r="L157">
            <v>39.381999999999998</v>
          </cell>
          <cell r="N157">
            <v>45</v>
          </cell>
          <cell r="O157">
            <v>5</v>
          </cell>
          <cell r="P157">
            <v>50</v>
          </cell>
          <cell r="R157">
            <v>1283.4360000000001</v>
          </cell>
          <cell r="T157" t="str">
            <v xml:space="preserve"> 3QE</v>
          </cell>
          <cell r="U157">
            <v>0</v>
          </cell>
          <cell r="V157">
            <v>42.5</v>
          </cell>
          <cell r="W157">
            <v>42.5</v>
          </cell>
          <cell r="Y157">
            <v>1.5</v>
          </cell>
          <cell r="Z157">
            <v>16.7</v>
          </cell>
          <cell r="AA157">
            <v>26.689999999999998</v>
          </cell>
          <cell r="AB157">
            <v>31.729999999999997</v>
          </cell>
          <cell r="AD157">
            <v>119.12</v>
          </cell>
          <cell r="AF157">
            <v>9.3840000000000003</v>
          </cell>
          <cell r="AG157">
            <v>78.540000000000006</v>
          </cell>
          <cell r="AI157">
            <v>32.340000000000003</v>
          </cell>
          <cell r="AJ157">
            <v>12</v>
          </cell>
          <cell r="AK157">
            <v>44.34</v>
          </cell>
          <cell r="AM157">
            <v>179.38800000000001</v>
          </cell>
          <cell r="AN157">
            <v>64.125</v>
          </cell>
          <cell r="AO157">
            <v>243.51300000000001</v>
          </cell>
          <cell r="AU157" t="str">
            <v xml:space="preserve"> 3QE</v>
          </cell>
          <cell r="AV157">
            <v>87.360000000000014</v>
          </cell>
          <cell r="AX157">
            <v>116.82000000000001</v>
          </cell>
          <cell r="AY157">
            <v>121.21999999999998</v>
          </cell>
          <cell r="AZ157">
            <v>238.04</v>
          </cell>
          <cell r="BB157">
            <v>96.405999999999992</v>
          </cell>
          <cell r="BD157">
            <v>15.385000000000002</v>
          </cell>
          <cell r="BF157">
            <v>163.11399999999998</v>
          </cell>
          <cell r="BG157">
            <v>92.46</v>
          </cell>
          <cell r="BH157">
            <v>255.57399999999996</v>
          </cell>
          <cell r="BI157">
            <v>692.76499999999987</v>
          </cell>
          <cell r="BK157">
            <v>1.3499999999999996</v>
          </cell>
          <cell r="BL157">
            <v>14.04</v>
          </cell>
          <cell r="BM157">
            <v>15.389999999999999</v>
          </cell>
          <cell r="BO157">
            <v>124.88800000000001</v>
          </cell>
          <cell r="BP157">
            <v>117.51999999999998</v>
          </cell>
          <cell r="BQ157">
            <v>242.40799999999999</v>
          </cell>
          <cell r="BS157">
            <v>6.27</v>
          </cell>
          <cell r="BT157">
            <v>248.678</v>
          </cell>
          <cell r="BV157">
            <v>0</v>
          </cell>
          <cell r="BX157">
            <v>69.444000000000017</v>
          </cell>
          <cell r="BY157">
            <v>2824.6099999999997</v>
          </cell>
          <cell r="BZ157">
            <v>175.98</v>
          </cell>
          <cell r="CA157">
            <v>3000.5899999999997</v>
          </cell>
        </row>
        <row r="158">
          <cell r="A158" t="str">
            <v xml:space="preserve"> 4QE</v>
          </cell>
          <cell r="B158">
            <v>49.484999999999985</v>
          </cell>
          <cell r="C158">
            <v>61.77200000000002</v>
          </cell>
          <cell r="D158">
            <v>111.25700000000001</v>
          </cell>
          <cell r="F158">
            <v>761.904</v>
          </cell>
          <cell r="G158">
            <v>352.10900000000015</v>
          </cell>
          <cell r="H158">
            <v>1114.0130000000001</v>
          </cell>
          <cell r="J158">
            <v>0</v>
          </cell>
          <cell r="L158">
            <v>40.740000000000009</v>
          </cell>
          <cell r="N158">
            <v>45</v>
          </cell>
          <cell r="O158">
            <v>5</v>
          </cell>
          <cell r="P158">
            <v>50</v>
          </cell>
          <cell r="R158">
            <v>1316.0100000000002</v>
          </cell>
          <cell r="T158" t="str">
            <v xml:space="preserve"> 4QE</v>
          </cell>
          <cell r="U158">
            <v>0</v>
          </cell>
          <cell r="V158">
            <v>51.750999999999976</v>
          </cell>
          <cell r="W158">
            <v>51.750999999999976</v>
          </cell>
          <cell r="Y158">
            <v>1.6049999999999978</v>
          </cell>
          <cell r="Z158">
            <v>19.675000000000011</v>
          </cell>
          <cell r="AA158">
            <v>20.185000000000002</v>
          </cell>
          <cell r="AB158">
            <v>33.718000000000018</v>
          </cell>
          <cell r="AD158">
            <v>126.93400000000001</v>
          </cell>
          <cell r="AF158">
            <v>11.775999999999996</v>
          </cell>
          <cell r="AG158">
            <v>77.924999999999955</v>
          </cell>
          <cell r="AI158">
            <v>32.86</v>
          </cell>
          <cell r="AJ158">
            <v>11.599999999999994</v>
          </cell>
          <cell r="AK158">
            <v>44.459999999999994</v>
          </cell>
          <cell r="AM158">
            <v>186.51600000000008</v>
          </cell>
          <cell r="AN158">
            <v>66.384999999999991</v>
          </cell>
          <cell r="AO158">
            <v>252.90100000000007</v>
          </cell>
          <cell r="AU158" t="str">
            <v xml:space="preserve"> 4QE</v>
          </cell>
          <cell r="AV158">
            <v>88.642999999999915</v>
          </cell>
          <cell r="AX158">
            <v>112.31999999999994</v>
          </cell>
          <cell r="AY158">
            <v>127.13299999999998</v>
          </cell>
          <cell r="AZ158">
            <v>239.45299999999992</v>
          </cell>
          <cell r="BB158">
            <v>107.87899999999996</v>
          </cell>
          <cell r="BD158">
            <v>10.875</v>
          </cell>
          <cell r="BF158">
            <v>182.28799999999995</v>
          </cell>
          <cell r="BG158">
            <v>106.37399999999997</v>
          </cell>
          <cell r="BH158">
            <v>288.66199999999992</v>
          </cell>
          <cell r="BI158">
            <v>735.51199999999972</v>
          </cell>
          <cell r="BK158">
            <v>-2.9999999999999361E-2</v>
          </cell>
          <cell r="BL158">
            <v>16.300000000000004</v>
          </cell>
          <cell r="BM158">
            <v>16.270000000000003</v>
          </cell>
          <cell r="BO158">
            <v>157.31299999999999</v>
          </cell>
          <cell r="BP158">
            <v>119.35699999999997</v>
          </cell>
          <cell r="BQ158">
            <v>276.66999999999996</v>
          </cell>
          <cell r="BS158">
            <v>4.5300000000000011</v>
          </cell>
          <cell r="BT158">
            <v>281.19999999999993</v>
          </cell>
          <cell r="BV158">
            <v>75</v>
          </cell>
          <cell r="BX158">
            <v>67.461400000000026</v>
          </cell>
          <cell r="BY158">
            <v>3030.4494</v>
          </cell>
          <cell r="BZ158">
            <v>187.79000000000008</v>
          </cell>
          <cell r="CA158">
            <v>3218.2393999999999</v>
          </cell>
        </row>
        <row r="160">
          <cell r="A160" t="str">
            <v>2003E</v>
          </cell>
          <cell r="B160">
            <v>248.435</v>
          </cell>
          <cell r="C160">
            <v>248.24800000000002</v>
          </cell>
          <cell r="D160">
            <v>496.68299999999999</v>
          </cell>
          <cell r="F160">
            <v>2874.7280000000001</v>
          </cell>
          <cell r="G160">
            <v>1329.63</v>
          </cell>
          <cell r="H160">
            <v>4204.3580000000002</v>
          </cell>
          <cell r="J160">
            <v>0</v>
          </cell>
          <cell r="L160">
            <v>147.34300000000002</v>
          </cell>
          <cell r="N160">
            <v>165</v>
          </cell>
          <cell r="O160">
            <v>10</v>
          </cell>
          <cell r="P160">
            <v>175</v>
          </cell>
          <cell r="R160">
            <v>5023.384</v>
          </cell>
          <cell r="T160" t="str">
            <v>2003E</v>
          </cell>
          <cell r="U160">
            <v>0</v>
          </cell>
          <cell r="V160">
            <v>190.79899999999998</v>
          </cell>
          <cell r="W160">
            <v>190.79899999999998</v>
          </cell>
          <cell r="Y160">
            <v>8.009999999999998</v>
          </cell>
          <cell r="Z160">
            <v>67.140000000000015</v>
          </cell>
          <cell r="AA160">
            <v>123.08000000000001</v>
          </cell>
          <cell r="AB160">
            <v>133.32</v>
          </cell>
          <cell r="AD160">
            <v>522.34899999999993</v>
          </cell>
          <cell r="AF160">
            <v>42.135999999999996</v>
          </cell>
          <cell r="AG160">
            <v>326.39999999999998</v>
          </cell>
          <cell r="AI160">
            <v>125.02</v>
          </cell>
          <cell r="AJ160">
            <v>43.599999999999994</v>
          </cell>
          <cell r="AK160">
            <v>168.62</v>
          </cell>
          <cell r="AM160">
            <v>682.44900000000007</v>
          </cell>
          <cell r="AN160">
            <v>244.75</v>
          </cell>
          <cell r="AO160">
            <v>927.19900000000007</v>
          </cell>
          <cell r="AU160" t="str">
            <v>2003E</v>
          </cell>
          <cell r="AV160">
            <v>345.76499999999993</v>
          </cell>
          <cell r="AX160">
            <v>463.85999999999996</v>
          </cell>
          <cell r="AY160">
            <v>478.82799999999997</v>
          </cell>
          <cell r="AZ160">
            <v>942.68799999999987</v>
          </cell>
          <cell r="BB160">
            <v>443.07299999999998</v>
          </cell>
          <cell r="BD160">
            <v>52.019999999999996</v>
          </cell>
          <cell r="BF160">
            <v>644.52599999999995</v>
          </cell>
          <cell r="BG160">
            <v>367.08</v>
          </cell>
          <cell r="BH160">
            <v>1011.606</v>
          </cell>
          <cell r="BI160">
            <v>2795.152</v>
          </cell>
          <cell r="BK160">
            <v>4.43</v>
          </cell>
          <cell r="BL160">
            <v>64.98</v>
          </cell>
          <cell r="BM160">
            <v>69.41</v>
          </cell>
          <cell r="BO160">
            <v>525.59799999999996</v>
          </cell>
          <cell r="BP160">
            <v>443.52499999999998</v>
          </cell>
          <cell r="BQ160">
            <v>969.12299999999993</v>
          </cell>
          <cell r="BS160">
            <v>18.5</v>
          </cell>
          <cell r="BT160">
            <v>987.62299999999993</v>
          </cell>
          <cell r="BV160">
            <v>75</v>
          </cell>
          <cell r="BX160">
            <v>250.37240000000003</v>
          </cell>
          <cell r="BY160">
            <v>11262.645399999999</v>
          </cell>
          <cell r="BZ160">
            <v>693.7</v>
          </cell>
          <cell r="CA160">
            <v>11956.3454</v>
          </cell>
        </row>
        <row r="162">
          <cell r="A162" t="str">
            <v xml:space="preserve">2004/03E </v>
          </cell>
          <cell r="B162">
            <v>-0.15</v>
          </cell>
          <cell r="C162">
            <v>-0.1</v>
          </cell>
          <cell r="D162">
            <v>-0.1250094124421412</v>
          </cell>
          <cell r="F162">
            <v>0.11</v>
          </cell>
          <cell r="G162">
            <v>0.1</v>
          </cell>
          <cell r="H162">
            <v>0.10683749576035147</v>
          </cell>
          <cell r="J162" t="str">
            <v>NM</v>
          </cell>
          <cell r="L162">
            <v>-0.03</v>
          </cell>
          <cell r="R162">
            <v>0.10106190169813814</v>
          </cell>
          <cell r="T162" t="str">
            <v xml:space="preserve">2004/03E </v>
          </cell>
          <cell r="U162">
            <v>0</v>
          </cell>
          <cell r="V162">
            <v>-0.03</v>
          </cell>
          <cell r="W162">
            <v>-3.0000000000000047E-2</v>
          </cell>
          <cell r="Y162">
            <v>0</v>
          </cell>
          <cell r="Z162">
            <v>-0.1</v>
          </cell>
          <cell r="AA162">
            <v>-0.05</v>
          </cell>
          <cell r="AB162">
            <v>-0.12</v>
          </cell>
          <cell r="AD162">
            <v>-6.6220802566866133E-2</v>
          </cell>
          <cell r="AF162">
            <v>-0.05</v>
          </cell>
          <cell r="AG162">
            <v>-0.1</v>
          </cell>
          <cell r="AI162">
            <v>0.3</v>
          </cell>
          <cell r="AJ162">
            <v>0.8</v>
          </cell>
          <cell r="AK162">
            <v>0.42928478235084805</v>
          </cell>
          <cell r="AM162">
            <v>0.09</v>
          </cell>
          <cell r="AN162">
            <v>0.18</v>
          </cell>
          <cell r="AO162">
            <v>0.11375703597609575</v>
          </cell>
          <cell r="AU162" t="str">
            <v xml:space="preserve">2004/03E </v>
          </cell>
          <cell r="AV162">
            <v>0.04</v>
          </cell>
          <cell r="AX162">
            <v>-7.0000000000000007E-2</v>
          </cell>
          <cell r="AY162">
            <v>-0.02</v>
          </cell>
          <cell r="AZ162">
            <v>-4.4603050001697224E-2</v>
          </cell>
          <cell r="BB162">
            <v>0.1</v>
          </cell>
          <cell r="BD162">
            <v>0</v>
          </cell>
          <cell r="BF162">
            <v>0.17</v>
          </cell>
          <cell r="BG162">
            <v>0.15</v>
          </cell>
          <cell r="BH162">
            <v>0.16274262904727724</v>
          </cell>
          <cell r="BI162">
            <v>6.4655718186345398E-2</v>
          </cell>
          <cell r="BK162">
            <v>-0.1</v>
          </cell>
          <cell r="BL162">
            <v>-0.05</v>
          </cell>
          <cell r="BM162">
            <v>-5.3191182826681935E-2</v>
          </cell>
          <cell r="BO162">
            <v>0.09</v>
          </cell>
          <cell r="BP162">
            <v>0.1</v>
          </cell>
          <cell r="BQ162">
            <v>9.4576560457238085E-2</v>
          </cell>
          <cell r="BS162">
            <v>0</v>
          </cell>
          <cell r="BT162">
            <v>9.2804967077518383E-2</v>
          </cell>
          <cell r="BV162">
            <v>6</v>
          </cell>
          <cell r="BX162">
            <v>0</v>
          </cell>
          <cell r="BY162">
            <v>0.11852311891129963</v>
          </cell>
          <cell r="BZ162">
            <v>0</v>
          </cell>
          <cell r="CA162">
            <v>0.11164647853013696</v>
          </cell>
        </row>
        <row r="163">
          <cell r="A163" t="str">
            <v xml:space="preserve">2005/04E </v>
          </cell>
          <cell r="B163">
            <v>-0.1</v>
          </cell>
          <cell r="C163">
            <v>-0.1</v>
          </cell>
          <cell r="D163">
            <v>-0.1</v>
          </cell>
          <cell r="F163">
            <v>0.09</v>
          </cell>
          <cell r="G163">
            <v>0.1</v>
          </cell>
          <cell r="H163">
            <v>9.3142967849334971E-2</v>
          </cell>
          <cell r="J163" t="str">
            <v>NM</v>
          </cell>
          <cell r="L163">
            <v>-0.03</v>
          </cell>
          <cell r="R163">
            <v>8.7812812945397417E-2</v>
          </cell>
          <cell r="T163" t="str">
            <v xml:space="preserve">2005/04E </v>
          </cell>
          <cell r="U163">
            <v>0</v>
          </cell>
          <cell r="V163">
            <v>-0.03</v>
          </cell>
          <cell r="W163">
            <v>-2.999999999999995E-2</v>
          </cell>
          <cell r="Y163">
            <v>0</v>
          </cell>
          <cell r="Z163">
            <v>-0.03</v>
          </cell>
          <cell r="AA163">
            <v>-0.05</v>
          </cell>
          <cell r="AB163">
            <v>-0.1</v>
          </cell>
          <cell r="AD163">
            <v>-5.1139004757332483E-2</v>
          </cell>
          <cell r="AF163">
            <v>-0.05</v>
          </cell>
          <cell r="AG163">
            <v>-0.05</v>
          </cell>
          <cell r="AI163">
            <v>0.35</v>
          </cell>
          <cell r="AJ163">
            <v>0.4</v>
          </cell>
          <cell r="AK163">
            <v>0.36628175232151905</v>
          </cell>
          <cell r="AM163">
            <v>0.08</v>
          </cell>
          <cell r="AN163">
            <v>0.15</v>
          </cell>
          <cell r="AO163">
            <v>9.9576693103104991E-2</v>
          </cell>
          <cell r="AU163" t="str">
            <v xml:space="preserve">2005/04E </v>
          </cell>
          <cell r="AV163">
            <v>0.04</v>
          </cell>
          <cell r="AX163">
            <v>0</v>
          </cell>
          <cell r="AY163">
            <v>0</v>
          </cell>
          <cell r="AZ163">
            <v>0</v>
          </cell>
          <cell r="BB163">
            <v>0.09</v>
          </cell>
          <cell r="BD163">
            <v>0</v>
          </cell>
          <cell r="BF163">
            <v>0.15</v>
          </cell>
          <cell r="BG163">
            <v>0.15</v>
          </cell>
          <cell r="BH163">
            <v>0.15000000000000011</v>
          </cell>
          <cell r="BI163">
            <v>7.88620821436775E-2</v>
          </cell>
          <cell r="BK163">
            <v>-0.05</v>
          </cell>
          <cell r="BL163">
            <v>-0.05</v>
          </cell>
          <cell r="BM163">
            <v>-5.0000000000000079E-2</v>
          </cell>
          <cell r="BO163">
            <v>0.09</v>
          </cell>
          <cell r="BP163">
            <v>0.08</v>
          </cell>
          <cell r="BQ163">
            <v>8.5400763468880564E-2</v>
          </cell>
          <cell r="BS163">
            <v>0</v>
          </cell>
          <cell r="BT163">
            <v>8.3936903192029996E-2</v>
          </cell>
          <cell r="BV163">
            <v>2.3333333333333335</v>
          </cell>
          <cell r="BX163">
            <v>0</v>
          </cell>
          <cell r="BY163">
            <v>0.13154644822789641</v>
          </cell>
          <cell r="BZ163">
            <v>0</v>
          </cell>
          <cell r="CA163">
            <v>0.12468073480511163</v>
          </cell>
        </row>
        <row r="164">
          <cell r="A164" t="str">
            <v>2006/05E</v>
          </cell>
          <cell r="B164">
            <v>-0.1</v>
          </cell>
          <cell r="C164">
            <v>-0.1</v>
          </cell>
          <cell r="D164">
            <v>-9.9999999999999978E-2</v>
          </cell>
          <cell r="F164">
            <v>0.06</v>
          </cell>
          <cell r="G164">
            <v>0.06</v>
          </cell>
          <cell r="H164">
            <v>6.0000000000000164E-2</v>
          </cell>
          <cell r="J164" t="str">
            <v>NM</v>
          </cell>
          <cell r="L164">
            <v>-0.03</v>
          </cell>
          <cell r="R164">
            <v>6.0156473499803263E-2</v>
          </cell>
          <cell r="T164" t="str">
            <v>2006/05E</v>
          </cell>
          <cell r="U164">
            <v>0</v>
          </cell>
          <cell r="V164">
            <v>-0.03</v>
          </cell>
          <cell r="W164">
            <v>-3.0000000000000037E-2</v>
          </cell>
          <cell r="Y164">
            <v>0</v>
          </cell>
          <cell r="Z164">
            <v>-0.03</v>
          </cell>
          <cell r="AA164">
            <v>-0.05</v>
          </cell>
          <cell r="AB164">
            <v>-0.1</v>
          </cell>
          <cell r="AD164">
            <v>-5.0251184561996072E-2</v>
          </cell>
          <cell r="AF164">
            <v>-0.05</v>
          </cell>
          <cell r="AG164">
            <v>-0.05</v>
          </cell>
          <cell r="AI164">
            <v>0.3</v>
          </cell>
          <cell r="AJ164">
            <v>0.3</v>
          </cell>
          <cell r="AK164">
            <v>0.3</v>
          </cell>
          <cell r="AM164">
            <v>0.08</v>
          </cell>
          <cell r="AN164">
            <v>0.12</v>
          </cell>
          <cell r="AO164">
            <v>9.1699669627298058E-2</v>
          </cell>
          <cell r="AU164" t="str">
            <v>2006/05E</v>
          </cell>
          <cell r="AV164">
            <v>0.04</v>
          </cell>
          <cell r="AX164">
            <v>0</v>
          </cell>
          <cell r="AY164">
            <v>0</v>
          </cell>
          <cell r="AZ164">
            <v>0</v>
          </cell>
          <cell r="BB164">
            <v>-0.4</v>
          </cell>
          <cell r="BD164">
            <v>0</v>
          </cell>
          <cell r="BF164">
            <v>0.14000000000000001</v>
          </cell>
          <cell r="BG164">
            <v>0.14000000000000001</v>
          </cell>
          <cell r="BH164">
            <v>0.13999999999999996</v>
          </cell>
          <cell r="BI164">
            <v>-2.5429874340756947E-3</v>
          </cell>
          <cell r="BK164">
            <v>-0.03</v>
          </cell>
          <cell r="BL164">
            <v>-0.03</v>
          </cell>
          <cell r="BM164">
            <v>-2.9999999999999978E-2</v>
          </cell>
          <cell r="BO164">
            <v>0.08</v>
          </cell>
          <cell r="BP164">
            <v>7.0000000000000007E-2</v>
          </cell>
          <cell r="BQ164">
            <v>7.5423648461666895E-2</v>
          </cell>
          <cell r="BS164">
            <v>0</v>
          </cell>
          <cell r="BT164">
            <v>7.4230920482529522E-2</v>
          </cell>
          <cell r="BV164">
            <v>1.6666666666666667</v>
          </cell>
          <cell r="BX164">
            <v>0</v>
          </cell>
          <cell r="BY164">
            <v>9.7339754297769435E-2</v>
          </cell>
          <cell r="BZ164">
            <v>0</v>
          </cell>
          <cell r="CA164">
            <v>9.2822572858335825E-2</v>
          </cell>
        </row>
        <row r="165">
          <cell r="A165" t="str">
            <v>2007/06E</v>
          </cell>
          <cell r="B165">
            <v>-0.1</v>
          </cell>
          <cell r="C165">
            <v>-0.1</v>
          </cell>
          <cell r="D165">
            <v>-0.1</v>
          </cell>
          <cell r="F165">
            <v>0.06</v>
          </cell>
          <cell r="G165">
            <v>4.3999999999999997E-2</v>
          </cell>
          <cell r="H165">
            <v>5.4939707268379712E-2</v>
          </cell>
          <cell r="J165" t="str">
            <v>NM</v>
          </cell>
          <cell r="L165">
            <v>-0.03</v>
          </cell>
          <cell r="R165">
            <v>5.596905093027451E-2</v>
          </cell>
          <cell r="T165" t="str">
            <v>2007/06E</v>
          </cell>
          <cell r="U165">
            <v>0</v>
          </cell>
          <cell r="V165">
            <v>-0.03</v>
          </cell>
          <cell r="W165">
            <v>-3.0000000000000044E-2</v>
          </cell>
          <cell r="Y165">
            <v>0</v>
          </cell>
          <cell r="Z165">
            <v>-0.03</v>
          </cell>
          <cell r="AA165">
            <v>-0.05</v>
          </cell>
          <cell r="AB165">
            <v>-0.1</v>
          </cell>
          <cell r="AD165">
            <v>-4.9388445886639938E-2</v>
          </cell>
          <cell r="AF165">
            <v>-0.05</v>
          </cell>
          <cell r="AG165">
            <v>-0.05</v>
          </cell>
          <cell r="AI165">
            <v>0.23</v>
          </cell>
          <cell r="AJ165">
            <v>0.2</v>
          </cell>
          <cell r="AK165">
            <v>0.21998985975854757</v>
          </cell>
          <cell r="AM165">
            <v>7.0000000000000007E-2</v>
          </cell>
          <cell r="AN165">
            <v>0.12</v>
          </cell>
          <cell r="AO165">
            <v>8.5003702880856596E-2</v>
          </cell>
          <cell r="AU165" t="str">
            <v>2007/06E</v>
          </cell>
          <cell r="AV165">
            <v>0.04</v>
          </cell>
          <cell r="AX165">
            <v>0</v>
          </cell>
          <cell r="AY165">
            <v>0</v>
          </cell>
          <cell r="AZ165">
            <v>0</v>
          </cell>
          <cell r="BB165">
            <v>-0.6</v>
          </cell>
          <cell r="BD165">
            <v>0</v>
          </cell>
          <cell r="BF165">
            <v>0.14000000000000001</v>
          </cell>
          <cell r="BG165">
            <v>0.14000000000000001</v>
          </cell>
          <cell r="BH165">
            <v>0.14000000000000024</v>
          </cell>
          <cell r="BI165">
            <v>1.2551901080898839E-2</v>
          </cell>
          <cell r="BK165">
            <v>-0.03</v>
          </cell>
          <cell r="BL165">
            <v>-0.03</v>
          </cell>
          <cell r="BM165">
            <v>-2.9999999999999954E-2</v>
          </cell>
          <cell r="BO165">
            <v>7.0000000000000007E-2</v>
          </cell>
          <cell r="BP165">
            <v>0.06</v>
          </cell>
          <cell r="BQ165">
            <v>6.5446728223782988E-2</v>
          </cell>
          <cell r="BS165">
            <v>0</v>
          </cell>
          <cell r="BT165">
            <v>6.4483289358207005E-2</v>
          </cell>
          <cell r="BV165">
            <v>1.4857142857142858</v>
          </cell>
          <cell r="BX165">
            <v>0</v>
          </cell>
          <cell r="BY165">
            <v>9.9359074636535413E-2</v>
          </cell>
          <cell r="BZ165">
            <v>0</v>
          </cell>
          <cell r="CA165">
            <v>9.5139825497598154E-2</v>
          </cell>
        </row>
        <row r="166">
          <cell r="A166" t="str">
            <v>2001E</v>
          </cell>
          <cell r="B166">
            <v>1659</v>
          </cell>
          <cell r="C166">
            <v>330.90000000000003</v>
          </cell>
          <cell r="D166">
            <v>1989.8999999999999</v>
          </cell>
          <cell r="F166">
            <v>2176.1</v>
          </cell>
          <cell r="G166">
            <v>910.5</v>
          </cell>
          <cell r="H166">
            <v>3086.6</v>
          </cell>
          <cell r="I166">
            <v>0</v>
          </cell>
          <cell r="J166">
            <v>86.4</v>
          </cell>
          <cell r="K166">
            <v>0</v>
          </cell>
          <cell r="L166">
            <v>149.80000000000001</v>
          </cell>
          <cell r="M166">
            <v>0</v>
          </cell>
          <cell r="R166">
            <v>5312.7</v>
          </cell>
          <cell r="T166" t="str">
            <v>2001E</v>
          </cell>
          <cell r="U166">
            <v>4.2</v>
          </cell>
          <cell r="V166">
            <v>227.39999999999998</v>
          </cell>
          <cell r="W166">
            <v>231.6</v>
          </cell>
          <cell r="Y166">
            <v>11.3</v>
          </cell>
          <cell r="Z166">
            <v>80.100000000000009</v>
          </cell>
          <cell r="AA166">
            <v>210.60000000000002</v>
          </cell>
          <cell r="AB166">
            <v>198.00000000000003</v>
          </cell>
          <cell r="AD166">
            <v>731.7</v>
          </cell>
          <cell r="AF166">
            <v>54.4</v>
          </cell>
          <cell r="AG166">
            <v>431.4</v>
          </cell>
          <cell r="AI166">
            <v>21.1</v>
          </cell>
          <cell r="AJ166">
            <v>0.1</v>
          </cell>
          <cell r="AL166">
            <v>0</v>
          </cell>
          <cell r="AM166">
            <v>526.19999999999993</v>
          </cell>
          <cell r="AN166">
            <v>138.69999999999999</v>
          </cell>
          <cell r="AO166">
            <v>664.80000000000007</v>
          </cell>
          <cell r="AU166" t="str">
            <v>YearA</v>
          </cell>
          <cell r="AV166">
            <v>312.7</v>
          </cell>
          <cell r="AX166">
            <v>578.4</v>
          </cell>
          <cell r="AY166">
            <v>482.1</v>
          </cell>
          <cell r="AZ166">
            <v>1060.5</v>
          </cell>
          <cell r="BB166">
            <v>361</v>
          </cell>
          <cell r="BD166">
            <v>75.899999999999991</v>
          </cell>
          <cell r="BF166">
            <v>394.6</v>
          </cell>
          <cell r="BG166">
            <v>233.3</v>
          </cell>
          <cell r="BH166">
            <v>627.80000000000007</v>
          </cell>
          <cell r="BI166">
            <v>2437.9</v>
          </cell>
          <cell r="BK166">
            <v>186.4</v>
          </cell>
          <cell r="BL166">
            <v>98.4</v>
          </cell>
          <cell r="BM166">
            <v>284.7</v>
          </cell>
          <cell r="BO166">
            <v>417.3</v>
          </cell>
          <cell r="BP166">
            <v>305.5</v>
          </cell>
          <cell r="BQ166">
            <v>722.7</v>
          </cell>
          <cell r="BS166">
            <v>16.000000000000004</v>
          </cell>
          <cell r="BT166">
            <v>739</v>
          </cell>
          <cell r="BU166">
            <v>0</v>
          </cell>
          <cell r="BV166">
            <v>0</v>
          </cell>
          <cell r="BW166">
            <v>0</v>
          </cell>
          <cell r="BX166">
            <v>168.2</v>
          </cell>
          <cell r="BY166">
            <v>10824.800000000001</v>
          </cell>
          <cell r="BZ166">
            <v>696.6</v>
          </cell>
          <cell r="CA166">
            <v>11542.400000000001</v>
          </cell>
        </row>
        <row r="168">
          <cell r="A168" t="str">
            <v>2004E</v>
          </cell>
          <cell r="B168">
            <v>211.16974999999999</v>
          </cell>
          <cell r="C168">
            <v>223.42320000000001</v>
          </cell>
          <cell r="D168">
            <v>434.59294999999997</v>
          </cell>
          <cell r="F168">
            <v>3190.9480800000001</v>
          </cell>
          <cell r="G168">
            <v>1462.5930000000001</v>
          </cell>
          <cell r="H168">
            <v>4653.54108</v>
          </cell>
          <cell r="J168">
            <v>0</v>
          </cell>
          <cell r="L168">
            <v>142.92271000000002</v>
          </cell>
          <cell r="N168">
            <v>250</v>
          </cell>
          <cell r="O168">
            <v>50</v>
          </cell>
          <cell r="P168">
            <v>300</v>
          </cell>
          <cell r="R168">
            <v>5531.05674</v>
          </cell>
          <cell r="T168" t="str">
            <v>2004E</v>
          </cell>
          <cell r="U168">
            <v>0</v>
          </cell>
          <cell r="V168">
            <v>185.07502999999997</v>
          </cell>
          <cell r="W168">
            <v>185.07502999999997</v>
          </cell>
          <cell r="Y168">
            <v>8.009999999999998</v>
          </cell>
          <cell r="Z168">
            <v>60.426000000000016</v>
          </cell>
          <cell r="AA168">
            <v>116.92600000000002</v>
          </cell>
          <cell r="AB168">
            <v>117.32159999999999</v>
          </cell>
          <cell r="AD168">
            <v>487.75862999999998</v>
          </cell>
          <cell r="AF168">
            <v>40.029199999999996</v>
          </cell>
          <cell r="AG168">
            <v>293.76</v>
          </cell>
          <cell r="AI168">
            <v>162.52600000000001</v>
          </cell>
          <cell r="AJ168">
            <v>78.47999999999999</v>
          </cell>
          <cell r="AK168">
            <v>241.006</v>
          </cell>
          <cell r="AM168">
            <v>743.86941000000002</v>
          </cell>
          <cell r="AN168">
            <v>288.80500000000001</v>
          </cell>
          <cell r="AO168">
            <v>1032.6744100000001</v>
          </cell>
          <cell r="AU168" t="str">
            <v>2004E</v>
          </cell>
          <cell r="AV168">
            <v>359.59559999999993</v>
          </cell>
          <cell r="AX168">
            <v>431.38979999999998</v>
          </cell>
          <cell r="AY168">
            <v>469.25144</v>
          </cell>
          <cell r="AZ168">
            <v>900.64123999999993</v>
          </cell>
          <cell r="BB168">
            <v>487.38029999999998</v>
          </cell>
          <cell r="BD168">
            <v>52.019999999999996</v>
          </cell>
          <cell r="BF168">
            <v>754.09541999999999</v>
          </cell>
          <cell r="BG168">
            <v>422.142</v>
          </cell>
          <cell r="BH168">
            <v>1176.2374199999999</v>
          </cell>
          <cell r="BI168">
            <v>2975.8745599999997</v>
          </cell>
          <cell r="BK168">
            <v>3.9869999999999997</v>
          </cell>
          <cell r="BL168">
            <v>61.731000000000002</v>
          </cell>
          <cell r="BM168">
            <v>65.718000000000004</v>
          </cell>
          <cell r="BO168">
            <v>572.90181999999993</v>
          </cell>
          <cell r="BP168">
            <v>487.8775</v>
          </cell>
          <cell r="BQ168">
            <v>1060.7793199999999</v>
          </cell>
          <cell r="BS168">
            <v>18.5</v>
          </cell>
          <cell r="BT168">
            <v>1079.2793199999999</v>
          </cell>
          <cell r="BV168">
            <v>450</v>
          </cell>
          <cell r="BX168">
            <v>250.37240000000003</v>
          </cell>
          <cell r="BY168">
            <v>12597.529260000001</v>
          </cell>
          <cell r="BZ168">
            <v>693.7</v>
          </cell>
          <cell r="CA168">
            <v>13291.229260000002</v>
          </cell>
        </row>
        <row r="169">
          <cell r="A169" t="str">
            <v>2005E</v>
          </cell>
          <cell r="B169">
            <v>190.052775</v>
          </cell>
          <cell r="C169">
            <v>201.08088000000001</v>
          </cell>
          <cell r="D169">
            <v>391.13365499999998</v>
          </cell>
          <cell r="F169">
            <v>3478.1334072</v>
          </cell>
          <cell r="G169">
            <v>1608.8523</v>
          </cell>
          <cell r="H169">
            <v>5086.9857071999995</v>
          </cell>
          <cell r="J169">
            <v>0</v>
          </cell>
          <cell r="L169">
            <v>138.63502870000002</v>
          </cell>
          <cell r="N169">
            <v>325</v>
          </cell>
          <cell r="O169">
            <v>75</v>
          </cell>
          <cell r="P169">
            <v>400</v>
          </cell>
          <cell r="R169">
            <v>6016.7543908999996</v>
          </cell>
          <cell r="T169" t="str">
            <v>2005E</v>
          </cell>
          <cell r="U169">
            <v>0</v>
          </cell>
          <cell r="V169">
            <v>179.52277909999998</v>
          </cell>
          <cell r="W169">
            <v>179.52277909999998</v>
          </cell>
          <cell r="Y169">
            <v>8.009999999999998</v>
          </cell>
          <cell r="Z169">
            <v>58.613220000000013</v>
          </cell>
          <cell r="AA169">
            <v>111.07970000000002</v>
          </cell>
          <cell r="AB169">
            <v>105.58944</v>
          </cell>
          <cell r="AD169">
            <v>462.81513910000001</v>
          </cell>
          <cell r="AF169">
            <v>38.027739999999994</v>
          </cell>
          <cell r="AG169">
            <v>279.072</v>
          </cell>
          <cell r="AI169">
            <v>219.4101</v>
          </cell>
          <cell r="AJ169">
            <v>109.87199999999999</v>
          </cell>
          <cell r="AK169">
            <v>329.28210000000001</v>
          </cell>
          <cell r="AM169">
            <v>803.37896280000007</v>
          </cell>
          <cell r="AN169">
            <v>332.12574999999998</v>
          </cell>
          <cell r="AO169">
            <v>1135.5047128000001</v>
          </cell>
          <cell r="AU169" t="str">
            <v>2005E</v>
          </cell>
          <cell r="AV169">
            <v>373.97942399999994</v>
          </cell>
          <cell r="AX169">
            <v>431.38979999999998</v>
          </cell>
          <cell r="AY169">
            <v>469.25144</v>
          </cell>
          <cell r="AZ169">
            <v>900.64123999999993</v>
          </cell>
          <cell r="BB169">
            <v>531.24452699999995</v>
          </cell>
          <cell r="BD169">
            <v>52.019999999999996</v>
          </cell>
          <cell r="BF169">
            <v>867.20973300000003</v>
          </cell>
          <cell r="BG169">
            <v>485.4633</v>
          </cell>
          <cell r="BH169">
            <v>1352.673033</v>
          </cell>
          <cell r="BI169">
            <v>3210.5582239999999</v>
          </cell>
          <cell r="BK169">
            <v>3.7876499999999997</v>
          </cell>
          <cell r="BL169">
            <v>58.644449999999999</v>
          </cell>
          <cell r="BM169">
            <v>62.432099999999998</v>
          </cell>
          <cell r="BO169">
            <v>624.46298379999996</v>
          </cell>
          <cell r="BP169">
            <v>526.90769999999998</v>
          </cell>
          <cell r="BQ169">
            <v>1151.3706837999998</v>
          </cell>
          <cell r="BS169">
            <v>18.5</v>
          </cell>
          <cell r="BT169">
            <v>1169.8706837999998</v>
          </cell>
          <cell r="BV169">
            <v>1050</v>
          </cell>
          <cell r="BX169">
            <v>250.37240000000003</v>
          </cell>
          <cell r="BY169">
            <v>14254.689490600002</v>
          </cell>
          <cell r="BZ169">
            <v>693.7</v>
          </cell>
          <cell r="CA169">
            <v>14948.389490600002</v>
          </cell>
        </row>
        <row r="170">
          <cell r="A170" t="str">
            <v>2006E</v>
          </cell>
          <cell r="B170">
            <v>171.04749749999999</v>
          </cell>
          <cell r="C170">
            <v>180.972792</v>
          </cell>
          <cell r="D170">
            <v>352.02028949999999</v>
          </cell>
          <cell r="F170">
            <v>3686.821411632</v>
          </cell>
          <cell r="G170">
            <v>1705.3834380000001</v>
          </cell>
          <cell r="H170">
            <v>5392.2048496320003</v>
          </cell>
          <cell r="J170">
            <v>0</v>
          </cell>
          <cell r="L170">
            <v>134.47597783900002</v>
          </cell>
          <cell r="N170">
            <v>400</v>
          </cell>
          <cell r="O170">
            <v>100</v>
          </cell>
          <cell r="P170">
            <v>500</v>
          </cell>
          <cell r="R170">
            <v>6378.7011169710004</v>
          </cell>
          <cell r="T170" t="str">
            <v>2006E</v>
          </cell>
          <cell r="U170">
            <v>0</v>
          </cell>
          <cell r="V170">
            <v>174.13709572699997</v>
          </cell>
          <cell r="W170">
            <v>174.13709572699997</v>
          </cell>
          <cell r="Y170">
            <v>8.009999999999998</v>
          </cell>
          <cell r="Z170">
            <v>56.854823400000015</v>
          </cell>
          <cell r="AA170">
            <v>105.52571500000002</v>
          </cell>
          <cell r="AB170">
            <v>95.030495999999999</v>
          </cell>
          <cell r="AD170">
            <v>439.55813012700003</v>
          </cell>
          <cell r="AF170">
            <v>36.126352999999995</v>
          </cell>
          <cell r="AG170">
            <v>265.11840000000001</v>
          </cell>
          <cell r="AI170">
            <v>285.23313000000002</v>
          </cell>
          <cell r="AJ170">
            <v>142.83359999999999</v>
          </cell>
          <cell r="AK170">
            <v>428.06673000000001</v>
          </cell>
          <cell r="AM170">
            <v>867.64927982400013</v>
          </cell>
          <cell r="AN170">
            <v>371.98084</v>
          </cell>
          <cell r="AO170">
            <v>1239.6301198240001</v>
          </cell>
          <cell r="AU170" t="str">
            <v>2006E</v>
          </cell>
          <cell r="AV170">
            <v>388.93860095999992</v>
          </cell>
          <cell r="AX170">
            <v>431.38979999999998</v>
          </cell>
          <cell r="AY170">
            <v>469.25144</v>
          </cell>
          <cell r="AZ170">
            <v>900.64123999999993</v>
          </cell>
          <cell r="BB170">
            <v>318.74671619999992</v>
          </cell>
          <cell r="BD170">
            <v>52.019999999999996</v>
          </cell>
          <cell r="BF170">
            <v>988.61909562000005</v>
          </cell>
          <cell r="BG170">
            <v>553.42816200000004</v>
          </cell>
          <cell r="BH170">
            <v>1542.04725762</v>
          </cell>
          <cell r="BI170">
            <v>3202.3938147799995</v>
          </cell>
          <cell r="BK170">
            <v>3.6740204999999997</v>
          </cell>
          <cell r="BL170">
            <v>56.885116500000002</v>
          </cell>
          <cell r="BM170">
            <v>60.559137</v>
          </cell>
          <cell r="BO170">
            <v>674.42002250399992</v>
          </cell>
          <cell r="BP170">
            <v>563.79123900000002</v>
          </cell>
          <cell r="BQ170">
            <v>1238.211261504</v>
          </cell>
          <cell r="BS170">
            <v>18.5</v>
          </cell>
          <cell r="BT170">
            <v>1256.711261504</v>
          </cell>
          <cell r="BV170">
            <v>1750</v>
          </cell>
          <cell r="BX170">
            <v>250.37240000000003</v>
          </cell>
          <cell r="BY170">
            <v>15642.237463206002</v>
          </cell>
          <cell r="BZ170">
            <v>693.7</v>
          </cell>
          <cell r="CA170">
            <v>16335.937463206003</v>
          </cell>
        </row>
        <row r="171">
          <cell r="A171" t="str">
            <v>2007E</v>
          </cell>
          <cell r="B171">
            <v>153.94274775</v>
          </cell>
          <cell r="C171">
            <v>162.8755128</v>
          </cell>
          <cell r="D171">
            <v>316.81826054999999</v>
          </cell>
          <cell r="F171">
            <v>3908.0306963299199</v>
          </cell>
          <cell r="G171">
            <v>1780.4203092720002</v>
          </cell>
          <cell r="H171">
            <v>5688.4510056019199</v>
          </cell>
          <cell r="J171">
            <v>0</v>
          </cell>
          <cell r="L171">
            <v>130.44169850383003</v>
          </cell>
          <cell r="N171">
            <v>475</v>
          </cell>
          <cell r="O171">
            <v>125</v>
          </cell>
          <cell r="P171">
            <v>600</v>
          </cell>
          <cell r="R171">
            <v>6735.7109646557492</v>
          </cell>
          <cell r="T171" t="str">
            <v>2007E</v>
          </cell>
          <cell r="U171">
            <v>0</v>
          </cell>
          <cell r="V171">
            <v>168.91298285518997</v>
          </cell>
          <cell r="W171">
            <v>168.91298285518997</v>
          </cell>
          <cell r="Y171">
            <v>8.009999999999998</v>
          </cell>
          <cell r="Z171">
            <v>55.149178698000014</v>
          </cell>
          <cell r="AA171">
            <v>100.24942925000002</v>
          </cell>
          <cell r="AB171">
            <v>85.527446400000002</v>
          </cell>
          <cell r="AD171">
            <v>417.84903720319005</v>
          </cell>
          <cell r="AF171">
            <v>34.320035349999998</v>
          </cell>
          <cell r="AG171">
            <v>251.86248000000001</v>
          </cell>
          <cell r="AI171">
            <v>350.83674990000003</v>
          </cell>
          <cell r="AJ171">
            <v>171.40031999999999</v>
          </cell>
          <cell r="AK171">
            <v>522.23706990000005</v>
          </cell>
          <cell r="AM171">
            <v>928.38472941168015</v>
          </cell>
          <cell r="AN171">
            <v>416.61854080000001</v>
          </cell>
          <cell r="AO171">
            <v>1345.00327021168</v>
          </cell>
          <cell r="AU171" t="str">
            <v>2007E</v>
          </cell>
          <cell r="AV171">
            <v>404.49614499839993</v>
          </cell>
          <cell r="AX171">
            <v>431.38979999999998</v>
          </cell>
          <cell r="AY171">
            <v>469.25144</v>
          </cell>
          <cell r="AZ171">
            <v>900.64123999999993</v>
          </cell>
          <cell r="BB171">
            <v>127.49868647999998</v>
          </cell>
          <cell r="BD171">
            <v>52.019999999999996</v>
          </cell>
          <cell r="BF171">
            <v>1127.0257690068001</v>
          </cell>
          <cell r="BG171">
            <v>630.90810468000006</v>
          </cell>
          <cell r="BH171">
            <v>1757.9338736868003</v>
          </cell>
          <cell r="BI171">
            <v>3242.5899451652003</v>
          </cell>
          <cell r="BK171">
            <v>3.5637998849999999</v>
          </cell>
          <cell r="BL171">
            <v>55.178563005000001</v>
          </cell>
          <cell r="BM171">
            <v>58.742362890000003</v>
          </cell>
          <cell r="BO171">
            <v>721.62942407927994</v>
          </cell>
          <cell r="BP171">
            <v>597.61871334</v>
          </cell>
          <cell r="BQ171">
            <v>1319.2481374192798</v>
          </cell>
          <cell r="BS171">
            <v>18.5</v>
          </cell>
          <cell r="BT171">
            <v>1337.7481374192798</v>
          </cell>
          <cell r="BV171">
            <v>2600</v>
          </cell>
          <cell r="BX171">
            <v>250.37240000000003</v>
          </cell>
          <cell r="BY171">
            <v>17196.435702795097</v>
          </cell>
          <cell r="BZ171">
            <v>693.7</v>
          </cell>
          <cell r="CA171">
            <v>17890.135702795098</v>
          </cell>
        </row>
        <row r="173">
          <cell r="A173" t="str">
            <v>Notes:</v>
          </cell>
          <cell r="T173" t="str">
            <v>Notes:</v>
          </cell>
          <cell r="AU173" t="str">
            <v>Notes:</v>
          </cell>
        </row>
        <row r="174">
          <cell r="A174" t="str">
            <v>(a) Dynabac has been licensed out to Bock Pharmaceuticals in the U.S.  LLY records sales to Bock in U.S. and international sales.</v>
          </cell>
          <cell r="T174" t="str">
            <v>(a) Dynabac has been licensed out to Bock Pharmaceuticals in the U.S.  LLY records sales to Bock in U.S. and international sales.</v>
          </cell>
          <cell r="AU174" t="str">
            <v>(a) Dynabac has been licensed out to Bock Pharmaceuticals in the U.S.  LLY records sales to Bock in U.S. and international sales.</v>
          </cell>
        </row>
        <row r="175">
          <cell r="A175" t="str">
            <v xml:space="preserve">(b) Other injectables include Nebcin, Mandol, Kefzol, and Tazidime.  </v>
          </cell>
          <cell r="T175" t="str">
            <v xml:space="preserve">(b) Other injectables include Nebcin, Mandol, Kefzol, and Tazidime.  </v>
          </cell>
          <cell r="AU175" t="str">
            <v xml:space="preserve">(b) Other injectables include Nebcin, Mandol, Kefzol, and Tazidime.  </v>
          </cell>
        </row>
        <row r="176">
          <cell r="A176" t="str">
            <v>(c) LLY records 100% of ReoPro sales and pays a third-party manufacturing fee to Centocor (CNTO) of 50% of sales.</v>
          </cell>
          <cell r="T176" t="str">
            <v>(c) LLY records 100% of ReoPro sales and pays a third-party manufacturing fee to Centocor (CNTO) of 50% of sales.</v>
          </cell>
          <cell r="AU176" t="str">
            <v>(c) LLY records 100% of ReoPro sales and pays a third-party manufacturing fee to Centocor (CNTO) of 50% of sales.</v>
          </cell>
        </row>
        <row r="177">
          <cell r="A177" t="str">
            <v>(d) Other pharma includes Lorabid (sold to KG) , Cynt, Darvon, and other cardio and neuroscience</v>
          </cell>
          <cell r="T177" t="str">
            <v>(d) Other pharma includes Lorabid (sold to KG) , Cynt, Darvon, and other cardio and neuroscience</v>
          </cell>
        </row>
        <row r="179">
          <cell r="A179" t="str">
            <v>E = Morgan Stanley Research Estimates       A = Actual       NM = Not Meaningful</v>
          </cell>
          <cell r="T179" t="str">
            <v>E = Morgan Stanley Research Estimates       A = Actual       NM = Not Meaningful</v>
          </cell>
          <cell r="AU179" t="str">
            <v>E = Morgan Stanley Research Estimates       A = Actual       NM = Not Meaningful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S Chg"/>
      <sheetName val="Qtr Rpt"/>
      <sheetName val="RAPID2"/>
      <sheetName val="Model"/>
      <sheetName val="Encl Acq"/>
      <sheetName val="FCall Hdr"/>
      <sheetName val="Convt Dilution"/>
      <sheetName val="Old Model"/>
      <sheetName val="ALRN Model"/>
      <sheetName val="Acq Dilution"/>
      <sheetName val="Valuation"/>
      <sheetName val="Margin Chart"/>
      <sheetName val="OLD SANM Model"/>
      <sheetName val="ELEX Model"/>
      <sheetName val="Buyback"/>
      <sheetName val="00 Dilution"/>
      <sheetName val="Schu Acq Analysis"/>
      <sheetName val="Schu Acq Analysis (stock)"/>
    </sheetNames>
    <sheetDataSet>
      <sheetData sheetId="0"/>
      <sheetData sheetId="1"/>
      <sheetData sheetId="2"/>
      <sheetData sheetId="3" refreshError="1">
        <row r="3">
          <cell r="FZ3" t="str">
            <v>Date:</v>
          </cell>
          <cell r="GA3">
            <v>35731.399022569443</v>
          </cell>
          <cell r="GJ3" t="str">
            <v>Date:</v>
          </cell>
          <cell r="GK3" t="str">
            <v>Sanmina Corporation</v>
          </cell>
        </row>
        <row r="4">
          <cell r="FZ4" t="str">
            <v>FY End:</v>
          </cell>
          <cell r="GA4" t="str">
            <v>Sep</v>
          </cell>
          <cell r="GJ4" t="str">
            <v>FY End:</v>
          </cell>
          <cell r="GK4" t="str">
            <v>SANM (NASDAQ)</v>
          </cell>
        </row>
        <row r="5">
          <cell r="FZ5" t="str">
            <v>Price:</v>
          </cell>
          <cell r="GA5">
            <v>64.625</v>
          </cell>
          <cell r="GB5" t="str">
            <v>Sep</v>
          </cell>
          <cell r="GJ5" t="str">
            <v>Price:</v>
          </cell>
          <cell r="GK5" t="str">
            <v>($ In Millions Except Per Share Data)</v>
          </cell>
          <cell r="GL5" t="str">
            <v>Sep</v>
          </cell>
        </row>
        <row r="7">
          <cell r="FZ7" t="str">
            <v>Tax</v>
          </cell>
          <cell r="GA7" t="str">
            <v>1992A</v>
          </cell>
          <cell r="GB7">
            <v>1990</v>
          </cell>
          <cell r="GC7" t="str">
            <v>Net</v>
          </cell>
          <cell r="GD7" t="str">
            <v>1992A</v>
          </cell>
          <cell r="GE7" t="str">
            <v>F.D.</v>
          </cell>
          <cell r="GF7" t="str">
            <v>1994A</v>
          </cell>
          <cell r="GG7" t="str">
            <v>1995A</v>
          </cell>
          <cell r="GH7" t="str">
            <v>Avg FD</v>
          </cell>
          <cell r="GI7" t="str">
            <v>1997E</v>
          </cell>
          <cell r="GJ7" t="str">
            <v>Balance Sheet</v>
          </cell>
          <cell r="GL7">
            <v>1990</v>
          </cell>
          <cell r="GM7">
            <v>1991</v>
          </cell>
          <cell r="GN7" t="str">
            <v>1992A</v>
          </cell>
          <cell r="GO7" t="str">
            <v>1991A</v>
          </cell>
          <cell r="GP7" t="str">
            <v>1992A</v>
          </cell>
          <cell r="GQ7" t="str">
            <v>1993A</v>
          </cell>
          <cell r="GR7" t="str">
            <v>1994A</v>
          </cell>
          <cell r="GS7" t="str">
            <v>1995A</v>
          </cell>
        </row>
        <row r="8">
          <cell r="FZ8" t="str">
            <v>Rate</v>
          </cell>
          <cell r="GB8" t="str">
            <v>Inc.</v>
          </cell>
          <cell r="GC8" t="str">
            <v>%</v>
          </cell>
          <cell r="GD8" t="str">
            <v>Chg.</v>
          </cell>
          <cell r="GE8" t="str">
            <v>EPS</v>
          </cell>
          <cell r="GF8" t="str">
            <v>Chg.</v>
          </cell>
          <cell r="GG8" t="str">
            <v>Div.</v>
          </cell>
          <cell r="GH8" t="str">
            <v>Shares</v>
          </cell>
          <cell r="GJ8" t="str">
            <v>ASSETS</v>
          </cell>
          <cell r="GL8" t="str">
            <v>Net Income</v>
          </cell>
          <cell r="GO8">
            <v>-13.233000000000009</v>
          </cell>
          <cell r="GP8">
            <v>-14.124000000000009</v>
          </cell>
          <cell r="GQ8">
            <v>-11.233999999999984</v>
          </cell>
          <cell r="GR8">
            <v>-0.55499999999999972</v>
          </cell>
          <cell r="GS8">
            <v>22.086000000000002</v>
          </cell>
        </row>
        <row r="9">
          <cell r="FZ9">
            <v>0.17659137577002038</v>
          </cell>
          <cell r="GA9">
            <v>-14.124000000000006</v>
          </cell>
          <cell r="GB9">
            <v>-13.233000000000009</v>
          </cell>
          <cell r="GC9">
            <v>-8.0318774430066339E-2</v>
          </cell>
          <cell r="GD9">
            <v>7.5280000000000058</v>
          </cell>
          <cell r="GE9">
            <v>-1.2265541982091823</v>
          </cell>
          <cell r="GF9">
            <v>27.412000000000042</v>
          </cell>
          <cell r="GG9">
            <v>0</v>
          </cell>
          <cell r="GH9">
            <v>9.7117600000000017</v>
          </cell>
          <cell r="GI9">
            <v>123.65399999999987</v>
          </cell>
          <cell r="GJ9" t="str">
            <v xml:space="preserve">  Cash &amp; Equivalents</v>
          </cell>
          <cell r="GL9" t="e">
            <v>#REF!</v>
          </cell>
          <cell r="GM9">
            <v>0</v>
          </cell>
          <cell r="GN9">
            <v>7.5280000000000058</v>
          </cell>
          <cell r="GO9">
            <v>4.2969999999999997</v>
          </cell>
          <cell r="GP9">
            <v>4.274</v>
          </cell>
          <cell r="GQ9">
            <v>11.794</v>
          </cell>
          <cell r="GR9">
            <v>10.704000000000001</v>
          </cell>
          <cell r="GS9">
            <v>10.012</v>
          </cell>
        </row>
        <row r="10">
          <cell r="FZ10">
            <v>-1.2545702200874587E-2</v>
          </cell>
          <cell r="GA10">
            <v>4.274</v>
          </cell>
          <cell r="GB10">
            <v>-14.124000000000009</v>
          </cell>
          <cell r="GC10">
            <v>-8.4832904884318827E-2</v>
          </cell>
          <cell r="GD10">
            <v>6.7331670822942599E-2</v>
          </cell>
          <cell r="GE10">
            <v>-1.4549882330762594</v>
          </cell>
          <cell r="GF10">
            <v>0.18624047367870067</v>
          </cell>
          <cell r="GG10">
            <v>0</v>
          </cell>
          <cell r="GH10">
            <v>9.707295000000002</v>
          </cell>
          <cell r="GI10">
            <v>75.329000000000008</v>
          </cell>
          <cell r="GJ10" t="str">
            <v xml:space="preserve">  Receivables</v>
          </cell>
          <cell r="GL10">
            <v>0</v>
          </cell>
          <cell r="GM10">
            <v>0</v>
          </cell>
          <cell r="GN10">
            <v>9.7919999999999998</v>
          </cell>
          <cell r="GO10">
            <v>0</v>
          </cell>
          <cell r="GP10">
            <v>0</v>
          </cell>
          <cell r="GQ10">
            <v>0</v>
          </cell>
          <cell r="GR10">
            <v>0</v>
          </cell>
          <cell r="GS10">
            <v>0</v>
          </cell>
        </row>
        <row r="11">
          <cell r="FZ11" t="str">
            <v xml:space="preserve">  Inventory (LIFO)</v>
          </cell>
          <cell r="GA11">
            <v>0</v>
          </cell>
          <cell r="GB11">
            <v>0</v>
          </cell>
          <cell r="GC11">
            <v>0</v>
          </cell>
          <cell r="GD11">
            <v>5.8440000000000003</v>
          </cell>
          <cell r="GE11">
            <v>9.7249999999999996</v>
          </cell>
          <cell r="GF11">
            <v>17.565000000000001</v>
          </cell>
          <cell r="GG11">
            <v>27.337</v>
          </cell>
          <cell r="GH11">
            <v>42.798999999999999</v>
          </cell>
          <cell r="GI11">
            <v>67.00800000000001</v>
          </cell>
          <cell r="GJ11" t="str">
            <v xml:space="preserve">  Inventory (LIFO)</v>
          </cell>
          <cell r="GL11">
            <v>0</v>
          </cell>
          <cell r="GM11">
            <v>0</v>
          </cell>
          <cell r="GN11">
            <v>5.8440000000000003</v>
          </cell>
          <cell r="GO11">
            <v>2.4980000000000002</v>
          </cell>
          <cell r="GP11">
            <v>2.0099999999999998</v>
          </cell>
          <cell r="GQ11">
            <v>4.3499999999999996</v>
          </cell>
          <cell r="GR11">
            <v>7.0309999999999988</v>
          </cell>
          <cell r="GS11">
            <v>-1.472</v>
          </cell>
        </row>
        <row r="12">
          <cell r="FZ12">
            <v>0.39860139860139887</v>
          </cell>
          <cell r="GA12">
            <v>2.0099999999999998</v>
          </cell>
          <cell r="GB12">
            <v>0.86</v>
          </cell>
          <cell r="GC12">
            <v>4.2200304234751455E-2</v>
          </cell>
          <cell r="GD12">
            <v>2.016</v>
          </cell>
          <cell r="GE12">
            <v>9.2353951890034355E-2</v>
          </cell>
          <cell r="GF12">
            <v>3.1280000000000001</v>
          </cell>
          <cell r="GG12">
            <v>0</v>
          </cell>
          <cell r="GH12">
            <v>9.3120000000000012</v>
          </cell>
          <cell r="GI12">
            <v>12.597999999999999</v>
          </cell>
          <cell r="GJ12" t="str">
            <v xml:space="preserve">  Other</v>
          </cell>
          <cell r="GL12">
            <v>0</v>
          </cell>
          <cell r="GM12">
            <v>0</v>
          </cell>
          <cell r="GN12">
            <v>2.016</v>
          </cell>
          <cell r="GO12">
            <v>-2.5000000000000022E-2</v>
          </cell>
          <cell r="GP12">
            <v>2.9359999999999995</v>
          </cell>
          <cell r="GQ12">
            <v>-2.5059999999999989</v>
          </cell>
          <cell r="GR12">
            <v>-11.043000000000001</v>
          </cell>
          <cell r="GS12">
            <v>-3</v>
          </cell>
        </row>
        <row r="13">
          <cell r="FZ13">
            <v>0.40035693039857251</v>
          </cell>
          <cell r="GA13">
            <v>2.9359999999999995</v>
          </cell>
          <cell r="GB13">
            <v>0.18400000000000005</v>
          </cell>
          <cell r="GC13">
            <v>8.6299892125134853E-3</v>
          </cell>
          <cell r="GD13">
            <v>25.180000000000007</v>
          </cell>
          <cell r="GE13">
            <v>0.10824742268041236</v>
          </cell>
          <cell r="GF13">
            <v>74.06700000000005</v>
          </cell>
          <cell r="GG13">
            <v>0</v>
          </cell>
          <cell r="GH13">
            <v>9.3120000000000012</v>
          </cell>
          <cell r="GI13">
            <v>278.58899999999988</v>
          </cell>
          <cell r="GJ13" t="str">
            <v>Total Current</v>
          </cell>
          <cell r="GL13" t="e">
            <v>#REF!</v>
          </cell>
          <cell r="GM13">
            <v>0</v>
          </cell>
          <cell r="GN13">
            <v>25.180000000000007</v>
          </cell>
          <cell r="GO13">
            <v>-6.4630000000000107</v>
          </cell>
          <cell r="GP13">
            <v>-4.9040000000000088</v>
          </cell>
          <cell r="GQ13">
            <v>2.4040000000000172</v>
          </cell>
          <cell r="GR13">
            <v>6.1369999999999987</v>
          </cell>
          <cell r="GS13">
            <v>27.625999999999998</v>
          </cell>
        </row>
        <row r="14">
          <cell r="FZ14">
            <v>0.40271793172025194</v>
          </cell>
          <cell r="GA14">
            <v>-4.9040000000000052</v>
          </cell>
          <cell r="GB14">
            <v>1.802</v>
          </cell>
          <cell r="GC14">
            <v>8.1686310063463288E-2</v>
          </cell>
          <cell r="GD14">
            <v>27.626000000000005</v>
          </cell>
          <cell r="GE14">
            <v>0.12805571347356451</v>
          </cell>
          <cell r="GF14">
            <v>60.00000000000005</v>
          </cell>
          <cell r="GG14">
            <v>0</v>
          </cell>
          <cell r="GH14">
            <v>14.072000000000001</v>
          </cell>
          <cell r="GI14">
            <v>85.82023680000006</v>
          </cell>
          <cell r="GJ14">
            <v>194.70144000000005</v>
          </cell>
        </row>
        <row r="15">
          <cell r="FZ15">
            <v>-0.11817026683608639</v>
          </cell>
          <cell r="GB15">
            <v>-14.079999999999984</v>
          </cell>
          <cell r="GC15">
            <v>-0.11356120852354284</v>
          </cell>
          <cell r="GD15">
            <v>9.0169999999999995</v>
          </cell>
          <cell r="GE15">
            <v>-0.86996602930945122</v>
          </cell>
          <cell r="GF15">
            <v>26.360999999999997</v>
          </cell>
          <cell r="GG15">
            <v>0</v>
          </cell>
          <cell r="GH15">
            <v>16.184539999999998</v>
          </cell>
          <cell r="GI15">
            <v>80.028000000000006</v>
          </cell>
          <cell r="GJ15" t="str">
            <v>Fixed Assets</v>
          </cell>
          <cell r="GL15">
            <v>0</v>
          </cell>
          <cell r="GM15">
            <v>0</v>
          </cell>
          <cell r="GN15">
            <v>9.0169999999999995</v>
          </cell>
          <cell r="GO15">
            <v>3.2690000000000001</v>
          </cell>
          <cell r="GP15">
            <v>2.0550000000000002</v>
          </cell>
          <cell r="GQ15">
            <v>7.798</v>
          </cell>
          <cell r="GR15">
            <v>6.7519999999999998</v>
          </cell>
          <cell r="GS15">
            <v>14.608000000000001</v>
          </cell>
        </row>
        <row r="16">
          <cell r="FZ16">
            <v>-0.61045792079208061</v>
          </cell>
          <cell r="GA16">
            <v>2.0550000000000002</v>
          </cell>
          <cell r="GB16">
            <v>-11.233999999999984</v>
          </cell>
          <cell r="GC16">
            <v>-5.9836161622617706E-2</v>
          </cell>
          <cell r="GD16">
            <v>-0.20461625601812683</v>
          </cell>
          <cell r="GE16">
            <v>-0.85187274935996893</v>
          </cell>
          <cell r="GF16">
            <v>-0.41451571222753647</v>
          </cell>
          <cell r="GG16">
            <v>0</v>
          </cell>
          <cell r="GH16">
            <v>12.220135000000001</v>
          </cell>
          <cell r="GI16">
            <v>19.212</v>
          </cell>
          <cell r="GJ16" t="str">
            <v>Other Assets</v>
          </cell>
          <cell r="GL16" t="e">
            <v>#REF!</v>
          </cell>
          <cell r="GM16">
            <v>0</v>
          </cell>
          <cell r="GN16">
            <v>15.263999999999999</v>
          </cell>
          <cell r="GO16">
            <v>0</v>
          </cell>
          <cell r="GP16">
            <v>0</v>
          </cell>
          <cell r="GQ16">
            <v>0</v>
          </cell>
          <cell r="GR16">
            <v>0</v>
          </cell>
          <cell r="GS16">
            <v>0</v>
          </cell>
        </row>
        <row r="17">
          <cell r="FZ17" t="str">
            <v>Total Assets</v>
          </cell>
          <cell r="GA17">
            <v>0</v>
          </cell>
          <cell r="GB17" t="e">
            <v>#REF!</v>
          </cell>
          <cell r="GC17">
            <v>0</v>
          </cell>
          <cell r="GD17">
            <v>49.460999999999999</v>
          </cell>
          <cell r="GE17">
            <v>47.968000000000032</v>
          </cell>
          <cell r="GF17">
            <v>101.45000000000006</v>
          </cell>
          <cell r="GG17">
            <v>233.24500000000003</v>
          </cell>
          <cell r="GH17">
            <v>292.64599999999996</v>
          </cell>
          <cell r="GI17">
            <v>377.82899999999989</v>
          </cell>
          <cell r="GJ17" t="str">
            <v>Total Assets</v>
          </cell>
          <cell r="GL17" t="e">
            <v>#REF!</v>
          </cell>
          <cell r="GM17">
            <v>0</v>
          </cell>
          <cell r="GN17">
            <v>49.460999999999999</v>
          </cell>
          <cell r="GO17">
            <v>47.968000000000032</v>
          </cell>
          <cell r="GP17">
            <v>104.87600000000005</v>
          </cell>
          <cell r="GQ17">
            <v>236.67100000000005</v>
          </cell>
          <cell r="GR17">
            <v>292.64600000000002</v>
          </cell>
          <cell r="GS17">
            <v>381.92700000000002</v>
          </cell>
        </row>
        <row r="18">
          <cell r="FZ18">
            <v>1.6159420289854973</v>
          </cell>
          <cell r="GB18">
            <v>-0.67999999999999328</v>
          </cell>
          <cell r="GC18">
            <v>-1.2988749450843185E-2</v>
          </cell>
          <cell r="GD18" t="str">
            <v xml:space="preserve"> N.M.</v>
          </cell>
          <cell r="GE18">
            <v>-3.9534883720929843E-2</v>
          </cell>
          <cell r="GF18" t="str">
            <v xml:space="preserve"> N.M.</v>
          </cell>
          <cell r="GG18">
            <v>0</v>
          </cell>
          <cell r="GH18">
            <v>17.2</v>
          </cell>
          <cell r="GL18" t="str">
            <v>Excess Cash Flow</v>
          </cell>
          <cell r="GO18">
            <v>-9.73200000000001</v>
          </cell>
          <cell r="GP18">
            <v>-6.9590000000000085</v>
          </cell>
          <cell r="GQ18">
            <v>-5.3939999999999824</v>
          </cell>
          <cell r="GR18">
            <v>-0.6150000000000011</v>
          </cell>
          <cell r="GS18">
            <v>13.017999999999997</v>
          </cell>
        </row>
        <row r="19">
          <cell r="FZ19">
            <v>0.46162018592297538</v>
          </cell>
          <cell r="GA19">
            <v>-6.959000000000005</v>
          </cell>
          <cell r="GB19">
            <v>2.0269999999999948</v>
          </cell>
          <cell r="GC19">
            <v>3.7510640660276005E-2</v>
          </cell>
          <cell r="GD19" t="str">
            <v>N.M.</v>
          </cell>
          <cell r="GE19">
            <v>0.1119889502762428</v>
          </cell>
          <cell r="GF19">
            <v>3.456458826624307E-2</v>
          </cell>
          <cell r="GG19">
            <v>0</v>
          </cell>
          <cell r="GH19">
            <v>18.100000000000001</v>
          </cell>
          <cell r="GI19">
            <v>-4.1797631999999396</v>
          </cell>
          <cell r="GJ19" t="str">
            <v>LIABILITIES &amp; EQUITY</v>
          </cell>
        </row>
        <row r="20">
          <cell r="FZ20">
            <v>0.50952249516974835</v>
          </cell>
          <cell r="GB20">
            <v>11.944000000000003</v>
          </cell>
          <cell r="GC20">
            <v>0.22603660036713918</v>
          </cell>
          <cell r="GD20">
            <v>5.6281908990011118</v>
          </cell>
          <cell r="GE20">
            <v>9.1128205128205311E-2</v>
          </cell>
          <cell r="GF20">
            <v>-0.28837064230626785</v>
          </cell>
          <cell r="GG20">
            <v>0</v>
          </cell>
          <cell r="GH20">
            <v>19.5</v>
          </cell>
          <cell r="GI20">
            <v>6.585</v>
          </cell>
          <cell r="GJ20" t="str">
            <v xml:space="preserve">  Current Debt</v>
          </cell>
          <cell r="GL20">
            <v>0</v>
          </cell>
          <cell r="GM20">
            <v>0</v>
          </cell>
          <cell r="GN20">
            <v>3.9820000000000002</v>
          </cell>
          <cell r="GO20">
            <v>0</v>
          </cell>
          <cell r="GP20">
            <v>3.5059999999999998</v>
          </cell>
          <cell r="GQ20">
            <v>3.6860000000000004</v>
          </cell>
          <cell r="GR20">
            <v>6.5849999999999991</v>
          </cell>
          <cell r="GS20">
            <v>8.7880000000000003</v>
          </cell>
        </row>
        <row r="21">
          <cell r="FZ21">
            <v>0.16706634692246194</v>
          </cell>
          <cell r="GB21">
            <v>-10.420000000000009</v>
          </cell>
          <cell r="GC21">
            <v>-0.20204370503945879</v>
          </cell>
          <cell r="GD21">
            <v>-0.25994318181818038</v>
          </cell>
          <cell r="GE21">
            <v>-0.55132275132275188</v>
          </cell>
          <cell r="GF21">
            <v>-0.36627094306156677</v>
          </cell>
          <cell r="GG21">
            <v>0</v>
          </cell>
          <cell r="GH21">
            <v>18.899999999999999</v>
          </cell>
          <cell r="GI21">
            <v>93.138999999999996</v>
          </cell>
          <cell r="GJ21" t="str">
            <v xml:space="preserve">  Payables &amp; Accruals</v>
          </cell>
          <cell r="GL21">
            <v>0</v>
          </cell>
          <cell r="GM21">
            <v>0</v>
          </cell>
          <cell r="GN21">
            <v>10.514999999999999</v>
          </cell>
          <cell r="GO21">
            <v>12.666</v>
          </cell>
          <cell r="GP21">
            <v>-8.4832904884318827E-2</v>
          </cell>
          <cell r="GQ21">
            <v>-5.9836161622617706E-2</v>
          </cell>
          <cell r="GR21">
            <v>-2.6327648774934166E-3</v>
          </cell>
          <cell r="GS21">
            <v>8.127113561012228E-2</v>
          </cell>
        </row>
        <row r="22">
          <cell r="FZ22">
            <v>-0.81582877053260194</v>
          </cell>
          <cell r="GA22">
            <v>-8.4832904884318813E-2</v>
          </cell>
          <cell r="GB22">
            <v>2.8709999999999951</v>
          </cell>
          <cell r="GC22">
            <v>1.3619221555465928E-2</v>
          </cell>
          <cell r="GD22">
            <v>-1.2555634680434395</v>
          </cell>
          <cell r="GE22">
            <v>-0.39146991622239175</v>
          </cell>
          <cell r="GF22">
            <v>-0.54045963259593421</v>
          </cell>
          <cell r="GG22">
            <v>0</v>
          </cell>
          <cell r="GH22">
            <v>18.382000000000001</v>
          </cell>
          <cell r="GI22">
            <v>6.7249999999999996</v>
          </cell>
          <cell r="GJ22" t="str">
            <v xml:space="preserve">  Other </v>
          </cell>
          <cell r="GL22" t="e">
            <v>#REF!</v>
          </cell>
          <cell r="GM22">
            <v>0</v>
          </cell>
          <cell r="GN22">
            <v>2.1999999999999999E-2</v>
          </cell>
          <cell r="GO22">
            <v>2.3260000000000001</v>
          </cell>
          <cell r="GP22">
            <v>6.7322536948302698</v>
          </cell>
          <cell r="GQ22">
            <v>3.8540065073027527</v>
          </cell>
          <cell r="GR22">
            <v>2.8216814573879971</v>
          </cell>
          <cell r="GS22">
            <v>1.6239083344537559</v>
          </cell>
        </row>
        <row r="23">
          <cell r="FZ23" t="str">
            <v>Total Current</v>
          </cell>
          <cell r="GB23" t="e">
            <v>#REF!</v>
          </cell>
          <cell r="GC23">
            <v>0</v>
          </cell>
          <cell r="GD23">
            <v>14.519</v>
          </cell>
          <cell r="GE23">
            <v>14.992000000000001</v>
          </cell>
          <cell r="GF23">
            <v>32.221000000000004</v>
          </cell>
          <cell r="GG23">
            <v>51.569999999999993</v>
          </cell>
          <cell r="GH23">
            <v>63.119</v>
          </cell>
          <cell r="GI23">
            <v>106.44899999999998</v>
          </cell>
          <cell r="GJ23" t="str">
            <v>Total Current</v>
          </cell>
          <cell r="GL23" t="e">
            <v>#REF!</v>
          </cell>
          <cell r="GM23">
            <v>0</v>
          </cell>
          <cell r="GN23">
            <v>14.519</v>
          </cell>
          <cell r="GO23">
            <v>14.992000000000001</v>
          </cell>
          <cell r="GP23">
            <v>575.12790697674427</v>
          </cell>
          <cell r="GQ23">
            <v>3.7173871570834458</v>
          </cell>
          <cell r="GR23">
            <v>1.8926608061206407</v>
          </cell>
          <cell r="GS23">
            <v>2.4993652547941942</v>
          </cell>
        </row>
        <row r="24">
          <cell r="FZ24">
            <v>0.38265218141058804</v>
          </cell>
          <cell r="GB24">
            <v>3.5799999999999996</v>
          </cell>
          <cell r="GC24">
            <v>6.2260869565217383E-2</v>
          </cell>
          <cell r="GD24" t="str">
            <v xml:space="preserve"> N.M.</v>
          </cell>
          <cell r="GE24">
            <v>0.18358974358974356</v>
          </cell>
          <cell r="GF24" t="str">
            <v xml:space="preserve"> N.M.</v>
          </cell>
          <cell r="GG24">
            <v>0</v>
          </cell>
          <cell r="GH24">
            <v>19.5</v>
          </cell>
          <cell r="GI24">
            <v>1.8720559827604735</v>
          </cell>
          <cell r="GJ24">
            <v>1.7748136607591043</v>
          </cell>
          <cell r="GL24" t="str">
            <v>Return on Equity</v>
          </cell>
          <cell r="GQ24">
            <v>-0.8572627723301145</v>
          </cell>
          <cell r="GR24">
            <v>-1.4060243710890982E-2</v>
          </cell>
          <cell r="GS24">
            <v>0.32985841448115188</v>
          </cell>
        </row>
        <row r="25">
          <cell r="FZ25">
            <v>0.4623502056877129</v>
          </cell>
          <cell r="GB25">
            <v>4.8389999999999942</v>
          </cell>
          <cell r="GC25">
            <v>7.7113080061193176E-2</v>
          </cell>
          <cell r="GD25">
            <v>1.3872718302910738</v>
          </cell>
          <cell r="GE25">
            <v>0.15029999999999971</v>
          </cell>
          <cell r="GF25">
            <v>0.34209669462259595</v>
          </cell>
          <cell r="GG25">
            <v>0</v>
          </cell>
          <cell r="GH25">
            <v>20</v>
          </cell>
          <cell r="GI25">
            <v>100.69800000000001</v>
          </cell>
          <cell r="GJ25" t="str">
            <v>Long Term Debt &amp; Lease</v>
          </cell>
          <cell r="GL25">
            <v>0</v>
          </cell>
          <cell r="GM25">
            <v>0</v>
          </cell>
          <cell r="GN25">
            <v>31.163</v>
          </cell>
          <cell r="GO25">
            <v>4.4379999999999997</v>
          </cell>
          <cell r="GP25">
            <v>16.405999999999999</v>
          </cell>
          <cell r="GQ25">
            <v>99.53</v>
          </cell>
          <cell r="GR25">
            <v>100.69799999999999</v>
          </cell>
          <cell r="GS25">
            <v>108.38200000000001</v>
          </cell>
        </row>
        <row r="26">
          <cell r="FZ26">
            <v>0.34968373314237999</v>
          </cell>
          <cell r="GB26">
            <v>5.4489999999999945</v>
          </cell>
          <cell r="GC26">
            <v>7.5799518689053574E-2</v>
          </cell>
          <cell r="GD26">
            <v>-0.54378767582049625</v>
          </cell>
          <cell r="GE26">
            <v>0.27109452736318379</v>
          </cell>
          <cell r="GF26">
            <v>1.9748696024659953</v>
          </cell>
          <cell r="GG26">
            <v>0</v>
          </cell>
          <cell r="GH26">
            <v>20.100000000000001</v>
          </cell>
          <cell r="GI26">
            <v>0</v>
          </cell>
          <cell r="GJ26" t="str">
            <v>Deferred Taxes</v>
          </cell>
          <cell r="GL26">
            <v>0</v>
          </cell>
          <cell r="GM26">
            <v>0</v>
          </cell>
          <cell r="GN26">
            <v>0</v>
          </cell>
          <cell r="GO26">
            <v>0</v>
          </cell>
          <cell r="GP26">
            <v>0</v>
          </cell>
          <cell r="GQ26">
            <v>0</v>
          </cell>
          <cell r="GR26">
            <v>0</v>
          </cell>
          <cell r="GS26">
            <v>0</v>
          </cell>
        </row>
        <row r="27">
          <cell r="FZ27">
            <v>0.30005962013457038</v>
          </cell>
          <cell r="GB27">
            <v>8.2180000000000302</v>
          </cell>
          <cell r="GC27">
            <v>0.10321786530684054</v>
          </cell>
          <cell r="GD27">
            <v>-1.7886756238003862</v>
          </cell>
          <cell r="GE27">
            <v>0.3735454545454559</v>
          </cell>
          <cell r="GF27">
            <v>-1.6775440586285135</v>
          </cell>
          <cell r="GG27">
            <v>0</v>
          </cell>
          <cell r="GH27">
            <v>22</v>
          </cell>
          <cell r="GI27">
            <v>0.59199999999999997</v>
          </cell>
          <cell r="GJ27" t="str">
            <v>Other Liabilities</v>
          </cell>
          <cell r="GL27" t="e">
            <v>#REF!</v>
          </cell>
          <cell r="GM27">
            <v>0</v>
          </cell>
          <cell r="GN27">
            <v>0</v>
          </cell>
          <cell r="GO27">
            <v>0</v>
          </cell>
          <cell r="GP27">
            <v>9.707295000000002</v>
          </cell>
          <cell r="GQ27">
            <v>12.220135000000001</v>
          </cell>
          <cell r="GR27">
            <v>18.730720000000002</v>
          </cell>
          <cell r="GS27">
            <v>20.86056</v>
          </cell>
        </row>
        <row r="28">
          <cell r="FZ28">
            <v>0.35725166613773385</v>
          </cell>
          <cell r="GA28">
            <v>21.786359999999998</v>
          </cell>
          <cell r="GB28">
            <v>22.08600000000002</v>
          </cell>
          <cell r="GC28">
            <v>8.127113561012235E-2</v>
          </cell>
          <cell r="GD28" t="str">
            <v>N.M.</v>
          </cell>
          <cell r="GE28">
            <v>1.0079446814771233</v>
          </cell>
          <cell r="GF28">
            <v>-3.5747691960689925</v>
          </cell>
          <cell r="GG28">
            <v>0</v>
          </cell>
          <cell r="GH28">
            <v>20.390999999999998</v>
          </cell>
          <cell r="GI28">
            <v>64.380499999999998</v>
          </cell>
          <cell r="GJ28">
            <v>69.75</v>
          </cell>
          <cell r="GL28" t="str">
            <v>Per Share</v>
          </cell>
        </row>
        <row r="29">
          <cell r="FZ29" t="str">
            <v>Preferred Stock</v>
          </cell>
          <cell r="GB29">
            <v>0</v>
          </cell>
          <cell r="GC29">
            <v>0</v>
          </cell>
          <cell r="GD29">
            <v>0</v>
          </cell>
          <cell r="GE29">
            <v>0</v>
          </cell>
          <cell r="GF29">
            <v>0</v>
          </cell>
          <cell r="GG29">
            <v>0</v>
          </cell>
          <cell r="GH29">
            <v>0</v>
          </cell>
          <cell r="GI29">
            <v>0</v>
          </cell>
          <cell r="GJ29" t="str">
            <v>Preferred Stock</v>
          </cell>
          <cell r="GL29">
            <v>0</v>
          </cell>
          <cell r="GM29">
            <v>0</v>
          </cell>
          <cell r="GN29">
            <v>0</v>
          </cell>
          <cell r="GO29">
            <v>0</v>
          </cell>
          <cell r="GP29">
            <v>8.8593166273405691E-3</v>
          </cell>
          <cell r="GQ29">
            <v>2.1377014247387609</v>
          </cell>
          <cell r="GR29">
            <v>2.8201265087513985</v>
          </cell>
          <cell r="GS29">
            <v>3.8871919066410481</v>
          </cell>
        </row>
        <row r="30">
          <cell r="FZ30">
            <v>0.31289055525798948</v>
          </cell>
          <cell r="GA30">
            <v>3.9474239845481299E-3</v>
          </cell>
          <cell r="GB30">
            <v>7.6970000000000054</v>
          </cell>
          <cell r="GC30">
            <v>9.4929761596428325E-2</v>
          </cell>
          <cell r="GD30">
            <v>1.1500000000000017</v>
          </cell>
          <cell r="GE30">
            <v>0.3637570101459825</v>
          </cell>
          <cell r="GF30">
            <v>0.98135801615828488</v>
          </cell>
          <cell r="GG30">
            <v>0</v>
          </cell>
          <cell r="GH30">
            <v>23.359000000000002</v>
          </cell>
          <cell r="GI30">
            <v>170.08999999999995</v>
          </cell>
          <cell r="GJ30" t="str">
            <v>Common Equity</v>
          </cell>
          <cell r="GL30" t="e">
            <v>#REF!</v>
          </cell>
          <cell r="GM30">
            <v>0</v>
          </cell>
          <cell r="GN30">
            <v>8.5999999999999993E-2</v>
          </cell>
          <cell r="GO30">
            <v>26.123000000000001</v>
          </cell>
          <cell r="GP30">
            <v>0.77549925082116122</v>
          </cell>
          <cell r="GQ30">
            <v>0.24746044131263956</v>
          </cell>
          <cell r="GR30">
            <v>1.4634781791623621</v>
          </cell>
          <cell r="GS30">
            <v>5.513274811414461</v>
          </cell>
        </row>
        <row r="31">
          <cell r="FZ31">
            <v>0.31343747571306457</v>
          </cell>
          <cell r="GA31">
            <v>0.17602756954351284</v>
          </cell>
          <cell r="GB31">
            <v>8.8339999999999961</v>
          </cell>
          <cell r="GC31">
            <v>9.4370259587650857E-2</v>
          </cell>
          <cell r="GD31">
            <v>0.82558379830543638</v>
          </cell>
          <cell r="GE31">
            <v>0.40085771947527732</v>
          </cell>
          <cell r="GF31">
            <v>1.6670506951116306</v>
          </cell>
          <cell r="GG31">
            <v>0</v>
          </cell>
          <cell r="GH31">
            <v>23.783999999999999</v>
          </cell>
          <cell r="GI31">
            <v>170.08999999999995</v>
          </cell>
          <cell r="GJ31" t="str">
            <v>Total Equity</v>
          </cell>
          <cell r="GL31" t="e">
            <v>#REF!</v>
          </cell>
          <cell r="GM31">
            <v>0</v>
          </cell>
          <cell r="GN31">
            <v>8.5999999999999993E-2</v>
          </cell>
          <cell r="GO31">
            <v>26.123000000000001</v>
          </cell>
          <cell r="GP31">
            <v>1.0982462158613706</v>
          </cell>
          <cell r="GQ31">
            <v>0.88452377981094554</v>
          </cell>
          <cell r="GR31">
            <v>2.234083900672267</v>
          </cell>
          <cell r="GS31">
            <v>6.523218935637396</v>
          </cell>
        </row>
        <row r="32">
          <cell r="FZ32">
            <v>0.32877102936983182</v>
          </cell>
          <cell r="GA32">
            <v>0.31983314330617918</v>
          </cell>
          <cell r="GB32">
            <v>9.4159999999999986</v>
          </cell>
          <cell r="GC32">
            <v>9.2292914342844257E-2</v>
          </cell>
          <cell r="GD32">
            <v>0.72802349054872606</v>
          </cell>
          <cell r="GE32">
            <v>0.42630612585544986</v>
          </cell>
          <cell r="GF32">
            <v>0.5725368195438707</v>
          </cell>
          <cell r="GG32">
            <v>0</v>
          </cell>
          <cell r="GH32">
            <v>23.963999999999999</v>
          </cell>
          <cell r="GI32">
            <v>377.82899999999995</v>
          </cell>
          <cell r="GJ32" t="str">
            <v>Total Liab. &amp; Equity</v>
          </cell>
          <cell r="GL32" t="e">
            <v>#REF!</v>
          </cell>
          <cell r="GM32">
            <v>0</v>
          </cell>
          <cell r="GN32">
            <v>45.768000000000001</v>
          </cell>
          <cell r="GO32">
            <v>45.552999999999997</v>
          </cell>
          <cell r="GP32">
            <v>101.45</v>
          </cell>
          <cell r="GQ32">
            <v>233.245</v>
          </cell>
          <cell r="GR32">
            <v>292.64600000000002</v>
          </cell>
          <cell r="GS32">
            <v>381.92700000000002</v>
          </cell>
        </row>
        <row r="33">
          <cell r="FZ33">
            <v>0.33165481211052894</v>
          </cell>
          <cell r="GB33">
            <v>10.618000000000084</v>
          </cell>
          <cell r="GC33">
            <v>9.2115764999827182E-2</v>
          </cell>
          <cell r="GD33">
            <v>0.29204185933317656</v>
          </cell>
          <cell r="GE33">
            <v>0.47247421399279588</v>
          </cell>
          <cell r="GF33">
            <v>0.26483727279647989</v>
          </cell>
          <cell r="GG33">
            <v>0</v>
          </cell>
          <cell r="GH33">
            <v>24.140999999999998</v>
          </cell>
          <cell r="GL33" t="str">
            <v xml:space="preserve">     From Operations</v>
          </cell>
          <cell r="GP33">
            <v>-0.50518707837765386</v>
          </cell>
          <cell r="GQ33">
            <v>0.19672450427102622</v>
          </cell>
          <cell r="GR33">
            <v>0.32764357162992125</v>
          </cell>
          <cell r="GS33">
            <v>1.32431727623803</v>
          </cell>
        </row>
        <row r="34">
          <cell r="FZ34">
            <v>0.3226696799051566</v>
          </cell>
          <cell r="GA34">
            <v>-0.22509496767702386</v>
          </cell>
          <cell r="GB34">
            <v>36.565000000000083</v>
          </cell>
          <cell r="GC34">
            <v>9.3282344597456213E-2</v>
          </cell>
          <cell r="GD34">
            <v>0.65557366657611382</v>
          </cell>
          <cell r="GE34">
            <v>1.6551911200133569</v>
          </cell>
          <cell r="GF34">
            <v>0.64214480261724916</v>
          </cell>
          <cell r="GG34">
            <v>0</v>
          </cell>
          <cell r="GH34">
            <v>23.963999999999999</v>
          </cell>
          <cell r="GI34">
            <v>1.3330160032929235</v>
          </cell>
          <cell r="GJ34" t="str">
            <v>Balance Sheet Analysis</v>
          </cell>
          <cell r="GL34" t="str">
            <v xml:space="preserve">     Excess</v>
          </cell>
          <cell r="GP34">
            <v>-0.71688353964724538</v>
          </cell>
          <cell r="GQ34">
            <v>-0.44140265226202346</v>
          </cell>
          <cell r="GR34">
            <v>-3.2833761862864914E-2</v>
          </cell>
          <cell r="GS34">
            <v>0.62404844357006706</v>
          </cell>
        </row>
        <row r="35">
          <cell r="FZ35" t="str">
            <v>Inventory T/O (COGS)</v>
          </cell>
          <cell r="GA35">
            <v>-0.31942004079616815</v>
          </cell>
          <cell r="GB35">
            <v>-0.20129810031915116</v>
          </cell>
          <cell r="GC35">
            <v>7.6460668044826277E-2</v>
          </cell>
          <cell r="GD35">
            <v>53.316563997262143</v>
          </cell>
          <cell r="GE35">
            <v>21.272785663819128</v>
          </cell>
          <cell r="GF35">
            <v>12.860095272993771</v>
          </cell>
          <cell r="GG35">
            <v>9.6572090330052127</v>
          </cell>
          <cell r="GH35">
            <v>8.7038610699212953</v>
          </cell>
          <cell r="GI35">
            <v>8.1435609751655171</v>
          </cell>
          <cell r="GJ35" t="str">
            <v>Inventory T/O (COGS)</v>
          </cell>
          <cell r="GN35">
            <v>53.316563997262143</v>
          </cell>
          <cell r="GO35">
            <v>21.272785663819128</v>
          </cell>
          <cell r="GP35">
            <v>12.860095272993771</v>
          </cell>
          <cell r="GQ35">
            <v>9.6572090330052109</v>
          </cell>
          <cell r="GR35">
            <v>8.7038610699212953</v>
          </cell>
          <cell r="GS35">
            <v>8.6975181366933949</v>
          </cell>
        </row>
        <row r="36">
          <cell r="FZ36">
            <v>0.33791054814482657</v>
          </cell>
          <cell r="GB36">
            <v>11.813000000000013</v>
          </cell>
          <cell r="GC36">
            <v>9.4372633294454222E-2</v>
          </cell>
          <cell r="GD36">
            <v>10.586454604425438</v>
          </cell>
          <cell r="GE36">
            <v>20.129749768303984</v>
          </cell>
          <cell r="GF36">
            <v>31.734920898460665</v>
          </cell>
          <cell r="GG36">
            <v>43.359177500487569</v>
          </cell>
          <cell r="GH36">
            <v>41.504762973810031</v>
          </cell>
          <cell r="GI36">
            <v>39.807850008761179</v>
          </cell>
          <cell r="GJ36">
            <v>42.325469387755106</v>
          </cell>
          <cell r="GL36" t="str">
            <v>Valuation Measures-a</v>
          </cell>
          <cell r="GN36">
            <v>10.586454604425438</v>
          </cell>
          <cell r="GO36">
            <v>20.129749768303984</v>
          </cell>
          <cell r="GP36">
            <v>31.734920898460665</v>
          </cell>
          <cell r="GQ36">
            <v>43.359177500487569</v>
          </cell>
          <cell r="GR36">
            <v>41.504762973810024</v>
          </cell>
          <cell r="GS36">
            <v>40.505030827309149</v>
          </cell>
        </row>
        <row r="37">
          <cell r="FZ37">
            <v>0.3750146284376828</v>
          </cell>
          <cell r="GB37">
            <v>10.681000000000004</v>
          </cell>
          <cell r="GC37">
            <v>7.9814381683268223E-2</v>
          </cell>
          <cell r="GD37">
            <v>11.368113783244839</v>
          </cell>
          <cell r="GE37">
            <v>22.224601323064135</v>
          </cell>
          <cell r="GF37">
            <v>31.570977917981075</v>
          </cell>
          <cell r="GG37">
            <v>44.04471641944825</v>
          </cell>
          <cell r="GH37">
            <v>42.245919455485208</v>
          </cell>
          <cell r="GI37">
            <v>45.08610478359909</v>
          </cell>
          <cell r="GJ37">
            <v>49.537469387755102</v>
          </cell>
          <cell r="GL37" t="str">
            <v>Historical P/E:  High-b</v>
          </cell>
          <cell r="GN37">
            <v>11.368113783244839</v>
          </cell>
          <cell r="GO37">
            <v>22.224601323064135</v>
          </cell>
          <cell r="GP37">
            <v>0</v>
          </cell>
          <cell r="GQ37">
            <v>-16.434379442843444</v>
          </cell>
          <cell r="GR37">
            <v>-26.31692501398993</v>
          </cell>
          <cell r="GS37">
            <v>25.218008936947609</v>
          </cell>
        </row>
        <row r="38">
          <cell r="FZ38">
            <v>0.34439124487004102</v>
          </cell>
          <cell r="GB38">
            <v>13.419000000000004</v>
          </cell>
          <cell r="GC38">
            <v>8.9342068469620117E-2</v>
          </cell>
          <cell r="GD38">
            <v>1.1246759896316683</v>
          </cell>
          <cell r="GE38">
            <v>0.14521776119891364</v>
          </cell>
          <cell r="GF38">
            <v>0.28762512819772063</v>
          </cell>
          <cell r="GG38">
            <v>0.57145704493990124</v>
          </cell>
          <cell r="GH38">
            <v>0.46861772992334061</v>
          </cell>
          <cell r="GI38">
            <v>0.39618816195695533</v>
          </cell>
          <cell r="GJ38">
            <v>0.28780169775212644</v>
          </cell>
          <cell r="GL38" t="str">
            <v>Historical P/E:  Low-b</v>
          </cell>
          <cell r="GN38">
            <v>1.1246759896316683</v>
          </cell>
          <cell r="GO38">
            <v>0.14521776119891364</v>
          </cell>
          <cell r="GP38">
            <v>0</v>
          </cell>
          <cell r="GQ38">
            <v>-6.0161567603266182</v>
          </cell>
          <cell r="GR38">
            <v>-12.740733538518935</v>
          </cell>
          <cell r="GS38">
            <v>10.11217190045919</v>
          </cell>
        </row>
        <row r="39">
          <cell r="FZ39">
            <v>4.6980096087850596</v>
          </cell>
          <cell r="GB39">
            <v>-5.3879999999999661</v>
          </cell>
          <cell r="GC39">
            <v>-3.3550861811297975E-2</v>
          </cell>
          <cell r="GD39">
            <v>-1.9927054280197392</v>
          </cell>
          <cell r="GE39">
            <v>-0.62534573799345583</v>
          </cell>
          <cell r="GF39">
            <v>-1.4529914529914481</v>
          </cell>
          <cell r="GG39">
            <v>38.467300832342438</v>
          </cell>
          <cell r="GH39">
            <v>41.136802973977659</v>
          </cell>
          <cell r="GI39">
            <v>25.686367558239827</v>
          </cell>
          <cell r="GJ39">
            <v>96.794791666666626</v>
          </cell>
          <cell r="GL39" t="str">
            <v>Historical P/Gross CF:  High</v>
          </cell>
          <cell r="GN39">
            <v>-1.9927054280197392</v>
          </cell>
          <cell r="GO39">
            <v>-0.62534573799345583</v>
          </cell>
          <cell r="GP39">
            <v>0</v>
          </cell>
          <cell r="GQ39">
            <v>305.50337499998523</v>
          </cell>
          <cell r="GR39">
            <v>27.802746083357942</v>
          </cell>
          <cell r="GS39">
            <v>15.911905258894642</v>
          </cell>
        </row>
        <row r="40">
          <cell r="FZ40">
            <v>0.46312679177585836</v>
          </cell>
          <cell r="GB40">
            <v>30.525000000000059</v>
          </cell>
          <cell r="GC40">
            <v>5.3572650832679668E-2</v>
          </cell>
          <cell r="GD40">
            <v>-0.16518528647613862</v>
          </cell>
          <cell r="GE40">
            <v>1.3226630007855478</v>
          </cell>
          <cell r="GF40">
            <v>-0.20090013485882263</v>
          </cell>
          <cell r="GG40">
            <v>0</v>
          </cell>
          <cell r="GH40">
            <v>25.46</v>
          </cell>
          <cell r="GL40" t="str">
            <v>Historical P/Gross CF:  Low</v>
          </cell>
          <cell r="GP40">
            <v>0</v>
          </cell>
          <cell r="GQ40">
            <v>111.83605691963744</v>
          </cell>
          <cell r="GR40">
            <v>13.4600596117844</v>
          </cell>
          <cell r="GS40">
            <v>6.3805164652003263</v>
          </cell>
        </row>
        <row r="41">
          <cell r="FZ41" t="str">
            <v>Invested Capital</v>
          </cell>
          <cell r="GF41">
            <v>45.322999999999958</v>
          </cell>
          <cell r="GG41">
            <v>70.350999999999971</v>
          </cell>
          <cell r="GH41">
            <v>120.09500000000013</v>
          </cell>
          <cell r="GI41">
            <v>154.31100000000004</v>
          </cell>
          <cell r="GJ41" t="str">
            <v>Invested Capital</v>
          </cell>
          <cell r="GL41" t="str">
            <v>EV/EBITDA</v>
          </cell>
          <cell r="GP41">
            <v>41.896999999999963</v>
          </cell>
          <cell r="GQ41">
            <v>66.924999999999955</v>
          </cell>
          <cell r="GR41">
            <v>120.09500000000003</v>
          </cell>
          <cell r="GS41">
            <v>166.35000000000002</v>
          </cell>
        </row>
        <row r="42">
          <cell r="FZ42">
            <v>0.36504391085841931</v>
          </cell>
          <cell r="GB42">
            <v>12.507999999999996</v>
          </cell>
          <cell r="GC42">
            <v>7.8613763065107103E-2</v>
          </cell>
          <cell r="GD42">
            <v>5.8833488529584477E-2</v>
          </cell>
          <cell r="GE42">
            <v>0.53446422171783525</v>
          </cell>
          <cell r="GF42">
            <v>3.8856613168393173E-2</v>
          </cell>
          <cell r="GG42">
            <v>0</v>
          </cell>
          <cell r="GH42">
            <v>25.113</v>
          </cell>
          <cell r="GL42" t="str">
            <v>YE Market Cap. (Avg. Shares)</v>
          </cell>
          <cell r="GP42">
            <v>0</v>
          </cell>
          <cell r="GQ42">
            <v>155.80672125000001</v>
          </cell>
          <cell r="GR42">
            <v>227.10998000000001</v>
          </cell>
          <cell r="GS42">
            <v>498.04586999999998</v>
          </cell>
        </row>
        <row r="43">
          <cell r="FZ43">
            <v>0.36499999999999999</v>
          </cell>
          <cell r="GB43">
            <v>16.221074999999988</v>
          </cell>
          <cell r="GC43">
            <v>9.6842238805970079E-2</v>
          </cell>
          <cell r="GD43">
            <v>0.51868504821645744</v>
          </cell>
          <cell r="GE43">
            <v>0.666734435797665</v>
          </cell>
          <cell r="GF43">
            <v>0.42590132018878019</v>
          </cell>
          <cell r="GG43">
            <v>0</v>
          </cell>
          <cell r="GH43">
            <v>25.7</v>
          </cell>
          <cell r="GL43" t="str">
            <v>Total Debt</v>
          </cell>
          <cell r="GP43">
            <v>35.145000000000003</v>
          </cell>
          <cell r="GQ43">
            <v>4.4379999999999997</v>
          </cell>
          <cell r="GR43">
            <v>19.911999999999999</v>
          </cell>
          <cell r="GS43">
            <v>103.21600000000001</v>
          </cell>
        </row>
        <row r="44">
          <cell r="FZ44">
            <v>0.36499999999999999</v>
          </cell>
          <cell r="GB44">
            <v>19.185254999999994</v>
          </cell>
          <cell r="GC44">
            <v>0.10044636125654448</v>
          </cell>
          <cell r="GD44">
            <v>0.42970824949698105</v>
          </cell>
          <cell r="GE44">
            <v>0.77304826923076908</v>
          </cell>
          <cell r="GF44">
            <v>0.3520590831172058</v>
          </cell>
          <cell r="GG44">
            <v>0</v>
          </cell>
          <cell r="GH44">
            <v>26</v>
          </cell>
          <cell r="GL44" t="str">
            <v>Cash &amp; Equivalents</v>
          </cell>
          <cell r="GP44">
            <v>7.5280000000000058</v>
          </cell>
          <cell r="GQ44">
            <v>3.0240000000000329</v>
          </cell>
          <cell r="GR44">
            <v>27.412000000000042</v>
          </cell>
          <cell r="GS44">
            <v>115.01000000000005</v>
          </cell>
        </row>
        <row r="45">
          <cell r="FZ45">
            <v>0.36499999999999999</v>
          </cell>
          <cell r="GB45">
            <v>21.6321005</v>
          </cell>
          <cell r="GC45">
            <v>0.10355241981809478</v>
          </cell>
          <cell r="GD45">
            <v>-5.0148664625093051</v>
          </cell>
          <cell r="GE45">
            <v>0.84566922053231941</v>
          </cell>
          <cell r="GF45">
            <v>-4.2112828975670684</v>
          </cell>
          <cell r="GG45">
            <v>0</v>
          </cell>
          <cell r="GH45">
            <v>26.3</v>
          </cell>
          <cell r="GL45" t="str">
            <v>Total Enterprise Value</v>
          </cell>
          <cell r="GP45">
            <v>27.616999999999997</v>
          </cell>
          <cell r="GQ45">
            <v>157.22072124999997</v>
          </cell>
          <cell r="GR45">
            <v>219.60997999999998</v>
          </cell>
          <cell r="GS45">
            <v>486.25187</v>
          </cell>
        </row>
        <row r="46">
          <cell r="FZ46">
            <v>0.36500789786282911</v>
          </cell>
          <cell r="GB46">
            <v>69.546430499999985</v>
          </cell>
          <cell r="GC46">
            <v>9.5727130640172756E-2</v>
          </cell>
          <cell r="GD46">
            <v>1.2783433415233367</v>
          </cell>
          <cell r="GE46">
            <v>2.8181288683289201</v>
          </cell>
          <cell r="GF46">
            <v>1.1306476907989369</v>
          </cell>
          <cell r="GG46">
            <v>0</v>
          </cell>
          <cell r="GH46">
            <v>25.77825</v>
          </cell>
          <cell r="GL46" t="str">
            <v>EBITDA</v>
          </cell>
          <cell r="GP46">
            <v>-7.5950000000000033</v>
          </cell>
          <cell r="GQ46">
            <v>3.3400000000000265</v>
          </cell>
          <cell r="GR46">
            <v>-2.7199999999999918</v>
          </cell>
          <cell r="GS46">
            <v>41.676999999999985</v>
          </cell>
        </row>
        <row r="47">
          <cell r="FZ47" t="str">
            <v>Source: Company Reports and BARS Estimates.</v>
          </cell>
          <cell r="GJ47" t="str">
            <v>Source: Company Reports and BARS Estimates.</v>
          </cell>
          <cell r="GL47" t="str">
            <v>a. Fiscal year ending unless otherwise noted</v>
          </cell>
        </row>
        <row r="48">
          <cell r="FZ48">
            <v>0.36499999999999999</v>
          </cell>
          <cell r="GB48">
            <v>22.320250000000001</v>
          </cell>
          <cell r="GC48">
            <v>0.10381511627906978</v>
          </cell>
          <cell r="GD48">
            <v>0.7844779341221626</v>
          </cell>
          <cell r="GE48">
            <v>0.84546401515151526</v>
          </cell>
          <cell r="GF48">
            <v>0.58189076236775494</v>
          </cell>
          <cell r="GG48">
            <v>0</v>
          </cell>
          <cell r="GH48">
            <v>26.4</v>
          </cell>
          <cell r="GJ48" t="str">
            <v>Source: Company Reports and BARS Estimates.</v>
          </cell>
          <cell r="GL48" t="str">
            <v>b. From continuing operations</v>
          </cell>
        </row>
        <row r="49">
          <cell r="FZ49">
            <v>0.36499999999999999</v>
          </cell>
          <cell r="GB49">
            <v>23.965693749999993</v>
          </cell>
          <cell r="GC49">
            <v>0.10307825268817201</v>
          </cell>
          <cell r="GD49">
            <v>0.47744176942650285</v>
          </cell>
          <cell r="GE49">
            <v>0.90436580188679216</v>
          </cell>
          <cell r="GF49">
            <v>0.35641081865650259</v>
          </cell>
          <cell r="GG49">
            <v>0</v>
          </cell>
          <cell r="GH49">
            <v>26.5</v>
          </cell>
          <cell r="GJ49">
            <v>0</v>
          </cell>
        </row>
        <row r="50">
          <cell r="FZ50">
            <v>0.36499999999999999</v>
          </cell>
          <cell r="GB50">
            <v>25.551606249999999</v>
          </cell>
          <cell r="GC50">
            <v>0.10323881313131313</v>
          </cell>
          <cell r="GD50">
            <v>0.33183563366762686</v>
          </cell>
          <cell r="GE50">
            <v>0.95698899812734084</v>
          </cell>
          <cell r="GF50">
            <v>0.23794210040674973</v>
          </cell>
          <cell r="GG50">
            <v>0</v>
          </cell>
          <cell r="GH50">
            <v>26.7</v>
          </cell>
          <cell r="GJ50">
            <v>0</v>
          </cell>
        </row>
        <row r="51">
          <cell r="FZ51">
            <v>0.36499999999999999</v>
          </cell>
          <cell r="GB51">
            <v>26.723339999999993</v>
          </cell>
          <cell r="GC51">
            <v>0.10377996116504852</v>
          </cell>
          <cell r="GD51">
            <v>0.2353557621461676</v>
          </cell>
          <cell r="GE51">
            <v>0.99343271375464659</v>
          </cell>
          <cell r="GF51">
            <v>0.17472965745320043</v>
          </cell>
          <cell r="GG51">
            <v>0</v>
          </cell>
          <cell r="GH51">
            <v>26.9</v>
          </cell>
          <cell r="GJ51">
            <v>0</v>
          </cell>
        </row>
        <row r="52">
          <cell r="FZ52">
            <v>0.36499999999999999</v>
          </cell>
          <cell r="GB52">
            <v>98.560889999999986</v>
          </cell>
          <cell r="GC52">
            <v>0.10347599999999998</v>
          </cell>
          <cell r="GD52">
            <v>0.41719552378752223</v>
          </cell>
          <cell r="GE52">
            <v>3.7018174647887312</v>
          </cell>
          <cell r="GF52">
            <v>0.31357281293662642</v>
          </cell>
          <cell r="GG52">
            <v>0</v>
          </cell>
          <cell r="GH52">
            <v>26.625</v>
          </cell>
          <cell r="GJ52">
            <v>0</v>
          </cell>
        </row>
        <row r="53">
          <cell r="FZ53">
            <v>0</v>
          </cell>
          <cell r="GJ53">
            <v>0</v>
          </cell>
        </row>
        <row r="54">
          <cell r="FZ54">
            <v>0</v>
          </cell>
          <cell r="GJ54">
            <v>0</v>
          </cell>
        </row>
        <row r="55">
          <cell r="FZ55">
            <v>0</v>
          </cell>
          <cell r="GJ55">
            <v>0</v>
          </cell>
        </row>
        <row r="59">
          <cell r="GL59" t="str">
            <v>Valuation Measures-fiscal year</v>
          </cell>
          <cell r="GO59" t="str">
            <v>91A</v>
          </cell>
          <cell r="GP59" t="str">
            <v>92A</v>
          </cell>
          <cell r="GQ59" t="str">
            <v>93A</v>
          </cell>
          <cell r="GR59" t="str">
            <v>94A</v>
          </cell>
          <cell r="GS59" t="str">
            <v>95A</v>
          </cell>
        </row>
        <row r="60">
          <cell r="GL60" t="str">
            <v>Historical Price:  High</v>
          </cell>
          <cell r="GO60">
            <v>0</v>
          </cell>
          <cell r="GP60">
            <v>0</v>
          </cell>
          <cell r="GQ60">
            <v>14</v>
          </cell>
          <cell r="GR60">
            <v>15.75</v>
          </cell>
          <cell r="GS60">
            <v>25.25</v>
          </cell>
        </row>
        <row r="61">
          <cell r="GL61" t="str">
            <v>Historical Price:  Low</v>
          </cell>
          <cell r="GO61">
            <v>0</v>
          </cell>
          <cell r="GP61">
            <v>0</v>
          </cell>
          <cell r="GQ61">
            <v>5.125</v>
          </cell>
          <cell r="GR61">
            <v>7.625</v>
          </cell>
          <cell r="GS61">
            <v>10.125</v>
          </cell>
        </row>
        <row r="62">
          <cell r="GL62" t="str">
            <v xml:space="preserve">Closing </v>
          </cell>
          <cell r="GO62">
            <v>0</v>
          </cell>
          <cell r="GP62">
            <v>0</v>
          </cell>
          <cell r="GQ62">
            <v>12.75</v>
          </cell>
          <cell r="GR62">
            <v>12.125</v>
          </cell>
          <cell r="GS62">
            <v>23.875</v>
          </cell>
        </row>
      </sheetData>
      <sheetData sheetId="4"/>
      <sheetData sheetId="5"/>
      <sheetData sheetId="6"/>
      <sheetData sheetId="7">
        <row r="3">
          <cell r="BR3" t="str">
            <v>Sanmina Corporation</v>
          </cell>
        </row>
      </sheetData>
      <sheetData sheetId="8"/>
      <sheetData sheetId="9"/>
      <sheetData sheetId="10" refreshError="1"/>
      <sheetData sheetId="11" refreshError="1"/>
      <sheetData sheetId="12" refreshError="1"/>
      <sheetData sheetId="13" refreshError="1"/>
      <sheetData sheetId="14" refreshError="1"/>
      <sheetData sheetId="15"/>
      <sheetData sheetId="16"/>
      <sheetData sheetId="17"/>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row r="15">
          <cell r="J15">
            <v>68.972186762601083</v>
          </cell>
        </row>
        <row r="23">
          <cell r="J23">
            <v>84.521496939820679</v>
          </cell>
        </row>
        <row r="31">
          <cell r="J31">
            <v>88.963861460241219</v>
          </cell>
        </row>
        <row r="39">
          <cell r="J39">
            <v>100.47837355547594</v>
          </cell>
        </row>
      </sheetData>
      <sheetData sheetId="9"/>
      <sheetData sheetId="10"/>
      <sheetData sheetId="11"/>
      <sheetData sheetId="12"/>
      <sheetData sheetId="13"/>
      <sheetData sheetId="14"/>
      <sheetData sheetId="15" refreshError="1"/>
      <sheetData sheetId="16"/>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Help &amp; Information"/>
      <sheetName val="Summary"/>
      <sheetName val="Companies"/>
      <sheetName val="Graphs"/>
      <sheetName val="Peer groups"/>
      <sheetName val="Valuation Table"/>
      <sheetName val="Reuters Link"/>
      <sheetName val="Foreign Exchange"/>
      <sheetName val="Indices"/>
      <sheetName val="E&amp;P"/>
      <sheetName val="EXXONMOBIL"/>
      <sheetName val="BalanceSheet"/>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rst Call Tables"/>
      <sheetName val="Qearn"/>
      <sheetName val="Qmargin"/>
      <sheetName val="Cashflow"/>
      <sheetName val="Balance sheet"/>
      <sheetName val="Product Pipeline"/>
      <sheetName val="Comment P&amp;L"/>
      <sheetName val="Sheet1"/>
      <sheetName val="Dilution"/>
      <sheetName val="RenaGel JV"/>
      <sheetName val="RenaGel Launch"/>
      <sheetName val="RenaGel Rx's"/>
      <sheetName val="iQ_US_CoreIndustrials"/>
      <sheetName val="Answer Report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Analysis"/>
      <sheetName val="MACRS"/>
      <sheetName val="Valuation"/>
      <sheetName val=" Capital"/>
      <sheetName val="New Business"/>
      <sheetName val="Scenario"/>
      <sheetName val="LXK"/>
      <sheetName val="yearly"/>
      <sheetName val="OnAir"/>
      <sheetName val="FutureAcq"/>
      <sheetName val="Credit Output"/>
      <sheetName val="CalcsMO"/>
      <sheetName val="RELPE"/>
      <sheetName val="SALESCAT"/>
      <sheetName val="MATCASH"/>
      <sheetName val="FinSum"/>
      <sheetName val="Gas"/>
      <sheetName val="Off Peak"/>
      <sheetName val="Peak"/>
      <sheetName val="Aladdin Macro1"/>
      <sheetName val="DATA"/>
      <sheetName val="WY"/>
      <sheetName val="changes in EST"/>
      <sheetName val="US peers EBIT Margins"/>
      <sheetName val="Sheet7"/>
      <sheetName val="Model (Euro)"/>
      <sheetName val="Monthly Spot"/>
      <sheetName val="NKEBALST"/>
      <sheetName val="NKEQTRIN"/>
      <sheetName val="main"/>
      <sheetName val="Sheet1"/>
      <sheetName val="DMK"/>
      <sheetName val="premium detail - P&amp;C"/>
      <sheetName val="Monthly figures"/>
      <sheetName val="Cashflow Model"/>
      <sheetName val="Annual"/>
      <sheetName val="Sainsbury"/>
      <sheetName val="Accounts&amp;Forecasts"/>
      <sheetName val="Operations"/>
      <sheetName val="Balance Sheet"/>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Preview"/>
      <sheetName val="Questions"/>
      <sheetName val="Quarterly"/>
      <sheetName val="Annual"/>
      <sheetName val="mwareValPrintout"/>
      <sheetName val="mwareTaxoPres"/>
      <sheetName val="Balance Sheet "/>
      <sheetName val="Cashflow"/>
      <sheetName val="Avastin- 2004 Patient Ramp"/>
      <sheetName val="Consensus&amp;Figures"/>
      <sheetName val="Avastin"/>
      <sheetName val="Rituxan"/>
      <sheetName val="Xolair"/>
      <sheetName val="Raptiva"/>
      <sheetName val="Tarceva"/>
      <sheetName val="Herceptin"/>
      <sheetName val="DCF Valuation"/>
      <sheetName val="mwareDates"/>
      <sheetName val="mwareSettings"/>
      <sheetName val="NY UPLOAD shadow"/>
      <sheetName val="mStartup"/>
      <sheetName val="MainCode"/>
      <sheetName val="NY UPLOAD"/>
      <sheetName val="MS Est vs. Rpt"/>
      <sheetName val="Changes"/>
      <sheetName val="Marketing"/>
      <sheetName val="DNA Milestones"/>
    </sheetNames>
    <sheetDataSet>
      <sheetData sheetId="0" refreshError="1"/>
      <sheetData sheetId="1" refreshError="1"/>
      <sheetData sheetId="2" refreshError="1"/>
      <sheetData sheetId="3" refreshError="1"/>
      <sheetData sheetId="4" refreshError="1">
        <row r="42">
          <cell r="H42">
            <v>0.36046840883862497</v>
          </cell>
          <cell r="J42">
            <v>0.4609771128689375</v>
          </cell>
          <cell r="L42">
            <v>0.52459464276934265</v>
          </cell>
          <cell r="N42">
            <v>0.27128361596795858</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42">
          <cell r="D42">
            <v>56225</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al Model"/>
      <sheetName val="iQ_US_CoreIndustrials"/>
    </sheetNames>
    <sheetDataSet>
      <sheetData sheetId="0"/>
      <sheetData sheetId="1"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S Chg"/>
      <sheetName val="RAPID2"/>
      <sheetName val="Qtr Rpt"/>
      <sheetName val="Model"/>
      <sheetName val="00 Dilution"/>
      <sheetName val="FCall Hdr"/>
      <sheetName val="Encl Acq"/>
      <sheetName val="Convt Dilution"/>
      <sheetName val="Old Model"/>
      <sheetName val="ALRN Model"/>
      <sheetName val="Acq Dilution"/>
      <sheetName val="Schu Acq Analysis"/>
      <sheetName val="Schu Acq Analysis (stock)"/>
    </sheetNames>
    <sheetDataSet>
      <sheetData sheetId="0"/>
      <sheetData sheetId="1"/>
      <sheetData sheetId="2"/>
      <sheetData sheetId="3"/>
      <sheetData sheetId="4"/>
      <sheetData sheetId="5"/>
      <sheetData sheetId="6"/>
      <sheetData sheetId="7"/>
      <sheetData sheetId="8" refreshError="1">
        <row r="3">
          <cell r="BR3" t="str">
            <v>Sanmina Corporation</v>
          </cell>
          <cell r="CB3" t="str">
            <v>Sanmina Corporation</v>
          </cell>
          <cell r="CL3" t="str">
            <v>Sanmina Corporation</v>
          </cell>
        </row>
        <row r="4">
          <cell r="BR4" t="str">
            <v>Quarterly Income Statements</v>
          </cell>
          <cell r="CB4" t="str">
            <v>Quarterly Income Statements</v>
          </cell>
          <cell r="CL4" t="str">
            <v>Quarterly Income Statements</v>
          </cell>
        </row>
        <row r="5">
          <cell r="BR5" t="str">
            <v>($ In Millions Except Per Share Data)</v>
          </cell>
          <cell r="CB5" t="str">
            <v>($ In Millions Except Per Share Data)</v>
          </cell>
          <cell r="CL5" t="str">
            <v>($ In Millions Except Per Share Data)</v>
          </cell>
        </row>
        <row r="6">
          <cell r="BO6" t="str">
            <v>Restated for Elexsys</v>
          </cell>
        </row>
        <row r="7">
          <cell r="BO7" t="str">
            <v>1997R</v>
          </cell>
          <cell r="BQ7" t="str">
            <v>Mar</v>
          </cell>
          <cell r="BS7" t="str">
            <v>Jun</v>
          </cell>
          <cell r="BU7" t="str">
            <v>Sept</v>
          </cell>
          <cell r="BW7" t="str">
            <v>1997R</v>
          </cell>
          <cell r="BY7" t="str">
            <v>1998A</v>
          </cell>
          <cell r="CA7" t="str">
            <v>Mar</v>
          </cell>
          <cell r="CC7" t="str">
            <v>Jun</v>
          </cell>
          <cell r="CE7" t="str">
            <v>Sep</v>
          </cell>
          <cell r="CG7" t="str">
            <v>1998A</v>
          </cell>
          <cell r="CI7" t="str">
            <v>1999E</v>
          </cell>
          <cell r="CK7" t="str">
            <v>Mar</v>
          </cell>
          <cell r="CM7" t="str">
            <v>Jun</v>
          </cell>
          <cell r="CO7" t="str">
            <v>Sept</v>
          </cell>
          <cell r="CQ7" t="str">
            <v>1999E</v>
          </cell>
        </row>
        <row r="8">
          <cell r="BO8" t="str">
            <v>1QR</v>
          </cell>
          <cell r="BP8" t="str">
            <v>% Chg.</v>
          </cell>
          <cell r="BQ8" t="str">
            <v>2QR</v>
          </cell>
          <cell r="BR8" t="str">
            <v>% Chg.</v>
          </cell>
          <cell r="BS8" t="str">
            <v>3QR</v>
          </cell>
          <cell r="BT8" t="str">
            <v>% Chg.</v>
          </cell>
          <cell r="BU8" t="str">
            <v>4QR</v>
          </cell>
          <cell r="BV8" t="str">
            <v>% Chg.</v>
          </cell>
          <cell r="BW8" t="str">
            <v xml:space="preserve">    YEAR </v>
          </cell>
          <cell r="BX8" t="str">
            <v>% Chg.</v>
          </cell>
          <cell r="BY8" t="str">
            <v>1QA</v>
          </cell>
          <cell r="BZ8" t="str">
            <v>% Chg.</v>
          </cell>
          <cell r="CA8" t="str">
            <v xml:space="preserve">  2QA</v>
          </cell>
          <cell r="CB8" t="str">
            <v>% Chg.</v>
          </cell>
          <cell r="CC8" t="str">
            <v xml:space="preserve">  3QA</v>
          </cell>
          <cell r="CD8" t="str">
            <v>% Chg.</v>
          </cell>
          <cell r="CE8" t="str">
            <v xml:space="preserve">  4QA</v>
          </cell>
          <cell r="CF8" t="str">
            <v>% Chg.</v>
          </cell>
          <cell r="CG8" t="str">
            <v xml:space="preserve">    YEAR </v>
          </cell>
          <cell r="CH8" t="str">
            <v>% Chg.</v>
          </cell>
          <cell r="CI8" t="str">
            <v xml:space="preserve">   1QE</v>
          </cell>
          <cell r="CJ8" t="str">
            <v>% Chg.</v>
          </cell>
          <cell r="CK8" t="str">
            <v xml:space="preserve">  2QE</v>
          </cell>
          <cell r="CL8" t="str">
            <v>% Chg.</v>
          </cell>
          <cell r="CM8" t="str">
            <v xml:space="preserve">  3QE</v>
          </cell>
          <cell r="CN8" t="str">
            <v>% Chg.</v>
          </cell>
          <cell r="CO8" t="str">
            <v xml:space="preserve">  4QE</v>
          </cell>
          <cell r="CP8" t="str">
            <v>% Chg.</v>
          </cell>
          <cell r="CQ8" t="str">
            <v xml:space="preserve">    YEAR </v>
          </cell>
          <cell r="CR8" t="str">
            <v>% Chg.</v>
          </cell>
        </row>
        <row r="9">
          <cell r="BO9">
            <v>125.17400000000001</v>
          </cell>
          <cell r="BP9">
            <v>0.54381421048087719</v>
          </cell>
          <cell r="BQ9">
            <v>133.82300000000001</v>
          </cell>
          <cell r="BR9">
            <v>0.4295801730584341</v>
          </cell>
          <cell r="BS9">
            <v>150.19800000000001</v>
          </cell>
          <cell r="BT9">
            <v>0.47219744567401478</v>
          </cell>
          <cell r="BU9">
            <v>160.59200000000007</v>
          </cell>
          <cell r="BV9">
            <v>0.39320539959051959</v>
          </cell>
          <cell r="BW9">
            <v>569.78700000000015</v>
          </cell>
          <cell r="BX9">
            <v>0.4536050124750628</v>
          </cell>
          <cell r="BY9">
            <v>159.107</v>
          </cell>
          <cell r="BZ9">
            <v>0.27108664738683741</v>
          </cell>
          <cell r="CA9">
            <v>172.14599999999999</v>
          </cell>
          <cell r="CB9">
            <v>0.28637080322515551</v>
          </cell>
          <cell r="CC9">
            <v>197.13900000000001</v>
          </cell>
          <cell r="CD9">
            <v>0.31252746374785279</v>
          </cell>
          <cell r="CE9">
            <v>194.18900000000005</v>
          </cell>
          <cell r="CF9">
            <v>0.20920718342134093</v>
          </cell>
          <cell r="CG9">
            <v>722.58100000000013</v>
          </cell>
          <cell r="CH9">
            <v>0.26815985622697602</v>
          </cell>
          <cell r="CI9">
            <v>212</v>
          </cell>
          <cell r="CJ9">
            <v>0.33243666212045975</v>
          </cell>
          <cell r="CK9">
            <v>225.5</v>
          </cell>
          <cell r="CL9">
            <v>0.30993459040581839</v>
          </cell>
          <cell r="CM9">
            <v>243.5</v>
          </cell>
          <cell r="CN9">
            <v>0.23516909388806884</v>
          </cell>
          <cell r="CO9">
            <v>261.5</v>
          </cell>
          <cell r="CP9">
            <v>0.34662622496639828</v>
          </cell>
          <cell r="CQ9">
            <v>942.5</v>
          </cell>
          <cell r="CR9">
            <v>0.30435203804140976</v>
          </cell>
        </row>
        <row r="10">
          <cell r="BO10">
            <v>8.5938855536662029E-2</v>
          </cell>
          <cell r="BQ10">
            <v>6.9095818620480198E-2</v>
          </cell>
          <cell r="BS10">
            <v>0.12236312143652439</v>
          </cell>
          <cell r="BU10">
            <v>6.9201986710875296E-2</v>
          </cell>
          <cell r="BY10">
            <v>-9.2470359669227786E-3</v>
          </cell>
          <cell r="CA10">
            <v>8.1951139799003148E-2</v>
          </cell>
          <cell r="CC10">
            <v>0.14518490118852623</v>
          </cell>
          <cell r="CE10">
            <v>-1.4964060891046183E-2</v>
          </cell>
          <cell r="CI10">
            <v>9.1719922343695748E-2</v>
          </cell>
          <cell r="CK10">
            <v>6.3679245283018826E-2</v>
          </cell>
          <cell r="CM10">
            <v>7.9822616407982272E-2</v>
          </cell>
          <cell r="CO10">
            <v>7.3921971252566721E-2</v>
          </cell>
        </row>
        <row r="11">
          <cell r="BO11">
            <v>97.322999999999993</v>
          </cell>
          <cell r="BP11">
            <v>0.5429237281417949</v>
          </cell>
          <cell r="BQ11">
            <v>105.78700000000001</v>
          </cell>
          <cell r="BR11">
            <v>0.45463670865188943</v>
          </cell>
          <cell r="BS11">
            <v>117.304</v>
          </cell>
          <cell r="BT11">
            <v>0.47607902353089226</v>
          </cell>
          <cell r="BU11">
            <v>135.16200000000003</v>
          </cell>
          <cell r="BV11">
            <v>0.5025345724576471</v>
          </cell>
          <cell r="BW11">
            <v>455.57600000000002</v>
          </cell>
          <cell r="BX11">
            <v>0.49258093156896354</v>
          </cell>
          <cell r="BY11">
            <v>124.43</v>
          </cell>
          <cell r="BZ11">
            <v>0.27852614489894489</v>
          </cell>
          <cell r="CA11">
            <v>134.52000000000001</v>
          </cell>
          <cell r="CB11">
            <v>0.27161182375906301</v>
          </cell>
          <cell r="CC11">
            <v>153.708</v>
          </cell>
          <cell r="CD11">
            <v>0.31033894837345688</v>
          </cell>
          <cell r="CE11">
            <v>151.25500000000005</v>
          </cell>
          <cell r="CF11">
            <v>0.11906452997144168</v>
          </cell>
          <cell r="CG11">
            <v>563.91300000000001</v>
          </cell>
          <cell r="CH11">
            <v>0.23780225472808048</v>
          </cell>
          <cell r="CI11">
            <v>165.042</v>
          </cell>
          <cell r="CJ11">
            <v>0.32638431246483957</v>
          </cell>
          <cell r="CK11">
            <v>176.1155</v>
          </cell>
          <cell r="CL11">
            <v>0.30921424323520652</v>
          </cell>
          <cell r="CM11">
            <v>191.39100000000002</v>
          </cell>
          <cell r="CN11">
            <v>0.24515965336872525</v>
          </cell>
          <cell r="CO11">
            <v>206.06200000000001</v>
          </cell>
          <cell r="CP11">
            <v>0.36234835212059058</v>
          </cell>
          <cell r="CQ11">
            <v>738.61050000000012</v>
          </cell>
          <cell r="CR11">
            <v>0.30979512797186826</v>
          </cell>
        </row>
        <row r="12">
          <cell r="BO12">
            <v>0.77750171760908804</v>
          </cell>
          <cell r="BQ12">
            <v>0.79049939098660171</v>
          </cell>
          <cell r="BS12">
            <v>0.78099575227366536</v>
          </cell>
          <cell r="BU12">
            <v>0.84164840091660842</v>
          </cell>
          <cell r="BW12">
            <v>0.79955492140045303</v>
          </cell>
          <cell r="BY12">
            <v>0.7820523295643812</v>
          </cell>
          <cell r="CA12">
            <v>0.78142971663587901</v>
          </cell>
          <cell r="CC12">
            <v>0.77969351574269929</v>
          </cell>
          <cell r="CE12">
            <v>0.77890611723630077</v>
          </cell>
          <cell r="CG12">
            <v>0.78041492926052569</v>
          </cell>
          <cell r="CI12">
            <v>0.77849999999999997</v>
          </cell>
          <cell r="CK12">
            <v>0.78100000000000003</v>
          </cell>
          <cell r="CM12">
            <v>0.78600000000000003</v>
          </cell>
          <cell r="CO12">
            <v>0.78800000000000003</v>
          </cell>
          <cell r="CQ12">
            <v>0.78367161803713536</v>
          </cell>
        </row>
        <row r="13">
          <cell r="BO13">
            <v>27.851000000000013</v>
          </cell>
          <cell r="BP13">
            <v>0.54693401466340852</v>
          </cell>
          <cell r="BQ13">
            <v>28.036000000000001</v>
          </cell>
          <cell r="BR13">
            <v>0.34233457818634516</v>
          </cell>
          <cell r="BS13">
            <v>32.894000000000005</v>
          </cell>
          <cell r="BT13">
            <v>0.45851993082960174</v>
          </cell>
          <cell r="BU13">
            <v>25.430000000000035</v>
          </cell>
          <cell r="BV13">
            <v>4.6618204804027563E-3</v>
          </cell>
          <cell r="BW13">
            <v>114.21100000000006</v>
          </cell>
          <cell r="BX13">
            <v>0.31647743645899307</v>
          </cell>
          <cell r="BY13">
            <v>34.676999999999992</v>
          </cell>
          <cell r="BZ13">
            <v>0.24508994291048714</v>
          </cell>
          <cell r="CA13">
            <v>37.625999999999976</v>
          </cell>
          <cell r="CB13">
            <v>0.34206020830360884</v>
          </cell>
          <cell r="CC13">
            <v>43.431000000000012</v>
          </cell>
          <cell r="CD13">
            <v>0.32033197543624992</v>
          </cell>
          <cell r="CE13">
            <v>42.933999999999997</v>
          </cell>
          <cell r="CF13">
            <v>0.68832088084938814</v>
          </cell>
          <cell r="CG13">
            <v>158.66799999999998</v>
          </cell>
          <cell r="CH13">
            <v>0.38925322429538234</v>
          </cell>
          <cell r="CI13">
            <v>46.957999999999998</v>
          </cell>
          <cell r="CJ13">
            <v>0.35415405023502644</v>
          </cell>
          <cell r="CK13">
            <v>49.384500000000003</v>
          </cell>
          <cell r="CL13">
            <v>0.31250996651251883</v>
          </cell>
          <cell r="CM13">
            <v>52.10899999999998</v>
          </cell>
          <cell r="CN13">
            <v>0.1998111947687129</v>
          </cell>
          <cell r="CO13">
            <v>55.437999999999988</v>
          </cell>
          <cell r="CP13">
            <v>0.29123771370009766</v>
          </cell>
          <cell r="CQ13">
            <v>203.88949999999997</v>
          </cell>
          <cell r="CR13">
            <v>0.28500705876421195</v>
          </cell>
        </row>
        <row r="14">
          <cell r="BO14">
            <v>0.22249828239091193</v>
          </cell>
          <cell r="BQ14">
            <v>0.20950060901339829</v>
          </cell>
          <cell r="BS14">
            <v>0.21900424772633459</v>
          </cell>
          <cell r="BU14">
            <v>0.15835159908339161</v>
          </cell>
          <cell r="BW14">
            <v>0.20044507859954688</v>
          </cell>
          <cell r="BY14">
            <v>0.21794767043561875</v>
          </cell>
          <cell r="CA14">
            <v>0.21857028336412104</v>
          </cell>
          <cell r="CC14">
            <v>0.22030648425730073</v>
          </cell>
          <cell r="CE14">
            <v>0.22109388276369921</v>
          </cell>
          <cell r="CG14">
            <v>0.21958507073947411</v>
          </cell>
          <cell r="CI14">
            <v>0.2215</v>
          </cell>
          <cell r="CK14">
            <v>0.219</v>
          </cell>
          <cell r="CM14">
            <v>0.21399999999999991</v>
          </cell>
          <cell r="CO14">
            <v>0.21199999999999997</v>
          </cell>
          <cell r="CQ14">
            <v>0.21632838196286469</v>
          </cell>
        </row>
        <row r="15">
          <cell r="BO15">
            <v>0.22332343002290631</v>
          </cell>
          <cell r="BQ15">
            <v>0.17780319797080557</v>
          </cell>
          <cell r="BS15">
            <v>0.21465490399584858</v>
          </cell>
          <cell r="BU15">
            <v>2.603477186478517E-3</v>
          </cell>
          <cell r="BW15">
            <v>0.15441635499564105</v>
          </cell>
          <cell r="BY15">
            <v>0.20116111160227451</v>
          </cell>
          <cell r="CA15">
            <v>0.25024136941262376</v>
          </cell>
          <cell r="CC15">
            <v>0.22447327496218669</v>
          </cell>
          <cell r="CE15">
            <v>0.52099889871119365</v>
          </cell>
          <cell r="CG15">
            <v>0.29096037802531466</v>
          </cell>
          <cell r="CI15">
            <v>0.23218573346189489</v>
          </cell>
          <cell r="CK15">
            <v>0.22038647524084462</v>
          </cell>
          <cell r="CM15">
            <v>0.18718319276978432</v>
          </cell>
          <cell r="CO15">
            <v>0.1857645852832375</v>
          </cell>
          <cell r="CQ15">
            <v>0.20562798121126424</v>
          </cell>
        </row>
        <row r="17">
          <cell r="BO17">
            <v>8.9209999999999994</v>
          </cell>
          <cell r="BP17">
            <v>0.40069084628670115</v>
          </cell>
          <cell r="BQ17">
            <v>9.7560000000000002</v>
          </cell>
          <cell r="BR17">
            <v>0.3510594100540092</v>
          </cell>
          <cell r="BS17">
            <v>11.244</v>
          </cell>
          <cell r="BT17">
            <v>0.47481636935991611</v>
          </cell>
          <cell r="BU17">
            <v>14.088999999999999</v>
          </cell>
          <cell r="BV17">
            <v>0.65967722935563633</v>
          </cell>
          <cell r="BW17">
            <v>44.01</v>
          </cell>
          <cell r="BX17">
            <v>0.48166851833148172</v>
          </cell>
          <cell r="BY17">
            <v>9.9949999999999992</v>
          </cell>
          <cell r="BZ17">
            <v>0.12039009079699592</v>
          </cell>
          <cell r="CA17">
            <v>10.558999999999999</v>
          </cell>
          <cell r="CB17">
            <v>8.2308323083230661E-2</v>
          </cell>
          <cell r="CC17">
            <v>11.786</v>
          </cell>
          <cell r="CD17">
            <v>4.8203486303806553E-2</v>
          </cell>
          <cell r="CE17">
            <v>11.505000000000001</v>
          </cell>
          <cell r="CF17">
            <v>-0.18340549364752634</v>
          </cell>
          <cell r="CG17">
            <v>43.844999999999999</v>
          </cell>
          <cell r="CH17">
            <v>-3.7491479209270651E-3</v>
          </cell>
          <cell r="CI17">
            <v>11.872</v>
          </cell>
          <cell r="CJ17">
            <v>0.18779389694847426</v>
          </cell>
          <cell r="CK17">
            <v>12.74075</v>
          </cell>
          <cell r="CL17">
            <v>0.20662468036745918</v>
          </cell>
          <cell r="CM17">
            <v>13.8308</v>
          </cell>
          <cell r="CN17">
            <v>0.17349397590361448</v>
          </cell>
          <cell r="CO17">
            <v>14.591700000000001</v>
          </cell>
          <cell r="CP17">
            <v>0.26829204693611475</v>
          </cell>
          <cell r="CQ17">
            <v>53.035250000000005</v>
          </cell>
          <cell r="CR17">
            <v>0.20960770897479764</v>
          </cell>
        </row>
        <row r="18">
          <cell r="BO18">
            <v>7.1268793838976136E-2</v>
          </cell>
          <cell r="BQ18">
            <v>7.2902266426548498E-2</v>
          </cell>
          <cell r="BS18">
            <v>7.486118323812567E-2</v>
          </cell>
          <cell r="BU18">
            <v>8.7731642921191538E-2</v>
          </cell>
          <cell r="BW18">
            <v>7.7239389456059876E-2</v>
          </cell>
          <cell r="BY18">
            <v>6.2819360556103751E-2</v>
          </cell>
          <cell r="CA18">
            <v>6.1337469357405923E-2</v>
          </cell>
          <cell r="CC18">
            <v>5.9785227681990877E-2</v>
          </cell>
          <cell r="CE18">
            <v>5.9246404276246327E-2</v>
          </cell>
          <cell r="CG18">
            <v>6.0678318416897192E-2</v>
          </cell>
          <cell r="CI18">
            <v>5.6000000000000001E-2</v>
          </cell>
          <cell r="CK18">
            <v>5.6500000000000002E-2</v>
          </cell>
          <cell r="CM18">
            <v>5.6800000000000003E-2</v>
          </cell>
          <cell r="CO18">
            <v>5.5800000000000002E-2</v>
          </cell>
          <cell r="CQ18">
            <v>5.6270822281167115E-2</v>
          </cell>
        </row>
        <row r="20">
          <cell r="BO20">
            <v>0.501</v>
          </cell>
          <cell r="BP20">
            <v>1.2876712328767121</v>
          </cell>
          <cell r="BQ20">
            <v>0.502</v>
          </cell>
          <cell r="BR20">
            <v>1.9960079840319889E-3</v>
          </cell>
          <cell r="BS20">
            <v>0.501</v>
          </cell>
          <cell r="BT20">
            <v>0</v>
          </cell>
          <cell r="BU20">
            <v>0.50199999999999989</v>
          </cell>
          <cell r="BV20">
            <v>-2.2204460492503131E-16</v>
          </cell>
          <cell r="BW20">
            <v>2.0059999999999998</v>
          </cell>
          <cell r="BX20">
            <v>0.16424840394660456</v>
          </cell>
          <cell r="BY20">
            <v>0.56699999999999995</v>
          </cell>
          <cell r="BZ20">
            <v>0.13173652694610771</v>
          </cell>
          <cell r="CA20">
            <v>0.63400000000000001</v>
          </cell>
          <cell r="CB20">
            <v>0.26294820717131473</v>
          </cell>
          <cell r="CC20">
            <v>0.82499999999999996</v>
          </cell>
          <cell r="CD20">
            <v>0.6467065868263473</v>
          </cell>
          <cell r="CE20">
            <v>0.82499999999999996</v>
          </cell>
          <cell r="CF20">
            <v>0.64342629482071745</v>
          </cell>
          <cell r="CG20">
            <v>2.851</v>
          </cell>
          <cell r="CH20">
            <v>0.42123629112662031</v>
          </cell>
          <cell r="CI20">
            <v>0.82</v>
          </cell>
          <cell r="CJ20">
            <v>0.44620811287477968</v>
          </cell>
          <cell r="CK20">
            <v>0.82</v>
          </cell>
          <cell r="CL20">
            <v>0.29337539432176651</v>
          </cell>
          <cell r="CM20">
            <v>0.82</v>
          </cell>
          <cell r="CN20">
            <v>-6.0606060606060996E-3</v>
          </cell>
          <cell r="CO20">
            <v>0.82399999999999995</v>
          </cell>
          <cell r="CP20">
            <v>-1.2121212121212199E-3</v>
          </cell>
          <cell r="CQ20">
            <v>3.2839999999999998</v>
          </cell>
          <cell r="CR20">
            <v>0.15187653454928096</v>
          </cell>
        </row>
        <row r="21">
          <cell r="BO21">
            <v>4.002428619361848E-3</v>
          </cell>
          <cell r="BQ21">
            <v>3.7512236312143652E-3</v>
          </cell>
          <cell r="BS21">
            <v>3.3355970119442334E-3</v>
          </cell>
          <cell r="BU21">
            <v>3.1259340440370608E-3</v>
          </cell>
          <cell r="BW21">
            <v>3.5206138434186796E-3</v>
          </cell>
          <cell r="BY21">
            <v>3.5636395633127389E-3</v>
          </cell>
          <cell r="CA21">
            <v>3.6829203118283319E-3</v>
          </cell>
          <cell r="CC21">
            <v>4.1848644864790827E-3</v>
          </cell>
          <cell r="CE21">
            <v>4.2484383770450421E-3</v>
          </cell>
          <cell r="CG21">
            <v>3.9455784195820253E-3</v>
          </cell>
          <cell r="CI21">
            <v>3.8679245283018866E-3</v>
          </cell>
          <cell r="CK21">
            <v>3.6363636363636364E-3</v>
          </cell>
          <cell r="CM21">
            <v>3.3675564681724846E-3</v>
          </cell>
          <cell r="CO21">
            <v>3.1510516252390057E-3</v>
          </cell>
          <cell r="CQ21">
            <v>3.4843501326259946E-3</v>
          </cell>
        </row>
        <row r="22">
          <cell r="BO22">
            <v>18.429000000000013</v>
          </cell>
          <cell r="BP22">
            <v>0.61431324456902625</v>
          </cell>
          <cell r="BQ22">
            <v>17.778000000000002</v>
          </cell>
          <cell r="BR22">
            <v>0.35050136736554305</v>
          </cell>
          <cell r="BS22">
            <v>21.149000000000004</v>
          </cell>
          <cell r="BT22">
            <v>0.46583032991405648</v>
          </cell>
          <cell r="BU22">
            <v>10.839000000000036</v>
          </cell>
          <cell r="BV22">
            <v>-0.33588628147785182</v>
          </cell>
          <cell r="BW22">
            <v>68.19500000000005</v>
          </cell>
          <cell r="BX22">
            <v>0.23253628296191775</v>
          </cell>
          <cell r="BY22">
            <v>24.114999999999995</v>
          </cell>
          <cell r="BZ22">
            <v>0.30853546041564806</v>
          </cell>
          <cell r="CA22">
            <v>26.432999999999979</v>
          </cell>
          <cell r="CB22">
            <v>0.48683766452919208</v>
          </cell>
          <cell r="CC22">
            <v>30.820000000000011</v>
          </cell>
          <cell r="CD22">
            <v>0.45727930398600436</v>
          </cell>
          <cell r="CE22">
            <v>30.603999999999996</v>
          </cell>
          <cell r="CF22">
            <v>1.8235077036626897</v>
          </cell>
          <cell r="CG22">
            <v>111.97199999999998</v>
          </cell>
          <cell r="CH22">
            <v>0.64193855854534632</v>
          </cell>
          <cell r="CI22">
            <v>34.265999999999998</v>
          </cell>
          <cell r="CJ22">
            <v>0.42094132282811558</v>
          </cell>
          <cell r="CK22">
            <v>35.823750000000004</v>
          </cell>
          <cell r="CL22">
            <v>0.35526614459198846</v>
          </cell>
          <cell r="CM22">
            <v>37.458199999999984</v>
          </cell>
          <cell r="CN22">
            <v>0.21538611291369136</v>
          </cell>
          <cell r="CO22">
            <v>40.022299999999987</v>
          </cell>
          <cell r="CP22">
            <v>0.30774735328715175</v>
          </cell>
          <cell r="CQ22">
            <v>147.57024999999999</v>
          </cell>
          <cell r="CR22">
            <v>0.31792099810666974</v>
          </cell>
        </row>
        <row r="23">
          <cell r="BO23">
            <v>0.14722705993257396</v>
          </cell>
          <cell r="BQ23">
            <v>0.13284711895563545</v>
          </cell>
          <cell r="BS23">
            <v>0.14080746747626469</v>
          </cell>
          <cell r="BU23">
            <v>6.7494022118162994E-2</v>
          </cell>
          <cell r="BW23">
            <v>0.11968507530006833</v>
          </cell>
          <cell r="BY23">
            <v>0.15156467031620227</v>
          </cell>
          <cell r="CA23">
            <v>0.15354989369488678</v>
          </cell>
          <cell r="CC23">
            <v>0.15633639208883077</v>
          </cell>
          <cell r="CE23">
            <v>0.15759904011040785</v>
          </cell>
          <cell r="CG23">
            <v>0.15496117390299491</v>
          </cell>
          <cell r="CI23">
            <v>0.16163207547169811</v>
          </cell>
          <cell r="CK23">
            <v>0.15886363636363637</v>
          </cell>
          <cell r="CM23">
            <v>0.15383244353182746</v>
          </cell>
          <cell r="CO23">
            <v>0.15304894837476093</v>
          </cell>
          <cell r="CQ23">
            <v>0.15657320954907161</v>
          </cell>
        </row>
        <row r="24">
          <cell r="BO24">
            <v>0.1590501893724629</v>
          </cell>
          <cell r="BQ24">
            <v>0.11473901474647515</v>
          </cell>
          <cell r="BS24">
            <v>0.13951219512195129</v>
          </cell>
          <cell r="BU24">
            <v>-0.12095137234136537</v>
          </cell>
          <cell r="BW24">
            <v>7.2360169848991657E-2</v>
          </cell>
          <cell r="BY24">
            <v>0.16756549671411261</v>
          </cell>
          <cell r="CA24">
            <v>0.22584348824465675</v>
          </cell>
          <cell r="CC24">
            <v>0.20602458405232113</v>
          </cell>
          <cell r="CE24">
            <v>0.58829657409887692</v>
          </cell>
          <cell r="CG24">
            <v>0.28650994148984865</v>
          </cell>
          <cell r="CI24">
            <v>0.19191575444765854</v>
          </cell>
          <cell r="CK24">
            <v>0.17600835926078687</v>
          </cell>
          <cell r="CM24">
            <v>0.14318500463751804</v>
          </cell>
          <cell r="CO24">
            <v>0.13992215239708217</v>
          </cell>
          <cell r="CQ24">
            <v>0.16186982479913073</v>
          </cell>
        </row>
        <row r="26">
          <cell r="BO26">
            <v>0.58699999999999997</v>
          </cell>
          <cell r="BP26">
            <v>1.7429906542056073</v>
          </cell>
          <cell r="BQ26">
            <v>0.68799999999999994</v>
          </cell>
          <cell r="BR26">
            <v>1.3164983164983166</v>
          </cell>
          <cell r="BS26">
            <v>0.68100000000000005</v>
          </cell>
          <cell r="BT26">
            <v>0.70250000000000012</v>
          </cell>
          <cell r="BU26">
            <v>0.50600000000000023</v>
          </cell>
          <cell r="BV26">
            <v>0.16589861751152135</v>
          </cell>
          <cell r="BW26">
            <v>2.4620000000000002</v>
          </cell>
          <cell r="BX26">
            <v>0.83048327137546485</v>
          </cell>
          <cell r="BY26">
            <v>0.47099999999999997</v>
          </cell>
          <cell r="BZ26">
            <v>-0.19761499148211248</v>
          </cell>
          <cell r="CA26">
            <v>-0.154</v>
          </cell>
          <cell r="CB26" t="str">
            <v xml:space="preserve">     N.M.</v>
          </cell>
          <cell r="CC26">
            <v>0.29799999999999999</v>
          </cell>
          <cell r="CD26">
            <v>-0.56240822320117478</v>
          </cell>
          <cell r="CE26">
            <v>7.2999999999999954E-2</v>
          </cell>
          <cell r="CF26">
            <v>-0.85573122529644285</v>
          </cell>
          <cell r="CG26">
            <v>0.68799999999999994</v>
          </cell>
          <cell r="CH26">
            <v>-0.72055239642567015</v>
          </cell>
          <cell r="CI26">
            <v>-1.6</v>
          </cell>
          <cell r="CJ26" t="str">
            <v xml:space="preserve">     N.M.</v>
          </cell>
          <cell r="CK26">
            <v>-1.6</v>
          </cell>
          <cell r="CL26">
            <v>9.3896103896103895</v>
          </cell>
          <cell r="CM26">
            <v>-1.6</v>
          </cell>
          <cell r="CN26" t="str">
            <v xml:space="preserve">     N.M.</v>
          </cell>
          <cell r="CO26">
            <v>-1.6</v>
          </cell>
          <cell r="CP26" t="str">
            <v xml:space="preserve">     N.M.</v>
          </cell>
          <cell r="CQ26">
            <v>-6.4</v>
          </cell>
          <cell r="CR26" t="str">
            <v xml:space="preserve">     N.M.</v>
          </cell>
        </row>
        <row r="27">
          <cell r="BO27">
            <v>0</v>
          </cell>
          <cell r="BP27" t="str">
            <v xml:space="preserve">      N.M.</v>
          </cell>
          <cell r="BQ27">
            <v>0</v>
          </cell>
          <cell r="BR27" t="str">
            <v xml:space="preserve">      N.M.</v>
          </cell>
          <cell r="BS27">
            <v>0</v>
          </cell>
          <cell r="BT27" t="str">
            <v xml:space="preserve">      N.M.</v>
          </cell>
          <cell r="BU27">
            <v>8.8759999999999994</v>
          </cell>
          <cell r="BV27" t="str">
            <v xml:space="preserve">      N.M.</v>
          </cell>
          <cell r="BW27">
            <v>8.8759999999999994</v>
          </cell>
          <cell r="BX27" t="str">
            <v xml:space="preserve">     N.M.</v>
          </cell>
          <cell r="BY27">
            <v>3.9449999999999998</v>
          </cell>
          <cell r="BZ27" t="str">
            <v xml:space="preserve">      N.M.</v>
          </cell>
          <cell r="CA27">
            <v>0</v>
          </cell>
          <cell r="CB27" t="str">
            <v xml:space="preserve">      N.M.</v>
          </cell>
          <cell r="CC27">
            <v>0</v>
          </cell>
          <cell r="CD27" t="str">
            <v xml:space="preserve">      N.M.</v>
          </cell>
          <cell r="CE27">
            <v>0</v>
          </cell>
          <cell r="CF27">
            <v>-1</v>
          </cell>
          <cell r="CG27">
            <v>3.9449999999999998</v>
          </cell>
          <cell r="CH27">
            <v>-0.55554303740423605</v>
          </cell>
          <cell r="CI27">
            <v>0</v>
          </cell>
          <cell r="CJ27">
            <v>-1</v>
          </cell>
          <cell r="CK27">
            <v>0</v>
          </cell>
          <cell r="CL27" t="str">
            <v xml:space="preserve">      N.M.</v>
          </cell>
          <cell r="CM27">
            <v>0</v>
          </cell>
          <cell r="CN27" t="str">
            <v xml:space="preserve">      N.M.</v>
          </cell>
          <cell r="CO27">
            <v>0</v>
          </cell>
          <cell r="CP27" t="str">
            <v xml:space="preserve">      N.M.</v>
          </cell>
          <cell r="CQ27">
            <v>0</v>
          </cell>
          <cell r="CR27">
            <v>-1</v>
          </cell>
        </row>
        <row r="28">
          <cell r="BO28">
            <v>17.842000000000013</v>
          </cell>
          <cell r="BP28">
            <v>0.59275129441171259</v>
          </cell>
          <cell r="BQ28">
            <v>17.090000000000003</v>
          </cell>
          <cell r="BR28">
            <v>0.32820393254060853</v>
          </cell>
          <cell r="BS28">
            <v>20.468000000000004</v>
          </cell>
          <cell r="BT28">
            <v>0.45908183632734567</v>
          </cell>
          <cell r="BU28">
            <v>1.4570000000000363</v>
          </cell>
          <cell r="BV28">
            <v>-0.90828979668911514</v>
          </cell>
          <cell r="BW28">
            <v>56.857000000000049</v>
          </cell>
          <cell r="BX28">
            <v>5.3219472436276671E-2</v>
          </cell>
          <cell r="BY28">
            <v>19.698999999999995</v>
          </cell>
          <cell r="BZ28">
            <v>0.10408026006053017</v>
          </cell>
          <cell r="CA28">
            <v>26.586999999999978</v>
          </cell>
          <cell r="CB28">
            <v>0.55570509069631213</v>
          </cell>
          <cell r="CC28">
            <v>30.522000000000013</v>
          </cell>
          <cell r="CD28">
            <v>0.49120578463943754</v>
          </cell>
          <cell r="CE28">
            <v>30.530999999999995</v>
          </cell>
          <cell r="CF28">
            <v>19.954701441317251</v>
          </cell>
          <cell r="CG28">
            <v>107.33899999999998</v>
          </cell>
          <cell r="CH28">
            <v>0.88787660270502999</v>
          </cell>
          <cell r="CI28">
            <v>35.866</v>
          </cell>
          <cell r="CJ28">
            <v>0.82070155845474435</v>
          </cell>
          <cell r="CK28">
            <v>37.423750000000005</v>
          </cell>
          <cell r="CL28">
            <v>0.4075958175047969</v>
          </cell>
          <cell r="CM28">
            <v>39.058199999999985</v>
          </cell>
          <cell r="CN28">
            <v>0.27967367800275111</v>
          </cell>
          <cell r="CO28">
            <v>41.622299999999989</v>
          </cell>
          <cell r="CP28">
            <v>0.36327994497396077</v>
          </cell>
          <cell r="CQ28">
            <v>153.97024999999999</v>
          </cell>
          <cell r="CR28">
            <v>0.43442970402183745</v>
          </cell>
        </row>
        <row r="29">
          <cell r="BO29">
            <v>0.14253758767795238</v>
          </cell>
          <cell r="BQ29">
            <v>0.12770599971604285</v>
          </cell>
          <cell r="BS29">
            <v>0.13627345237619676</v>
          </cell>
          <cell r="BU29">
            <v>9.0726810800042072E-3</v>
          </cell>
          <cell r="BW29">
            <v>9.9786411413387871E-2</v>
          </cell>
          <cell r="BY29">
            <v>0.12380976324108929</v>
          </cell>
          <cell r="CA29">
            <v>0.1544444831712615</v>
          </cell>
          <cell r="CC29">
            <v>0.1548247683106844</v>
          </cell>
          <cell r="CE29">
            <v>0.15722311768431779</v>
          </cell>
          <cell r="CG29">
            <v>0.14854943598018763</v>
          </cell>
          <cell r="CI29">
            <v>0.16917924528301886</v>
          </cell>
          <cell r="CK29">
            <v>0.16595898004434592</v>
          </cell>
          <cell r="CM29">
            <v>0.16040328542094451</v>
          </cell>
          <cell r="CO29">
            <v>0.15916749521988524</v>
          </cell>
          <cell r="CQ29">
            <v>0.16336366047745357</v>
          </cell>
        </row>
        <row r="31">
          <cell r="BO31">
            <v>6.0289999999999999</v>
          </cell>
          <cell r="BP31">
            <v>0.72011412268188302</v>
          </cell>
          <cell r="BQ31">
            <v>6.4089999999999998</v>
          </cell>
          <cell r="BR31">
            <v>0.58913959831391005</v>
          </cell>
          <cell r="BS31">
            <v>7.0490000000000004</v>
          </cell>
          <cell r="BT31">
            <v>0.5284041630529055</v>
          </cell>
          <cell r="BU31">
            <v>6.8450000000000024</v>
          </cell>
          <cell r="BV31">
            <v>0.29910799013095479</v>
          </cell>
          <cell r="BW31">
            <v>26.332000000000001</v>
          </cell>
          <cell r="BX31">
            <v>0.51168264538722075</v>
          </cell>
          <cell r="BY31">
            <v>7.1909999999999998</v>
          </cell>
          <cell r="BZ31">
            <v>0.19273511361751527</v>
          </cell>
          <cell r="CA31">
            <v>9.7140000000000004</v>
          </cell>
          <cell r="CB31">
            <v>0.51568107349040426</v>
          </cell>
          <cell r="CC31">
            <v>11.141</v>
          </cell>
          <cell r="CD31">
            <v>0.58050787345722799</v>
          </cell>
          <cell r="CE31">
            <v>11.142000000000007</v>
          </cell>
          <cell r="CF31">
            <v>0.62775748721694713</v>
          </cell>
          <cell r="CG31">
            <v>39.188000000000002</v>
          </cell>
          <cell r="CH31">
            <v>0.48822725201276018</v>
          </cell>
          <cell r="CI31">
            <v>13.091089999999999</v>
          </cell>
          <cell r="CJ31">
            <v>0.82048254762898054</v>
          </cell>
          <cell r="CK31">
            <v>13.659668750000002</v>
          </cell>
          <cell r="CL31">
            <v>0.40618372966851979</v>
          </cell>
          <cell r="CM31">
            <v>14.256242999999994</v>
          </cell>
          <cell r="CN31">
            <v>0.27961969302576017</v>
          </cell>
          <cell r="CO31">
            <v>15.192139499999996</v>
          </cell>
          <cell r="CP31">
            <v>0.36350201938610538</v>
          </cell>
          <cell r="CQ31">
            <v>56.199141249999997</v>
          </cell>
          <cell r="CR31">
            <v>0.43409056981729077</v>
          </cell>
        </row>
        <row r="32">
          <cell r="BO32">
            <v>0.33791054814482657</v>
          </cell>
          <cell r="BQ32">
            <v>0.3750146284376828</v>
          </cell>
          <cell r="BS32">
            <v>0.34439124487004102</v>
          </cell>
          <cell r="BU32">
            <v>4.6980096087850596</v>
          </cell>
          <cell r="BW32">
            <v>0.46312679177585836</v>
          </cell>
          <cell r="BY32">
            <v>0.36504391085841931</v>
          </cell>
          <cell r="CA32">
            <v>0.36536653251589152</v>
          </cell>
          <cell r="CC32">
            <v>0.36501539872878563</v>
          </cell>
          <cell r="CE32">
            <v>0.36494055222560701</v>
          </cell>
          <cell r="CG32">
            <v>0.36508631531875652</v>
          </cell>
          <cell r="CI32">
            <v>0.36499999999999999</v>
          </cell>
          <cell r="CK32">
            <v>0.36499999999999999</v>
          </cell>
          <cell r="CM32">
            <v>0.36499999999999999</v>
          </cell>
          <cell r="CO32">
            <v>0.36499999999999999</v>
          </cell>
          <cell r="CQ32">
            <v>0.36499999999999999</v>
          </cell>
        </row>
        <row r="33">
          <cell r="BO33">
            <v>0</v>
          </cell>
          <cell r="BP33" t="str">
            <v xml:space="preserve">      N.M.</v>
          </cell>
          <cell r="BQ33">
            <v>0</v>
          </cell>
          <cell r="BR33" t="str">
            <v xml:space="preserve">      N.M.</v>
          </cell>
          <cell r="BS33">
            <v>0</v>
          </cell>
          <cell r="BT33" t="str">
            <v xml:space="preserve">      N.M.</v>
          </cell>
          <cell r="BU33">
            <v>0</v>
          </cell>
          <cell r="BV33" t="str">
            <v xml:space="preserve">      N.M.</v>
          </cell>
          <cell r="BW33">
            <v>0</v>
          </cell>
          <cell r="BX33" t="e">
            <v>#DIV/0!</v>
          </cell>
          <cell r="BY33">
            <v>0</v>
          </cell>
          <cell r="BZ33" t="str">
            <v xml:space="preserve">      N.M.</v>
          </cell>
          <cell r="CA33">
            <v>0</v>
          </cell>
          <cell r="CB33" t="str">
            <v xml:space="preserve">      N.M.</v>
          </cell>
          <cell r="CC33">
            <v>0</v>
          </cell>
          <cell r="CD33" t="str">
            <v xml:space="preserve">      N.M.</v>
          </cell>
          <cell r="CE33">
            <v>0</v>
          </cell>
          <cell r="CF33" t="str">
            <v xml:space="preserve">      N.M.</v>
          </cell>
          <cell r="CG33">
            <v>0</v>
          </cell>
          <cell r="CH33" t="e">
            <v>#DIV/0!</v>
          </cell>
          <cell r="CI33">
            <v>0</v>
          </cell>
          <cell r="CJ33" t="str">
            <v xml:space="preserve">      N.M.</v>
          </cell>
          <cell r="CK33">
            <v>0</v>
          </cell>
          <cell r="CL33" t="str">
            <v xml:space="preserve">      N.M.</v>
          </cell>
          <cell r="CM33">
            <v>0</v>
          </cell>
          <cell r="CN33" t="str">
            <v xml:space="preserve">      N.M.</v>
          </cell>
          <cell r="CO33">
            <v>0</v>
          </cell>
          <cell r="CP33" t="str">
            <v xml:space="preserve">      N.M.</v>
          </cell>
          <cell r="CQ33">
            <v>0</v>
          </cell>
          <cell r="CR33" t="e">
            <v>#DIV/0!</v>
          </cell>
        </row>
        <row r="34">
          <cell r="BO34">
            <v>11.813000000000013</v>
          </cell>
          <cell r="BP34">
            <v>0.53475380018188967</v>
          </cell>
          <cell r="BQ34">
            <v>10.681000000000004</v>
          </cell>
          <cell r="BR34">
            <v>0.20907856010867198</v>
          </cell>
          <cell r="BS34">
            <v>13.419000000000004</v>
          </cell>
          <cell r="BT34">
            <v>0.42512744265080782</v>
          </cell>
          <cell r="BU34">
            <v>-5.3879999999999661</v>
          </cell>
          <cell r="BV34" t="str">
            <v xml:space="preserve">     N.M.</v>
          </cell>
          <cell r="BW34">
            <v>30.525000000000048</v>
          </cell>
          <cell r="BX34">
            <v>-0.16518528647613895</v>
          </cell>
          <cell r="BY34">
            <v>12.507999999999996</v>
          </cell>
          <cell r="BZ34">
            <v>5.8833488529584477E-2</v>
          </cell>
          <cell r="CA34">
            <v>16.872999999999976</v>
          </cell>
          <cell r="CB34">
            <v>0.57972099990637282</v>
          </cell>
          <cell r="CC34">
            <v>19.381000000000014</v>
          </cell>
          <cell r="CD34">
            <v>0.44429540204188145</v>
          </cell>
          <cell r="CE34">
            <v>19.388999999999989</v>
          </cell>
          <cell r="CF34" t="str">
            <v xml:space="preserve">     N.M.</v>
          </cell>
          <cell r="CG34">
            <v>68.150999999999982</v>
          </cell>
          <cell r="CH34">
            <v>1.2326289926289884</v>
          </cell>
          <cell r="CI34">
            <v>22.774909999999998</v>
          </cell>
          <cell r="CJ34">
            <v>0.82082747041893245</v>
          </cell>
          <cell r="CK34">
            <v>23.764081250000004</v>
          </cell>
          <cell r="CL34">
            <v>0.40840877437326117</v>
          </cell>
          <cell r="CM34">
            <v>24.801956999999991</v>
          </cell>
          <cell r="CN34">
            <v>0.27970471079923498</v>
          </cell>
          <cell r="CO34">
            <v>26.430160499999992</v>
          </cell>
          <cell r="CP34">
            <v>0.36315232863995095</v>
          </cell>
          <cell r="CQ34">
            <v>97.771108749999996</v>
          </cell>
          <cell r="CR34">
            <v>0.43462471203650743</v>
          </cell>
        </row>
        <row r="35">
          <cell r="BO35">
            <v>0</v>
          </cell>
          <cell r="BP35" t="str">
            <v xml:space="preserve">      N.M.</v>
          </cell>
          <cell r="BQ35">
            <v>0</v>
          </cell>
          <cell r="BR35" t="str">
            <v xml:space="preserve">      N.M.</v>
          </cell>
          <cell r="BS35">
            <v>0</v>
          </cell>
          <cell r="BT35" t="str">
            <v xml:space="preserve">      N.M.</v>
          </cell>
          <cell r="BU35">
            <v>0</v>
          </cell>
          <cell r="BV35" t="str">
            <v xml:space="preserve">      N.M.</v>
          </cell>
          <cell r="BW35">
            <v>0</v>
          </cell>
          <cell r="BX35" t="e">
            <v>#DIV/0!</v>
          </cell>
          <cell r="BY35">
            <v>0</v>
          </cell>
          <cell r="BZ35" t="str">
            <v xml:space="preserve">      N.M.</v>
          </cell>
          <cell r="CA35">
            <v>0</v>
          </cell>
          <cell r="CB35" t="str">
            <v xml:space="preserve">      N.M.</v>
          </cell>
          <cell r="CC35">
            <v>0</v>
          </cell>
          <cell r="CD35" t="str">
            <v xml:space="preserve">      N.M.</v>
          </cell>
          <cell r="CE35">
            <v>0</v>
          </cell>
          <cell r="CF35" t="str">
            <v xml:space="preserve">      N.M.</v>
          </cell>
          <cell r="CG35">
            <v>0</v>
          </cell>
          <cell r="CH35" t="e">
            <v>#DIV/0!</v>
          </cell>
          <cell r="CI35">
            <v>0</v>
          </cell>
          <cell r="CJ35" t="str">
            <v xml:space="preserve">      N.M.</v>
          </cell>
          <cell r="CK35">
            <v>0</v>
          </cell>
          <cell r="CL35" t="str">
            <v xml:space="preserve">      N.M.</v>
          </cell>
          <cell r="CM35">
            <v>0</v>
          </cell>
          <cell r="CN35" t="str">
            <v xml:space="preserve">      N.M.</v>
          </cell>
          <cell r="CO35">
            <v>0</v>
          </cell>
          <cell r="CP35" t="str">
            <v xml:space="preserve">      N.M.</v>
          </cell>
          <cell r="CQ35">
            <v>0</v>
          </cell>
          <cell r="CR35" t="e">
            <v>#DIV/0!</v>
          </cell>
        </row>
        <row r="36">
          <cell r="BO36">
            <v>0</v>
          </cell>
          <cell r="BP36" t="str">
            <v>N.M.</v>
          </cell>
          <cell r="BQ36">
            <v>0</v>
          </cell>
          <cell r="BR36" t="str">
            <v>N.M.</v>
          </cell>
          <cell r="BS36">
            <v>0</v>
          </cell>
          <cell r="BT36" t="str">
            <v>N.M.</v>
          </cell>
          <cell r="BU36">
            <v>0</v>
          </cell>
          <cell r="BV36" t="str">
            <v>N.M.</v>
          </cell>
          <cell r="BW36">
            <v>0</v>
          </cell>
          <cell r="BX36" t="e">
            <v>#DIV/0!</v>
          </cell>
          <cell r="BY36">
            <v>0</v>
          </cell>
          <cell r="BZ36" t="str">
            <v>N.M.</v>
          </cell>
          <cell r="CA36">
            <v>0</v>
          </cell>
          <cell r="CB36" t="str">
            <v>N.M.</v>
          </cell>
          <cell r="CC36">
            <v>0</v>
          </cell>
          <cell r="CD36" t="str">
            <v>N.M.</v>
          </cell>
          <cell r="CE36">
            <v>0</v>
          </cell>
          <cell r="CF36" t="str">
            <v>N.M.</v>
          </cell>
          <cell r="CG36">
            <v>0</v>
          </cell>
          <cell r="CH36" t="e">
            <v>#DIV/0!</v>
          </cell>
          <cell r="CI36">
            <v>0</v>
          </cell>
          <cell r="CJ36" t="str">
            <v>N.M.</v>
          </cell>
          <cell r="CK36">
            <v>0</v>
          </cell>
          <cell r="CL36" t="str">
            <v>N.M.</v>
          </cell>
          <cell r="CM36">
            <v>0</v>
          </cell>
          <cell r="CN36" t="str">
            <v>N.M.</v>
          </cell>
          <cell r="CO36">
            <v>0</v>
          </cell>
          <cell r="CP36" t="str">
            <v>N.M.</v>
          </cell>
          <cell r="CQ36">
            <v>0</v>
          </cell>
          <cell r="CR36" t="e">
            <v>#DIV/0!</v>
          </cell>
        </row>
        <row r="37">
          <cell r="BO37">
            <v>11.813000000000013</v>
          </cell>
          <cell r="BP37">
            <v>0.53475380018188967</v>
          </cell>
          <cell r="BQ37">
            <v>10.681000000000004</v>
          </cell>
          <cell r="BR37">
            <v>0.20907856010867198</v>
          </cell>
          <cell r="BS37">
            <v>13.419000000000004</v>
          </cell>
          <cell r="BT37">
            <v>0.42512744265080782</v>
          </cell>
          <cell r="BU37">
            <v>-5.3879999999999661</v>
          </cell>
          <cell r="BV37" t="str">
            <v xml:space="preserve">     N.M.</v>
          </cell>
          <cell r="BW37">
            <v>30.525000000000059</v>
          </cell>
          <cell r="BX37">
            <v>-0.16518528647613862</v>
          </cell>
          <cell r="BY37">
            <v>12.507999999999996</v>
          </cell>
          <cell r="BZ37">
            <v>5.8833488529584477E-2</v>
          </cell>
          <cell r="CA37">
            <v>16.872999999999976</v>
          </cell>
          <cell r="CB37">
            <v>0.57972099990637282</v>
          </cell>
          <cell r="CC37">
            <v>19.381000000000014</v>
          </cell>
          <cell r="CD37">
            <v>0.44429540204188145</v>
          </cell>
          <cell r="CE37">
            <v>19.388999999999989</v>
          </cell>
          <cell r="CF37" t="str">
            <v xml:space="preserve">     N.M.</v>
          </cell>
          <cell r="CG37">
            <v>68.150999999999982</v>
          </cell>
          <cell r="CH37">
            <v>1.2326289926289875</v>
          </cell>
          <cell r="CI37">
            <v>22.774909999999998</v>
          </cell>
          <cell r="CJ37">
            <v>0.82082747041893245</v>
          </cell>
          <cell r="CK37">
            <v>23.764081250000004</v>
          </cell>
          <cell r="CL37">
            <v>0.40840877437326117</v>
          </cell>
          <cell r="CM37">
            <v>24.801956999999991</v>
          </cell>
          <cell r="CN37">
            <v>0.27970471079923498</v>
          </cell>
          <cell r="CO37">
            <v>26.430160499999992</v>
          </cell>
          <cell r="CP37">
            <v>0.36315232863995095</v>
          </cell>
          <cell r="CQ37">
            <v>97.771108749999996</v>
          </cell>
          <cell r="CR37">
            <v>0.43462471203650743</v>
          </cell>
        </row>
        <row r="38">
          <cell r="BO38">
            <v>0</v>
          </cell>
          <cell r="BP38" t="str">
            <v>N.M.</v>
          </cell>
          <cell r="BQ38">
            <v>0</v>
          </cell>
          <cell r="BR38" t="str">
            <v>N.M.</v>
          </cell>
          <cell r="BS38">
            <v>0</v>
          </cell>
          <cell r="BT38" t="str">
            <v>N.M.</v>
          </cell>
          <cell r="BU38">
            <v>0</v>
          </cell>
          <cell r="BV38" t="str">
            <v>N.M.</v>
          </cell>
          <cell r="BW38">
            <v>0</v>
          </cell>
          <cell r="BX38" t="e">
            <v>#DIV/0!</v>
          </cell>
          <cell r="BY38">
            <v>0</v>
          </cell>
          <cell r="BZ38" t="str">
            <v>N.M.</v>
          </cell>
          <cell r="CA38">
            <v>0</v>
          </cell>
          <cell r="CB38" t="str">
            <v>N.M.</v>
          </cell>
          <cell r="CC38">
            <v>0</v>
          </cell>
          <cell r="CD38" t="str">
            <v>N.M.</v>
          </cell>
          <cell r="CE38">
            <v>0</v>
          </cell>
          <cell r="CF38" t="str">
            <v>N.M.</v>
          </cell>
          <cell r="CG38">
            <v>0</v>
          </cell>
          <cell r="CH38" t="e">
            <v>#DIV/0!</v>
          </cell>
          <cell r="CI38">
            <v>0</v>
          </cell>
          <cell r="CJ38" t="str">
            <v>N.M.</v>
          </cell>
          <cell r="CK38">
            <v>0</v>
          </cell>
          <cell r="CL38" t="str">
            <v>N.M.</v>
          </cell>
          <cell r="CM38">
            <v>0</v>
          </cell>
          <cell r="CN38" t="str">
            <v>N.M.</v>
          </cell>
          <cell r="CO38">
            <v>0</v>
          </cell>
          <cell r="CP38" t="str">
            <v>N.M.</v>
          </cell>
          <cell r="CQ38">
            <v>0</v>
          </cell>
          <cell r="CR38" t="e">
            <v>#DIV/0!</v>
          </cell>
        </row>
        <row r="39">
          <cell r="BO39">
            <v>11.813000000000013</v>
          </cell>
          <cell r="BP39">
            <v>0.53475380018188967</v>
          </cell>
          <cell r="BQ39">
            <v>10.681000000000004</v>
          </cell>
          <cell r="BR39">
            <v>0.20907856010867198</v>
          </cell>
          <cell r="BS39">
            <v>13.419000000000004</v>
          </cell>
          <cell r="BT39">
            <v>0.42512744265080782</v>
          </cell>
          <cell r="BU39">
            <v>-5.3879999999999661</v>
          </cell>
          <cell r="BV39" t="str">
            <v xml:space="preserve">     N.M.</v>
          </cell>
          <cell r="BW39">
            <v>30.525000000000059</v>
          </cell>
          <cell r="BX39">
            <v>-0.16518528647613862</v>
          </cell>
          <cell r="BY39">
            <v>12.507999999999996</v>
          </cell>
          <cell r="BZ39">
            <v>5.8833488529584477E-2</v>
          </cell>
          <cell r="CA39">
            <v>16.872999999999976</v>
          </cell>
          <cell r="CB39">
            <v>0.57972099990637282</v>
          </cell>
          <cell r="CC39">
            <v>19.381000000000014</v>
          </cell>
          <cell r="CD39">
            <v>0.44429540204188145</v>
          </cell>
          <cell r="CE39">
            <v>19.388999999999989</v>
          </cell>
          <cell r="CF39" t="str">
            <v xml:space="preserve">     N.M.</v>
          </cell>
          <cell r="CG39">
            <v>68.150999999999982</v>
          </cell>
          <cell r="CH39">
            <v>1.2326289926289875</v>
          </cell>
          <cell r="CI39">
            <v>22.774909999999998</v>
          </cell>
          <cell r="CJ39">
            <v>0.82082747041893245</v>
          </cell>
          <cell r="CK39">
            <v>23.764081250000004</v>
          </cell>
          <cell r="CL39">
            <v>0.40840877437326117</v>
          </cell>
          <cell r="CM39">
            <v>24.801956999999991</v>
          </cell>
          <cell r="CN39">
            <v>0.27970471079923498</v>
          </cell>
          <cell r="CO39">
            <v>26.430160499999992</v>
          </cell>
          <cell r="CP39">
            <v>0.36315232863995095</v>
          </cell>
          <cell r="CQ39">
            <v>97.771108749999996</v>
          </cell>
          <cell r="CR39">
            <v>0.43462471203650743</v>
          </cell>
        </row>
        <row r="40">
          <cell r="BO40">
            <v>9.4372633294454222E-2</v>
          </cell>
          <cell r="BQ40">
            <v>7.9814381683268223E-2</v>
          </cell>
          <cell r="BS40">
            <v>8.9342068469620117E-2</v>
          </cell>
          <cell r="BU40">
            <v>-3.3550861811297975E-2</v>
          </cell>
          <cell r="BW40">
            <v>5.3572650832679668E-2</v>
          </cell>
          <cell r="BY40">
            <v>7.8613763065107103E-2</v>
          </cell>
          <cell r="CA40">
            <v>9.80156378887687E-2</v>
          </cell>
          <cell r="CC40">
            <v>9.8311343772668078E-2</v>
          </cell>
          <cell r="CE40">
            <v>9.9846026293971255E-2</v>
          </cell>
          <cell r="CG40">
            <v>9.4316069755501414E-2</v>
          </cell>
          <cell r="CI40">
            <v>0.10742882075471698</v>
          </cell>
          <cell r="CK40">
            <v>0.10538395232815967</v>
          </cell>
          <cell r="CM40">
            <v>0.10185608624229976</v>
          </cell>
          <cell r="CO40">
            <v>0.10107135946462713</v>
          </cell>
          <cell r="CQ40">
            <v>0.10373592440318302</v>
          </cell>
        </row>
        <row r="42">
          <cell r="BO42">
            <v>42.603999999999999</v>
          </cell>
          <cell r="BP42">
            <v>5.1379497556882647E-2</v>
          </cell>
          <cell r="BQ42">
            <v>40.200000000000003</v>
          </cell>
          <cell r="BR42">
            <v>-2.4603290144125656E-2</v>
          </cell>
          <cell r="BS42">
            <v>40.555999999999997</v>
          </cell>
          <cell r="BT42">
            <v>-2.9946421737466533E-2</v>
          </cell>
          <cell r="BU42">
            <v>40.718000000000004</v>
          </cell>
          <cell r="BV42">
            <v>-2.4952107279693325E-2</v>
          </cell>
          <cell r="BW42">
            <v>40.432000000000002</v>
          </cell>
          <cell r="BX42">
            <v>-2.2626184490427415E-2</v>
          </cell>
          <cell r="BY42">
            <v>41.213999999999999</v>
          </cell>
          <cell r="BZ42">
            <v>-3.2626044502863549E-2</v>
          </cell>
          <cell r="CA42">
            <v>41.451999999999998</v>
          </cell>
          <cell r="CB42">
            <v>3.1144278606965115E-2</v>
          </cell>
          <cell r="CC42">
            <v>41.859000000000002</v>
          </cell>
          <cell r="CD42">
            <v>3.2128415031068336E-2</v>
          </cell>
          <cell r="CE42">
            <v>44.795000000000002</v>
          </cell>
          <cell r="CF42">
            <v>0.10012770764772339</v>
          </cell>
          <cell r="CG42">
            <v>42.356000000000002</v>
          </cell>
          <cell r="CH42">
            <v>4.7586070439256112E-2</v>
          </cell>
          <cell r="CI42">
            <v>51.2</v>
          </cell>
          <cell r="CJ42">
            <v>0.24229630708011851</v>
          </cell>
          <cell r="CK42">
            <v>51.8</v>
          </cell>
          <cell r="CL42">
            <v>0.24963813567499749</v>
          </cell>
          <cell r="CM42">
            <v>52.3</v>
          </cell>
          <cell r="CN42">
            <v>0.24943261903055491</v>
          </cell>
          <cell r="CO42">
            <v>52.8</v>
          </cell>
          <cell r="CP42">
            <v>0.17870298024333064</v>
          </cell>
          <cell r="CQ42">
            <v>52.025000000000006</v>
          </cell>
          <cell r="CR42">
            <v>0.22827934649164239</v>
          </cell>
        </row>
        <row r="43">
          <cell r="BO43">
            <v>48.985999999999997</v>
          </cell>
          <cell r="BP43">
            <v>4.8546598741384228E-2</v>
          </cell>
          <cell r="BQ43">
            <v>49.188000000000002</v>
          </cell>
          <cell r="BR43">
            <v>3.4056508577194888E-2</v>
          </cell>
          <cell r="BS43">
            <v>49.347999999999999</v>
          </cell>
          <cell r="BT43">
            <v>2.9627774995827139E-2</v>
          </cell>
          <cell r="BU43">
            <v>40.92</v>
          </cell>
          <cell r="BV43">
            <v>-0.1524791847893624</v>
          </cell>
          <cell r="BW43">
            <v>49.426000000000002</v>
          </cell>
          <cell r="BX43">
            <v>3.1255216157569876E-2</v>
          </cell>
          <cell r="BY43">
            <v>50.225999999999999</v>
          </cell>
          <cell r="BZ43">
            <v>2.5313354836075552E-2</v>
          </cell>
          <cell r="CA43">
            <v>50.125999999999998</v>
          </cell>
          <cell r="CB43">
            <v>1.9069691794746602E-2</v>
          </cell>
          <cell r="CC43">
            <v>50.726999999999997</v>
          </cell>
          <cell r="CD43">
            <v>2.7944394909621417E-2</v>
          </cell>
          <cell r="CE43">
            <v>50.616</v>
          </cell>
          <cell r="CF43">
            <v>0.23695014662756586</v>
          </cell>
          <cell r="CG43">
            <v>50.4</v>
          </cell>
          <cell r="CH43">
            <v>1.9706227491603556E-2</v>
          </cell>
          <cell r="CI43">
            <v>51.2</v>
          </cell>
          <cell r="CJ43">
            <v>1.9392346593397836E-2</v>
          </cell>
          <cell r="CK43">
            <v>51.8</v>
          </cell>
          <cell r="CL43">
            <v>3.3395842476958038E-2</v>
          </cell>
          <cell r="CM43">
            <v>52.3</v>
          </cell>
          <cell r="CN43">
            <v>3.1009127289214788E-2</v>
          </cell>
          <cell r="CO43">
            <v>52.8</v>
          </cell>
          <cell r="CP43">
            <v>4.3148411569464251E-2</v>
          </cell>
          <cell r="CQ43">
            <v>52.025000000000006</v>
          </cell>
          <cell r="CR43">
            <v>3.2242063492063711E-2</v>
          </cell>
        </row>
        <row r="45">
          <cell r="BO45">
            <v>0.27727443432541576</v>
          </cell>
          <cell r="BP45">
            <v>0.4597524526093919</v>
          </cell>
          <cell r="BQ45">
            <v>0.26569651741293543</v>
          </cell>
          <cell r="BR45">
            <v>0.239576213341264</v>
          </cell>
          <cell r="BS45">
            <v>0.33087582601834514</v>
          </cell>
          <cell r="BT45">
            <v>0.46912240167533725</v>
          </cell>
          <cell r="BU45">
            <v>-0.13232477037182488</v>
          </cell>
          <cell r="BV45" t="str">
            <v xml:space="preserve">     N.M.</v>
          </cell>
          <cell r="BW45">
            <v>0.75497130985358252</v>
          </cell>
          <cell r="BX45">
            <v>-0.14585934237596243</v>
          </cell>
          <cell r="BY45">
            <v>0.30348910564371323</v>
          </cell>
          <cell r="BZ45">
            <v>9.4544134161071991E-2</v>
          </cell>
          <cell r="CA45">
            <v>0.40704911705104646</v>
          </cell>
          <cell r="CB45">
            <v>0.53200772450632527</v>
          </cell>
          <cell r="CC45">
            <v>0.46300676079218361</v>
          </cell>
          <cell r="CD45">
            <v>0.39933692456127812</v>
          </cell>
          <cell r="CE45">
            <v>0.43283848643821826</v>
          </cell>
          <cell r="CF45" t="str">
            <v xml:space="preserve">     N.M.</v>
          </cell>
          <cell r="CG45">
            <v>1.609004627443573</v>
          </cell>
          <cell r="CH45">
            <v>1.1312129433840603</v>
          </cell>
          <cell r="CI45">
            <v>0.44482246093749994</v>
          </cell>
          <cell r="CJ45">
            <v>0.46569498761417716</v>
          </cell>
          <cell r="CK45">
            <v>0.45876604729729742</v>
          </cell>
          <cell r="CL45">
            <v>0.12705329180155256</v>
          </cell>
          <cell r="CM45">
            <v>0.47422479923518152</v>
          </cell>
          <cell r="CN45">
            <v>2.4228670924381968E-2</v>
          </cell>
          <cell r="CO45">
            <v>0.50057122159090894</v>
          </cell>
          <cell r="CP45">
            <v>0.15648501063307974</v>
          </cell>
          <cell r="CQ45">
            <v>1.8793101153291685</v>
          </cell>
          <cell r="CR45">
            <v>0.16799546954384059</v>
          </cell>
        </row>
        <row r="46">
          <cell r="BO46">
            <v>0.27727443432541576</v>
          </cell>
          <cell r="BP46">
            <v>0.4597524526093919</v>
          </cell>
          <cell r="BQ46">
            <v>0.26569651741293543</v>
          </cell>
          <cell r="BR46">
            <v>0.239576213341264</v>
          </cell>
          <cell r="BS46">
            <v>0.33087582601834514</v>
          </cell>
          <cell r="BT46">
            <v>0.46912240167533725</v>
          </cell>
          <cell r="BU46">
            <v>-0.13232477037182488</v>
          </cell>
          <cell r="BV46" t="str">
            <v xml:space="preserve">     N.M.</v>
          </cell>
          <cell r="BW46">
            <v>0.75497130985358274</v>
          </cell>
          <cell r="BX46">
            <v>-0.14585934237596221</v>
          </cell>
          <cell r="BY46">
            <v>0.30348910564371323</v>
          </cell>
          <cell r="BZ46">
            <v>9.4544134161071991E-2</v>
          </cell>
          <cell r="CA46">
            <v>0.40704911705104646</v>
          </cell>
          <cell r="CB46">
            <v>0.53200772450632527</v>
          </cell>
          <cell r="CC46">
            <v>0.46300676079218361</v>
          </cell>
          <cell r="CD46">
            <v>0.39933692456127812</v>
          </cell>
          <cell r="CE46">
            <v>0.43283848643821826</v>
          </cell>
          <cell r="CF46" t="str">
            <v xml:space="preserve">     N.M.</v>
          </cell>
          <cell r="CG46">
            <v>1.609004627443573</v>
          </cell>
          <cell r="CH46">
            <v>1.1312129433840594</v>
          </cell>
          <cell r="CI46">
            <v>0.44482246093749994</v>
          </cell>
          <cell r="CJ46">
            <v>0.46569498761417716</v>
          </cell>
          <cell r="CK46">
            <v>0.45876604729729742</v>
          </cell>
          <cell r="CL46">
            <v>0.12705329180155256</v>
          </cell>
          <cell r="CM46">
            <v>0.47422479923518152</v>
          </cell>
          <cell r="CN46">
            <v>2.4228670924381968E-2</v>
          </cell>
          <cell r="CO46">
            <v>0.50057122159090894</v>
          </cell>
          <cell r="CP46">
            <v>0.15648501063307974</v>
          </cell>
          <cell r="CQ46">
            <v>1.8793101153291685</v>
          </cell>
          <cell r="CR46">
            <v>0.16799546954384059</v>
          </cell>
        </row>
        <row r="47">
          <cell r="BO47">
            <v>0.25723676152370095</v>
          </cell>
          <cell r="BP47">
            <v>0.41433294396425246</v>
          </cell>
          <cell r="BQ47">
            <v>0.23316662600634311</v>
          </cell>
          <cell r="BR47">
            <v>0.16333858463076711</v>
          </cell>
          <cell r="BS47">
            <v>0.28789413958012494</v>
          </cell>
          <cell r="BT47">
            <v>0.35064509806149458</v>
          </cell>
          <cell r="BU47">
            <v>-0.13167155425219859</v>
          </cell>
          <cell r="BV47" t="str">
            <v xml:space="preserve">     N.M.</v>
          </cell>
          <cell r="BW47">
            <v>0.68132157164245633</v>
          </cell>
          <cell r="BX47">
            <v>-0.17674573841725505</v>
          </cell>
          <cell r="BY47">
            <v>0.26723211085891763</v>
          </cell>
          <cell r="BZ47">
            <v>3.8856613168393173E-2</v>
          </cell>
          <cell r="CA47">
            <v>0.35271116785699985</v>
          </cell>
          <cell r="CB47">
            <v>0.5127000544554976</v>
          </cell>
          <cell r="CC47">
            <v>0.39797346580716414</v>
          </cell>
          <cell r="CD47">
            <v>0.38236042730005826</v>
          </cell>
          <cell r="CE47">
            <v>0.40874427058637564</v>
          </cell>
          <cell r="CF47" t="str">
            <v xml:space="preserve">     N.M.</v>
          </cell>
          <cell r="CG47">
            <v>1.43156746031746</v>
          </cell>
          <cell r="CH47">
            <v>1.1011626813259294</v>
          </cell>
          <cell r="CI47">
            <v>0.44482246093749994</v>
          </cell>
          <cell r="CJ47">
            <v>0.66455468060250911</v>
          </cell>
          <cell r="CK47">
            <v>0.45876604729729742</v>
          </cell>
          <cell r="CL47">
            <v>0.30068477866653631</v>
          </cell>
          <cell r="CM47">
            <v>0.47422479923518152</v>
          </cell>
          <cell r="CN47">
            <v>0.19159903857752303</v>
          </cell>
          <cell r="CO47">
            <v>0.50057122159090894</v>
          </cell>
          <cell r="CP47">
            <v>0.22465624012980134</v>
          </cell>
          <cell r="CQ47">
            <v>1.8793101153291685</v>
          </cell>
          <cell r="CR47">
            <v>0.31276392305844847</v>
          </cell>
        </row>
        <row r="48">
          <cell r="BO48">
            <v>0</v>
          </cell>
          <cell r="BP48" t="str">
            <v xml:space="preserve">      N.M.</v>
          </cell>
          <cell r="BQ48">
            <v>0</v>
          </cell>
          <cell r="BR48" t="str">
            <v xml:space="preserve">      N.M.</v>
          </cell>
          <cell r="BS48">
            <v>0</v>
          </cell>
          <cell r="BT48" t="str">
            <v xml:space="preserve">      N.M.</v>
          </cell>
          <cell r="BU48">
            <v>0</v>
          </cell>
          <cell r="BV48" t="str">
            <v xml:space="preserve">      N.M.</v>
          </cell>
          <cell r="BW48">
            <v>0</v>
          </cell>
          <cell r="BX48" t="e">
            <v>#DIV/0!</v>
          </cell>
          <cell r="BY48">
            <v>0</v>
          </cell>
          <cell r="BZ48" t="str">
            <v xml:space="preserve">      N.M.</v>
          </cell>
          <cell r="CA48">
            <v>0</v>
          </cell>
          <cell r="CB48" t="str">
            <v xml:space="preserve">      N.M.</v>
          </cell>
          <cell r="CC48">
            <v>0</v>
          </cell>
          <cell r="CD48" t="str">
            <v xml:space="preserve">      N.M.</v>
          </cell>
          <cell r="CE48">
            <v>0</v>
          </cell>
          <cell r="CF48" t="str">
            <v xml:space="preserve">      N.M.</v>
          </cell>
          <cell r="CG48">
            <v>0</v>
          </cell>
          <cell r="CH48" t="e">
            <v>#DIV/0!</v>
          </cell>
          <cell r="CI48">
            <v>0</v>
          </cell>
          <cell r="CJ48" t="str">
            <v xml:space="preserve">      N.M.</v>
          </cell>
          <cell r="CK48">
            <v>0</v>
          </cell>
          <cell r="CL48" t="str">
            <v xml:space="preserve">      N.M.</v>
          </cell>
          <cell r="CM48">
            <v>0</v>
          </cell>
          <cell r="CN48" t="str">
            <v xml:space="preserve">      N.M.</v>
          </cell>
          <cell r="CO48">
            <v>0</v>
          </cell>
          <cell r="CP48" t="str">
            <v xml:space="preserve">      N.M.</v>
          </cell>
          <cell r="CQ48">
            <v>0</v>
          </cell>
          <cell r="CR48" t="e">
            <v>#DIV/0!</v>
          </cell>
        </row>
        <row r="49">
          <cell r="BU49">
            <v>0.30821114369501545</v>
          </cell>
          <cell r="BV49" t="str">
            <v>ex chg</v>
          </cell>
          <cell r="BW49">
            <v>1.0735847529640274</v>
          </cell>
          <cell r="BX49" t="str">
            <v>ex chg</v>
          </cell>
          <cell r="BY49">
            <v>0.31653583298793775</v>
          </cell>
          <cell r="BZ49" t="str">
            <v>ex chg</v>
          </cell>
          <cell r="CF49" t="str">
            <v>ex charge</v>
          </cell>
          <cell r="CG49">
            <v>1.4806976859177943</v>
          </cell>
          <cell r="CH49">
            <v>0.37920893700267366</v>
          </cell>
          <cell r="CI49" t="str">
            <v>0.44-45</v>
          </cell>
          <cell r="CJ49" t="str">
            <v>Per Randy</v>
          </cell>
          <cell r="CK49" t="str">
            <v>45-47</v>
          </cell>
          <cell r="CM49" t="str">
            <v>46-49</v>
          </cell>
          <cell r="CO49" t="str">
            <v>47-51</v>
          </cell>
          <cell r="CQ49" t="str">
            <v>1.82-1.92</v>
          </cell>
        </row>
        <row r="50">
          <cell r="BO50">
            <v>25.033268</v>
          </cell>
          <cell r="BP50">
            <v>-0.28824931620578076</v>
          </cell>
          <cell r="BQ50">
            <v>26.87265</v>
          </cell>
          <cell r="BR50">
            <v>-0.26797865443391755</v>
          </cell>
          <cell r="BS50">
            <v>32.426000000000002</v>
          </cell>
          <cell r="BT50">
            <v>-0.1072631600219085</v>
          </cell>
          <cell r="BU50">
            <v>34.386000000000003</v>
          </cell>
          <cell r="BV50">
            <v>0.26597844015080119</v>
          </cell>
          <cell r="BW50">
            <v>118.717918</v>
          </cell>
          <cell r="BX50">
            <v>-0.12298060563772306</v>
          </cell>
          <cell r="BY50">
            <v>28.63926</v>
          </cell>
          <cell r="BZ50">
            <v>0.14404799245547961</v>
          </cell>
          <cell r="CA50">
            <v>29.26482</v>
          </cell>
          <cell r="CB50">
            <v>8.9018760710238842E-2</v>
          </cell>
          <cell r="CC50">
            <v>25.628070000000001</v>
          </cell>
          <cell r="CD50">
            <v>-0.20964442114352677</v>
          </cell>
          <cell r="CE50">
            <v>27.186460000000011</v>
          </cell>
          <cell r="CF50">
            <v>-0.20937416390391417</v>
          </cell>
          <cell r="CG50">
            <v>110.71861000000001</v>
          </cell>
          <cell r="CH50">
            <v>-6.738079756418891E-2</v>
          </cell>
          <cell r="CI50">
            <v>28</v>
          </cell>
          <cell r="CJ50">
            <v>-2.232110745878213E-2</v>
          </cell>
          <cell r="CK50">
            <v>28.5</v>
          </cell>
          <cell r="CL50">
            <v>-2.6134450852593694E-2</v>
          </cell>
          <cell r="CM50">
            <v>29</v>
          </cell>
          <cell r="CN50">
            <v>0.13157174925774751</v>
          </cell>
          <cell r="CO50">
            <v>30</v>
          </cell>
          <cell r="CP50">
            <v>0.10349048754416668</v>
          </cell>
          <cell r="CQ50">
            <v>115.5</v>
          </cell>
          <cell r="CR50">
            <v>4.3185061662172064E-2</v>
          </cell>
        </row>
        <row r="51">
          <cell r="BO51">
            <v>100.33573199999999</v>
          </cell>
          <cell r="BP51">
            <v>1.1855065607193267</v>
          </cell>
          <cell r="BQ51">
            <v>107.30235</v>
          </cell>
          <cell r="BR51">
            <v>0.88581242816319228</v>
          </cell>
          <cell r="BS51">
            <v>117.806</v>
          </cell>
          <cell r="BT51">
            <v>0.79306289254167361</v>
          </cell>
          <cell r="BU51">
            <v>126.538</v>
          </cell>
          <cell r="BV51">
            <v>0.43619532746769818</v>
          </cell>
          <cell r="BW51">
            <v>451.98208199999999</v>
          </cell>
          <cell r="BX51">
            <v>0.76131144437293363</v>
          </cell>
          <cell r="BY51">
            <v>130.46773999999999</v>
          </cell>
          <cell r="BZ51">
            <v>0.30031183706319098</v>
          </cell>
          <cell r="CA51">
            <v>142.88117999999997</v>
          </cell>
          <cell r="CB51">
            <v>0.33157549671558884</v>
          </cell>
          <cell r="CC51">
            <v>171.51093</v>
          </cell>
          <cell r="CD51">
            <v>0.45587601650170617</v>
          </cell>
          <cell r="CE51">
            <v>167.00254000000004</v>
          </cell>
          <cell r="CF51">
            <v>0.31978172564763185</v>
          </cell>
          <cell r="CG51">
            <v>611.86239</v>
          </cell>
          <cell r="CH51">
            <v>0.35373151805606318</v>
          </cell>
          <cell r="CI51">
            <v>184</v>
          </cell>
          <cell r="CJ51">
            <v>0.41031031885736668</v>
          </cell>
          <cell r="CK51">
            <v>197</v>
          </cell>
          <cell r="CL51">
            <v>0.37876800849489101</v>
          </cell>
          <cell r="CM51">
            <v>214.5</v>
          </cell>
          <cell r="CN51">
            <v>0.25064915687880651</v>
          </cell>
          <cell r="CO51">
            <v>231.5</v>
          </cell>
          <cell r="CP51">
            <v>0.38620646129094771</v>
          </cell>
          <cell r="CQ51">
            <v>827</v>
          </cell>
          <cell r="CR51">
            <v>0.35161110327438161</v>
          </cell>
        </row>
        <row r="52">
          <cell r="BO52">
            <v>0.19998776103663699</v>
          </cell>
          <cell r="BQ52">
            <v>0.20080740978755518</v>
          </cell>
          <cell r="BS52">
            <v>0.21588836069721301</v>
          </cell>
          <cell r="BU52">
            <v>0.21412025505629165</v>
          </cell>
          <cell r="BW52">
            <v>0.20835490806213544</v>
          </cell>
          <cell r="BY52">
            <v>0.18</v>
          </cell>
          <cell r="CA52">
            <v>0.17</v>
          </cell>
          <cell r="CC52">
            <v>0.13</v>
          </cell>
          <cell r="CE52">
            <v>0.14000000000000001</v>
          </cell>
          <cell r="CG52">
            <v>0.15322657252266528</v>
          </cell>
          <cell r="CI52">
            <v>0.13207547169811321</v>
          </cell>
          <cell r="CK52">
            <v>0.12638580931263857</v>
          </cell>
          <cell r="CM52">
            <v>0.11909650924024641</v>
          </cell>
          <cell r="CO52">
            <v>0.1147227533460803</v>
          </cell>
          <cell r="CQ52">
            <v>0.12254641909814323</v>
          </cell>
        </row>
        <row r="53">
          <cell r="BO53">
            <v>0.80157007046191686</v>
          </cell>
          <cell r="BQ53">
            <v>0.80182293028851537</v>
          </cell>
          <cell r="BS53">
            <v>0.78433800716387692</v>
          </cell>
          <cell r="BU53">
            <v>0.7879470957457404</v>
          </cell>
          <cell r="BW53">
            <v>0.79324744509790479</v>
          </cell>
          <cell r="BY53">
            <v>0.82</v>
          </cell>
          <cell r="CA53">
            <v>0.82999999999999985</v>
          </cell>
          <cell r="CC53">
            <v>0.87</v>
          </cell>
          <cell r="CE53">
            <v>0.86</v>
          </cell>
          <cell r="CG53">
            <v>0.84677342747733453</v>
          </cell>
          <cell r="CI53">
            <v>0.86792452830188682</v>
          </cell>
          <cell r="CK53">
            <v>0.87361419068736146</v>
          </cell>
          <cell r="CM53">
            <v>0.8809034907597536</v>
          </cell>
          <cell r="CO53">
            <v>0.88527724665391971</v>
          </cell>
          <cell r="CQ53">
            <v>0.87745358090185677</v>
          </cell>
        </row>
        <row r="56">
          <cell r="BO56">
            <v>58.387</v>
          </cell>
          <cell r="BP56">
            <v>0.96595844977945378</v>
          </cell>
          <cell r="BQ56">
            <v>63.381</v>
          </cell>
          <cell r="BR56">
            <v>0.55964860475417111</v>
          </cell>
          <cell r="BS56">
            <v>67.203000000000003</v>
          </cell>
          <cell r="BT56">
            <v>0.46565035331065174</v>
          </cell>
          <cell r="BU56">
            <v>61.960999999999999</v>
          </cell>
          <cell r="BV56">
            <v>0.44772074113881155</v>
          </cell>
          <cell r="BW56">
            <v>61.960999999999999</v>
          </cell>
          <cell r="BX56">
            <v>0.44772074113881155</v>
          </cell>
          <cell r="BY56">
            <v>63.399000000000001</v>
          </cell>
          <cell r="BZ56">
            <v>8.5841026255844666E-2</v>
          </cell>
          <cell r="CA56">
            <v>75.620999999999995</v>
          </cell>
          <cell r="CB56">
            <v>0.19311781133147154</v>
          </cell>
          <cell r="CC56">
            <v>70.873999999999995</v>
          </cell>
          <cell r="CD56">
            <v>5.4625537550406777E-2</v>
          </cell>
          <cell r="CE56">
            <v>68.953000000000003</v>
          </cell>
          <cell r="CF56">
            <v>0.11284517680476447</v>
          </cell>
          <cell r="CG56">
            <v>68.953000000000003</v>
          </cell>
          <cell r="CH56">
            <v>0.11284517680476447</v>
          </cell>
          <cell r="CI56">
            <v>80</v>
          </cell>
          <cell r="CJ56">
            <v>0.26184955598668758</v>
          </cell>
          <cell r="CK56">
            <v>83.5</v>
          </cell>
          <cell r="CL56">
            <v>0.10419063487655555</v>
          </cell>
          <cell r="CM56">
            <v>88.5</v>
          </cell>
          <cell r="CN56">
            <v>0.2486948669469764</v>
          </cell>
          <cell r="CO56">
            <v>97.5</v>
          </cell>
          <cell r="CP56">
            <v>0.41400664220556016</v>
          </cell>
          <cell r="CQ56">
            <v>97.5</v>
          </cell>
          <cell r="CR56">
            <v>0.41400664220556016</v>
          </cell>
        </row>
        <row r="57">
          <cell r="BO57">
            <v>70.248999999999995</v>
          </cell>
          <cell r="BP57">
            <v>0.83269416399259066</v>
          </cell>
          <cell r="BQ57">
            <v>69.150000000000006</v>
          </cell>
          <cell r="BR57">
            <v>0.44665271966527209</v>
          </cell>
          <cell r="BS57">
            <v>76.296999999999997</v>
          </cell>
          <cell r="BT57">
            <v>0.51512202871497514</v>
          </cell>
          <cell r="BU57">
            <v>77.334000000000003</v>
          </cell>
          <cell r="BV57">
            <v>0.51980976338338181</v>
          </cell>
          <cell r="BW57">
            <v>77.334000000000003</v>
          </cell>
          <cell r="BX57">
            <v>0.51980976338338181</v>
          </cell>
          <cell r="BY57">
            <v>77.876999999999995</v>
          </cell>
          <cell r="BZ57">
            <v>0.10858517558968805</v>
          </cell>
          <cell r="CA57">
            <v>87.203000000000003</v>
          </cell>
          <cell r="CB57">
            <v>0.26107013738250173</v>
          </cell>
          <cell r="CC57">
            <v>95.058000000000007</v>
          </cell>
          <cell r="CD57">
            <v>0.24589433398429827</v>
          </cell>
          <cell r="CE57">
            <v>96.93</v>
          </cell>
          <cell r="CF57">
            <v>0.25339436728993725</v>
          </cell>
          <cell r="CG57">
            <v>96.93</v>
          </cell>
          <cell r="CH57">
            <v>0.25339436728993725</v>
          </cell>
          <cell r="CI57">
            <v>107.5</v>
          </cell>
          <cell r="CJ57">
            <v>0.38038188425337394</v>
          </cell>
          <cell r="CK57">
            <v>115</v>
          </cell>
          <cell r="CL57">
            <v>0.31876196919830746</v>
          </cell>
          <cell r="CM57">
            <v>120</v>
          </cell>
          <cell r="CN57">
            <v>0.26238717414631063</v>
          </cell>
          <cell r="CO57">
            <v>125</v>
          </cell>
          <cell r="CP57">
            <v>0.28959042608067675</v>
          </cell>
          <cell r="CQ57">
            <v>125</v>
          </cell>
          <cell r="CR57">
            <v>0.28959042608067675</v>
          </cell>
        </row>
        <row r="58">
          <cell r="BO58">
            <v>4.4249999999999998</v>
          </cell>
          <cell r="BP58">
            <v>0.62863452337136527</v>
          </cell>
          <cell r="BQ58">
            <v>4.7380000000000004</v>
          </cell>
          <cell r="BR58">
            <v>0.43012375490492016</v>
          </cell>
          <cell r="BS58">
            <v>5.05</v>
          </cell>
          <cell r="BT58">
            <v>0.37527233115468395</v>
          </cell>
          <cell r="BU58">
            <v>5.2</v>
          </cell>
          <cell r="BV58">
            <v>0.34994807892004198</v>
          </cell>
          <cell r="BW58">
            <v>19.413</v>
          </cell>
          <cell r="BX58">
            <v>0.43227091633466164</v>
          </cell>
          <cell r="BY58">
            <v>5.6870000000000003</v>
          </cell>
          <cell r="BZ58">
            <v>0.28519774011299437</v>
          </cell>
          <cell r="CA58">
            <v>6.0179999999999998</v>
          </cell>
          <cell r="CB58">
            <v>0.27015618404390018</v>
          </cell>
          <cell r="CC58">
            <v>7.5329999999999986</v>
          </cell>
          <cell r="CD58">
            <v>0.49168316831683145</v>
          </cell>
          <cell r="CE58">
            <v>8</v>
          </cell>
          <cell r="CF58">
            <v>0.53846153846153832</v>
          </cell>
          <cell r="CG58">
            <v>27.238</v>
          </cell>
          <cell r="CH58">
            <v>0.40308041003451289</v>
          </cell>
          <cell r="CI58">
            <v>8.1999999999999993</v>
          </cell>
          <cell r="CJ58">
            <v>0.44188500087919791</v>
          </cell>
          <cell r="CK58">
            <v>8.4</v>
          </cell>
          <cell r="CL58">
            <v>0.39581256231306083</v>
          </cell>
          <cell r="CM58">
            <v>8.6</v>
          </cell>
          <cell r="CN58">
            <v>0.14164343555024583</v>
          </cell>
          <cell r="CO58">
            <v>8.8000000000000007</v>
          </cell>
          <cell r="CP58">
            <v>0.10000000000000009</v>
          </cell>
          <cell r="CQ58">
            <v>34</v>
          </cell>
          <cell r="CR58">
            <v>0.24825611278361115</v>
          </cell>
        </row>
        <row r="59">
          <cell r="BO59">
            <v>7.6945822544620786</v>
          </cell>
          <cell r="BP59">
            <v>-0.13029275039733346</v>
          </cell>
          <cell r="BQ59">
            <v>6.9500689836410228</v>
          </cell>
          <cell r="BR59">
            <v>-0.15975640417475911</v>
          </cell>
          <cell r="BS59">
            <v>7.1864240642038837</v>
          </cell>
          <cell r="BT59">
            <v>-2.2345197381096749E-2</v>
          </cell>
          <cell r="BU59">
            <v>8.3714967018673967</v>
          </cell>
          <cell r="BV59">
            <v>3.1256328256657362E-2</v>
          </cell>
          <cell r="BW59">
            <v>8.6975181366933949</v>
          </cell>
          <cell r="BX59">
            <v>-7.2874936501687859E-4</v>
          </cell>
          <cell r="BY59">
            <v>7.9406509253350359</v>
          </cell>
          <cell r="BZ59">
            <v>3.1979471105174406E-2</v>
          </cell>
          <cell r="CA59">
            <v>7.741044454035392</v>
          </cell>
          <cell r="CB59">
            <v>0.1138082905732527</v>
          </cell>
          <cell r="CC59">
            <v>8.3938974026417288</v>
          </cell>
          <cell r="CD59">
            <v>0.16802144260486385</v>
          </cell>
          <cell r="CE59">
            <v>8.653836526564973</v>
          </cell>
          <cell r="CF59">
            <v>3.3726325739887875E-2</v>
          </cell>
          <cell r="CG59">
            <v>8.6150144369586155</v>
          </cell>
          <cell r="CH59">
            <v>-9.4858899329809399E-3</v>
          </cell>
          <cell r="CI59">
            <v>8.8641114982578397</v>
          </cell>
          <cell r="CJ59">
            <v>0.11629532409949639</v>
          </cell>
          <cell r="CK59">
            <v>8.6172721712538216</v>
          </cell>
          <cell r="CL59">
            <v>0.11319244094531111</v>
          </cell>
          <cell r="CM59">
            <v>8.9019069767441863</v>
          </cell>
          <cell r="CN59">
            <v>6.0521298954949954E-2</v>
          </cell>
          <cell r="CO59">
            <v>8.8628817204301082</v>
          </cell>
          <cell r="CP59">
            <v>2.4156360386913045E-2</v>
          </cell>
          <cell r="CQ59">
            <v>8.8747033697199829</v>
          </cell>
          <cell r="CR59">
            <v>3.0143760600945146E-2</v>
          </cell>
        </row>
        <row r="60">
          <cell r="BO60">
            <v>43.547262211002277</v>
          </cell>
          <cell r="BP60">
            <v>8.1260301394547874E-3</v>
          </cell>
          <cell r="BQ60">
            <v>46.875014011044435</v>
          </cell>
          <cell r="BR60">
            <v>0.13211788801654034</v>
          </cell>
          <cell r="BS60">
            <v>43.576578915831099</v>
          </cell>
          <cell r="BT60">
            <v>6.5084644961836968E-3</v>
          </cell>
          <cell r="BU60">
            <v>43.049435837401596</v>
          </cell>
          <cell r="BV60">
            <v>8.9199121152192307E-2</v>
          </cell>
          <cell r="BW60">
            <v>40.505030827309149</v>
          </cell>
          <cell r="BX60">
            <v>-2.4087166745939803E-2</v>
          </cell>
          <cell r="BY60">
            <v>43.898100020740763</v>
          </cell>
          <cell r="BZ60">
            <v>8.056483735729536E-3</v>
          </cell>
          <cell r="CA60">
            <v>43.152905092189187</v>
          </cell>
          <cell r="CB60">
            <v>-7.9404966534586285E-2</v>
          </cell>
          <cell r="CC60">
            <v>41.603868336554413</v>
          </cell>
          <cell r="CD60">
            <v>-4.5269973649996964E-2</v>
          </cell>
          <cell r="CE60">
            <v>44.489955661752198</v>
          </cell>
          <cell r="CF60">
            <v>3.3461990763165028E-2</v>
          </cell>
          <cell r="CG60">
            <v>43.410385825256952</v>
          </cell>
          <cell r="CH60">
            <v>7.1728250506328806E-2</v>
          </cell>
          <cell r="CI60">
            <v>43.393160377358491</v>
          </cell>
          <cell r="CJ60">
            <v>-1.1502539817069501E-2</v>
          </cell>
          <cell r="CK60">
            <v>44.40133037694013</v>
          </cell>
          <cell r="CL60">
            <v>2.8930272065898821E-2</v>
          </cell>
          <cell r="CM60">
            <v>43.429158110882959</v>
          </cell>
          <cell r="CN60">
            <v>4.3873078329228044E-2</v>
          </cell>
          <cell r="CO60">
            <v>42.160611854684511</v>
          </cell>
          <cell r="CP60">
            <v>-5.2356622352631721E-2</v>
          </cell>
          <cell r="CQ60">
            <v>42.384509283819632</v>
          </cell>
          <cell r="CR60">
            <v>-2.3632053065984149E-2</v>
          </cell>
        </row>
        <row r="61">
          <cell r="BO61">
            <v>22.854000000000013</v>
          </cell>
          <cell r="BP61">
            <v>0.61706644024623247</v>
          </cell>
          <cell r="BQ61">
            <v>22.516000000000002</v>
          </cell>
          <cell r="BR61">
            <v>0.36651089397341785</v>
          </cell>
          <cell r="BS61">
            <v>26.199000000000005</v>
          </cell>
          <cell r="BT61">
            <v>0.44745856353591207</v>
          </cell>
          <cell r="BU61">
            <v>16.039000000000037</v>
          </cell>
          <cell r="BV61">
            <v>-0.20492737817875528</v>
          </cell>
          <cell r="BW61">
            <v>87.608000000000047</v>
          </cell>
          <cell r="BX61">
            <v>0.27183775387250764</v>
          </cell>
          <cell r="BY61">
            <v>29.801999999999996</v>
          </cell>
          <cell r="BZ61">
            <v>0.30401680231031669</v>
          </cell>
          <cell r="CA61">
            <v>32.450999999999979</v>
          </cell>
          <cell r="CB61">
            <v>0.44124178362053557</v>
          </cell>
          <cell r="CC61">
            <v>38.353000000000009</v>
          </cell>
          <cell r="CD61">
            <v>0.46391083629146146</v>
          </cell>
          <cell r="CE61">
            <v>38.603999999999999</v>
          </cell>
          <cell r="CF61">
            <v>1.4068832221460137</v>
          </cell>
          <cell r="CG61">
            <v>139.20999999999998</v>
          </cell>
          <cell r="CH61">
            <v>0.58901013606063257</v>
          </cell>
          <cell r="CI61">
            <v>42.465999999999994</v>
          </cell>
          <cell r="CJ61">
            <v>0.42493792362928651</v>
          </cell>
          <cell r="CK61">
            <v>44.223750000000003</v>
          </cell>
          <cell r="CL61">
            <v>0.36278543034113064</v>
          </cell>
          <cell r="CM61">
            <v>46.058199999999985</v>
          </cell>
          <cell r="CN61">
            <v>0.20090214585560395</v>
          </cell>
          <cell r="CO61">
            <v>48.822299999999984</v>
          </cell>
          <cell r="CP61">
            <v>0.26469536835561036</v>
          </cell>
          <cell r="CQ61">
            <v>181.57024999999999</v>
          </cell>
          <cell r="CR61">
            <v>0.30429028087062715</v>
          </cell>
        </row>
        <row r="64">
          <cell r="BR64" t="str">
            <v>Sanmina Corporation</v>
          </cell>
          <cell r="CB64" t="str">
            <v>Sanmina Corporation</v>
          </cell>
          <cell r="CL64" t="str">
            <v>Sanmina Corporation</v>
          </cell>
        </row>
        <row r="65">
          <cell r="BR65" t="str">
            <v>Quarterly Income Statements</v>
          </cell>
          <cell r="CB65" t="str">
            <v>Quarterly Income Statements</v>
          </cell>
          <cell r="CL65" t="str">
            <v>Quarterly Income Statements</v>
          </cell>
        </row>
        <row r="66">
          <cell r="BR66" t="str">
            <v>($ In Millions Except Per Share Data)</v>
          </cell>
          <cell r="CB66" t="str">
            <v>($ In Millions Except Per Share Data)</v>
          </cell>
          <cell r="CL66" t="str">
            <v>($ In Millions Except Per Share Data)</v>
          </cell>
        </row>
        <row r="67">
          <cell r="BO67" t="str">
            <v>1997R</v>
          </cell>
          <cell r="BW67" t="str">
            <v>1997R</v>
          </cell>
          <cell r="BY67" t="str">
            <v>1998A</v>
          </cell>
          <cell r="CG67" t="str">
            <v>1998A</v>
          </cell>
          <cell r="CI67" t="str">
            <v>1999E</v>
          </cell>
          <cell r="CQ67" t="str">
            <v>1999E</v>
          </cell>
        </row>
        <row r="68">
          <cell r="BO68" t="str">
            <v>1QR</v>
          </cell>
          <cell r="BP68" t="str">
            <v>% Chg.</v>
          </cell>
          <cell r="BQ68" t="str">
            <v>2QR</v>
          </cell>
          <cell r="BR68" t="str">
            <v>% Chg.</v>
          </cell>
          <cell r="BS68" t="str">
            <v>3QR</v>
          </cell>
          <cell r="BT68" t="str">
            <v>% Chg.</v>
          </cell>
          <cell r="BU68" t="str">
            <v>4QR</v>
          </cell>
          <cell r="BV68" t="str">
            <v>% Chg.</v>
          </cell>
          <cell r="BW68" t="str">
            <v xml:space="preserve">    YEAR </v>
          </cell>
          <cell r="BX68" t="str">
            <v>% Chg.</v>
          </cell>
          <cell r="BY68" t="str">
            <v>1QA</v>
          </cell>
          <cell r="BZ68" t="str">
            <v>% Chg.</v>
          </cell>
          <cell r="CA68" t="str">
            <v xml:space="preserve">  2QA</v>
          </cell>
          <cell r="CB68" t="str">
            <v>% Chg.</v>
          </cell>
          <cell r="CC68" t="str">
            <v xml:space="preserve">  3QA</v>
          </cell>
          <cell r="CD68" t="str">
            <v>% Chg.</v>
          </cell>
          <cell r="CE68" t="str">
            <v xml:space="preserve">  4QA</v>
          </cell>
          <cell r="CF68" t="str">
            <v>% Chg.</v>
          </cell>
          <cell r="CG68" t="str">
            <v xml:space="preserve">    YEAR </v>
          </cell>
          <cell r="CH68" t="str">
            <v>% Chg.</v>
          </cell>
          <cell r="CI68" t="str">
            <v xml:space="preserve">   1QE</v>
          </cell>
          <cell r="CJ68" t="str">
            <v>% Chg.</v>
          </cell>
          <cell r="CK68" t="str">
            <v xml:space="preserve">  2QE</v>
          </cell>
          <cell r="CL68" t="str">
            <v>% Chg.</v>
          </cell>
          <cell r="CM68" t="str">
            <v xml:space="preserve">  3QE</v>
          </cell>
          <cell r="CN68" t="str">
            <v>% Chg.</v>
          </cell>
          <cell r="CO68" t="str">
            <v xml:space="preserve">  4QE</v>
          </cell>
          <cell r="CP68" t="str">
            <v>% Chg.</v>
          </cell>
          <cell r="CQ68" t="str">
            <v xml:space="preserve">    YEAR </v>
          </cell>
          <cell r="CR68" t="str">
            <v>% Chg.</v>
          </cell>
        </row>
        <row r="69">
          <cell r="BO69">
            <v>125.17400000000001</v>
          </cell>
          <cell r="BP69">
            <v>0.54381421048087719</v>
          </cell>
          <cell r="BQ69">
            <v>133.82300000000001</v>
          </cell>
          <cell r="BR69">
            <v>0.4295801730584341</v>
          </cell>
          <cell r="BS69">
            <v>150.19800000000004</v>
          </cell>
          <cell r="BT69">
            <v>0.472197445674015</v>
          </cell>
          <cell r="BU69">
            <v>160.5920000000001</v>
          </cell>
          <cell r="BV69">
            <v>0.39320539959052003</v>
          </cell>
          <cell r="BW69">
            <v>569.78700000000015</v>
          </cell>
          <cell r="BX69">
            <v>0.4536050124750628</v>
          </cell>
          <cell r="BY69">
            <v>159.107</v>
          </cell>
          <cell r="BZ69">
            <v>0.27108664738683741</v>
          </cell>
          <cell r="CA69">
            <v>172.14599999999999</v>
          </cell>
          <cell r="CB69">
            <v>0.28637080322515551</v>
          </cell>
          <cell r="CC69">
            <v>197.13900000000004</v>
          </cell>
          <cell r="CD69">
            <v>0.31252746374785279</v>
          </cell>
          <cell r="CE69">
            <v>194.18900000000005</v>
          </cell>
          <cell r="CF69">
            <v>0.2092071834213407</v>
          </cell>
          <cell r="CG69">
            <v>722.58100000000013</v>
          </cell>
          <cell r="CH69">
            <v>0.26815985622697602</v>
          </cell>
          <cell r="CI69">
            <v>212</v>
          </cell>
          <cell r="CJ69">
            <v>0.33243666212045975</v>
          </cell>
          <cell r="CK69">
            <v>225.5</v>
          </cell>
          <cell r="CL69">
            <v>0.30993459040581839</v>
          </cell>
          <cell r="CM69">
            <v>243.5</v>
          </cell>
          <cell r="CN69">
            <v>0.23516909388806861</v>
          </cell>
          <cell r="CO69">
            <v>261.5</v>
          </cell>
          <cell r="CP69">
            <v>0.34662622496639828</v>
          </cell>
          <cell r="CQ69">
            <v>942.5</v>
          </cell>
          <cell r="CR69">
            <v>0.30435203804140976</v>
          </cell>
        </row>
        <row r="70">
          <cell r="BO70" t="str">
            <v>Estimates of SANM / ELEX combined</v>
          </cell>
        </row>
        <row r="71">
          <cell r="BO71">
            <v>67.504260000000002</v>
          </cell>
          <cell r="BP71">
            <v>-0.16744662744662742</v>
          </cell>
          <cell r="BQ71">
            <v>75.100500000000011</v>
          </cell>
          <cell r="BR71">
            <v>-0.19772994338211713</v>
          </cell>
          <cell r="BS71">
            <v>76.875040000000013</v>
          </cell>
          <cell r="BT71">
            <v>-0.24649304568577657</v>
          </cell>
          <cell r="BU71">
            <v>86.775620000000075</v>
          </cell>
          <cell r="BV71" t="str">
            <v xml:space="preserve">     N.M.</v>
          </cell>
          <cell r="BW71">
            <v>306.25542000000019</v>
          </cell>
          <cell r="BX71">
            <v>0.41672234768827465</v>
          </cell>
          <cell r="BY71">
            <v>82.735640000000004</v>
          </cell>
          <cell r="BZ71">
            <v>0.22563583394588727</v>
          </cell>
          <cell r="CA71">
            <v>90.204504</v>
          </cell>
          <cell r="CB71">
            <v>0.2011172229212852</v>
          </cell>
          <cell r="CC71">
            <v>106.45506</v>
          </cell>
          <cell r="CD71">
            <v>0.38478054775646275</v>
          </cell>
          <cell r="CE71">
            <v>106.80395000000003</v>
          </cell>
          <cell r="CF71">
            <v>0.23080595678832294</v>
          </cell>
          <cell r="CG71">
            <v>386.19915400000014</v>
          </cell>
          <cell r="CH71">
            <v>0.26103614427460542</v>
          </cell>
          <cell r="CI71">
            <v>120.84</v>
          </cell>
          <cell r="CJ71">
            <v>0.46055557193973473</v>
          </cell>
          <cell r="CK71">
            <v>127.4075</v>
          </cell>
          <cell r="CL71">
            <v>0.41242947247955608</v>
          </cell>
          <cell r="CM71">
            <v>138.79500000000002</v>
          </cell>
          <cell r="CN71">
            <v>0.30378959910407266</v>
          </cell>
          <cell r="CO71">
            <v>150.36249999999998</v>
          </cell>
          <cell r="CP71">
            <v>0.40783650791941639</v>
          </cell>
          <cell r="CQ71">
            <v>537.40499999999997</v>
          </cell>
          <cell r="CR71">
            <v>0.39152298609126368</v>
          </cell>
        </row>
        <row r="72">
          <cell r="BO72">
            <v>23.248750000000001</v>
          </cell>
          <cell r="BP72" t="str">
            <v xml:space="preserve">      N.M.</v>
          </cell>
          <cell r="BQ72">
            <v>28.829249999999998</v>
          </cell>
          <cell r="BR72" t="str">
            <v xml:space="preserve">      N.M.</v>
          </cell>
          <cell r="BS72">
            <v>37.291640000000001</v>
          </cell>
          <cell r="BT72" t="str">
            <v xml:space="preserve">      N.M.</v>
          </cell>
          <cell r="BU72">
            <v>40.85698</v>
          </cell>
          <cell r="BV72">
            <v>-0.48338856401245822</v>
          </cell>
          <cell r="BW72">
            <v>130.22662</v>
          </cell>
          <cell r="BX72">
            <v>0.64663568286260831</v>
          </cell>
          <cell r="BY72">
            <v>46.141029999999994</v>
          </cell>
          <cell r="BZ72">
            <v>0.98466713264153949</v>
          </cell>
          <cell r="CA72">
            <v>50.438777999999992</v>
          </cell>
          <cell r="CB72">
            <v>0.74956955175732953</v>
          </cell>
          <cell r="CC72">
            <v>55.198920000000008</v>
          </cell>
          <cell r="CD72">
            <v>0.48019556125716134</v>
          </cell>
          <cell r="CE72">
            <v>56.314810000000008</v>
          </cell>
          <cell r="CF72">
            <v>0.37834000457204642</v>
          </cell>
          <cell r="CG72">
            <v>208.09353800000002</v>
          </cell>
          <cell r="CH72">
            <v>0.59793395543860406</v>
          </cell>
          <cell r="CI72">
            <v>61.48</v>
          </cell>
          <cell r="CJ72">
            <v>0.33243666212045997</v>
          </cell>
          <cell r="CK72">
            <v>65.394999999999996</v>
          </cell>
          <cell r="CL72">
            <v>0.29652229084534931</v>
          </cell>
          <cell r="CM72">
            <v>69.397499999999994</v>
          </cell>
          <cell r="CN72">
            <v>0.25722568485035557</v>
          </cell>
          <cell r="CO72">
            <v>73.220000000000013</v>
          </cell>
          <cell r="CP72">
            <v>0.3001908378985918</v>
          </cell>
          <cell r="CQ72">
            <v>269.49250000000001</v>
          </cell>
          <cell r="CR72">
            <v>0.29505463067286586</v>
          </cell>
        </row>
        <row r="73">
          <cell r="BO73">
            <v>21.265039999999999</v>
          </cell>
          <cell r="BP73" t="str">
            <v xml:space="preserve">      N.M.</v>
          </cell>
          <cell r="BQ73">
            <v>15.037000000000001</v>
          </cell>
          <cell r="BR73" t="str">
            <v xml:space="preserve">      N.M.</v>
          </cell>
          <cell r="BS73">
            <v>21.638280000000002</v>
          </cell>
          <cell r="BT73" t="str">
            <v xml:space="preserve">      N.M.</v>
          </cell>
          <cell r="BU73">
            <v>17.910299999999999</v>
          </cell>
          <cell r="BV73">
            <v>-0.7236255888481784</v>
          </cell>
          <cell r="BW73">
            <v>75.850619999999992</v>
          </cell>
          <cell r="BX73">
            <v>0.17045333902841286</v>
          </cell>
          <cell r="BY73">
            <v>19.092839999999999</v>
          </cell>
          <cell r="BZ73">
            <v>-0.10214887909921633</v>
          </cell>
          <cell r="CA73">
            <v>21.173957999999999</v>
          </cell>
          <cell r="CB73">
            <v>0.40812382789120161</v>
          </cell>
          <cell r="CC73">
            <v>25.628070000000001</v>
          </cell>
          <cell r="CD73">
            <v>0.18438572751623505</v>
          </cell>
          <cell r="CE73">
            <v>17.477010000000003</v>
          </cell>
          <cell r="CF73">
            <v>-2.4192224585852573E-2</v>
          </cell>
          <cell r="CG73">
            <v>83.371878000000009</v>
          </cell>
          <cell r="CH73">
            <v>9.915882032342016E-2</v>
          </cell>
          <cell r="CI73">
            <v>16.96</v>
          </cell>
          <cell r="CJ73">
            <v>-0.11170889191969335</v>
          </cell>
          <cell r="CK73">
            <v>19.1675</v>
          </cell>
          <cell r="CL73">
            <v>-9.4760648906548228E-2</v>
          </cell>
          <cell r="CM73">
            <v>21.914999999999999</v>
          </cell>
          <cell r="CN73">
            <v>-0.14488293500056781</v>
          </cell>
          <cell r="CO73">
            <v>23.535</v>
          </cell>
          <cell r="CP73">
            <v>0.3466262249663985</v>
          </cell>
          <cell r="CQ73">
            <v>81.577500000000001</v>
          </cell>
          <cell r="CR73">
            <v>-2.1522581031460097E-2</v>
          </cell>
        </row>
        <row r="74">
          <cell r="BO74">
            <v>13.155950000000001</v>
          </cell>
          <cell r="BP74" t="str">
            <v xml:space="preserve">      N.M.</v>
          </cell>
          <cell r="BQ74">
            <v>14.856249999999999</v>
          </cell>
          <cell r="BR74" t="str">
            <v xml:space="preserve">      N.M.</v>
          </cell>
          <cell r="BS74">
            <v>14.393039999999999</v>
          </cell>
          <cell r="BT74" t="str">
            <v xml:space="preserve">      N.M.</v>
          </cell>
          <cell r="BU74">
            <v>15.049099999999999</v>
          </cell>
          <cell r="BV74">
            <v>-0.51084207802811732</v>
          </cell>
          <cell r="BW74">
            <v>57.454340000000002</v>
          </cell>
          <cell r="BX74">
            <v>0.86750340968337092</v>
          </cell>
          <cell r="BY74">
            <v>11.137490000000001</v>
          </cell>
          <cell r="BZ74">
            <v>-0.15342563630904638</v>
          </cell>
          <cell r="CA74">
            <v>10.328759999999999</v>
          </cell>
          <cell r="CB74">
            <v>-0.30475321834244851</v>
          </cell>
          <cell r="CC74">
            <v>9.8569500000000012</v>
          </cell>
          <cell r="CD74">
            <v>-0.3151585766453785</v>
          </cell>
          <cell r="CE74">
            <v>13.593230000000005</v>
          </cell>
          <cell r="CF74">
            <v>-9.6741333368772442E-2</v>
          </cell>
          <cell r="CG74">
            <v>44.916430000000005</v>
          </cell>
          <cell r="CH74">
            <v>-0.21822389744621551</v>
          </cell>
          <cell r="CI74">
            <v>12.719999999999999</v>
          </cell>
          <cell r="CJ74">
            <v>0.14208856753182242</v>
          </cell>
          <cell r="CK74">
            <v>13.53</v>
          </cell>
          <cell r="CL74">
            <v>0.30993459040581839</v>
          </cell>
          <cell r="CM74">
            <v>13.3925</v>
          </cell>
          <cell r="CN74">
            <v>0.3586860032768755</v>
          </cell>
          <cell r="CO74">
            <v>14.3825</v>
          </cell>
          <cell r="CP74">
            <v>5.8063462473598504E-2</v>
          </cell>
          <cell r="CQ74">
            <v>54.024999999999999</v>
          </cell>
          <cell r="CR74">
            <v>0.20278926887110105</v>
          </cell>
        </row>
        <row r="75">
          <cell r="BO75">
            <v>0</v>
          </cell>
          <cell r="BP75" t="str">
            <v xml:space="preserve">      N.M.</v>
          </cell>
          <cell r="BQ75">
            <v>0</v>
          </cell>
          <cell r="BR75" t="str">
            <v xml:space="preserve">      N.M.</v>
          </cell>
          <cell r="BS75">
            <v>0</v>
          </cell>
          <cell r="BT75" t="str">
            <v xml:space="preserve">      N.M.</v>
          </cell>
          <cell r="BU75">
            <v>0</v>
          </cell>
          <cell r="BV75" t="str">
            <v xml:space="preserve">      N.M.</v>
          </cell>
          <cell r="BW75">
            <v>0</v>
          </cell>
          <cell r="BX75" t="e">
            <v>#DIV/0!</v>
          </cell>
          <cell r="BY75">
            <v>0</v>
          </cell>
          <cell r="BZ75" t="str">
            <v xml:space="preserve">      N.M.</v>
          </cell>
          <cell r="CA75">
            <v>0</v>
          </cell>
          <cell r="CB75" t="str">
            <v xml:space="preserve">      N.M.</v>
          </cell>
          <cell r="CC75">
            <v>0</v>
          </cell>
          <cell r="CD75" t="str">
            <v xml:space="preserve">      N.M.</v>
          </cell>
          <cell r="CE75">
            <v>0</v>
          </cell>
          <cell r="CF75" t="str">
            <v xml:space="preserve">      N.M.</v>
          </cell>
          <cell r="CG75">
            <v>0</v>
          </cell>
          <cell r="CH75" t="e">
            <v>#DIV/0!</v>
          </cell>
          <cell r="CI75">
            <v>0</v>
          </cell>
          <cell r="CJ75" t="str">
            <v xml:space="preserve">      N.M.</v>
          </cell>
          <cell r="CK75">
            <v>0</v>
          </cell>
          <cell r="CL75" t="str">
            <v xml:space="preserve">      N.M.</v>
          </cell>
          <cell r="CM75">
            <v>0</v>
          </cell>
          <cell r="CN75" t="str">
            <v xml:space="preserve">      N.M.</v>
          </cell>
          <cell r="CO75">
            <v>0</v>
          </cell>
          <cell r="CP75" t="str">
            <v xml:space="preserve">      N.M.</v>
          </cell>
          <cell r="CQ75">
            <v>0</v>
          </cell>
          <cell r="CR75" t="e">
            <v>#DIV/0!</v>
          </cell>
        </row>
        <row r="76">
          <cell r="BO76">
            <v>0</v>
          </cell>
          <cell r="BP76" t="str">
            <v xml:space="preserve">      N.M.</v>
          </cell>
          <cell r="BQ76">
            <v>7.1054273576010003E-15</v>
          </cell>
          <cell r="BR76" t="str">
            <v xml:space="preserve">      N.M.</v>
          </cell>
          <cell r="BS76">
            <v>0</v>
          </cell>
          <cell r="BT76" t="str">
            <v xml:space="preserve">      N.M.</v>
          </cell>
          <cell r="BU76">
            <v>0</v>
          </cell>
          <cell r="BV76">
            <v>-1</v>
          </cell>
          <cell r="BW76">
            <v>7.1054273576010003E-15</v>
          </cell>
          <cell r="BX76">
            <v>-0.99999999999999389</v>
          </cell>
          <cell r="BY76">
            <v>0</v>
          </cell>
          <cell r="BZ76" t="str">
            <v xml:space="preserve">      N.M.</v>
          </cell>
          <cell r="CA76">
            <v>0</v>
          </cell>
          <cell r="CB76">
            <v>-1</v>
          </cell>
          <cell r="CC76">
            <v>0</v>
          </cell>
          <cell r="CD76" t="str">
            <v xml:space="preserve">      N.M.</v>
          </cell>
          <cell r="CE76">
            <v>0</v>
          </cell>
          <cell r="CF76" t="str">
            <v xml:space="preserve">      N.M.</v>
          </cell>
          <cell r="CG76">
            <v>0</v>
          </cell>
          <cell r="CH76">
            <v>-1</v>
          </cell>
          <cell r="CI76">
            <v>0</v>
          </cell>
          <cell r="CJ76" t="str">
            <v xml:space="preserve">      N.M.</v>
          </cell>
          <cell r="CK76">
            <v>0</v>
          </cell>
          <cell r="CL76" t="str">
            <v xml:space="preserve">      N.M.</v>
          </cell>
          <cell r="CM76">
            <v>0</v>
          </cell>
          <cell r="CN76" t="str">
            <v xml:space="preserve">      N.M.</v>
          </cell>
          <cell r="CO76">
            <v>0</v>
          </cell>
          <cell r="CP76" t="str">
            <v xml:space="preserve">      N.M.</v>
          </cell>
          <cell r="CQ76">
            <v>0</v>
          </cell>
          <cell r="CR76" t="e">
            <v>#DIV/0!</v>
          </cell>
        </row>
        <row r="77">
          <cell r="BO77">
            <v>125.17400000000001</v>
          </cell>
          <cell r="BP77">
            <v>0.54381421048087719</v>
          </cell>
          <cell r="BQ77">
            <v>133.82300000000001</v>
          </cell>
          <cell r="BR77">
            <v>0.4295801730584341</v>
          </cell>
          <cell r="BS77">
            <v>150.19800000000004</v>
          </cell>
          <cell r="BT77">
            <v>0.472197445674015</v>
          </cell>
          <cell r="BU77">
            <v>160.5920000000001</v>
          </cell>
          <cell r="BV77">
            <v>0.39320539959052003</v>
          </cell>
          <cell r="BW77">
            <v>569.78700000000015</v>
          </cell>
          <cell r="BX77">
            <v>0.4536050124750628</v>
          </cell>
          <cell r="BY77">
            <v>159.107</v>
          </cell>
          <cell r="BZ77">
            <v>0.27108664738683741</v>
          </cell>
          <cell r="CA77">
            <v>172.14599999999999</v>
          </cell>
          <cell r="CB77">
            <v>0.28637080322515551</v>
          </cell>
          <cell r="CC77">
            <v>197.13900000000004</v>
          </cell>
          <cell r="CD77">
            <v>0.31252746374785279</v>
          </cell>
          <cell r="CE77">
            <v>194.18900000000005</v>
          </cell>
          <cell r="CF77">
            <v>0.2092071834213407</v>
          </cell>
          <cell r="CG77">
            <v>722.58100000000013</v>
          </cell>
          <cell r="CH77">
            <v>0.26815985622697602</v>
          </cell>
          <cell r="CI77">
            <v>212</v>
          </cell>
          <cell r="CJ77">
            <v>0.33243666212045975</v>
          </cell>
          <cell r="CK77">
            <v>225.5</v>
          </cell>
          <cell r="CL77">
            <v>0.30993459040581839</v>
          </cell>
          <cell r="CM77">
            <v>243.5</v>
          </cell>
          <cell r="CN77">
            <v>0.23516909388806861</v>
          </cell>
          <cell r="CO77">
            <v>261.5</v>
          </cell>
          <cell r="CP77">
            <v>0.34662622496639828</v>
          </cell>
          <cell r="CQ77">
            <v>942.5</v>
          </cell>
          <cell r="CR77">
            <v>0.30435203804140976</v>
          </cell>
        </row>
        <row r="78">
          <cell r="BY78">
            <v>0.56000000000000005</v>
          </cell>
          <cell r="BZ78" t="e">
            <v>#DIV/0!</v>
          </cell>
          <cell r="CA78">
            <v>0.56000000000000005</v>
          </cell>
          <cell r="CB78" t="e">
            <v>#DIV/0!</v>
          </cell>
          <cell r="CC78">
            <v>0.6</v>
          </cell>
          <cell r="CD78" t="e">
            <v>#DIV/0!</v>
          </cell>
          <cell r="CE78">
            <v>0.67</v>
          </cell>
          <cell r="CF78" t="e">
            <v>#DIV/0!</v>
          </cell>
          <cell r="CG78">
            <v>0.60047483949896274</v>
          </cell>
          <cell r="CH78" t="e">
            <v>#DIV/0!</v>
          </cell>
          <cell r="CI78">
            <v>0.67</v>
          </cell>
          <cell r="CJ78">
            <v>0.59416529217983594</v>
          </cell>
          <cell r="CK78">
            <v>0.65</v>
          </cell>
          <cell r="CL78">
            <v>0.52045979243532514</v>
          </cell>
          <cell r="CM78">
            <v>0.67</v>
          </cell>
          <cell r="CN78">
            <v>0.37927215484167687</v>
          </cell>
          <cell r="CO78">
            <v>0.67</v>
          </cell>
          <cell r="CP78">
            <v>0.34662622496639828</v>
          </cell>
          <cell r="CQ78">
            <v>0.66521485411140591</v>
          </cell>
          <cell r="CR78">
            <v>0.44498036157455023</v>
          </cell>
        </row>
        <row r="79">
          <cell r="BY79">
            <v>0.1</v>
          </cell>
          <cell r="BZ79" t="e">
            <v>#DIV/0!</v>
          </cell>
          <cell r="CA79">
            <v>0.1</v>
          </cell>
          <cell r="CB79" t="e">
            <v>#DIV/0!</v>
          </cell>
          <cell r="CC79">
            <v>0.13</v>
          </cell>
          <cell r="CD79" t="e">
            <v>#DIV/0!</v>
          </cell>
          <cell r="CE79">
            <v>0.12</v>
          </cell>
          <cell r="CF79" t="e">
            <v>#DIV/0!</v>
          </cell>
          <cell r="CG79">
            <v>0.11355965628766879</v>
          </cell>
          <cell r="CH79" t="e">
            <v>#DIV/0!</v>
          </cell>
          <cell r="CI79">
            <v>0.12</v>
          </cell>
          <cell r="CJ79">
            <v>0.5989239945445517</v>
          </cell>
          <cell r="CK79">
            <v>0.12</v>
          </cell>
          <cell r="CL79">
            <v>0.57192150848698176</v>
          </cell>
          <cell r="CM79">
            <v>0.12</v>
          </cell>
          <cell r="CN79">
            <v>0.14015608666590951</v>
          </cell>
          <cell r="CO79">
            <v>0.12</v>
          </cell>
          <cell r="CP79">
            <v>0.34662622496639828</v>
          </cell>
          <cell r="CQ79">
            <v>0.12</v>
          </cell>
          <cell r="CR79">
            <v>0.37832615632850941</v>
          </cell>
        </row>
        <row r="80">
          <cell r="BY80">
            <v>0.66</v>
          </cell>
          <cell r="CA80">
            <v>0.66</v>
          </cell>
          <cell r="CC80">
            <v>0.73</v>
          </cell>
          <cell r="CE80">
            <v>0.79</v>
          </cell>
          <cell r="CG80">
            <v>0.71403449578663158</v>
          </cell>
          <cell r="CI80">
            <v>0.79</v>
          </cell>
          <cell r="CK80">
            <v>0.77</v>
          </cell>
          <cell r="CM80">
            <v>0.79</v>
          </cell>
          <cell r="CO80">
            <v>0.79</v>
          </cell>
          <cell r="CQ80">
            <v>0.7852148541114059</v>
          </cell>
        </row>
        <row r="83">
          <cell r="BO83">
            <v>0.53928339751066512</v>
          </cell>
          <cell r="BQ83">
            <v>0.5611927695538137</v>
          </cell>
          <cell r="BS83">
            <v>0.51182465811795097</v>
          </cell>
          <cell r="BU83">
            <v>0.54034833615622213</v>
          </cell>
          <cell r="BW83">
            <v>0.53749106244965239</v>
          </cell>
          <cell r="BY83">
            <v>0.52</v>
          </cell>
          <cell r="CA83">
            <v>0.52400000000000002</v>
          </cell>
          <cell r="CC83">
            <v>0.53999999999999992</v>
          </cell>
          <cell r="CE83">
            <v>0.55000000000000004</v>
          </cell>
          <cell r="CG83">
            <v>0.53447178101832193</v>
          </cell>
          <cell r="CI83">
            <v>0.57000000000000006</v>
          </cell>
          <cell r="CK83">
            <v>0.56499999999999995</v>
          </cell>
          <cell r="CM83">
            <v>0.57000000000000006</v>
          </cell>
          <cell r="CO83">
            <v>0.57499999999999996</v>
          </cell>
          <cell r="CQ83">
            <v>0.57019098143236069</v>
          </cell>
        </row>
        <row r="84">
          <cell r="BO84">
            <v>0.1857314618051672</v>
          </cell>
          <cell r="BQ84">
            <v>0.21542821488085007</v>
          </cell>
          <cell r="BS84">
            <v>0.2482831995099801</v>
          </cell>
          <cell r="BU84">
            <v>0.25441479027597874</v>
          </cell>
          <cell r="BW84">
            <v>0.22855316109353138</v>
          </cell>
          <cell r="BY84">
            <v>0.28999999999999998</v>
          </cell>
          <cell r="CA84">
            <v>0.29299999999999998</v>
          </cell>
          <cell r="CC84">
            <v>0.27999999999999997</v>
          </cell>
          <cell r="CE84">
            <v>0.28999999999999998</v>
          </cell>
          <cell r="CG84">
            <v>0.28798645134593903</v>
          </cell>
          <cell r="CI84">
            <v>0.28999999999999998</v>
          </cell>
          <cell r="CK84">
            <v>0.28999999999999998</v>
          </cell>
          <cell r="CM84">
            <v>0.28499999999999998</v>
          </cell>
          <cell r="CO84">
            <v>0.28000000000000003</v>
          </cell>
          <cell r="CQ84">
            <v>0.28593368700265254</v>
          </cell>
        </row>
        <row r="85">
          <cell r="BO85">
            <v>0.1698838416923642</v>
          </cell>
          <cell r="BQ85">
            <v>0.11236484012464225</v>
          </cell>
          <cell r="BS85">
            <v>0.14406503415491548</v>
          </cell>
          <cell r="BU85">
            <v>0.11152672611338042</v>
          </cell>
          <cell r="BW85">
            <v>0.13312100837681445</v>
          </cell>
          <cell r="BY85">
            <v>0.12</v>
          </cell>
          <cell r="CA85">
            <v>0.123</v>
          </cell>
          <cell r="CC85">
            <v>0.12999999999999998</v>
          </cell>
          <cell r="CE85">
            <v>0.09</v>
          </cell>
          <cell r="CG85">
            <v>0.11538066735770798</v>
          </cell>
          <cell r="CI85">
            <v>0.08</v>
          </cell>
          <cell r="CK85">
            <v>8.5000000000000006E-2</v>
          </cell>
          <cell r="CM85">
            <v>0.09</v>
          </cell>
          <cell r="CO85">
            <v>0.09</v>
          </cell>
          <cell r="CQ85">
            <v>8.6554376657824936E-2</v>
          </cell>
        </row>
        <row r="86">
          <cell r="BO86">
            <v>0.10510129899180341</v>
          </cell>
          <cell r="BQ86">
            <v>0.11101417544069404</v>
          </cell>
          <cell r="BS86">
            <v>9.5827108217153331E-2</v>
          </cell>
          <cell r="BU86">
            <v>9.3710147454418594E-2</v>
          </cell>
          <cell r="BW86">
            <v>0.1008347680800018</v>
          </cell>
          <cell r="BY86">
            <v>7.0000000000000007E-2</v>
          </cell>
          <cell r="CA86">
            <v>0.06</v>
          </cell>
          <cell r="CC86">
            <v>4.9999999999999996E-2</v>
          </cell>
          <cell r="CE86">
            <v>7.0000000000000007E-2</v>
          </cell>
          <cell r="CG86">
            <v>6.2161100278031109E-2</v>
          </cell>
          <cell r="CI86">
            <v>0.06</v>
          </cell>
          <cell r="CK86">
            <v>0.06</v>
          </cell>
          <cell r="CM86">
            <v>5.5E-2</v>
          </cell>
          <cell r="CO86">
            <v>5.5E-2</v>
          </cell>
          <cell r="CQ86">
            <v>5.7320954907161804E-2</v>
          </cell>
        </row>
        <row r="87">
          <cell r="BO87">
            <v>0</v>
          </cell>
          <cell r="BQ87">
            <v>0</v>
          </cell>
          <cell r="BS87">
            <v>0</v>
          </cell>
          <cell r="BU87">
            <v>0</v>
          </cell>
          <cell r="BW87">
            <v>0</v>
          </cell>
          <cell r="BY87">
            <v>0</v>
          </cell>
          <cell r="CA87">
            <v>0</v>
          </cell>
          <cell r="CC87">
            <v>0</v>
          </cell>
          <cell r="CE87">
            <v>0</v>
          </cell>
          <cell r="CG87">
            <v>0</v>
          </cell>
          <cell r="CI87">
            <v>0</v>
          </cell>
          <cell r="CK87">
            <v>0</v>
          </cell>
          <cell r="CM87">
            <v>0</v>
          </cell>
          <cell r="CO87">
            <v>0</v>
          </cell>
          <cell r="CQ87">
            <v>0</v>
          </cell>
        </row>
        <row r="88">
          <cell r="BO88">
            <v>0</v>
          </cell>
          <cell r="BQ88">
            <v>5.3095711182689073E-17</v>
          </cell>
          <cell r="BS88">
            <v>0</v>
          </cell>
          <cell r="BU88">
            <v>0</v>
          </cell>
          <cell r="BW88">
            <v>1.2470321993308023E-17</v>
          </cell>
          <cell r="BY88">
            <v>0</v>
          </cell>
          <cell r="CA88">
            <v>0</v>
          </cell>
          <cell r="CC88">
            <v>0</v>
          </cell>
          <cell r="CE88">
            <v>0</v>
          </cell>
          <cell r="CG88">
            <v>0</v>
          </cell>
          <cell r="CI88">
            <v>0</v>
          </cell>
          <cell r="CK88">
            <v>0</v>
          </cell>
          <cell r="CM88">
            <v>0</v>
          </cell>
          <cell r="CO88">
            <v>0</v>
          </cell>
          <cell r="CQ88">
            <v>0</v>
          </cell>
        </row>
        <row r="89">
          <cell r="BO89">
            <v>1</v>
          </cell>
          <cell r="BQ89">
            <v>1</v>
          </cell>
          <cell r="BS89">
            <v>1</v>
          </cell>
          <cell r="BU89">
            <v>1</v>
          </cell>
          <cell r="BW89">
            <v>1</v>
          </cell>
          <cell r="BY89">
            <v>1</v>
          </cell>
          <cell r="CA89">
            <v>1</v>
          </cell>
          <cell r="CC89">
            <v>1</v>
          </cell>
          <cell r="CE89">
            <v>1</v>
          </cell>
          <cell r="CG89">
            <v>1</v>
          </cell>
          <cell r="CI89">
            <v>1</v>
          </cell>
          <cell r="CK89">
            <v>1</v>
          </cell>
          <cell r="CM89">
            <v>1</v>
          </cell>
          <cell r="CO89">
            <v>1</v>
          </cell>
          <cell r="CQ89">
            <v>1</v>
          </cell>
        </row>
        <row r="91">
          <cell r="BO91">
            <v>0</v>
          </cell>
          <cell r="BP91" t="str">
            <v xml:space="preserve">      N.M.</v>
          </cell>
          <cell r="BQ91">
            <v>0</v>
          </cell>
          <cell r="BR91" t="str">
            <v xml:space="preserve">      N.M.</v>
          </cell>
          <cell r="BS91">
            <v>0</v>
          </cell>
          <cell r="BT91" t="str">
            <v xml:space="preserve">      N.M.</v>
          </cell>
          <cell r="BU91">
            <v>0</v>
          </cell>
          <cell r="BV91" t="str">
            <v xml:space="preserve">      N.M.</v>
          </cell>
          <cell r="BW91">
            <v>0</v>
          </cell>
          <cell r="BX91" t="e">
            <v>#DIV/0!</v>
          </cell>
          <cell r="BY91">
            <v>0</v>
          </cell>
          <cell r="BZ91" t="str">
            <v xml:space="preserve">      N.M.</v>
          </cell>
          <cell r="CA91">
            <v>0</v>
          </cell>
          <cell r="CB91" t="str">
            <v xml:space="preserve">      N.M.</v>
          </cell>
          <cell r="CC91">
            <v>0</v>
          </cell>
          <cell r="CD91" t="str">
            <v xml:space="preserve">      N.M.</v>
          </cell>
          <cell r="CE91">
            <v>0</v>
          </cell>
          <cell r="CF91" t="str">
            <v xml:space="preserve">      N.M.</v>
          </cell>
          <cell r="CG91">
            <v>0</v>
          </cell>
          <cell r="CH91" t="e">
            <v>#DIV/0!</v>
          </cell>
          <cell r="CI91">
            <v>0</v>
          </cell>
          <cell r="CJ91" t="str">
            <v xml:space="preserve">      N.M.</v>
          </cell>
          <cell r="CK91">
            <v>0</v>
          </cell>
          <cell r="CL91" t="str">
            <v xml:space="preserve">      N.M.</v>
          </cell>
          <cell r="CM91">
            <v>0</v>
          </cell>
          <cell r="CN91" t="str">
            <v xml:space="preserve">      N.M.</v>
          </cell>
          <cell r="CO91">
            <v>0</v>
          </cell>
          <cell r="CP91" t="str">
            <v xml:space="preserve">      N.M.</v>
          </cell>
          <cell r="CQ91">
            <v>0</v>
          </cell>
          <cell r="CR91" t="e">
            <v>#DIV/0!</v>
          </cell>
        </row>
        <row r="93">
          <cell r="BO93" t="str">
            <v>1997R</v>
          </cell>
          <cell r="BW93" t="str">
            <v>1997R</v>
          </cell>
          <cell r="BY93" t="str">
            <v>1998A</v>
          </cell>
          <cell r="CG93" t="str">
            <v>1998A</v>
          </cell>
          <cell r="CI93" t="str">
            <v>1999E</v>
          </cell>
          <cell r="CQ93" t="str">
            <v>1999E</v>
          </cell>
        </row>
        <row r="94">
          <cell r="BO94" t="str">
            <v>1QR</v>
          </cell>
          <cell r="BQ94" t="str">
            <v>2QR</v>
          </cell>
          <cell r="BS94" t="str">
            <v>3QR</v>
          </cell>
          <cell r="BU94" t="str">
            <v>4QR</v>
          </cell>
          <cell r="BW94" t="str">
            <v xml:space="preserve">    Year</v>
          </cell>
          <cell r="BY94" t="str">
            <v>1QA</v>
          </cell>
          <cell r="CA94" t="str">
            <v xml:space="preserve">  2QA</v>
          </cell>
          <cell r="CC94" t="str">
            <v xml:space="preserve">  3QA</v>
          </cell>
          <cell r="CE94" t="str">
            <v xml:space="preserve">  4QA</v>
          </cell>
          <cell r="CG94" t="str">
            <v xml:space="preserve">    Year</v>
          </cell>
          <cell r="CI94" t="str">
            <v xml:space="preserve">   1QE</v>
          </cell>
          <cell r="CK94" t="str">
            <v xml:space="preserve">  2QE</v>
          </cell>
          <cell r="CM94" t="str">
            <v xml:space="preserve">  3QE</v>
          </cell>
          <cell r="CO94" t="str">
            <v xml:space="preserve">  4QE</v>
          </cell>
          <cell r="CQ94" t="str">
            <v xml:space="preserve">    Year</v>
          </cell>
        </row>
        <row r="95">
          <cell r="BO95">
            <v>125.17400000000001</v>
          </cell>
          <cell r="BQ95">
            <v>133.82300000000001</v>
          </cell>
          <cell r="BS95">
            <v>150.19800000000001</v>
          </cell>
          <cell r="BU95">
            <v>160.59200000000007</v>
          </cell>
          <cell r="BW95">
            <v>569.78700000000015</v>
          </cell>
          <cell r="BY95">
            <v>159.107</v>
          </cell>
          <cell r="CA95">
            <v>172.14599999999999</v>
          </cell>
          <cell r="CC95">
            <v>197.13900000000001</v>
          </cell>
          <cell r="CE95">
            <v>194.18900000000005</v>
          </cell>
          <cell r="CG95">
            <v>722.58100000000013</v>
          </cell>
          <cell r="CI95">
            <v>212</v>
          </cell>
          <cell r="CK95">
            <v>225.5</v>
          </cell>
          <cell r="CM95">
            <v>243.5</v>
          </cell>
          <cell r="CO95">
            <v>261.5</v>
          </cell>
          <cell r="CQ95">
            <v>942.5</v>
          </cell>
        </row>
        <row r="96">
          <cell r="BO96">
            <v>0.54381421048087719</v>
          </cell>
          <cell r="BQ96">
            <v>0.4295801730584341</v>
          </cell>
          <cell r="BS96">
            <v>0.47219744567401478</v>
          </cell>
          <cell r="BU96">
            <v>0.39320539959051959</v>
          </cell>
          <cell r="BW96">
            <v>0.4536050124750628</v>
          </cell>
          <cell r="BY96">
            <v>0.27108664738683741</v>
          </cell>
          <cell r="CA96">
            <v>0.28637080322515551</v>
          </cell>
          <cell r="CC96">
            <v>0.31252746374785279</v>
          </cell>
          <cell r="CE96">
            <v>0.20920718342134093</v>
          </cell>
          <cell r="CG96">
            <v>0.26815985622697602</v>
          </cell>
          <cell r="CI96">
            <v>0.33243666212045975</v>
          </cell>
          <cell r="CK96">
            <v>0.30993459040581839</v>
          </cell>
          <cell r="CM96">
            <v>0.23516909388806884</v>
          </cell>
          <cell r="CO96">
            <v>0.34662622496639828</v>
          </cell>
          <cell r="CQ96">
            <v>0.30435203804140976</v>
          </cell>
        </row>
        <row r="97">
          <cell r="BO97">
            <v>0</v>
          </cell>
          <cell r="BQ97">
            <v>0</v>
          </cell>
          <cell r="BS97">
            <v>0</v>
          </cell>
          <cell r="BU97">
            <v>0</v>
          </cell>
          <cell r="BW97">
            <v>0</v>
          </cell>
          <cell r="BY97">
            <v>0</v>
          </cell>
          <cell r="CA97">
            <v>2.2417671102874692E-2</v>
          </cell>
          <cell r="CC97">
            <v>4.9934087005153192E-2</v>
          </cell>
          <cell r="CE97">
            <v>4.358872172960046E-2</v>
          </cell>
          <cell r="CG97">
            <v>3.0713231435606631E-2</v>
          </cell>
          <cell r="CI97">
            <v>4.3995550164354809E-2</v>
          </cell>
          <cell r="CK97">
            <v>2.323609029544689E-2</v>
          </cell>
          <cell r="CM97">
            <v>0</v>
          </cell>
          <cell r="CO97">
            <v>0</v>
          </cell>
          <cell r="CQ97">
            <v>1.5223206810032367E-2</v>
          </cell>
        </row>
        <row r="98">
          <cell r="BO98">
            <v>0</v>
          </cell>
          <cell r="BQ98">
            <v>0</v>
          </cell>
          <cell r="BS98">
            <v>0</v>
          </cell>
          <cell r="BU98">
            <v>0</v>
          </cell>
          <cell r="BW98">
            <v>0</v>
          </cell>
          <cell r="BY98">
            <v>0</v>
          </cell>
          <cell r="CA98">
            <v>0</v>
          </cell>
          <cell r="CC98">
            <v>0</v>
          </cell>
          <cell r="CE98">
            <v>0</v>
          </cell>
          <cell r="CG98">
            <v>0</v>
          </cell>
          <cell r="CI98">
            <v>0</v>
          </cell>
          <cell r="CK98">
            <v>0</v>
          </cell>
          <cell r="CM98">
            <v>0</v>
          </cell>
          <cell r="CO98">
            <v>0</v>
          </cell>
          <cell r="CQ98">
            <v>0</v>
          </cell>
        </row>
        <row r="99">
          <cell r="BO99">
            <v>0.54381421048087719</v>
          </cell>
          <cell r="BQ99">
            <v>0.4295801730584341</v>
          </cell>
          <cell r="BS99">
            <v>0.47219744567401478</v>
          </cell>
          <cell r="BU99">
            <v>0.39320539959051959</v>
          </cell>
          <cell r="BW99">
            <v>0.4536050124750628</v>
          </cell>
          <cell r="BY99">
            <v>0.27108664738683741</v>
          </cell>
          <cell r="CA99">
            <v>0.26395313212228078</v>
          </cell>
          <cell r="CC99">
            <v>0.26259337674269956</v>
          </cell>
          <cell r="CE99">
            <v>0.16561846169174044</v>
          </cell>
          <cell r="CG99">
            <v>0.23744662479136935</v>
          </cell>
          <cell r="CI99">
            <v>0.288441111956105</v>
          </cell>
          <cell r="CK99">
            <v>0.28669850011037146</v>
          </cell>
          <cell r="CM99">
            <v>0.23516909388806884</v>
          </cell>
          <cell r="CO99">
            <v>0.34662622496639828</v>
          </cell>
          <cell r="CQ99">
            <v>0.28912883123137734</v>
          </cell>
        </row>
        <row r="100">
          <cell r="BO100">
            <v>125.17400000000001</v>
          </cell>
          <cell r="BQ100">
            <v>133.82300000000001</v>
          </cell>
          <cell r="BS100">
            <v>150.19800000000001</v>
          </cell>
          <cell r="BU100">
            <v>160.59200000000007</v>
          </cell>
          <cell r="BW100">
            <v>569.78700000000015</v>
          </cell>
          <cell r="BY100">
            <v>159.107</v>
          </cell>
          <cell r="CA100">
            <v>172.14599999999999</v>
          </cell>
          <cell r="CC100">
            <v>197.13900000000001</v>
          </cell>
          <cell r="CE100">
            <v>194.18900000000005</v>
          </cell>
          <cell r="CG100">
            <v>722.58100000000013</v>
          </cell>
          <cell r="CI100">
            <v>212</v>
          </cell>
          <cell r="CK100">
            <v>225.5</v>
          </cell>
          <cell r="CM100">
            <v>243.5</v>
          </cell>
          <cell r="CO100">
            <v>261.5</v>
          </cell>
          <cell r="CQ100">
            <v>942.5</v>
          </cell>
        </row>
        <row r="101">
          <cell r="BO101">
            <v>0.47695927915348213</v>
          </cell>
          <cell r="BQ101">
            <v>0.46066272803865094</v>
          </cell>
          <cell r="BS101">
            <v>0.44570546675454459</v>
          </cell>
          <cell r="BU101">
            <v>0.42048423412166869</v>
          </cell>
          <cell r="BW101">
            <v>0.44800196016144145</v>
          </cell>
          <cell r="BY101">
            <v>0.4074504289338573</v>
          </cell>
          <cell r="CA101">
            <v>0.34676665259035744</v>
          </cell>
          <cell r="CC101">
            <v>0.36739541120835717</v>
          </cell>
          <cell r="CE101">
            <v>0.27941193064113001</v>
          </cell>
          <cell r="CG101">
            <v>0.34552581863321608</v>
          </cell>
          <cell r="CI101">
            <v>0.27976387967147121</v>
          </cell>
          <cell r="CK101">
            <v>0.27532581611632612</v>
          </cell>
          <cell r="CM101">
            <v>0.2488812353153842</v>
          </cell>
          <cell r="CO101">
            <v>0.25612234332906936</v>
          </cell>
          <cell r="CQ101">
            <v>0.26328772801137335</v>
          </cell>
        </row>
        <row r="102">
          <cell r="BO102">
            <v>0</v>
          </cell>
          <cell r="BQ102">
            <v>0</v>
          </cell>
          <cell r="BS102">
            <v>0</v>
          </cell>
          <cell r="BU102">
            <v>0</v>
          </cell>
          <cell r="BW102">
            <v>0</v>
          </cell>
          <cell r="BY102">
            <v>0</v>
          </cell>
          <cell r="CA102">
            <v>3</v>
          </cell>
          <cell r="CC102">
            <v>7.5</v>
          </cell>
          <cell r="CE102">
            <v>7</v>
          </cell>
          <cell r="CG102">
            <v>17.5</v>
          </cell>
          <cell r="CI102">
            <v>7</v>
          </cell>
          <cell r="CK102">
            <v>4</v>
          </cell>
          <cell r="CM102">
            <v>0</v>
          </cell>
          <cell r="CO102">
            <v>0</v>
          </cell>
          <cell r="CQ102">
            <v>11</v>
          </cell>
        </row>
        <row r="103">
          <cell r="BO103">
            <v>0</v>
          </cell>
          <cell r="BQ103">
            <v>0</v>
          </cell>
          <cell r="BS103">
            <v>0</v>
          </cell>
          <cell r="BU103">
            <v>0</v>
          </cell>
          <cell r="BW103">
            <v>0</v>
          </cell>
          <cell r="BY103">
            <v>0</v>
          </cell>
          <cell r="CA103">
            <v>0</v>
          </cell>
          <cell r="CC103">
            <v>0</v>
          </cell>
          <cell r="CE103">
            <v>0</v>
          </cell>
          <cell r="CG103">
            <v>0</v>
          </cell>
          <cell r="CI103">
            <v>0</v>
          </cell>
          <cell r="CK103">
            <v>0</v>
          </cell>
          <cell r="CM103">
            <v>0</v>
          </cell>
          <cell r="CO103">
            <v>0</v>
          </cell>
          <cell r="CQ103">
            <v>0</v>
          </cell>
        </row>
        <row r="104">
          <cell r="BO104">
            <v>81.081000000000003</v>
          </cell>
          <cell r="BQ104">
            <v>93.61</v>
          </cell>
          <cell r="BS104">
            <v>102.023</v>
          </cell>
          <cell r="BU104">
            <v>115.26800000000004</v>
          </cell>
          <cell r="BW104">
            <v>391.98200000000003</v>
          </cell>
          <cell r="BY104">
            <v>125.17400000000001</v>
          </cell>
          <cell r="CA104">
            <v>133.82300000000001</v>
          </cell>
          <cell r="CC104">
            <v>150.19800000000001</v>
          </cell>
          <cell r="CE104">
            <v>160.59200000000007</v>
          </cell>
          <cell r="CG104">
            <v>569.78700000000015</v>
          </cell>
          <cell r="CI104">
            <v>159.107</v>
          </cell>
          <cell r="CK104">
            <v>172.14599999999999</v>
          </cell>
          <cell r="CM104">
            <v>197.13900000000001</v>
          </cell>
          <cell r="CO104">
            <v>194.18900000000005</v>
          </cell>
          <cell r="CQ104">
            <v>722.58100000000013</v>
          </cell>
        </row>
        <row r="107">
          <cell r="BO107">
            <v>0</v>
          </cell>
          <cell r="BQ107">
            <v>0</v>
          </cell>
          <cell r="BS107">
            <v>0</v>
          </cell>
          <cell r="BU107">
            <v>0</v>
          </cell>
          <cell r="BW107">
            <v>0</v>
          </cell>
          <cell r="BY107">
            <v>0</v>
          </cell>
          <cell r="CA107">
            <v>0</v>
          </cell>
          <cell r="CC107">
            <v>0</v>
          </cell>
          <cell r="CE107">
            <v>0</v>
          </cell>
          <cell r="CG107">
            <v>0</v>
          </cell>
          <cell r="CI107">
            <v>0</v>
          </cell>
          <cell r="CK107">
            <v>0</v>
          </cell>
          <cell r="CM107">
            <v>0</v>
          </cell>
          <cell r="CO107">
            <v>0</v>
          </cell>
          <cell r="CQ107">
            <v>0</v>
          </cell>
        </row>
        <row r="108">
          <cell r="BO108">
            <v>0</v>
          </cell>
          <cell r="BQ108">
            <v>0</v>
          </cell>
          <cell r="BS108">
            <v>0</v>
          </cell>
          <cell r="BU108">
            <v>0</v>
          </cell>
          <cell r="BW108">
            <v>0</v>
          </cell>
          <cell r="BY108">
            <v>0</v>
          </cell>
          <cell r="CA108">
            <v>0</v>
          </cell>
          <cell r="CC108">
            <v>0</v>
          </cell>
          <cell r="CE108">
            <v>0</v>
          </cell>
          <cell r="CG108">
            <v>0</v>
          </cell>
          <cell r="CI108">
            <v>0</v>
          </cell>
          <cell r="CK108">
            <v>0</v>
          </cell>
          <cell r="CM108">
            <v>0</v>
          </cell>
          <cell r="CO108">
            <v>0</v>
          </cell>
          <cell r="CQ108">
            <v>0</v>
          </cell>
        </row>
        <row r="109">
          <cell r="BO109">
            <v>0</v>
          </cell>
          <cell r="BQ109">
            <v>0</v>
          </cell>
          <cell r="BS109">
            <v>0</v>
          </cell>
          <cell r="BU109">
            <v>0</v>
          </cell>
          <cell r="BW109">
            <v>0</v>
          </cell>
          <cell r="BY109">
            <v>0</v>
          </cell>
          <cell r="CA109">
            <v>0</v>
          </cell>
          <cell r="CC109">
            <v>0</v>
          </cell>
          <cell r="CE109">
            <v>0</v>
          </cell>
          <cell r="CG109">
            <v>0</v>
          </cell>
          <cell r="CI109">
            <v>0</v>
          </cell>
          <cell r="CK109">
            <v>0</v>
          </cell>
          <cell r="CM109">
            <v>0</v>
          </cell>
          <cell r="CO109">
            <v>0</v>
          </cell>
          <cell r="CQ109">
            <v>0</v>
          </cell>
        </row>
        <row r="110">
          <cell r="BO110">
            <v>0</v>
          </cell>
          <cell r="BQ110">
            <v>0</v>
          </cell>
          <cell r="BS110">
            <v>0</v>
          </cell>
          <cell r="BU110">
            <v>0</v>
          </cell>
          <cell r="BW110">
            <v>0</v>
          </cell>
          <cell r="BY110">
            <v>0</v>
          </cell>
          <cell r="CA110">
            <v>0</v>
          </cell>
          <cell r="CC110">
            <v>0</v>
          </cell>
          <cell r="CE110">
            <v>0</v>
          </cell>
          <cell r="CG110">
            <v>0</v>
          </cell>
          <cell r="CI110">
            <v>0</v>
          </cell>
          <cell r="CK110">
            <v>0</v>
          </cell>
          <cell r="CM110">
            <v>0</v>
          </cell>
          <cell r="CO110">
            <v>0</v>
          </cell>
          <cell r="CQ110">
            <v>0</v>
          </cell>
        </row>
        <row r="111">
          <cell r="BO111">
            <v>0</v>
          </cell>
          <cell r="BQ111">
            <v>0</v>
          </cell>
          <cell r="BS111">
            <v>0</v>
          </cell>
          <cell r="BU111">
            <v>0</v>
          </cell>
          <cell r="BW111">
            <v>0</v>
          </cell>
          <cell r="BY111">
            <v>0</v>
          </cell>
          <cell r="CA111">
            <v>0</v>
          </cell>
          <cell r="CC111">
            <v>0</v>
          </cell>
          <cell r="CE111">
            <v>0</v>
          </cell>
          <cell r="CG111">
            <v>0</v>
          </cell>
          <cell r="CI111">
            <v>0</v>
          </cell>
          <cell r="CK111">
            <v>0</v>
          </cell>
          <cell r="CM111">
            <v>0</v>
          </cell>
          <cell r="CO111">
            <v>0</v>
          </cell>
          <cell r="CQ111">
            <v>0</v>
          </cell>
        </row>
        <row r="112">
          <cell r="BO112">
            <v>0</v>
          </cell>
          <cell r="BQ112">
            <v>0</v>
          </cell>
          <cell r="BS112">
            <v>0</v>
          </cell>
          <cell r="BU112">
            <v>0</v>
          </cell>
          <cell r="BW112">
            <v>0</v>
          </cell>
          <cell r="BY112">
            <v>0</v>
          </cell>
          <cell r="CA112">
            <v>0</v>
          </cell>
          <cell r="CC112">
            <v>0</v>
          </cell>
          <cell r="CE112">
            <v>0</v>
          </cell>
          <cell r="CG112">
            <v>0</v>
          </cell>
          <cell r="CI112">
            <v>0</v>
          </cell>
          <cell r="CK112">
            <v>0</v>
          </cell>
          <cell r="CM112">
            <v>0</v>
          </cell>
          <cell r="CO112">
            <v>0</v>
          </cell>
          <cell r="CQ112">
            <v>0</v>
          </cell>
        </row>
        <row r="113">
          <cell r="BO113">
            <v>0</v>
          </cell>
          <cell r="BQ113">
            <v>0</v>
          </cell>
          <cell r="BS113">
            <v>0</v>
          </cell>
          <cell r="BU113">
            <v>0</v>
          </cell>
          <cell r="BW113">
            <v>0</v>
          </cell>
          <cell r="BY113">
            <v>0</v>
          </cell>
          <cell r="CA113">
            <v>0</v>
          </cell>
          <cell r="CC113">
            <v>0</v>
          </cell>
          <cell r="CE113">
            <v>0</v>
          </cell>
          <cell r="CG113">
            <v>0</v>
          </cell>
          <cell r="CI113">
            <v>0</v>
          </cell>
          <cell r="CK113">
            <v>0</v>
          </cell>
          <cell r="CM113">
            <v>0</v>
          </cell>
          <cell r="CO113">
            <v>0</v>
          </cell>
          <cell r="CQ113">
            <v>0</v>
          </cell>
        </row>
        <row r="114">
          <cell r="BO114">
            <v>0</v>
          </cell>
          <cell r="BQ114">
            <v>0</v>
          </cell>
          <cell r="BS114">
            <v>0</v>
          </cell>
          <cell r="BU114">
            <v>0</v>
          </cell>
          <cell r="BW114">
            <v>0</v>
          </cell>
          <cell r="BY114">
            <v>0</v>
          </cell>
          <cell r="CA114">
            <v>0</v>
          </cell>
          <cell r="CC114">
            <v>0</v>
          </cell>
          <cell r="CE114">
            <v>0</v>
          </cell>
          <cell r="CG114">
            <v>0</v>
          </cell>
          <cell r="CI114">
            <v>0</v>
          </cell>
          <cell r="CK114">
            <v>0</v>
          </cell>
          <cell r="CM114">
            <v>0</v>
          </cell>
          <cell r="CO114">
            <v>0</v>
          </cell>
          <cell r="CQ114">
            <v>0</v>
          </cell>
        </row>
        <row r="115">
          <cell r="BO115">
            <v>0</v>
          </cell>
          <cell r="BQ115">
            <v>0</v>
          </cell>
          <cell r="BS115">
            <v>0</v>
          </cell>
          <cell r="BU115">
            <v>0</v>
          </cell>
          <cell r="BW115">
            <v>0</v>
          </cell>
          <cell r="BY115">
            <v>0</v>
          </cell>
          <cell r="CA115">
            <v>3</v>
          </cell>
          <cell r="CC115">
            <v>7.5</v>
          </cell>
          <cell r="CE115">
            <v>7</v>
          </cell>
          <cell r="CG115">
            <v>17.5</v>
          </cell>
          <cell r="CI115">
            <v>7</v>
          </cell>
          <cell r="CK115">
            <v>4</v>
          </cell>
          <cell r="CM115">
            <v>0</v>
          </cell>
          <cell r="CO115">
            <v>0</v>
          </cell>
          <cell r="CQ115">
            <v>11</v>
          </cell>
        </row>
        <row r="116">
          <cell r="BO116">
            <v>0</v>
          </cell>
          <cell r="BQ116">
            <v>0</v>
          </cell>
          <cell r="BS116">
            <v>0</v>
          </cell>
          <cell r="BU116">
            <v>0</v>
          </cell>
          <cell r="BW116">
            <v>0</v>
          </cell>
          <cell r="BY116">
            <v>0</v>
          </cell>
          <cell r="CA116">
            <v>0</v>
          </cell>
          <cell r="CC116">
            <v>0</v>
          </cell>
          <cell r="CE116">
            <v>0</v>
          </cell>
          <cell r="CG116">
            <v>0</v>
          </cell>
          <cell r="CI116">
            <v>0</v>
          </cell>
          <cell r="CK116">
            <v>0</v>
          </cell>
          <cell r="CM116">
            <v>0</v>
          </cell>
          <cell r="CO116">
            <v>0</v>
          </cell>
          <cell r="CQ116">
            <v>0</v>
          </cell>
        </row>
        <row r="117">
          <cell r="BO117">
            <v>0</v>
          </cell>
          <cell r="BQ117">
            <v>0</v>
          </cell>
          <cell r="BS117">
            <v>0</v>
          </cell>
          <cell r="BU117">
            <v>0</v>
          </cell>
          <cell r="BW117">
            <v>0</v>
          </cell>
          <cell r="BY117">
            <v>0</v>
          </cell>
          <cell r="CA117">
            <v>0</v>
          </cell>
          <cell r="CC117">
            <v>0</v>
          </cell>
          <cell r="CE117">
            <v>0</v>
          </cell>
          <cell r="CG117">
            <v>0</v>
          </cell>
          <cell r="CI117">
            <v>0</v>
          </cell>
          <cell r="CK117">
            <v>0</v>
          </cell>
          <cell r="CM117">
            <v>0</v>
          </cell>
          <cell r="CO117">
            <v>0</v>
          </cell>
          <cell r="CQ117">
            <v>0</v>
          </cell>
        </row>
        <row r="118">
          <cell r="BO118">
            <v>0</v>
          </cell>
          <cell r="BQ118">
            <v>0</v>
          </cell>
          <cell r="BS118">
            <v>0</v>
          </cell>
          <cell r="BU118">
            <v>0</v>
          </cell>
          <cell r="BW118">
            <v>0</v>
          </cell>
          <cell r="BY118">
            <v>0</v>
          </cell>
          <cell r="CA118">
            <v>0</v>
          </cell>
          <cell r="CC118">
            <v>0</v>
          </cell>
          <cell r="CE118">
            <v>0</v>
          </cell>
          <cell r="CG118">
            <v>0</v>
          </cell>
          <cell r="CI118">
            <v>0</v>
          </cell>
          <cell r="CK118">
            <v>0</v>
          </cell>
          <cell r="CM118">
            <v>0</v>
          </cell>
          <cell r="CO118">
            <v>0</v>
          </cell>
          <cell r="CQ118">
            <v>0</v>
          </cell>
        </row>
        <row r="119">
          <cell r="BO119">
            <v>0</v>
          </cell>
          <cell r="BQ119">
            <v>0</v>
          </cell>
          <cell r="BS119">
            <v>0</v>
          </cell>
          <cell r="BU119">
            <v>0</v>
          </cell>
          <cell r="BW119">
            <v>0</v>
          </cell>
          <cell r="BY119">
            <v>0</v>
          </cell>
          <cell r="CA119">
            <v>0</v>
          </cell>
          <cell r="CC119">
            <v>0</v>
          </cell>
          <cell r="CE119">
            <v>0</v>
          </cell>
          <cell r="CG119">
            <v>0</v>
          </cell>
          <cell r="CI119">
            <v>0</v>
          </cell>
          <cell r="CK119">
            <v>0</v>
          </cell>
          <cell r="CM119">
            <v>0</v>
          </cell>
          <cell r="CO119">
            <v>0</v>
          </cell>
          <cell r="CQ119">
            <v>0</v>
          </cell>
        </row>
        <row r="120">
          <cell r="BO120">
            <v>0</v>
          </cell>
          <cell r="BQ120">
            <v>0</v>
          </cell>
          <cell r="BS120">
            <v>0</v>
          </cell>
          <cell r="BU120">
            <v>0</v>
          </cell>
          <cell r="BW120">
            <v>0</v>
          </cell>
          <cell r="BY120">
            <v>0</v>
          </cell>
          <cell r="CA120">
            <v>3</v>
          </cell>
          <cell r="CC120">
            <v>7.5</v>
          </cell>
          <cell r="CE120">
            <v>7</v>
          </cell>
          <cell r="CG120">
            <v>17.5</v>
          </cell>
          <cell r="CI120">
            <v>7</v>
          </cell>
          <cell r="CK120">
            <v>4</v>
          </cell>
          <cell r="CM120">
            <v>0</v>
          </cell>
          <cell r="CO120">
            <v>0</v>
          </cell>
          <cell r="CQ120">
            <v>11</v>
          </cell>
        </row>
        <row r="128">
          <cell r="P128" t="str">
            <v>Sanmina Corporation</v>
          </cell>
        </row>
        <row r="129">
          <cell r="P129" t="str">
            <v>Full Year Revenue Analysis</v>
          </cell>
        </row>
        <row r="130">
          <cell r="P130" t="str">
            <v>($ In Millions Except Per Share Data)</v>
          </cell>
        </row>
        <row r="132">
          <cell r="L132" t="str">
            <v xml:space="preserve">    1995A</v>
          </cell>
          <cell r="M132" t="str">
            <v xml:space="preserve">   % Chg.</v>
          </cell>
          <cell r="N132" t="str">
            <v xml:space="preserve">    1996A</v>
          </cell>
          <cell r="O132" t="str">
            <v xml:space="preserve">   % Chg.</v>
          </cell>
          <cell r="P132" t="str">
            <v xml:space="preserve">    1997A</v>
          </cell>
          <cell r="Q132" t="str">
            <v xml:space="preserve">   % Chg.</v>
          </cell>
          <cell r="R132" t="str">
            <v xml:space="preserve">    1998A</v>
          </cell>
          <cell r="S132" t="str">
            <v xml:space="preserve">   % Chg.</v>
          </cell>
          <cell r="T132" t="str">
            <v xml:space="preserve">    1999E</v>
          </cell>
          <cell r="U132" t="str">
            <v xml:space="preserve">   % Chg.</v>
          </cell>
          <cell r="V132" t="str">
            <v xml:space="preserve">    2000E</v>
          </cell>
          <cell r="W132" t="str">
            <v xml:space="preserve">   % Chg.</v>
          </cell>
        </row>
        <row r="133">
          <cell r="L133">
            <v>271.75700000000001</v>
          </cell>
          <cell r="M133">
            <v>0.28913925191527712</v>
          </cell>
          <cell r="N133">
            <v>391.98200000000003</v>
          </cell>
          <cell r="O133">
            <v>0.4423989078478201</v>
          </cell>
          <cell r="P133">
            <v>559.78700000000015</v>
          </cell>
          <cell r="Q133">
            <v>0.42809363695271752</v>
          </cell>
          <cell r="R133">
            <v>707.58100000000013</v>
          </cell>
          <cell r="S133">
            <v>0.26401827838088399</v>
          </cell>
          <cell r="T133">
            <v>912.5</v>
          </cell>
          <cell r="U133">
            <v>0.28960500635262942</v>
          </cell>
          <cell r="V133">
            <v>1185</v>
          </cell>
          <cell r="W133">
            <v>0.29863013698630136</v>
          </cell>
        </row>
        <row r="134">
          <cell r="L134">
            <v>0</v>
          </cell>
          <cell r="M134" t="str">
            <v xml:space="preserve">      N.M.</v>
          </cell>
          <cell r="N134">
            <v>0</v>
          </cell>
          <cell r="O134" t="str">
            <v xml:space="preserve">      N.M.</v>
          </cell>
          <cell r="P134">
            <v>10</v>
          </cell>
          <cell r="Q134" t="str">
            <v xml:space="preserve">      N.M.</v>
          </cell>
          <cell r="R134">
            <v>15</v>
          </cell>
          <cell r="S134">
            <v>0.5</v>
          </cell>
          <cell r="T134">
            <v>30</v>
          </cell>
          <cell r="U134">
            <v>1</v>
          </cell>
          <cell r="V134">
            <v>50</v>
          </cell>
          <cell r="W134">
            <v>0.66666666666666674</v>
          </cell>
        </row>
        <row r="135">
          <cell r="L135">
            <v>0</v>
          </cell>
          <cell r="M135" t="str">
            <v xml:space="preserve">      N.M.</v>
          </cell>
          <cell r="N135">
            <v>0</v>
          </cell>
          <cell r="O135" t="str">
            <v xml:space="preserve">      N.M.</v>
          </cell>
          <cell r="P135">
            <v>0</v>
          </cell>
          <cell r="Q135" t="str">
            <v xml:space="preserve">      N.M.</v>
          </cell>
          <cell r="R135">
            <v>0</v>
          </cell>
          <cell r="S135" t="str">
            <v xml:space="preserve">      N.M.</v>
          </cell>
          <cell r="T135">
            <v>0</v>
          </cell>
          <cell r="U135" t="str">
            <v xml:space="preserve">      N.M.</v>
          </cell>
          <cell r="V135">
            <v>0</v>
          </cell>
          <cell r="W135" t="str">
            <v xml:space="preserve">      N.M.</v>
          </cell>
        </row>
        <row r="136">
          <cell r="L136">
            <v>0</v>
          </cell>
          <cell r="M136" t="str">
            <v xml:space="preserve">      N.M.</v>
          </cell>
          <cell r="N136">
            <v>0</v>
          </cell>
          <cell r="O136" t="str">
            <v xml:space="preserve">      N.M.</v>
          </cell>
          <cell r="P136">
            <v>0</v>
          </cell>
          <cell r="Q136" t="str">
            <v xml:space="preserve">      N.M.</v>
          </cell>
          <cell r="R136">
            <v>0</v>
          </cell>
          <cell r="S136" t="str">
            <v xml:space="preserve">      N.M.</v>
          </cell>
          <cell r="T136">
            <v>0</v>
          </cell>
          <cell r="U136" t="str">
            <v xml:space="preserve">      N.M.</v>
          </cell>
          <cell r="V136">
            <v>0</v>
          </cell>
          <cell r="W136" t="str">
            <v xml:space="preserve">      N.M.</v>
          </cell>
        </row>
        <row r="137">
          <cell r="L137">
            <v>0</v>
          </cell>
          <cell r="M137" t="str">
            <v xml:space="preserve">      N.M.</v>
          </cell>
          <cell r="N137">
            <v>0</v>
          </cell>
          <cell r="O137" t="str">
            <v xml:space="preserve">      N.M.</v>
          </cell>
          <cell r="P137">
            <v>0</v>
          </cell>
          <cell r="Q137" t="str">
            <v xml:space="preserve">      N.M.</v>
          </cell>
          <cell r="R137">
            <v>0</v>
          </cell>
          <cell r="S137" t="str">
            <v xml:space="preserve">      N.M.</v>
          </cell>
          <cell r="T137">
            <v>0</v>
          </cell>
          <cell r="U137" t="str">
            <v xml:space="preserve">      N.M.</v>
          </cell>
          <cell r="V137">
            <v>0</v>
          </cell>
          <cell r="W137" t="str">
            <v xml:space="preserve">      N.M.</v>
          </cell>
        </row>
        <row r="138">
          <cell r="L138">
            <v>271.75700000000001</v>
          </cell>
          <cell r="M138">
            <v>0.28913925191527712</v>
          </cell>
          <cell r="N138">
            <v>391.98200000000003</v>
          </cell>
          <cell r="O138">
            <v>0.4423989078478201</v>
          </cell>
          <cell r="P138">
            <v>569.78700000000015</v>
          </cell>
          <cell r="Q138">
            <v>0.4536050124750628</v>
          </cell>
          <cell r="R138">
            <v>722.58100000000013</v>
          </cell>
          <cell r="S138">
            <v>0.26815985622697602</v>
          </cell>
          <cell r="T138">
            <v>942.5</v>
          </cell>
          <cell r="U138">
            <v>0.30435203804140976</v>
          </cell>
          <cell r="V138">
            <v>1235</v>
          </cell>
          <cell r="W138">
            <v>0.31034482758620685</v>
          </cell>
        </row>
        <row r="139">
          <cell r="L139">
            <v>271.75700000000001</v>
          </cell>
          <cell r="M139">
            <v>0.28913925191527712</v>
          </cell>
          <cell r="N139">
            <v>391.98200000000003</v>
          </cell>
          <cell r="O139">
            <v>0.4423989078478201</v>
          </cell>
          <cell r="P139">
            <v>569.78700000000015</v>
          </cell>
          <cell r="Q139">
            <v>0.4536050124750628</v>
          </cell>
          <cell r="R139">
            <v>722.58100000000013</v>
          </cell>
          <cell r="S139">
            <v>0.26815985622697602</v>
          </cell>
          <cell r="T139">
            <v>942.5</v>
          </cell>
          <cell r="U139">
            <v>0.30435203804140976</v>
          </cell>
          <cell r="V139">
            <v>1235</v>
          </cell>
          <cell r="W139">
            <v>0.31034482758620685</v>
          </cell>
        </row>
        <row r="141">
          <cell r="L141">
            <v>31.510000000000012</v>
          </cell>
          <cell r="M141" t="str">
            <v xml:space="preserve">     N.M.</v>
          </cell>
          <cell r="N141">
            <v>53.984000000000052</v>
          </cell>
          <cell r="O141">
            <v>0.71323389400190518</v>
          </cell>
          <cell r="P141">
            <v>57.257000000000133</v>
          </cell>
          <cell r="Q141">
            <v>6.0629075281566358E-2</v>
          </cell>
          <cell r="R141">
            <v>107.41400000000013</v>
          </cell>
          <cell r="S141">
            <v>0.8759976946050243</v>
          </cell>
          <cell r="T141">
            <v>153.37024999999988</v>
          </cell>
          <cell r="U141">
            <v>0.42784227381905238</v>
          </cell>
          <cell r="V141">
            <v>196.72150000000002</v>
          </cell>
          <cell r="W141">
            <v>0.28265749061503231</v>
          </cell>
        </row>
        <row r="142">
          <cell r="L142">
            <v>0</v>
          </cell>
          <cell r="M142" t="str">
            <v xml:space="preserve">      N.M.</v>
          </cell>
          <cell r="N142">
            <v>0</v>
          </cell>
          <cell r="O142" t="str">
            <v xml:space="preserve">      N.M.</v>
          </cell>
          <cell r="P142">
            <v>-0.4</v>
          </cell>
          <cell r="Q142" t="str">
            <v xml:space="preserve">      N.M.</v>
          </cell>
          <cell r="R142">
            <v>-7.4999999999999997E-2</v>
          </cell>
          <cell r="S142">
            <v>-0.8125</v>
          </cell>
          <cell r="T142">
            <v>0.6</v>
          </cell>
          <cell r="U142" t="str">
            <v xml:space="preserve">     N.M.</v>
          </cell>
          <cell r="V142">
            <v>2.5</v>
          </cell>
          <cell r="W142">
            <v>3.166666666666667</v>
          </cell>
        </row>
        <row r="143">
          <cell r="L143">
            <v>0</v>
          </cell>
          <cell r="M143" t="str">
            <v xml:space="preserve">      N.M.</v>
          </cell>
          <cell r="N143">
            <v>0</v>
          </cell>
          <cell r="O143" t="str">
            <v xml:space="preserve">      N.M.</v>
          </cell>
          <cell r="P143">
            <v>0</v>
          </cell>
          <cell r="Q143" t="str">
            <v xml:space="preserve">      N.M.</v>
          </cell>
          <cell r="R143">
            <v>0</v>
          </cell>
          <cell r="S143" t="str">
            <v xml:space="preserve">      N.M.</v>
          </cell>
          <cell r="T143">
            <v>0</v>
          </cell>
          <cell r="U143" t="str">
            <v xml:space="preserve">      N.M.</v>
          </cell>
          <cell r="V143">
            <v>0</v>
          </cell>
          <cell r="W143" t="str">
            <v xml:space="preserve">      N.M.</v>
          </cell>
        </row>
        <row r="144">
          <cell r="L144">
            <v>0</v>
          </cell>
          <cell r="M144" t="str">
            <v xml:space="preserve">      N.M.</v>
          </cell>
          <cell r="N144">
            <v>0</v>
          </cell>
          <cell r="O144" t="str">
            <v xml:space="preserve">      N.M.</v>
          </cell>
          <cell r="P144">
            <v>0</v>
          </cell>
          <cell r="Q144" t="str">
            <v xml:space="preserve">      N.M.</v>
          </cell>
          <cell r="R144">
            <v>0</v>
          </cell>
          <cell r="S144" t="str">
            <v xml:space="preserve">      N.M.</v>
          </cell>
          <cell r="T144">
            <v>0</v>
          </cell>
          <cell r="U144" t="str">
            <v xml:space="preserve">      N.M.</v>
          </cell>
          <cell r="V144">
            <v>0</v>
          </cell>
          <cell r="W144" t="str">
            <v xml:space="preserve">      N.M.</v>
          </cell>
        </row>
        <row r="145">
          <cell r="L145">
            <v>0</v>
          </cell>
          <cell r="M145" t="str">
            <v xml:space="preserve">      N.M.</v>
          </cell>
          <cell r="N145">
            <v>0</v>
          </cell>
          <cell r="O145" t="str">
            <v xml:space="preserve">      N.M.</v>
          </cell>
          <cell r="P145">
            <v>0</v>
          </cell>
          <cell r="Q145" t="str">
            <v xml:space="preserve">      N.M.</v>
          </cell>
          <cell r="R145">
            <v>0</v>
          </cell>
          <cell r="S145" t="str">
            <v xml:space="preserve">      N.M.</v>
          </cell>
          <cell r="T145">
            <v>0</v>
          </cell>
          <cell r="U145" t="str">
            <v xml:space="preserve">      N.M.</v>
          </cell>
          <cell r="V145">
            <v>0</v>
          </cell>
          <cell r="W145" t="str">
            <v xml:space="preserve">      N.M.</v>
          </cell>
        </row>
        <row r="146">
          <cell r="L146">
            <v>31.510000000000012</v>
          </cell>
          <cell r="M146" t="str">
            <v xml:space="preserve">     N.M.</v>
          </cell>
          <cell r="N146">
            <v>53.984000000000052</v>
          </cell>
          <cell r="O146">
            <v>0.71323389400190518</v>
          </cell>
          <cell r="P146">
            <v>56.857000000000134</v>
          </cell>
          <cell r="Q146">
            <v>5.3219472436278892E-2</v>
          </cell>
          <cell r="R146">
            <v>107.33900000000013</v>
          </cell>
          <cell r="S146">
            <v>0.88787660270502977</v>
          </cell>
          <cell r="T146">
            <v>153.97024999999988</v>
          </cell>
          <cell r="U146">
            <v>0.43442970402183456</v>
          </cell>
          <cell r="V146">
            <v>199.22150000000002</v>
          </cell>
          <cell r="W146">
            <v>0.29389606108972455</v>
          </cell>
        </row>
        <row r="147">
          <cell r="L147">
            <v>31.510000000000012</v>
          </cell>
          <cell r="M147" t="str">
            <v xml:space="preserve">     N.M.</v>
          </cell>
          <cell r="N147">
            <v>53.984000000000052</v>
          </cell>
          <cell r="O147">
            <v>0.71323389400190518</v>
          </cell>
          <cell r="P147">
            <v>56.857000000000134</v>
          </cell>
          <cell r="Q147">
            <v>5.3219472436278892E-2</v>
          </cell>
          <cell r="R147">
            <v>107.33900000000013</v>
          </cell>
          <cell r="S147">
            <v>0.88787660270502977</v>
          </cell>
          <cell r="T147">
            <v>153.97024999999988</v>
          </cell>
          <cell r="U147">
            <v>0.43442970402183456</v>
          </cell>
          <cell r="V147">
            <v>199.22150000000002</v>
          </cell>
          <cell r="W147">
            <v>0.29389606108972455</v>
          </cell>
        </row>
        <row r="149">
          <cell r="L149">
            <v>0.11594917518224006</v>
          </cell>
          <cell r="N149">
            <v>0.1377206096198296</v>
          </cell>
          <cell r="P149">
            <v>0.10228354713489259</v>
          </cell>
          <cell r="R149">
            <v>0.15180452838614958</v>
          </cell>
          <cell r="T149">
            <v>0.16807698630136975</v>
          </cell>
          <cell r="V149">
            <v>0.16600970464135023</v>
          </cell>
        </row>
        <row r="150">
          <cell r="L150" t="e">
            <v>#DIV/0!</v>
          </cell>
          <cell r="N150">
            <v>0</v>
          </cell>
          <cell r="P150">
            <v>-0.04</v>
          </cell>
          <cell r="R150">
            <v>-5.0000000000000001E-3</v>
          </cell>
          <cell r="T150">
            <v>0.02</v>
          </cell>
          <cell r="V150">
            <v>0.05</v>
          </cell>
        </row>
        <row r="151">
          <cell r="L151" t="e">
            <v>#DIV/0!</v>
          </cell>
          <cell r="N151">
            <v>0</v>
          </cell>
          <cell r="P151">
            <v>0</v>
          </cell>
          <cell r="R151">
            <v>0</v>
          </cell>
          <cell r="T151">
            <v>0</v>
          </cell>
          <cell r="V151">
            <v>0</v>
          </cell>
        </row>
        <row r="152">
          <cell r="L152" t="e">
            <v>#DIV/0!</v>
          </cell>
          <cell r="N152">
            <v>0</v>
          </cell>
          <cell r="P152">
            <v>0</v>
          </cell>
          <cell r="R152">
            <v>0</v>
          </cell>
          <cell r="T152">
            <v>0</v>
          </cell>
          <cell r="V152">
            <v>0</v>
          </cell>
        </row>
        <row r="153">
          <cell r="L153" t="e">
            <v>#DIV/0!</v>
          </cell>
          <cell r="N153">
            <v>0</v>
          </cell>
          <cell r="P153">
            <v>0</v>
          </cell>
          <cell r="R153">
            <v>0</v>
          </cell>
          <cell r="T153">
            <v>0</v>
          </cell>
          <cell r="V153">
            <v>0</v>
          </cell>
        </row>
        <row r="154">
          <cell r="L154">
            <v>0.11594917518224006</v>
          </cell>
          <cell r="N154">
            <v>0.1377206096198296</v>
          </cell>
          <cell r="P154">
            <v>9.9786411413388024E-2</v>
          </cell>
          <cell r="R154">
            <v>0.14854943598018783</v>
          </cell>
          <cell r="T154">
            <v>0.16336366047745346</v>
          </cell>
          <cell r="V154">
            <v>0.16131295546558705</v>
          </cell>
        </row>
        <row r="155">
          <cell r="L155">
            <v>0.11594917518224006</v>
          </cell>
          <cell r="N155">
            <v>0.1377206096198296</v>
          </cell>
          <cell r="P155">
            <v>9.9786411413388024E-2</v>
          </cell>
          <cell r="R155">
            <v>0.14854943598018783</v>
          </cell>
          <cell r="T155">
            <v>0.16336366047745346</v>
          </cell>
          <cell r="V155">
            <v>0.16131295546558705</v>
          </cell>
        </row>
        <row r="157">
          <cell r="L157">
            <v>166.89819</v>
          </cell>
          <cell r="M157">
            <v>-0.20828163468608429</v>
          </cell>
          <cell r="N157">
            <v>216.17180000000002</v>
          </cell>
          <cell r="O157">
            <v>0.29523154205566882</v>
          </cell>
          <cell r="P157">
            <v>306.25542000000019</v>
          </cell>
          <cell r="Q157">
            <v>0.41672234768827465</v>
          </cell>
          <cell r="R157">
            <v>386.19915400000014</v>
          </cell>
          <cell r="S157">
            <v>0.26103614427460542</v>
          </cell>
          <cell r="T157">
            <v>537.40499999999997</v>
          </cell>
          <cell r="U157">
            <v>0.39152298609126368</v>
          </cell>
          <cell r="V157">
            <v>727.27499999999998</v>
          </cell>
          <cell r="W157">
            <v>0.35330895693192277</v>
          </cell>
        </row>
        <row r="158">
          <cell r="L158">
            <v>46.83605</v>
          </cell>
          <cell r="M158" t="str">
            <v xml:space="preserve">      N.M.</v>
          </cell>
          <cell r="N158">
            <v>79.086479999999995</v>
          </cell>
          <cell r="O158">
            <v>0.68858133852022085</v>
          </cell>
          <cell r="P158">
            <v>130.22662</v>
          </cell>
          <cell r="Q158">
            <v>0.64663568286260831</v>
          </cell>
          <cell r="R158">
            <v>208.09353800000002</v>
          </cell>
          <cell r="S158">
            <v>0.59793395543860406</v>
          </cell>
          <cell r="T158">
            <v>269.49250000000001</v>
          </cell>
          <cell r="U158">
            <v>0.29505463067286586</v>
          </cell>
          <cell r="V158">
            <v>345.8</v>
          </cell>
          <cell r="W158">
            <v>0.28315259237270052</v>
          </cell>
        </row>
        <row r="159">
          <cell r="L159">
            <v>36.063380000000002</v>
          </cell>
          <cell r="M159" t="str">
            <v xml:space="preserve">      N.M.</v>
          </cell>
          <cell r="N159">
            <v>64.804479999999998</v>
          </cell>
          <cell r="O159">
            <v>0.79696079513345652</v>
          </cell>
          <cell r="P159">
            <v>75.850619999999992</v>
          </cell>
          <cell r="Q159">
            <v>0.17045333902841286</v>
          </cell>
          <cell r="R159">
            <v>83.371878000000009</v>
          </cell>
          <cell r="S159">
            <v>9.915882032342016E-2</v>
          </cell>
          <cell r="T159">
            <v>81.577500000000001</v>
          </cell>
          <cell r="U159">
            <v>-2.1522581031460097E-2</v>
          </cell>
          <cell r="V159">
            <v>98.8</v>
          </cell>
          <cell r="W159">
            <v>0.21111826177561221</v>
          </cell>
        </row>
        <row r="160">
          <cell r="L160">
            <v>21.118320000000001</v>
          </cell>
          <cell r="M160" t="str">
            <v xml:space="preserve">      N.M.</v>
          </cell>
          <cell r="N160">
            <v>30.765319999999999</v>
          </cell>
          <cell r="O160">
            <v>0.45680717026733175</v>
          </cell>
          <cell r="P160">
            <v>57.454340000000002</v>
          </cell>
          <cell r="Q160">
            <v>0.86750340968337092</v>
          </cell>
          <cell r="R160">
            <v>44.916430000000005</v>
          </cell>
          <cell r="S160">
            <v>-0.21822389744621551</v>
          </cell>
          <cell r="T160">
            <v>54.024999999999999</v>
          </cell>
          <cell r="U160">
            <v>0.20278926887110105</v>
          </cell>
          <cell r="V160">
            <v>63.125</v>
          </cell>
          <cell r="W160">
            <v>0.16844053678852378</v>
          </cell>
        </row>
        <row r="161">
          <cell r="L161">
            <v>0</v>
          </cell>
          <cell r="M161" t="str">
            <v xml:space="preserve">      N.M.</v>
          </cell>
          <cell r="N161">
            <v>0</v>
          </cell>
          <cell r="O161" t="str">
            <v xml:space="preserve">      N.M.</v>
          </cell>
          <cell r="P161">
            <v>0</v>
          </cell>
          <cell r="Q161" t="str">
            <v xml:space="preserve">      N.M.</v>
          </cell>
          <cell r="R161">
            <v>0</v>
          </cell>
          <cell r="S161" t="str">
            <v xml:space="preserve">      N.M.</v>
          </cell>
          <cell r="T161">
            <v>0</v>
          </cell>
          <cell r="U161" t="str">
            <v xml:space="preserve">      N.M.</v>
          </cell>
          <cell r="V161">
            <v>0</v>
          </cell>
          <cell r="W161" t="str">
            <v xml:space="preserve">      N.M.</v>
          </cell>
        </row>
        <row r="162">
          <cell r="L162">
            <v>0.84106000000000003</v>
          </cell>
          <cell r="M162" t="str">
            <v xml:space="preserve">      N.M.</v>
          </cell>
          <cell r="N162">
            <v>1.1539200000000001</v>
          </cell>
          <cell r="O162">
            <v>0.37198297386631163</v>
          </cell>
          <cell r="P162">
            <v>7.1054273576010003E-15</v>
          </cell>
          <cell r="Q162">
            <v>-0.99999999999999389</v>
          </cell>
          <cell r="R162">
            <v>0</v>
          </cell>
          <cell r="S162">
            <v>-1</v>
          </cell>
          <cell r="T162">
            <v>0</v>
          </cell>
          <cell r="U162" t="str">
            <v xml:space="preserve">      N.M.</v>
          </cell>
          <cell r="V162">
            <v>0</v>
          </cell>
          <cell r="W162" t="str">
            <v xml:space="preserve">      N.M.</v>
          </cell>
        </row>
        <row r="163">
          <cell r="L163">
            <v>271.75700000000001</v>
          </cell>
          <cell r="M163">
            <v>0.28913925191527712</v>
          </cell>
          <cell r="N163">
            <v>391.98200000000003</v>
          </cell>
          <cell r="O163">
            <v>0.4423989078478201</v>
          </cell>
          <cell r="P163">
            <v>569.78700000000015</v>
          </cell>
          <cell r="Q163">
            <v>0.4536050124750628</v>
          </cell>
          <cell r="R163">
            <v>722.58100000000013</v>
          </cell>
          <cell r="S163">
            <v>0.26815985622697602</v>
          </cell>
          <cell r="T163">
            <v>942.5</v>
          </cell>
          <cell r="U163">
            <v>0.30435203804140976</v>
          </cell>
          <cell r="V163">
            <v>1235</v>
          </cell>
          <cell r="W163">
            <v>0.31034482758620685</v>
          </cell>
        </row>
        <row r="165">
          <cell r="L165">
            <v>0.61414495302788885</v>
          </cell>
          <cell r="M165">
            <v>-0.20828163468608429</v>
          </cell>
          <cell r="N165">
            <v>0.55148399671413484</v>
          </cell>
          <cell r="O165">
            <v>0.29523154205566882</v>
          </cell>
          <cell r="P165">
            <v>0.53749106244965239</v>
          </cell>
          <cell r="Q165">
            <v>0.41672234768827465</v>
          </cell>
          <cell r="R165">
            <v>0.53447178101832193</v>
          </cell>
          <cell r="S165">
            <v>0.26103614427460542</v>
          </cell>
          <cell r="T165">
            <v>0.57019098143236069</v>
          </cell>
          <cell r="U165">
            <v>0.39152298609126368</v>
          </cell>
          <cell r="V165">
            <v>0.58888663967611332</v>
          </cell>
          <cell r="W165">
            <v>0.35330895693192277</v>
          </cell>
        </row>
        <row r="166">
          <cell r="L166">
            <v>0.17234533057106163</v>
          </cell>
          <cell r="M166" t="str">
            <v xml:space="preserve">      N.M.</v>
          </cell>
          <cell r="N166">
            <v>0.20176048900204599</v>
          </cell>
          <cell r="O166">
            <v>0.68858133852022085</v>
          </cell>
          <cell r="P166">
            <v>0.22855316109353138</v>
          </cell>
          <cell r="Q166">
            <v>0.64663568286260831</v>
          </cell>
          <cell r="R166">
            <v>0.28798645134593903</v>
          </cell>
          <cell r="S166">
            <v>0.59793395543860384</v>
          </cell>
          <cell r="T166">
            <v>0.28593368700265254</v>
          </cell>
          <cell r="U166">
            <v>0.29505463067286608</v>
          </cell>
          <cell r="V166">
            <v>0.28000000000000003</v>
          </cell>
          <cell r="W166">
            <v>0.28315259237270052</v>
          </cell>
        </row>
        <row r="167">
          <cell r="L167">
            <v>0.13270451175130724</v>
          </cell>
          <cell r="M167" t="str">
            <v xml:space="preserve">      N.M.</v>
          </cell>
          <cell r="N167">
            <v>0.16532514248103228</v>
          </cell>
          <cell r="O167">
            <v>0.79696079513345652</v>
          </cell>
          <cell r="P167">
            <v>0.13312100837681445</v>
          </cell>
          <cell r="Q167">
            <v>0.17045333902841286</v>
          </cell>
          <cell r="R167">
            <v>0.11538066735770798</v>
          </cell>
          <cell r="S167">
            <v>9.915882032342016E-2</v>
          </cell>
          <cell r="T167">
            <v>8.6554376657824936E-2</v>
          </cell>
          <cell r="U167">
            <v>-2.1522581031460097E-2</v>
          </cell>
          <cell r="V167">
            <v>0.08</v>
          </cell>
          <cell r="W167">
            <v>0.21111826177561221</v>
          </cell>
        </row>
        <row r="168">
          <cell r="L168">
            <v>7.7710307370187331E-2</v>
          </cell>
          <cell r="M168" t="str">
            <v xml:space="preserve">      N.M.</v>
          </cell>
          <cell r="N168">
            <v>7.8486563158512379E-2</v>
          </cell>
          <cell r="O168">
            <v>0.45680717026733197</v>
          </cell>
          <cell r="P168">
            <v>0.1008347680800018</v>
          </cell>
          <cell r="Q168">
            <v>0.8675034096833707</v>
          </cell>
          <cell r="R168">
            <v>6.2161100278031109E-2</v>
          </cell>
          <cell r="S168">
            <v>-0.21822389744621551</v>
          </cell>
          <cell r="T168">
            <v>5.7320954907161804E-2</v>
          </cell>
          <cell r="U168">
            <v>0.20278926887110105</v>
          </cell>
          <cell r="V168">
            <v>5.1113360323886636E-2</v>
          </cell>
          <cell r="W168">
            <v>0.16844053678852378</v>
          </cell>
        </row>
        <row r="169">
          <cell r="L169">
            <v>0</v>
          </cell>
          <cell r="M169" t="str">
            <v xml:space="preserve">      N.M.</v>
          </cell>
          <cell r="N169">
            <v>0</v>
          </cell>
          <cell r="O169" t="str">
            <v xml:space="preserve">      N.M.</v>
          </cell>
          <cell r="P169">
            <v>0</v>
          </cell>
          <cell r="Q169" t="str">
            <v xml:space="preserve">      N.M.</v>
          </cell>
          <cell r="R169">
            <v>0</v>
          </cell>
          <cell r="S169" t="str">
            <v xml:space="preserve">      N.M.</v>
          </cell>
          <cell r="T169">
            <v>0</v>
          </cell>
          <cell r="U169" t="str">
            <v xml:space="preserve">      N.M.</v>
          </cell>
          <cell r="V169">
            <v>0</v>
          </cell>
          <cell r="W169" t="str">
            <v xml:space="preserve">      N.M.</v>
          </cell>
        </row>
        <row r="170">
          <cell r="L170">
            <v>3.0948972795548967E-3</v>
          </cell>
          <cell r="M170" t="str">
            <v xml:space="preserve">      N.M.</v>
          </cell>
          <cell r="N170">
            <v>2.9438086442744819E-3</v>
          </cell>
          <cell r="O170">
            <v>0.37198297386631163</v>
          </cell>
          <cell r="P170">
            <v>1.2470321993308023E-17</v>
          </cell>
          <cell r="Q170">
            <v>-0.99999999999999389</v>
          </cell>
          <cell r="R170">
            <v>0</v>
          </cell>
          <cell r="S170">
            <v>-1</v>
          </cell>
          <cell r="T170">
            <v>0</v>
          </cell>
          <cell r="U170" t="str">
            <v xml:space="preserve">      N.M.</v>
          </cell>
          <cell r="V170">
            <v>0</v>
          </cell>
          <cell r="W170" t="str">
            <v xml:space="preserve">      N.M.</v>
          </cell>
        </row>
        <row r="171">
          <cell r="L171">
            <v>1</v>
          </cell>
          <cell r="M171">
            <v>0.28913925191527712</v>
          </cell>
          <cell r="N171">
            <v>1</v>
          </cell>
          <cell r="O171">
            <v>0.4423989078478201</v>
          </cell>
          <cell r="P171">
            <v>1</v>
          </cell>
          <cell r="Q171">
            <v>0.4536050124750628</v>
          </cell>
          <cell r="R171">
            <v>1</v>
          </cell>
          <cell r="S171">
            <v>0.26815985622697602</v>
          </cell>
          <cell r="T171">
            <v>1</v>
          </cell>
          <cell r="U171">
            <v>0.30435203804140976</v>
          </cell>
          <cell r="V171">
            <v>1</v>
          </cell>
          <cell r="W171">
            <v>0.31034482758620685</v>
          </cell>
        </row>
        <row r="173">
          <cell r="L173">
            <v>27.349281000000012</v>
          </cell>
          <cell r="M173" t="str">
            <v xml:space="preserve">      N.M.</v>
          </cell>
          <cell r="N173">
            <v>135.36521399999998</v>
          </cell>
          <cell r="O173">
            <v>3.9494980873537378</v>
          </cell>
          <cell r="P173">
            <v>118.717918</v>
          </cell>
          <cell r="Q173">
            <v>-0.12298060563772306</v>
          </cell>
          <cell r="R173">
            <v>110.71861000000001</v>
          </cell>
          <cell r="S173">
            <v>-6.738079756418891E-2</v>
          </cell>
          <cell r="T173">
            <v>115.5</v>
          </cell>
          <cell r="U173">
            <v>4.3185061662172064E-2</v>
          </cell>
          <cell r="V173">
            <v>123.5</v>
          </cell>
          <cell r="W173">
            <v>6.9264069264069361E-2</v>
          </cell>
        </row>
        <row r="174">
          <cell r="L174">
            <v>244.40771899999999</v>
          </cell>
          <cell r="M174" t="str">
            <v xml:space="preserve">      N.M.</v>
          </cell>
          <cell r="N174">
            <v>256.61678599999999</v>
          </cell>
          <cell r="O174">
            <v>4.9953688246646699E-2</v>
          </cell>
          <cell r="P174">
            <v>451.98208199999999</v>
          </cell>
          <cell r="Q174">
            <v>0.76131144437293363</v>
          </cell>
          <cell r="R174">
            <v>611.86239</v>
          </cell>
          <cell r="S174">
            <v>0.35373151805606318</v>
          </cell>
          <cell r="T174">
            <v>827</v>
          </cell>
          <cell r="U174">
            <v>0.35161110327438161</v>
          </cell>
          <cell r="V174">
            <v>1111.5</v>
          </cell>
          <cell r="W174">
            <v>0.34401451027811358</v>
          </cell>
        </row>
        <row r="175">
          <cell r="L175">
            <v>0.8993612639232843</v>
          </cell>
          <cell r="N175">
            <v>0.65466471929833503</v>
          </cell>
          <cell r="P175">
            <v>0.79324744509790479</v>
          </cell>
          <cell r="R175">
            <v>0.84677342747733453</v>
          </cell>
          <cell r="T175">
            <v>0.87745358090185677</v>
          </cell>
          <cell r="V175">
            <v>0.9</v>
          </cell>
        </row>
        <row r="178">
          <cell r="L178">
            <v>35.871924</v>
          </cell>
          <cell r="M178" t="str">
            <v xml:space="preserve">      N.M.</v>
          </cell>
          <cell r="N178">
            <v>51.741624000000009</v>
          </cell>
          <cell r="O178">
            <v>0.4423989078478201</v>
          </cell>
          <cell r="P178">
            <v>48.431895000000019</v>
          </cell>
          <cell r="Q178">
            <v>-6.3966469239542856E-2</v>
          </cell>
          <cell r="R178">
            <v>48.41292700000001</v>
          </cell>
          <cell r="S178">
            <v>-3.916427387367083E-4</v>
          </cell>
          <cell r="T178">
            <v>65.975000000000009</v>
          </cell>
          <cell r="U178">
            <v>0.36275586064027898</v>
          </cell>
          <cell r="V178">
            <v>82.745000000000005</v>
          </cell>
          <cell r="W178">
            <v>0.2541871921182266</v>
          </cell>
        </row>
        <row r="179">
          <cell r="L179">
            <v>59.514783000000001</v>
          </cell>
          <cell r="M179">
            <v>-1.9717027189424585E-2</v>
          </cell>
          <cell r="N179">
            <v>98.779464000000004</v>
          </cell>
          <cell r="O179">
            <v>0.65974668848242302</v>
          </cell>
          <cell r="P179">
            <v>100.85229900000002</v>
          </cell>
          <cell r="Q179">
            <v>2.0984473047960694E-2</v>
          </cell>
          <cell r="R179">
            <v>90.322625000000016</v>
          </cell>
          <cell r="S179">
            <v>-0.10440688119563835</v>
          </cell>
          <cell r="T179">
            <v>98.962499999999991</v>
          </cell>
          <cell r="U179">
            <v>9.5655711954784062E-2</v>
          </cell>
          <cell r="V179">
            <v>104.97500000000001</v>
          </cell>
          <cell r="W179">
            <v>6.0755336617405842E-2</v>
          </cell>
        </row>
        <row r="180">
          <cell r="L180">
            <v>0</v>
          </cell>
          <cell r="M180" t="str">
            <v xml:space="preserve">      N.M.</v>
          </cell>
          <cell r="N180">
            <v>0</v>
          </cell>
          <cell r="O180" t="str">
            <v xml:space="preserve">      N.M.</v>
          </cell>
          <cell r="P180">
            <v>48.431895000000019</v>
          </cell>
          <cell r="Q180" t="str">
            <v xml:space="preserve">      N.M.</v>
          </cell>
          <cell r="R180">
            <v>126.45167500000001</v>
          </cell>
          <cell r="S180">
            <v>1.6109173510555381</v>
          </cell>
          <cell r="T180">
            <v>122.52500000000001</v>
          </cell>
          <cell r="U180">
            <v>-3.1052771740667007E-2</v>
          </cell>
          <cell r="V180">
            <v>160.55000000000001</v>
          </cell>
          <cell r="W180">
            <v>0.31034482758620685</v>
          </cell>
        </row>
        <row r="181">
          <cell r="L181">
            <v>0</v>
          </cell>
          <cell r="M181">
            <v>-1</v>
          </cell>
          <cell r="N181">
            <v>0</v>
          </cell>
          <cell r="O181" t="str">
            <v xml:space="preserve">      N.M.</v>
          </cell>
          <cell r="P181">
            <v>25.640415000000004</v>
          </cell>
          <cell r="Q181" t="str">
            <v xml:space="preserve">      N.M.</v>
          </cell>
          <cell r="R181">
            <v>18.064525000000003</v>
          </cell>
          <cell r="S181">
            <v>-0.29546674654056881</v>
          </cell>
          <cell r="T181">
            <v>46.182500000000005</v>
          </cell>
          <cell r="U181">
            <v>1.556529994561163</v>
          </cell>
          <cell r="V181">
            <v>58.045000000000002</v>
          </cell>
          <cell r="W181">
            <v>0.25686136523574943</v>
          </cell>
        </row>
        <row r="182">
          <cell r="L182">
            <v>0</v>
          </cell>
          <cell r="M182" t="str">
            <v xml:space="preserve">      N.M.</v>
          </cell>
          <cell r="N182">
            <v>0</v>
          </cell>
          <cell r="O182" t="str">
            <v xml:space="preserve">      N.M.</v>
          </cell>
          <cell r="P182">
            <v>25.640415000000004</v>
          </cell>
          <cell r="Q182" t="str">
            <v xml:space="preserve">      N.M.</v>
          </cell>
          <cell r="R182">
            <v>46.967765000000007</v>
          </cell>
          <cell r="S182">
            <v>0.83178645899452097</v>
          </cell>
          <cell r="T182">
            <v>81.997499999999988</v>
          </cell>
          <cell r="U182">
            <v>0.74582503553234814</v>
          </cell>
          <cell r="V182">
            <v>96.33</v>
          </cell>
          <cell r="W182">
            <v>0.17479191438763397</v>
          </cell>
        </row>
        <row r="183">
          <cell r="L183">
            <v>0</v>
          </cell>
          <cell r="M183" t="str">
            <v xml:space="preserve">      N.M.</v>
          </cell>
          <cell r="N183">
            <v>0</v>
          </cell>
          <cell r="O183" t="str">
            <v xml:space="preserve">      N.M.</v>
          </cell>
          <cell r="P183">
            <v>0</v>
          </cell>
          <cell r="Q183" t="str">
            <v xml:space="preserve">      N.M.</v>
          </cell>
          <cell r="R183">
            <v>39.741955000000004</v>
          </cell>
          <cell r="S183" t="str">
            <v xml:space="preserve">      N.M.</v>
          </cell>
          <cell r="T183">
            <v>49.952500000000001</v>
          </cell>
          <cell r="U183">
            <v>0.25692105483990391</v>
          </cell>
          <cell r="V183">
            <v>61.75</v>
          </cell>
          <cell r="W183">
            <v>0.23617436564736494</v>
          </cell>
        </row>
        <row r="184">
          <cell r="L184">
            <v>0</v>
          </cell>
          <cell r="M184">
            <v>-1</v>
          </cell>
          <cell r="N184">
            <v>0</v>
          </cell>
          <cell r="O184" t="str">
            <v xml:space="preserve">      N.M.</v>
          </cell>
          <cell r="P184">
            <v>0</v>
          </cell>
          <cell r="Q184" t="str">
            <v xml:space="preserve">      N.M.</v>
          </cell>
          <cell r="R184">
            <v>0</v>
          </cell>
          <cell r="S184" t="str">
            <v xml:space="preserve">      N.M.</v>
          </cell>
          <cell r="T184">
            <v>0</v>
          </cell>
          <cell r="U184" t="str">
            <v xml:space="preserve">      N.M.</v>
          </cell>
          <cell r="V184">
            <v>0</v>
          </cell>
          <cell r="W184" t="str">
            <v xml:space="preserve">      N.M.</v>
          </cell>
        </row>
        <row r="185">
          <cell r="L185">
            <v>0</v>
          </cell>
          <cell r="M185" t="str">
            <v xml:space="preserve">      N.M.</v>
          </cell>
          <cell r="N185">
            <v>0</v>
          </cell>
          <cell r="O185" t="str">
            <v xml:space="preserve">      N.M.</v>
          </cell>
          <cell r="P185">
            <v>0</v>
          </cell>
          <cell r="Q185" t="str">
            <v xml:space="preserve">      N.M.</v>
          </cell>
          <cell r="R185">
            <v>28.903240000000007</v>
          </cell>
          <cell r="S185" t="str">
            <v xml:space="preserve">      N.M.</v>
          </cell>
          <cell r="T185">
            <v>56.55</v>
          </cell>
          <cell r="U185">
            <v>0.95652805706211419</v>
          </cell>
          <cell r="V185">
            <v>74.099999999999994</v>
          </cell>
          <cell r="W185">
            <v>0.31034482758620685</v>
          </cell>
        </row>
        <row r="186">
          <cell r="P186">
            <v>248.99691900000008</v>
          </cell>
          <cell r="Q186" t="str">
            <v xml:space="preserve">      N.M.</v>
          </cell>
          <cell r="R186">
            <v>330.21951700000005</v>
          </cell>
          <cell r="S186">
            <v>0.32619920891470922</v>
          </cell>
          <cell r="T186">
            <v>465.59499999999997</v>
          </cell>
          <cell r="U186">
            <v>0.40995603236861333</v>
          </cell>
          <cell r="V186">
            <v>0</v>
          </cell>
          <cell r="W186">
            <v>-1</v>
          </cell>
        </row>
        <row r="187">
          <cell r="L187">
            <v>0</v>
          </cell>
          <cell r="M187">
            <v>-1</v>
          </cell>
          <cell r="N187">
            <v>0</v>
          </cell>
          <cell r="O187" t="str">
            <v xml:space="preserve">      N.M.</v>
          </cell>
          <cell r="P187">
            <v>0</v>
          </cell>
          <cell r="Q187" t="str">
            <v xml:space="preserve">      N.M.</v>
          </cell>
          <cell r="R187">
            <v>433.8917100000001</v>
          </cell>
          <cell r="S187" t="str">
            <v xml:space="preserve">      N.M.</v>
          </cell>
          <cell r="T187">
            <v>626.96500000000003</v>
          </cell>
          <cell r="U187">
            <v>0.44498036157455023</v>
          </cell>
          <cell r="V187">
            <v>827.45</v>
          </cell>
          <cell r="W187">
            <v>0.31977064110436793</v>
          </cell>
        </row>
        <row r="188">
          <cell r="L188">
            <v>0</v>
          </cell>
          <cell r="M188" t="str">
            <v xml:space="preserve">      N.M.</v>
          </cell>
          <cell r="N188">
            <v>0</v>
          </cell>
          <cell r="O188" t="str">
            <v xml:space="preserve">      N.M.</v>
          </cell>
          <cell r="P188">
            <v>0</v>
          </cell>
          <cell r="Q188" t="str">
            <v xml:space="preserve">      N.M.</v>
          </cell>
          <cell r="R188">
            <v>515.94776000000013</v>
          </cell>
          <cell r="S188" t="str">
            <v xml:space="preserve">      N.M.</v>
          </cell>
          <cell r="T188">
            <v>740.06500000000005</v>
          </cell>
          <cell r="U188">
            <v>0.43437971317096102</v>
          </cell>
          <cell r="V188">
            <v>975.65000000000009</v>
          </cell>
          <cell r="W188">
            <v>0.31833014667630555</v>
          </cell>
        </row>
        <row r="205">
          <cell r="P205" t="str">
            <v>Sanmina Corporation</v>
          </cell>
        </row>
        <row r="206">
          <cell r="P206" t="str">
            <v>Full Year Income Statements</v>
          </cell>
        </row>
        <row r="207">
          <cell r="P207" t="str">
            <v>($ In Millions Except Per Share Data)</v>
          </cell>
        </row>
        <row r="209">
          <cell r="L209" t="str">
            <v xml:space="preserve">    1995A</v>
          </cell>
          <cell r="M209" t="str">
            <v xml:space="preserve">   % Chg.</v>
          </cell>
          <cell r="N209" t="str">
            <v>1996A</v>
          </cell>
          <cell r="O209" t="str">
            <v xml:space="preserve">   % Chg.</v>
          </cell>
          <cell r="P209" t="str">
            <v>1997A</v>
          </cell>
          <cell r="Q209" t="str">
            <v xml:space="preserve">   % Chg.</v>
          </cell>
          <cell r="R209" t="str">
            <v>1998A</v>
          </cell>
          <cell r="S209" t="str">
            <v xml:space="preserve">   % Chg.</v>
          </cell>
          <cell r="T209" t="str">
            <v>1999E</v>
          </cell>
          <cell r="U209" t="str">
            <v xml:space="preserve">   % Chg.</v>
          </cell>
          <cell r="V209" t="str">
            <v>2000E</v>
          </cell>
          <cell r="W209" t="str">
            <v xml:space="preserve">   % Chg.</v>
          </cell>
        </row>
        <row r="210">
          <cell r="L210">
            <v>271.75700000000001</v>
          </cell>
          <cell r="M210">
            <v>0.28913925191527712</v>
          </cell>
          <cell r="N210">
            <v>391.98200000000003</v>
          </cell>
          <cell r="O210">
            <v>0.4423989078478201</v>
          </cell>
          <cell r="P210">
            <v>569.78700000000015</v>
          </cell>
          <cell r="Q210">
            <v>0.4536050124750628</v>
          </cell>
          <cell r="R210">
            <v>722.58100000000013</v>
          </cell>
          <cell r="S210">
            <v>0.26815985622697602</v>
          </cell>
          <cell r="T210">
            <v>942.5</v>
          </cell>
          <cell r="U210">
            <v>0.30435203804140976</v>
          </cell>
          <cell r="V210">
            <v>1235</v>
          </cell>
          <cell r="W210">
            <v>0.31034482758620685</v>
          </cell>
        </row>
        <row r="212">
          <cell r="L212">
            <v>216.81399999999999</v>
          </cell>
          <cell r="M212">
            <v>0.23557637511682494</v>
          </cell>
          <cell r="N212">
            <v>305.22699999999998</v>
          </cell>
          <cell r="O212">
            <v>0.40778270775872394</v>
          </cell>
          <cell r="P212">
            <v>455.57600000000002</v>
          </cell>
          <cell r="Q212">
            <v>0.49258093156896354</v>
          </cell>
          <cell r="R212">
            <v>563.91300000000001</v>
          </cell>
          <cell r="S212">
            <v>0.23780225472808048</v>
          </cell>
          <cell r="T212">
            <v>738.61050000000012</v>
          </cell>
          <cell r="U212">
            <v>0.30979512797186826</v>
          </cell>
          <cell r="V212">
            <v>976.41049999999996</v>
          </cell>
          <cell r="W212">
            <v>0.32195588879389048</v>
          </cell>
        </row>
        <row r="213">
          <cell r="L213">
            <v>0.79782305515589291</v>
          </cell>
          <cell r="N213">
            <v>0.7786760616558922</v>
          </cell>
          <cell r="P213">
            <v>0.79955492140045303</v>
          </cell>
          <cell r="R213">
            <v>0.78041492926052569</v>
          </cell>
          <cell r="T213">
            <v>0.78367161803713536</v>
          </cell>
          <cell r="V213">
            <v>0.79061578947368416</v>
          </cell>
        </row>
        <row r="214">
          <cell r="L214">
            <v>54.943000000000012</v>
          </cell>
          <cell r="M214">
            <v>0.55518129581929987</v>
          </cell>
          <cell r="N214">
            <v>86.755000000000052</v>
          </cell>
          <cell r="O214">
            <v>0.57900005460204262</v>
          </cell>
          <cell r="P214">
            <v>114.21100000000013</v>
          </cell>
          <cell r="Q214">
            <v>0.3164774364589944</v>
          </cell>
          <cell r="R214">
            <v>158.66800000000012</v>
          </cell>
          <cell r="S214">
            <v>0.38925322429538256</v>
          </cell>
          <cell r="T214">
            <v>203.88949999999988</v>
          </cell>
          <cell r="U214">
            <v>0.2850070587642104</v>
          </cell>
          <cell r="V214">
            <v>258.58950000000004</v>
          </cell>
          <cell r="W214">
            <v>0.26828257462988625</v>
          </cell>
        </row>
        <row r="215">
          <cell r="L215">
            <v>0.20217694484410709</v>
          </cell>
          <cell r="N215">
            <v>0.22132393834410777</v>
          </cell>
          <cell r="P215">
            <v>0.20044507859954702</v>
          </cell>
          <cell r="R215">
            <v>0.21958507073947431</v>
          </cell>
          <cell r="T215">
            <v>0.21632838196286461</v>
          </cell>
          <cell r="V215">
            <v>0.20938421052631581</v>
          </cell>
        </row>
        <row r="216">
          <cell r="L216">
            <v>0.32179419871374249</v>
          </cell>
          <cell r="N216">
            <v>0.26460386774797284</v>
          </cell>
          <cell r="P216">
            <v>0.1544163549956416</v>
          </cell>
          <cell r="R216">
            <v>0.2909603780253151</v>
          </cell>
          <cell r="T216">
            <v>0.20562798121126319</v>
          </cell>
          <cell r="V216">
            <v>0.18700854700854755</v>
          </cell>
        </row>
        <row r="217">
          <cell r="L217">
            <v>21.905999999999999</v>
          </cell>
          <cell r="M217">
            <v>0.12876797031998755</v>
          </cell>
          <cell r="N217">
            <v>29.702999999999999</v>
          </cell>
          <cell r="O217">
            <v>0.3559298822240482</v>
          </cell>
          <cell r="P217">
            <v>44.01</v>
          </cell>
          <cell r="Q217">
            <v>0.48166851833148172</v>
          </cell>
          <cell r="R217">
            <v>43.844999999999999</v>
          </cell>
          <cell r="S217">
            <v>-3.7491479209270651E-3</v>
          </cell>
          <cell r="T217">
            <v>53.035250000000005</v>
          </cell>
          <cell r="U217">
            <v>0.20960770897479764</v>
          </cell>
          <cell r="V217">
            <v>63.787999999999997</v>
          </cell>
          <cell r="W217">
            <v>0.20274722943702517</v>
          </cell>
        </row>
        <row r="218">
          <cell r="L218">
            <v>8.0608779166681993E-2</v>
          </cell>
          <cell r="N218">
            <v>7.5776438714022579E-2</v>
          </cell>
          <cell r="P218">
            <v>7.7239389456059876E-2</v>
          </cell>
          <cell r="R218">
            <v>6.0678318416897192E-2</v>
          </cell>
          <cell r="T218">
            <v>5.6270822281167115E-2</v>
          </cell>
          <cell r="V218">
            <v>5.1650202429149798E-2</v>
          </cell>
        </row>
        <row r="220">
          <cell r="L220">
            <v>0.68599999999999994</v>
          </cell>
          <cell r="M220">
            <v>-0.50397686189443247</v>
          </cell>
          <cell r="N220">
            <v>1.7230000000000001</v>
          </cell>
          <cell r="O220">
            <v>1.5116618075801753</v>
          </cell>
          <cell r="P220">
            <v>2.0059999999999998</v>
          </cell>
          <cell r="Q220">
            <v>0.16424840394660456</v>
          </cell>
          <cell r="R220">
            <v>2.851</v>
          </cell>
          <cell r="S220">
            <v>0.42123629112662031</v>
          </cell>
          <cell r="T220">
            <v>3.2839999999999998</v>
          </cell>
          <cell r="U220">
            <v>0.15187653454928096</v>
          </cell>
          <cell r="V220">
            <v>3.28</v>
          </cell>
          <cell r="W220">
            <v>-1.2180267965895553E-3</v>
          </cell>
        </row>
        <row r="221">
          <cell r="L221">
            <v>2.5243140011112866E-3</v>
          </cell>
          <cell r="N221">
            <v>4.395610002500115E-3</v>
          </cell>
          <cell r="P221">
            <v>3.5206138434186796E-3</v>
          </cell>
          <cell r="R221">
            <v>3.9455784195820253E-3</v>
          </cell>
          <cell r="T221">
            <v>3.4843501326259946E-3</v>
          </cell>
          <cell r="V221">
            <v>2.6558704453441295E-3</v>
          </cell>
        </row>
        <row r="222">
          <cell r="L222">
            <v>32.351000000000013</v>
          </cell>
          <cell r="M222">
            <v>1.2251186463993435</v>
          </cell>
          <cell r="N222">
            <v>55.32900000000005</v>
          </cell>
          <cell r="O222">
            <v>0.71027170721152455</v>
          </cell>
          <cell r="P222">
            <v>68.195000000000135</v>
          </cell>
          <cell r="Q222">
            <v>0.23253628296191997</v>
          </cell>
          <cell r="R222">
            <v>111.97200000000012</v>
          </cell>
          <cell r="S222">
            <v>0.64193855854534654</v>
          </cell>
          <cell r="T222">
            <v>147.57024999999987</v>
          </cell>
          <cell r="U222">
            <v>0.31792099810666685</v>
          </cell>
          <cell r="V222">
            <v>191.52150000000003</v>
          </cell>
          <cell r="W222">
            <v>0.29783272712487907</v>
          </cell>
        </row>
        <row r="223">
          <cell r="L223">
            <v>0.11904385167631382</v>
          </cell>
          <cell r="N223">
            <v>0.14115188962758507</v>
          </cell>
          <cell r="P223">
            <v>0.11968507530006847</v>
          </cell>
          <cell r="R223">
            <v>0.1549611739029951</v>
          </cell>
          <cell r="T223">
            <v>0.15657320954907147</v>
          </cell>
          <cell r="V223">
            <v>0.15507813765182188</v>
          </cell>
        </row>
        <row r="224">
          <cell r="L224">
            <v>0.29222995143719704</v>
          </cell>
          <cell r="N224">
            <v>0.19112497400707035</v>
          </cell>
          <cell r="P224">
            <v>7.2360169848992295E-2</v>
          </cell>
          <cell r="R224">
            <v>0.28650994148984904</v>
          </cell>
          <cell r="T224">
            <v>0.16186982479912956</v>
          </cell>
          <cell r="V224">
            <v>0.1502606837606843</v>
          </cell>
        </row>
        <row r="226">
          <cell r="L226">
            <v>0.84099999999999997</v>
          </cell>
          <cell r="M226">
            <v>-0.48656898656898651</v>
          </cell>
          <cell r="N226">
            <v>1.345</v>
          </cell>
          <cell r="O226">
            <v>0.59928656361474442</v>
          </cell>
          <cell r="P226">
            <v>2.4620000000000002</v>
          </cell>
          <cell r="Q226">
            <v>0.83048327137546485</v>
          </cell>
          <cell r="R226">
            <v>0.68799999999999994</v>
          </cell>
          <cell r="S226">
            <v>-0.72055239642567015</v>
          </cell>
          <cell r="T226">
            <v>-6.4</v>
          </cell>
          <cell r="U226" t="str">
            <v xml:space="preserve">     N.M.</v>
          </cell>
          <cell r="V226">
            <v>-7.6999999999999993</v>
          </cell>
          <cell r="W226">
            <v>0.20312499999999978</v>
          </cell>
        </row>
        <row r="227">
          <cell r="L227">
            <v>0</v>
          </cell>
          <cell r="M227">
            <v>-1</v>
          </cell>
          <cell r="N227">
            <v>0</v>
          </cell>
          <cell r="O227" t="str">
            <v xml:space="preserve">      N.M.</v>
          </cell>
          <cell r="P227">
            <v>8.8759999999999994</v>
          </cell>
          <cell r="Q227" t="str">
            <v xml:space="preserve">      N.M.</v>
          </cell>
          <cell r="R227">
            <v>3.9449999999999998</v>
          </cell>
          <cell r="S227">
            <v>-0.55554303740423605</v>
          </cell>
          <cell r="T227">
            <v>0</v>
          </cell>
          <cell r="U227">
            <v>-1</v>
          </cell>
          <cell r="V227">
            <v>0</v>
          </cell>
          <cell r="W227" t="str">
            <v xml:space="preserve">      N.M.</v>
          </cell>
        </row>
        <row r="228">
          <cell r="L228">
            <v>31.510000000000012</v>
          </cell>
          <cell r="M228" t="str">
            <v xml:space="preserve">     N.M.</v>
          </cell>
          <cell r="N228">
            <v>53.984000000000052</v>
          </cell>
          <cell r="O228">
            <v>0.71323389400190518</v>
          </cell>
          <cell r="P228">
            <v>56.857000000000134</v>
          </cell>
          <cell r="Q228">
            <v>5.3219472436278892E-2</v>
          </cell>
          <cell r="R228">
            <v>107.33900000000013</v>
          </cell>
          <cell r="S228">
            <v>0.88787660270502977</v>
          </cell>
          <cell r="T228">
            <v>153.97024999999988</v>
          </cell>
          <cell r="U228">
            <v>0.43442970402183456</v>
          </cell>
          <cell r="V228">
            <v>199.22150000000002</v>
          </cell>
          <cell r="W228">
            <v>0.29389606108972455</v>
          </cell>
        </row>
        <row r="229">
          <cell r="L229">
            <v>0.11594917518224006</v>
          </cell>
          <cell r="N229">
            <v>0.1377206096198296</v>
          </cell>
          <cell r="P229">
            <v>9.9786411413388024E-2</v>
          </cell>
          <cell r="R229">
            <v>0.14854943598018783</v>
          </cell>
          <cell r="T229">
            <v>0.16336366047745346</v>
          </cell>
          <cell r="V229">
            <v>0.16131295546558705</v>
          </cell>
        </row>
        <row r="231">
          <cell r="L231">
            <v>11.257</v>
          </cell>
          <cell r="M231">
            <v>2.4341061622940821</v>
          </cell>
          <cell r="N231">
            <v>17.419</v>
          </cell>
          <cell r="O231">
            <v>0.54739273341032257</v>
          </cell>
          <cell r="P231">
            <v>26.332000000000001</v>
          </cell>
          <cell r="Q231">
            <v>0.51168264538722075</v>
          </cell>
          <cell r="R231">
            <v>39.188000000000002</v>
          </cell>
          <cell r="S231">
            <v>0.48822725201276018</v>
          </cell>
          <cell r="T231">
            <v>56.199141249999997</v>
          </cell>
          <cell r="U231">
            <v>0.43409056981729077</v>
          </cell>
          <cell r="V231">
            <v>72.71584750000001</v>
          </cell>
          <cell r="W231">
            <v>0.29389606108972366</v>
          </cell>
        </row>
        <row r="232">
          <cell r="L232">
            <v>0.3572516661377339</v>
          </cell>
          <cell r="N232">
            <v>0.32266967990515677</v>
          </cell>
          <cell r="P232">
            <v>0.46312679177585764</v>
          </cell>
          <cell r="R232">
            <v>0.36508631531875607</v>
          </cell>
          <cell r="T232">
            <v>0.36500000000000027</v>
          </cell>
          <cell r="V232">
            <v>0.36499999999999999</v>
          </cell>
        </row>
        <row r="233">
          <cell r="L233">
            <v>0</v>
          </cell>
          <cell r="M233" t="str">
            <v xml:space="preserve">      N.M.</v>
          </cell>
          <cell r="N233">
            <v>0</v>
          </cell>
          <cell r="O233" t="str">
            <v xml:space="preserve">      N.M.</v>
          </cell>
          <cell r="P233">
            <v>0</v>
          </cell>
          <cell r="Q233" t="str">
            <v xml:space="preserve">      N.M.</v>
          </cell>
          <cell r="R233">
            <v>0</v>
          </cell>
          <cell r="S233" t="str">
            <v xml:space="preserve">      N.M.</v>
          </cell>
          <cell r="T233">
            <v>0</v>
          </cell>
          <cell r="U233" t="str">
            <v xml:space="preserve">      N.M.</v>
          </cell>
          <cell r="V233">
            <v>0</v>
          </cell>
          <cell r="W233" t="str">
            <v xml:space="preserve">      N.M.</v>
          </cell>
        </row>
        <row r="234">
          <cell r="L234">
            <v>20.253000000000014</v>
          </cell>
          <cell r="M234" t="str">
            <v xml:space="preserve">     N.M.</v>
          </cell>
          <cell r="N234">
            <v>36.565000000000055</v>
          </cell>
          <cell r="O234">
            <v>0.80541154396879611</v>
          </cell>
          <cell r="P234">
            <v>30.525000000000134</v>
          </cell>
          <cell r="Q234">
            <v>-0.16518528647613595</v>
          </cell>
          <cell r="R234">
            <v>68.151000000000124</v>
          </cell>
          <cell r="S234">
            <v>1.2326289926289871</v>
          </cell>
          <cell r="T234">
            <v>97.771108749999883</v>
          </cell>
          <cell r="U234">
            <v>0.43462471203650277</v>
          </cell>
          <cell r="V234">
            <v>126.50565250000001</v>
          </cell>
          <cell r="W234">
            <v>0.29389606108972521</v>
          </cell>
        </row>
        <row r="235">
          <cell r="L235">
            <v>1.833</v>
          </cell>
          <cell r="M235">
            <v>-0.81971082915314253</v>
          </cell>
          <cell r="N235">
            <v>0</v>
          </cell>
          <cell r="O235">
            <v>-1</v>
          </cell>
          <cell r="P235">
            <v>0</v>
          </cell>
          <cell r="Q235" t="str">
            <v xml:space="preserve">      N.M.</v>
          </cell>
          <cell r="R235">
            <v>0</v>
          </cell>
          <cell r="S235" t="str">
            <v xml:space="preserve">      N.M.</v>
          </cell>
          <cell r="T235">
            <v>0</v>
          </cell>
          <cell r="U235" t="str">
            <v xml:space="preserve">      N.M.</v>
          </cell>
          <cell r="V235">
            <v>0</v>
          </cell>
          <cell r="W235" t="str">
            <v xml:space="preserve">      N.M.</v>
          </cell>
        </row>
        <row r="236">
          <cell r="L236">
            <v>0</v>
          </cell>
          <cell r="M236" t="str">
            <v xml:space="preserve">      N.M.</v>
          </cell>
          <cell r="N236">
            <v>0</v>
          </cell>
          <cell r="O236" t="str">
            <v xml:space="preserve">      N.M.</v>
          </cell>
          <cell r="P236">
            <v>0</v>
          </cell>
          <cell r="Q236" t="str">
            <v xml:space="preserve">      N.M.</v>
          </cell>
          <cell r="R236">
            <v>0</v>
          </cell>
          <cell r="S236" t="str">
            <v xml:space="preserve">      N.M.</v>
          </cell>
          <cell r="T236">
            <v>0</v>
          </cell>
          <cell r="U236" t="str">
            <v xml:space="preserve">      N.M.</v>
          </cell>
          <cell r="V236">
            <v>0</v>
          </cell>
          <cell r="W236" t="str">
            <v xml:space="preserve">      N.M.</v>
          </cell>
        </row>
        <row r="237">
          <cell r="L237">
            <v>22.086000000000013</v>
          </cell>
          <cell r="M237">
            <v>6.6927899686520957</v>
          </cell>
          <cell r="N237">
            <v>36.565000000000055</v>
          </cell>
          <cell r="O237">
            <v>0.65557366657611316</v>
          </cell>
          <cell r="P237">
            <v>30.525000000000134</v>
          </cell>
          <cell r="Q237">
            <v>-0.16518528647613595</v>
          </cell>
          <cell r="R237">
            <v>68.151000000000124</v>
          </cell>
          <cell r="S237">
            <v>1.2326289926289871</v>
          </cell>
          <cell r="T237">
            <v>97.771108749999883</v>
          </cell>
          <cell r="U237">
            <v>0.43462471203650277</v>
          </cell>
          <cell r="V237">
            <v>126.50565250000001</v>
          </cell>
          <cell r="W237">
            <v>0.29389606108972521</v>
          </cell>
        </row>
        <row r="238">
          <cell r="L238">
            <v>0</v>
          </cell>
          <cell r="M238" t="str">
            <v xml:space="preserve">      N.M.</v>
          </cell>
          <cell r="N238">
            <v>0</v>
          </cell>
          <cell r="O238" t="str">
            <v xml:space="preserve">      N.M.</v>
          </cell>
          <cell r="P238">
            <v>0</v>
          </cell>
          <cell r="Q238" t="str">
            <v xml:space="preserve">      N.M.</v>
          </cell>
          <cell r="R238">
            <v>0</v>
          </cell>
          <cell r="S238" t="str">
            <v xml:space="preserve">      N.M.</v>
          </cell>
          <cell r="T238">
            <v>0</v>
          </cell>
          <cell r="U238" t="str">
            <v xml:space="preserve">      N.M.</v>
          </cell>
          <cell r="V238">
            <v>0</v>
          </cell>
          <cell r="W238" t="str">
            <v xml:space="preserve">      N.M.</v>
          </cell>
        </row>
        <row r="239">
          <cell r="L239">
            <v>22.086000000000013</v>
          </cell>
          <cell r="M239">
            <v>6.6927899686520957</v>
          </cell>
          <cell r="N239">
            <v>36.565000000000055</v>
          </cell>
          <cell r="O239">
            <v>0.65557366657611316</v>
          </cell>
          <cell r="P239">
            <v>30.525000000000134</v>
          </cell>
          <cell r="Q239">
            <v>-0.16518528647613595</v>
          </cell>
          <cell r="R239">
            <v>68.151000000000124</v>
          </cell>
          <cell r="S239">
            <v>1.2326289926289871</v>
          </cell>
          <cell r="T239">
            <v>97.771108749999883</v>
          </cell>
          <cell r="U239">
            <v>0.43462471203650277</v>
          </cell>
          <cell r="V239">
            <v>126.50565250000001</v>
          </cell>
          <cell r="W239">
            <v>0.29389606108972521</v>
          </cell>
        </row>
        <row r="240">
          <cell r="L240">
            <v>8.1271135610122322E-2</v>
          </cell>
          <cell r="N240">
            <v>9.3282344597456143E-2</v>
          </cell>
          <cell r="P240">
            <v>5.35726508326798E-2</v>
          </cell>
          <cell r="R240">
            <v>9.4316069755501608E-2</v>
          </cell>
          <cell r="T240">
            <v>0.1037359244031829</v>
          </cell>
          <cell r="V240">
            <v>0.10243372672064778</v>
          </cell>
        </row>
        <row r="242">
          <cell r="L242">
            <v>39.576000000000001</v>
          </cell>
          <cell r="M242">
            <v>0.12457376676517384</v>
          </cell>
          <cell r="N242">
            <v>41.368000000000002</v>
          </cell>
          <cell r="O242">
            <v>4.527996765716602E-2</v>
          </cell>
          <cell r="P242">
            <v>40.432000000000002</v>
          </cell>
          <cell r="Q242">
            <v>-2.2626184490427415E-2</v>
          </cell>
          <cell r="R242">
            <v>42.356000000000002</v>
          </cell>
          <cell r="S242">
            <v>4.7586070439256112E-2</v>
          </cell>
          <cell r="T242">
            <v>52.025000000000006</v>
          </cell>
          <cell r="U242">
            <v>0.22827934649164239</v>
          </cell>
          <cell r="V242">
            <v>50.8</v>
          </cell>
          <cell r="W242">
            <v>-2.3546371936569166E-2</v>
          </cell>
        </row>
        <row r="243">
          <cell r="L243">
            <v>40.781999999999996</v>
          </cell>
          <cell r="M243">
            <v>0.10929169840060915</v>
          </cell>
          <cell r="N243">
            <v>47.927999999999997</v>
          </cell>
          <cell r="O243">
            <v>0.17522436368986316</v>
          </cell>
          <cell r="P243">
            <v>49.426000000000002</v>
          </cell>
          <cell r="Q243">
            <v>3.1255216157569876E-2</v>
          </cell>
          <cell r="R243">
            <v>50.4</v>
          </cell>
          <cell r="S243">
            <v>1.9706227491603556E-2</v>
          </cell>
          <cell r="T243">
            <v>52.025000000000006</v>
          </cell>
          <cell r="U243">
            <v>3.2242063492063711E-2</v>
          </cell>
          <cell r="V243">
            <v>53.3</v>
          </cell>
          <cell r="W243">
            <v>2.4507448342143023E-2</v>
          </cell>
        </row>
        <row r="245">
          <cell r="L245">
            <v>0.51427632908833654</v>
          </cell>
          <cell r="M245" t="str">
            <v xml:space="preserve">     N.M.</v>
          </cell>
          <cell r="N245">
            <v>0.88389576484239218</v>
          </cell>
          <cell r="O245">
            <v>0.71871757428401217</v>
          </cell>
          <cell r="P245">
            <v>0.75497130985358252</v>
          </cell>
          <cell r="Q245">
            <v>-0.14585934237596243</v>
          </cell>
          <cell r="R245">
            <v>1.609004627443573</v>
          </cell>
          <cell r="S245">
            <v>1.1312129433840603</v>
          </cell>
          <cell r="T245">
            <v>1.8793101153291685</v>
          </cell>
          <cell r="U245">
            <v>0.16799546954384059</v>
          </cell>
          <cell r="V245">
            <v>2.4902687500000003</v>
          </cell>
          <cell r="W245">
            <v>0.32509729484631644</v>
          </cell>
        </row>
        <row r="246">
          <cell r="L246">
            <v>0.56059227814837287</v>
          </cell>
          <cell r="M246">
            <v>5.871599948658158</v>
          </cell>
          <cell r="N246">
            <v>0.88389576484239218</v>
          </cell>
          <cell r="O246">
            <v>0.57671769536656026</v>
          </cell>
          <cell r="P246">
            <v>0.75497130985358274</v>
          </cell>
          <cell r="Q246">
            <v>-0.14585934237596221</v>
          </cell>
          <cell r="R246">
            <v>1.609004627443573</v>
          </cell>
          <cell r="S246">
            <v>1.1312129433840594</v>
          </cell>
          <cell r="T246">
            <v>1.8793101153291685</v>
          </cell>
          <cell r="U246">
            <v>0.16799546954384059</v>
          </cell>
          <cell r="V246">
            <v>2.4902687500000003</v>
          </cell>
          <cell r="W246">
            <v>0.32509729484631644</v>
          </cell>
        </row>
        <row r="247">
          <cell r="L247">
            <v>0.50397234073856134</v>
          </cell>
          <cell r="M247" t="str">
            <v xml:space="preserve">     N.M.</v>
          </cell>
          <cell r="N247">
            <v>0.82759556000667844</v>
          </cell>
          <cell r="O247">
            <v>0.64214480261725027</v>
          </cell>
          <cell r="P247">
            <v>0.68132157164245633</v>
          </cell>
          <cell r="Q247">
            <v>-0.17674573841725505</v>
          </cell>
          <cell r="R247">
            <v>1.43156746031746</v>
          </cell>
          <cell r="S247">
            <v>1.1011626813259294</v>
          </cell>
          <cell r="T247">
            <v>1.8793101153291685</v>
          </cell>
          <cell r="U247">
            <v>0.31276392305844847</v>
          </cell>
          <cell r="V247">
            <v>2.373464399624766</v>
          </cell>
          <cell r="W247">
            <v>0.26294451366215554</v>
          </cell>
        </row>
        <row r="248">
          <cell r="L248">
            <v>1.038767103133736</v>
          </cell>
          <cell r="M248">
            <v>0.51286431009027056</v>
          </cell>
          <cell r="N248">
            <v>1.437218327491238</v>
          </cell>
          <cell r="O248">
            <v>0.38358090389603294</v>
          </cell>
          <cell r="P248">
            <v>1.5929267996601006</v>
          </cell>
          <cell r="Q248">
            <v>0.10834016599319485</v>
          </cell>
          <cell r="R248">
            <v>2.6838293650793679</v>
          </cell>
          <cell r="S248">
            <v>0.68484161711137292</v>
          </cell>
          <cell r="T248">
            <v>3.4900576645843318</v>
          </cell>
          <cell r="U248">
            <v>0.30040222004990302</v>
          </cell>
          <cell r="V248">
            <v>3.5932739212007512</v>
          </cell>
          <cell r="W248">
            <v>2.9574369977841686E-2</v>
          </cell>
        </row>
        <row r="249">
          <cell r="L249">
            <v>0</v>
          </cell>
          <cell r="M249" t="str">
            <v xml:space="preserve">      N.M.</v>
          </cell>
          <cell r="N249">
            <v>0</v>
          </cell>
          <cell r="O249" t="str">
            <v xml:space="preserve">      N.M.</v>
          </cell>
          <cell r="P249">
            <v>0</v>
          </cell>
          <cell r="Q249" t="str">
            <v xml:space="preserve">      N.M.</v>
          </cell>
          <cell r="R249">
            <v>0</v>
          </cell>
          <cell r="S249" t="str">
            <v xml:space="preserve">      N.M.</v>
          </cell>
          <cell r="T249">
            <v>0</v>
          </cell>
          <cell r="U249" t="str">
            <v xml:space="preserve">      N.M.</v>
          </cell>
          <cell r="V249">
            <v>0</v>
          </cell>
          <cell r="W249" t="str">
            <v xml:space="preserve">      N.M.</v>
          </cell>
        </row>
        <row r="251">
          <cell r="L251">
            <v>9.6572090330052109</v>
          </cell>
          <cell r="M251">
            <v>-0.24905618286628328</v>
          </cell>
          <cell r="N251">
            <v>8.7038610699212953</v>
          </cell>
          <cell r="O251">
            <v>-9.8718787159486898E-2</v>
          </cell>
          <cell r="P251">
            <v>8.6975181366933949</v>
          </cell>
          <cell r="Q251">
            <v>-7.2874936501687859E-4</v>
          </cell>
          <cell r="R251">
            <v>8.6150144369586155</v>
          </cell>
          <cell r="S251">
            <v>-9.4858899329809399E-3</v>
          </cell>
          <cell r="T251">
            <v>8.8747033697199829</v>
          </cell>
          <cell r="U251">
            <v>3.0143760600945146E-2</v>
          </cell>
          <cell r="V251">
            <v>7.9706979591836733</v>
          </cell>
          <cell r="W251">
            <v>-0.10186316915343085</v>
          </cell>
        </row>
        <row r="252">
          <cell r="L252">
            <v>43.359177500487569</v>
          </cell>
          <cell r="M252">
            <v>0.36629228222184573</v>
          </cell>
          <cell r="N252">
            <v>41.504762973810017</v>
          </cell>
          <cell r="O252">
            <v>-4.2768673982727212E-2</v>
          </cell>
          <cell r="P252">
            <v>40.505030827309149</v>
          </cell>
          <cell r="Q252">
            <v>-2.4087166745939803E-2</v>
          </cell>
          <cell r="R252">
            <v>43.410385825256952</v>
          </cell>
          <cell r="S252">
            <v>7.1728250506328806E-2</v>
          </cell>
          <cell r="T252">
            <v>42.384509283819632</v>
          </cell>
          <cell r="U252">
            <v>-2.3632053065984149E-2</v>
          </cell>
          <cell r="V252">
            <v>46.639676113360323</v>
          </cell>
          <cell r="W252">
            <v>0.10039438704001014</v>
          </cell>
        </row>
        <row r="253">
          <cell r="L253">
            <v>0</v>
          </cell>
          <cell r="N253">
            <v>0</v>
          </cell>
          <cell r="P253">
            <v>0</v>
          </cell>
          <cell r="R253">
            <v>0.60047483949896274</v>
          </cell>
          <cell r="T253">
            <v>0.66521485411140591</v>
          </cell>
          <cell r="V253">
            <v>0.67</v>
          </cell>
        </row>
        <row r="254">
          <cell r="L254">
            <v>0</v>
          </cell>
          <cell r="N254">
            <v>0</v>
          </cell>
          <cell r="P254">
            <v>0</v>
          </cell>
          <cell r="R254">
            <v>0.71403449578663158</v>
          </cell>
          <cell r="T254">
            <v>0.7852148541114059</v>
          </cell>
          <cell r="V254">
            <v>0.79</v>
          </cell>
        </row>
        <row r="255">
          <cell r="L255">
            <v>27.349281000000012</v>
          </cell>
          <cell r="M255" t="str">
            <v xml:space="preserve">      N.M.</v>
          </cell>
          <cell r="N255">
            <v>135.36521399999998</v>
          </cell>
          <cell r="O255">
            <v>3.9494980873537378</v>
          </cell>
          <cell r="P255">
            <v>118.717918</v>
          </cell>
          <cell r="Q255">
            <v>-0.12298060563772306</v>
          </cell>
          <cell r="R255">
            <v>110.71861000000001</v>
          </cell>
          <cell r="S255">
            <v>-6.738079756418891E-2</v>
          </cell>
          <cell r="T255">
            <v>115.5</v>
          </cell>
          <cell r="U255">
            <v>4.3185061662172064E-2</v>
          </cell>
          <cell r="V255">
            <v>123.5</v>
          </cell>
          <cell r="W255">
            <v>6.9264069264069361E-2</v>
          </cell>
        </row>
        <row r="256">
          <cell r="L256">
            <v>244.40771899999999</v>
          </cell>
          <cell r="M256" t="str">
            <v xml:space="preserve">      N.M.</v>
          </cell>
          <cell r="N256">
            <v>256.61678599999999</v>
          </cell>
          <cell r="O256">
            <v>4.9953688246646699E-2</v>
          </cell>
          <cell r="P256">
            <v>451.98208199999999</v>
          </cell>
          <cell r="Q256">
            <v>0.76131144437293363</v>
          </cell>
          <cell r="R256">
            <v>611.86239</v>
          </cell>
          <cell r="S256">
            <v>0.35373151805606318</v>
          </cell>
          <cell r="T256">
            <v>827</v>
          </cell>
          <cell r="U256">
            <v>0.35161110327438161</v>
          </cell>
          <cell r="V256">
            <v>1111.5</v>
          </cell>
          <cell r="W256">
            <v>0.34401451027811358</v>
          </cell>
        </row>
        <row r="263">
          <cell r="F263" t="str">
            <v>Sanmina Corporation</v>
          </cell>
        </row>
        <row r="264">
          <cell r="F264" t="str">
            <v>Statement Of Changes In Fin'l Position</v>
          </cell>
        </row>
        <row r="265">
          <cell r="F265" t="str">
            <v>($ In Millions Except Per Share Data)</v>
          </cell>
        </row>
        <row r="266">
          <cell r="D266" t="str">
            <v>Estimated Restated for Elexsys Acquisition</v>
          </cell>
        </row>
        <row r="267">
          <cell r="B267" t="str">
            <v xml:space="preserve">    1991A</v>
          </cell>
          <cell r="C267" t="str">
            <v xml:space="preserve">    1992A</v>
          </cell>
          <cell r="D267" t="str">
            <v>1993RE</v>
          </cell>
          <cell r="E267" t="str">
            <v>1994RE</v>
          </cell>
          <cell r="F267" t="str">
            <v>1995RE</v>
          </cell>
          <cell r="G267" t="str">
            <v>1996RE</v>
          </cell>
          <cell r="H267" t="str">
            <v>1997RE</v>
          </cell>
          <cell r="I267" t="str">
            <v>1998P</v>
          </cell>
          <cell r="J267" t="str">
            <v>1999E</v>
          </cell>
          <cell r="K267" t="str">
            <v>2000E</v>
          </cell>
        </row>
        <row r="269">
          <cell r="B269">
            <v>-13.233000000000009</v>
          </cell>
          <cell r="C269">
            <v>-14.124000000000006</v>
          </cell>
          <cell r="D269">
            <v>-11.234000000000002</v>
          </cell>
          <cell r="E269">
            <v>2.87099999999998</v>
          </cell>
          <cell r="F269">
            <v>22.086000000000013</v>
          </cell>
          <cell r="G269">
            <v>36.565000000000055</v>
          </cell>
          <cell r="H269">
            <v>30.525000000000134</v>
          </cell>
          <cell r="I269">
            <v>68.151000000000124</v>
          </cell>
          <cell r="J269">
            <v>97.771108749999883</v>
          </cell>
          <cell r="K269">
            <v>126.50565250000001</v>
          </cell>
        </row>
        <row r="270">
          <cell r="B270">
            <v>4.2969999999999997</v>
          </cell>
          <cell r="C270">
            <v>4.274</v>
          </cell>
          <cell r="D270">
            <v>11.794</v>
          </cell>
          <cell r="E270">
            <v>10.704000000000001</v>
          </cell>
          <cell r="F270">
            <v>10.012</v>
          </cell>
          <cell r="G270">
            <v>13.554</v>
          </cell>
          <cell r="H270">
            <v>19.413</v>
          </cell>
          <cell r="I270">
            <v>27.238</v>
          </cell>
          <cell r="J270">
            <v>34</v>
          </cell>
          <cell r="K270">
            <v>37</v>
          </cell>
        </row>
        <row r="271">
          <cell r="B271">
            <v>0</v>
          </cell>
          <cell r="C271">
            <v>0</v>
          </cell>
          <cell r="D271">
            <v>0</v>
          </cell>
          <cell r="E271">
            <v>0</v>
          </cell>
          <cell r="F271">
            <v>0</v>
          </cell>
          <cell r="G271">
            <v>0</v>
          </cell>
          <cell r="H271">
            <v>0</v>
          </cell>
          <cell r="I271">
            <v>0</v>
          </cell>
          <cell r="J271">
            <v>0</v>
          </cell>
          <cell r="K271">
            <v>0</v>
          </cell>
        </row>
        <row r="272">
          <cell r="B272">
            <v>1.321</v>
          </cell>
          <cell r="C272">
            <v>0.95199999999999996</v>
          </cell>
          <cell r="D272">
            <v>3.8239999999999998</v>
          </cell>
          <cell r="E272">
            <v>6.7519999999999989</v>
          </cell>
          <cell r="F272">
            <v>-1.833</v>
          </cell>
          <cell r="G272">
            <v>0</v>
          </cell>
          <cell r="H272">
            <v>19</v>
          </cell>
          <cell r="I272">
            <v>0</v>
          </cell>
          <cell r="J272">
            <v>0</v>
          </cell>
          <cell r="K272">
            <v>0</v>
          </cell>
        </row>
        <row r="273">
          <cell r="B273">
            <v>1.177</v>
          </cell>
          <cell r="C273">
            <v>1.0579999999999998</v>
          </cell>
          <cell r="D273">
            <v>0.52600000000000002</v>
          </cell>
          <cell r="E273">
            <v>0.27900000000000003</v>
          </cell>
          <cell r="F273">
            <v>0.36099999999999999</v>
          </cell>
          <cell r="G273">
            <v>0.55200000000000005</v>
          </cell>
          <cell r="H273">
            <v>0.5</v>
          </cell>
          <cell r="I273">
            <v>0.5</v>
          </cell>
          <cell r="J273">
            <v>0.5</v>
          </cell>
          <cell r="K273">
            <v>0.5</v>
          </cell>
        </row>
        <row r="274">
          <cell r="B274">
            <v>-6.4380000000000113</v>
          </cell>
          <cell r="C274">
            <v>-7.8400000000000052</v>
          </cell>
          <cell r="D274">
            <v>4.9099999999999984</v>
          </cell>
          <cell r="E274">
            <v>20.60599999999998</v>
          </cell>
          <cell r="F274">
            <v>30.626000000000015</v>
          </cell>
          <cell r="G274">
            <v>50.671000000000056</v>
          </cell>
          <cell r="H274">
            <v>69.43800000000013</v>
          </cell>
          <cell r="I274">
            <v>95.889000000000124</v>
          </cell>
          <cell r="J274">
            <v>132.27110874999988</v>
          </cell>
          <cell r="K274">
            <v>164.0056525</v>
          </cell>
        </row>
        <row r="278">
          <cell r="B278">
            <v>-3.6999999999999998E-2</v>
          </cell>
          <cell r="C278">
            <v>-1.2470000000000001</v>
          </cell>
          <cell r="D278">
            <v>-0.17300000000000004</v>
          </cell>
          <cell r="E278">
            <v>-5.7149999999999999</v>
          </cell>
          <cell r="F278">
            <v>-11.818</v>
          </cell>
          <cell r="G278">
            <v>-8.1199999999999992</v>
          </cell>
          <cell r="H278">
            <v>-26.450000000000003</v>
          </cell>
          <cell r="I278">
            <v>-19.596000000000004</v>
          </cell>
          <cell r="J278">
            <v>-28.069999999999993</v>
          </cell>
          <cell r="K278">
            <v>-35</v>
          </cell>
        </row>
        <row r="279">
          <cell r="B279">
            <v>-0.39100000000000001</v>
          </cell>
          <cell r="C279">
            <v>2.0859999999999999</v>
          </cell>
          <cell r="D279">
            <v>-5.7089999999999996</v>
          </cell>
          <cell r="E279">
            <v>0.36900000000000011</v>
          </cell>
          <cell r="F279">
            <v>-4.4319999999999995</v>
          </cell>
          <cell r="G279">
            <v>-12.066000000000001</v>
          </cell>
          <cell r="H279">
            <v>-19.161999999999999</v>
          </cell>
          <cell r="I279">
            <v>-6.9920000000000044</v>
          </cell>
          <cell r="J279">
            <v>-28.546999999999997</v>
          </cell>
          <cell r="K279">
            <v>-25</v>
          </cell>
        </row>
        <row r="280">
          <cell r="B280">
            <v>1.2E-2</v>
          </cell>
          <cell r="C280">
            <v>-4.9999999999999989E-2</v>
          </cell>
          <cell r="D280">
            <v>0.94799999999999995</v>
          </cell>
          <cell r="E280">
            <v>4.7E-2</v>
          </cell>
          <cell r="F280">
            <v>-2.899999999999997E-2</v>
          </cell>
          <cell r="G280">
            <v>-0.56999999999999995</v>
          </cell>
          <cell r="H280">
            <v>-3.3</v>
          </cell>
          <cell r="I280">
            <v>-8.1130000000000013</v>
          </cell>
          <cell r="J280">
            <v>0</v>
          </cell>
          <cell r="K280">
            <v>0</v>
          </cell>
        </row>
        <row r="282">
          <cell r="B282">
            <v>1.1319999999999999</v>
          </cell>
          <cell r="C282">
            <v>1.69</v>
          </cell>
          <cell r="D282">
            <v>1.03</v>
          </cell>
          <cell r="E282">
            <v>-4.2780000000000005</v>
          </cell>
          <cell r="F282">
            <v>13.689</v>
          </cell>
          <cell r="G282">
            <v>4.5140000000000002</v>
          </cell>
          <cell r="H282">
            <v>23.83</v>
          </cell>
          <cell r="I282">
            <v>24.634999999999991</v>
          </cell>
          <cell r="J282">
            <v>21.5</v>
          </cell>
          <cell r="K282">
            <v>37.5</v>
          </cell>
        </row>
        <row r="283">
          <cell r="B283">
            <v>0</v>
          </cell>
          <cell r="C283">
            <v>0.45700000000000002</v>
          </cell>
          <cell r="D283">
            <v>2.3860000000000001</v>
          </cell>
          <cell r="E283">
            <v>0.15</v>
          </cell>
          <cell r="F283">
            <v>1.042</v>
          </cell>
          <cell r="G283">
            <v>0.432</v>
          </cell>
          <cell r="H283">
            <v>0</v>
          </cell>
          <cell r="I283">
            <v>-0.5</v>
          </cell>
          <cell r="J283">
            <v>0</v>
          </cell>
          <cell r="K283">
            <v>0</v>
          </cell>
        </row>
        <row r="284">
          <cell r="B284">
            <v>-0.74099999999999999</v>
          </cell>
          <cell r="C284">
            <v>0</v>
          </cell>
          <cell r="D284">
            <v>-0.9880000000000001</v>
          </cell>
          <cell r="E284">
            <v>-1.6159999999999999</v>
          </cell>
          <cell r="F284">
            <v>-1.452</v>
          </cell>
          <cell r="G284">
            <v>-1.0009999999999999</v>
          </cell>
          <cell r="H284">
            <v>0</v>
          </cell>
          <cell r="I284">
            <v>0</v>
          </cell>
          <cell r="J284">
            <v>0</v>
          </cell>
          <cell r="K284">
            <v>0</v>
          </cell>
        </row>
        <row r="285">
          <cell r="B285">
            <v>-2.5000000000000022E-2</v>
          </cell>
          <cell r="C285">
            <v>2.9359999999999995</v>
          </cell>
          <cell r="D285">
            <v>-2.5059999999999989</v>
          </cell>
          <cell r="E285">
            <v>-11.043000000000001</v>
          </cell>
          <cell r="F285">
            <v>-3</v>
          </cell>
          <cell r="G285">
            <v>-16.811</v>
          </cell>
          <cell r="H285">
            <v>-25.082000000000001</v>
          </cell>
          <cell r="I285">
            <v>-10.566000000000017</v>
          </cell>
          <cell r="J285">
            <v>-35.11699999999999</v>
          </cell>
          <cell r="K285">
            <v>-22.5</v>
          </cell>
        </row>
        <row r="286">
          <cell r="B286">
            <v>-6.4630000000000116</v>
          </cell>
          <cell r="C286">
            <v>-4.9040000000000052</v>
          </cell>
          <cell r="D286">
            <v>2.4039999999999995</v>
          </cell>
          <cell r="E286">
            <v>9.5629999999999793</v>
          </cell>
          <cell r="F286">
            <v>27.626000000000015</v>
          </cell>
          <cell r="G286">
            <v>33.860000000000056</v>
          </cell>
          <cell r="H286">
            <v>44.35600000000013</v>
          </cell>
          <cell r="I286">
            <v>85.323000000000107</v>
          </cell>
          <cell r="J286">
            <v>97.154108749999892</v>
          </cell>
          <cell r="K286">
            <v>141.5056525</v>
          </cell>
        </row>
        <row r="289">
          <cell r="B289">
            <v>-3.2690000000000001</v>
          </cell>
          <cell r="C289">
            <v>-2.0550000000000002</v>
          </cell>
          <cell r="D289">
            <v>-7.798</v>
          </cell>
          <cell r="E289">
            <v>-6.7519999999999998</v>
          </cell>
          <cell r="F289">
            <v>-14.608000000000001</v>
          </cell>
          <cell r="G289">
            <v>-29.675000000000001</v>
          </cell>
          <cell r="H289">
            <v>-33.4</v>
          </cell>
          <cell r="I289">
            <v>-34.5</v>
          </cell>
          <cell r="J289">
            <v>-35</v>
          </cell>
          <cell r="K289">
            <v>-37.5</v>
          </cell>
        </row>
        <row r="290">
          <cell r="B290">
            <v>0</v>
          </cell>
          <cell r="C290">
            <v>0</v>
          </cell>
          <cell r="D290">
            <v>0</v>
          </cell>
          <cell r="E290">
            <v>0</v>
          </cell>
          <cell r="F290">
            <v>-9.6210000000000004</v>
          </cell>
          <cell r="G290">
            <v>-6.6869999999999994</v>
          </cell>
          <cell r="H290">
            <v>-6.3550000000000004</v>
          </cell>
          <cell r="I290">
            <v>-31</v>
          </cell>
          <cell r="J290">
            <v>0</v>
          </cell>
          <cell r="K290">
            <v>0</v>
          </cell>
        </row>
        <row r="291">
          <cell r="B291">
            <v>0</v>
          </cell>
          <cell r="C291">
            <v>0</v>
          </cell>
          <cell r="D291">
            <v>0.69</v>
          </cell>
          <cell r="E291">
            <v>7.9000000000000001E-2</v>
          </cell>
          <cell r="F291">
            <v>0.64399999999999991</v>
          </cell>
          <cell r="G291">
            <v>2.7E-2</v>
          </cell>
          <cell r="H291">
            <v>0</v>
          </cell>
          <cell r="I291">
            <v>8</v>
          </cell>
          <cell r="J291">
            <v>0</v>
          </cell>
          <cell r="K291">
            <v>0</v>
          </cell>
        </row>
        <row r="292">
          <cell r="B292">
            <v>0</v>
          </cell>
          <cell r="C292">
            <v>0</v>
          </cell>
          <cell r="D292">
            <v>0</v>
          </cell>
          <cell r="E292">
            <v>0</v>
          </cell>
          <cell r="F292">
            <v>0</v>
          </cell>
          <cell r="G292">
            <v>0</v>
          </cell>
          <cell r="H292">
            <v>0</v>
          </cell>
          <cell r="I292">
            <v>0</v>
          </cell>
          <cell r="J292">
            <v>0</v>
          </cell>
          <cell r="K292">
            <v>0</v>
          </cell>
        </row>
        <row r="293">
          <cell r="B293">
            <v>0</v>
          </cell>
          <cell r="C293">
            <v>0</v>
          </cell>
          <cell r="D293">
            <v>0</v>
          </cell>
          <cell r="E293">
            <v>0</v>
          </cell>
          <cell r="F293">
            <v>-2.1999999999999999E-2</v>
          </cell>
          <cell r="G293">
            <v>0</v>
          </cell>
          <cell r="H293">
            <v>0</v>
          </cell>
          <cell r="I293">
            <v>0</v>
          </cell>
          <cell r="J293">
            <v>0</v>
          </cell>
          <cell r="K293">
            <v>0</v>
          </cell>
        </row>
        <row r="294">
          <cell r="B294">
            <v>0</v>
          </cell>
          <cell r="C294">
            <v>0</v>
          </cell>
          <cell r="D294">
            <v>10.010999999999999</v>
          </cell>
          <cell r="E294">
            <v>-7.17</v>
          </cell>
          <cell r="F294">
            <v>4.352999999999998</v>
          </cell>
          <cell r="G294">
            <v>-78.538000000000011</v>
          </cell>
          <cell r="H294">
            <v>0</v>
          </cell>
          <cell r="I294">
            <v>0</v>
          </cell>
          <cell r="J294">
            <v>0</v>
          </cell>
          <cell r="K294">
            <v>0</v>
          </cell>
        </row>
        <row r="295">
          <cell r="B295">
            <v>-3.2690000000000001</v>
          </cell>
          <cell r="C295">
            <v>-2.0550000000000002</v>
          </cell>
          <cell r="D295">
            <v>2.9029999999999987</v>
          </cell>
          <cell r="E295">
            <v>-13.843</v>
          </cell>
          <cell r="F295">
            <v>-19.254000000000001</v>
          </cell>
          <cell r="G295">
            <v>-114.87300000000002</v>
          </cell>
          <cell r="H295">
            <v>-39.754999999999995</v>
          </cell>
          <cell r="I295">
            <v>-57.5</v>
          </cell>
          <cell r="J295">
            <v>-35</v>
          </cell>
          <cell r="K295">
            <v>-37.5</v>
          </cell>
        </row>
        <row r="296">
          <cell r="B296">
            <v>-9.7320000000000118</v>
          </cell>
          <cell r="C296">
            <v>-6.959000000000005</v>
          </cell>
          <cell r="D296">
            <v>5.3069999999999986</v>
          </cell>
          <cell r="E296">
            <v>-4.2800000000000207</v>
          </cell>
          <cell r="F296">
            <v>8.3720000000000141</v>
          </cell>
          <cell r="G296">
            <v>-81.012999999999963</v>
          </cell>
          <cell r="H296">
            <v>4.6010000000001341</v>
          </cell>
          <cell r="I296">
            <v>27.823000000000107</v>
          </cell>
          <cell r="J296">
            <v>62.154108749999892</v>
          </cell>
          <cell r="K296">
            <v>104.0056525</v>
          </cell>
        </row>
        <row r="299">
          <cell r="B299">
            <v>1</v>
          </cell>
          <cell r="C299">
            <v>0</v>
          </cell>
          <cell r="D299">
            <v>-4.431</v>
          </cell>
          <cell r="E299">
            <v>-0.98199999999999976</v>
          </cell>
          <cell r="F299">
            <v>-0.20799999999999999</v>
          </cell>
          <cell r="G299">
            <v>0.51599999999999979</v>
          </cell>
          <cell r="H299">
            <v>0</v>
          </cell>
          <cell r="I299">
            <v>-8.7880000000000003</v>
          </cell>
          <cell r="J299">
            <v>0</v>
          </cell>
          <cell r="K299">
            <v>0</v>
          </cell>
        </row>
        <row r="300">
          <cell r="B300">
            <v>-3.3730000000000002</v>
          </cell>
          <cell r="C300">
            <v>-3.0670000000000002</v>
          </cell>
          <cell r="D300">
            <v>-26.32</v>
          </cell>
          <cell r="E300">
            <v>-4.4999999999999998E-2</v>
          </cell>
          <cell r="F300">
            <v>81.14200000000001</v>
          </cell>
          <cell r="G300">
            <v>-0.748</v>
          </cell>
          <cell r="H300">
            <v>0</v>
          </cell>
          <cell r="I300">
            <v>-99.740000000000009</v>
          </cell>
          <cell r="J300">
            <v>0</v>
          </cell>
          <cell r="K300">
            <v>0</v>
          </cell>
        </row>
        <row r="301">
          <cell r="B301">
            <v>0</v>
          </cell>
          <cell r="C301">
            <v>0</v>
          </cell>
          <cell r="D301">
            <v>20.905000000000001</v>
          </cell>
          <cell r="E301">
            <v>21.858000000000001</v>
          </cell>
          <cell r="F301">
            <v>1.9570000000000001</v>
          </cell>
          <cell r="G301">
            <v>0</v>
          </cell>
          <cell r="H301">
            <v>0</v>
          </cell>
          <cell r="I301">
            <v>0</v>
          </cell>
          <cell r="J301">
            <v>0</v>
          </cell>
          <cell r="K301">
            <v>0</v>
          </cell>
        </row>
        <row r="302">
          <cell r="B302">
            <v>0</v>
          </cell>
          <cell r="C302">
            <v>0</v>
          </cell>
          <cell r="D302">
            <v>0</v>
          </cell>
          <cell r="E302">
            <v>0</v>
          </cell>
          <cell r="F302">
            <v>0.68799999999999994</v>
          </cell>
          <cell r="G302">
            <v>3.6949999999999998</v>
          </cell>
          <cell r="H302">
            <v>11.3</v>
          </cell>
          <cell r="I302">
            <v>172.33500000000001</v>
          </cell>
          <cell r="J302">
            <v>0</v>
          </cell>
          <cell r="K302">
            <v>0</v>
          </cell>
        </row>
        <row r="303">
          <cell r="B303">
            <v>2.7E-2</v>
          </cell>
          <cell r="C303">
            <v>5.0000000000000001E-3</v>
          </cell>
          <cell r="D303">
            <v>3.5000000000000003E-2</v>
          </cell>
          <cell r="E303">
            <v>9.2999999999999999E-2</v>
          </cell>
          <cell r="F303">
            <v>0</v>
          </cell>
          <cell r="G303">
            <v>0</v>
          </cell>
          <cell r="H303">
            <v>-5.25</v>
          </cell>
          <cell r="I303">
            <v>0</v>
          </cell>
          <cell r="J303">
            <v>0</v>
          </cell>
          <cell r="K303">
            <v>0</v>
          </cell>
        </row>
        <row r="304">
          <cell r="B304">
            <v>-2.3460000000000001</v>
          </cell>
          <cell r="C304">
            <v>-3.0620000000000003</v>
          </cell>
          <cell r="D304">
            <v>-9.8109999999999999</v>
          </cell>
          <cell r="E304">
            <v>20.923999999999999</v>
          </cell>
          <cell r="F304">
            <v>83.579000000000008</v>
          </cell>
          <cell r="G304">
            <v>3.4629999999999996</v>
          </cell>
          <cell r="H304">
            <v>6.0500000000000007</v>
          </cell>
          <cell r="I304">
            <v>63.807000000000002</v>
          </cell>
          <cell r="J304">
            <v>0</v>
          </cell>
          <cell r="K304">
            <v>0</v>
          </cell>
        </row>
        <row r="306">
          <cell r="B306">
            <v>-12.078000000000012</v>
          </cell>
          <cell r="C306">
            <v>-10.021000000000004</v>
          </cell>
          <cell r="D306">
            <v>-4.5040000000000013</v>
          </cell>
          <cell r="E306">
            <v>16.643999999999977</v>
          </cell>
          <cell r="F306">
            <v>91.951000000000022</v>
          </cell>
          <cell r="G306">
            <v>-77.549999999999969</v>
          </cell>
          <cell r="H306">
            <v>10.651000000000135</v>
          </cell>
          <cell r="I306">
            <v>91.630000000000109</v>
          </cell>
          <cell r="J306">
            <v>62.154108749999892</v>
          </cell>
          <cell r="K306">
            <v>104.0056525</v>
          </cell>
        </row>
        <row r="307">
          <cell r="B307">
            <v>2.0049999999999999</v>
          </cell>
          <cell r="C307">
            <v>-10.073000000000011</v>
          </cell>
          <cell r="D307">
            <v>7.5280000000000058</v>
          </cell>
          <cell r="E307">
            <v>3.0240000000000045</v>
          </cell>
          <cell r="F307">
            <v>19.667999999999981</v>
          </cell>
          <cell r="G307">
            <v>111.619</v>
          </cell>
          <cell r="H307">
            <v>34.069000000000031</v>
          </cell>
          <cell r="I307">
            <v>44.720000000000169</v>
          </cell>
          <cell r="J307">
            <v>136.35000000000028</v>
          </cell>
          <cell r="K307">
            <v>198.50410875000017</v>
          </cell>
        </row>
        <row r="308">
          <cell r="B308">
            <v>-10.073000000000011</v>
          </cell>
          <cell r="C308">
            <v>7.5280000000000058</v>
          </cell>
          <cell r="D308">
            <v>3.0240000000000045</v>
          </cell>
          <cell r="E308">
            <v>19.667999999999981</v>
          </cell>
          <cell r="F308">
            <v>111.619</v>
          </cell>
          <cell r="G308">
            <v>34.069000000000031</v>
          </cell>
          <cell r="H308">
            <v>44.720000000000169</v>
          </cell>
          <cell r="I308">
            <v>136.35000000000028</v>
          </cell>
          <cell r="J308">
            <v>198.50410875000017</v>
          </cell>
          <cell r="K308">
            <v>302.50976125000017</v>
          </cell>
        </row>
        <row r="311">
          <cell r="B311">
            <v>-0.4094935038273167</v>
          </cell>
          <cell r="C311">
            <v>-0.45211774706743146</v>
          </cell>
          <cell r="D311">
            <v>2.0898579195165811E-2</v>
          </cell>
          <cell r="E311">
            <v>0.3857410775176171</v>
          </cell>
          <cell r="F311">
            <v>0.8110470992520723</v>
          </cell>
          <cell r="G311">
            <v>1.2115403210210804</v>
          </cell>
          <cell r="H311">
            <v>1.2351108033241029</v>
          </cell>
          <cell r="I311">
            <v>2.252077627726889</v>
          </cell>
          <cell r="J311">
            <v>2.5328420711196515</v>
          </cell>
          <cell r="K311">
            <v>3.2186152066929137</v>
          </cell>
        </row>
        <row r="312">
          <cell r="B312">
            <v>-0.55929590579816457</v>
          </cell>
          <cell r="C312">
            <v>-0.54644282018657575</v>
          </cell>
          <cell r="D312">
            <v>-0.27011413609751878</v>
          </cell>
          <cell r="E312">
            <v>0.19387929074789673</v>
          </cell>
          <cell r="F312">
            <v>0.44193450576106763</v>
          </cell>
          <cell r="G312">
            <v>0.49419841423322508</v>
          </cell>
          <cell r="H312">
            <v>0.40903244954491813</v>
          </cell>
          <cell r="I312">
            <v>1.4375531211634744</v>
          </cell>
          <cell r="J312">
            <v>1.8600885872176813</v>
          </cell>
          <cell r="K312">
            <v>2.4804262303149609</v>
          </cell>
        </row>
        <row r="313">
          <cell r="B313">
            <v>-0.56044153444584621</v>
          </cell>
          <cell r="C313">
            <v>-0.41167960136525816</v>
          </cell>
          <cell r="D313">
            <v>-0.36363527799588596</v>
          </cell>
          <cell r="E313">
            <v>-0.1199136167310758</v>
          </cell>
          <cell r="F313">
            <v>0.36613098847786568</v>
          </cell>
          <cell r="G313">
            <v>8.7821504544576864E-2</v>
          </cell>
          <cell r="H313">
            <v>-0.21131776810446845</v>
          </cell>
          <cell r="I313">
            <v>1.1880961375011829</v>
          </cell>
          <cell r="J313">
            <v>1.1850861845266676</v>
          </cell>
          <cell r="K313">
            <v>2.0375128444881891</v>
          </cell>
        </row>
        <row r="314">
          <cell r="B314">
            <v>0</v>
          </cell>
          <cell r="C314">
            <v>0</v>
          </cell>
          <cell r="D314">
            <v>0</v>
          </cell>
          <cell r="E314">
            <v>0</v>
          </cell>
          <cell r="F314">
            <v>0</v>
          </cell>
          <cell r="G314">
            <v>0</v>
          </cell>
          <cell r="H314">
            <v>0</v>
          </cell>
          <cell r="I314">
            <v>0</v>
          </cell>
          <cell r="J314">
            <v>0</v>
          </cell>
          <cell r="K314">
            <v>0</v>
          </cell>
        </row>
        <row r="315">
          <cell r="B315">
            <v>0</v>
          </cell>
          <cell r="C315">
            <v>0.17602756954351281</v>
          </cell>
          <cell r="D315">
            <v>2.2727204874743039E-2</v>
          </cell>
          <cell r="E315">
            <v>0.77892702887019716</v>
          </cell>
          <cell r="F315">
            <v>2.9060541742470183</v>
          </cell>
          <cell r="G315">
            <v>2.8045107329336685</v>
          </cell>
          <cell r="H315">
            <v>3.0458300356153538</v>
          </cell>
          <cell r="I315">
            <v>3.6033147606006235</v>
          </cell>
          <cell r="J315">
            <v>4.1283250120134509</v>
          </cell>
          <cell r="K315">
            <v>6.2752315206692879</v>
          </cell>
        </row>
        <row r="323">
          <cell r="F323" t="str">
            <v>Sanmina Corporation</v>
          </cell>
        </row>
        <row r="324">
          <cell r="F324" t="str">
            <v>Balance Sheet</v>
          </cell>
        </row>
        <row r="325">
          <cell r="F325" t="str">
            <v>($ In Millions Except Per Share Data)</v>
          </cell>
        </row>
        <row r="328">
          <cell r="B328" t="str">
            <v xml:space="preserve">    1991A</v>
          </cell>
          <cell r="C328" t="str">
            <v xml:space="preserve">    1992A</v>
          </cell>
          <cell r="D328" t="str">
            <v xml:space="preserve">    1993A</v>
          </cell>
          <cell r="E328" t="str">
            <v>1994RE</v>
          </cell>
          <cell r="F328" t="str">
            <v>1995RE</v>
          </cell>
          <cell r="G328" t="str">
            <v>1996R</v>
          </cell>
          <cell r="H328" t="str">
            <v>1997R</v>
          </cell>
          <cell r="I328" t="str">
            <v>1998A</v>
          </cell>
          <cell r="J328" t="str">
            <v>1999E</v>
          </cell>
          <cell r="K328" t="str">
            <v>2000E</v>
          </cell>
        </row>
        <row r="331">
          <cell r="C331">
            <v>3.8350000000000057</v>
          </cell>
          <cell r="D331">
            <v>0.60900000000000443</v>
          </cell>
          <cell r="E331">
            <v>27.411999999999978</v>
          </cell>
          <cell r="F331">
            <v>115.01</v>
          </cell>
          <cell r="G331">
            <v>116.017</v>
          </cell>
          <cell r="H331">
            <v>123.149</v>
          </cell>
          <cell r="I331">
            <v>152.62200000000001</v>
          </cell>
          <cell r="J331">
            <v>214.77610874999982</v>
          </cell>
          <cell r="K331">
            <v>318.78176124999982</v>
          </cell>
        </row>
        <row r="332">
          <cell r="C332">
            <v>9.7919999999999998</v>
          </cell>
          <cell r="D332">
            <v>11.204000000000001</v>
          </cell>
          <cell r="E332">
            <v>25.962000000000003</v>
          </cell>
          <cell r="F332">
            <v>39.5</v>
          </cell>
          <cell r="G332">
            <v>50.884</v>
          </cell>
          <cell r="H332">
            <v>77.334000000000003</v>
          </cell>
          <cell r="I332">
            <v>96.93</v>
          </cell>
          <cell r="J332">
            <v>125</v>
          </cell>
          <cell r="K332">
            <v>160</v>
          </cell>
        </row>
        <row r="333">
          <cell r="C333">
            <v>5.8440000000000003</v>
          </cell>
          <cell r="D333">
            <v>9.7249999999999996</v>
          </cell>
          <cell r="E333">
            <v>17.565000000000001</v>
          </cell>
          <cell r="F333">
            <v>27.337</v>
          </cell>
          <cell r="G333">
            <v>42.798999999999999</v>
          </cell>
          <cell r="H333">
            <v>61.960999999999999</v>
          </cell>
          <cell r="I333">
            <v>68.953000000000003</v>
          </cell>
          <cell r="J333">
            <v>97.5</v>
          </cell>
          <cell r="K333">
            <v>122.5</v>
          </cell>
        </row>
        <row r="334">
          <cell r="C334">
            <v>2.016</v>
          </cell>
          <cell r="D334">
            <v>1.8480000000000001</v>
          </cell>
          <cell r="E334">
            <v>3.1280000000000001</v>
          </cell>
          <cell r="F334">
            <v>5.8010000000000002</v>
          </cell>
          <cell r="G334">
            <v>9.298</v>
          </cell>
          <cell r="H334">
            <v>15.708</v>
          </cell>
          <cell r="I334">
            <v>23.821000000000002</v>
          </cell>
          <cell r="J334">
            <v>23.821000000000002</v>
          </cell>
          <cell r="K334">
            <v>23.821000000000002</v>
          </cell>
        </row>
        <row r="335">
          <cell r="C335">
            <v>21.487000000000009</v>
          </cell>
          <cell r="D335">
            <v>23.386000000000003</v>
          </cell>
          <cell r="E335">
            <v>74.066999999999979</v>
          </cell>
          <cell r="F335">
            <v>187.64799999999997</v>
          </cell>
          <cell r="G335">
            <v>218.99800000000002</v>
          </cell>
          <cell r="H335">
            <v>278.15200000000004</v>
          </cell>
          <cell r="I335">
            <v>342.32600000000002</v>
          </cell>
          <cell r="J335">
            <v>461.09710874999985</v>
          </cell>
          <cell r="K335">
            <v>625.10276124999984</v>
          </cell>
        </row>
        <row r="338">
          <cell r="C338">
            <v>9.0169999999999995</v>
          </cell>
          <cell r="D338">
            <v>8.2360000000000007</v>
          </cell>
          <cell r="E338">
            <v>26.360999999999997</v>
          </cell>
          <cell r="F338">
            <v>37.778999999999996</v>
          </cell>
          <cell r="G338">
            <v>59.686</v>
          </cell>
          <cell r="H338">
            <v>92.707999999999998</v>
          </cell>
          <cell r="I338">
            <v>107.881</v>
          </cell>
          <cell r="J338">
            <v>108.881</v>
          </cell>
          <cell r="K338">
            <v>109.381</v>
          </cell>
        </row>
        <row r="339">
          <cell r="C339">
            <v>0.76900000000000002</v>
          </cell>
          <cell r="D339">
            <v>0.10100000000000001</v>
          </cell>
          <cell r="E339">
            <v>0.1</v>
          </cell>
          <cell r="F339">
            <v>2.7040000000000002</v>
          </cell>
          <cell r="G339">
            <v>2.3359999999999999</v>
          </cell>
          <cell r="H339">
            <v>0</v>
          </cell>
          <cell r="I339">
            <v>0</v>
          </cell>
          <cell r="J339">
            <v>0</v>
          </cell>
          <cell r="K339">
            <v>0</v>
          </cell>
        </row>
        <row r="340">
          <cell r="C340">
            <v>14.494999999999999</v>
          </cell>
          <cell r="D340">
            <v>13.83</v>
          </cell>
          <cell r="E340">
            <v>0.92200000000000004</v>
          </cell>
          <cell r="F340">
            <v>5.1139999999999999</v>
          </cell>
          <cell r="G340">
            <v>11.625999999999999</v>
          </cell>
          <cell r="H340">
            <v>11.067</v>
          </cell>
          <cell r="I340">
            <v>17.373000000000001</v>
          </cell>
          <cell r="J340">
            <v>17.373000000000001</v>
          </cell>
          <cell r="K340">
            <v>17.373000000000001</v>
          </cell>
        </row>
        <row r="341">
          <cell r="C341">
            <v>24.280999999999999</v>
          </cell>
          <cell r="D341">
            <v>22.167000000000002</v>
          </cell>
          <cell r="E341">
            <v>27.382999999999999</v>
          </cell>
          <cell r="F341">
            <v>45.596999999999994</v>
          </cell>
          <cell r="G341">
            <v>73.647999999999996</v>
          </cell>
          <cell r="H341">
            <v>103.77500000000001</v>
          </cell>
          <cell r="I341">
            <v>125.254</v>
          </cell>
          <cell r="J341">
            <v>126.254</v>
          </cell>
          <cell r="K341">
            <v>126.754</v>
          </cell>
        </row>
        <row r="342">
          <cell r="C342">
            <v>45.768000000000008</v>
          </cell>
          <cell r="D342">
            <v>45.553000000000004</v>
          </cell>
          <cell r="E342">
            <v>101.44999999999997</v>
          </cell>
          <cell r="F342">
            <v>233.24499999999995</v>
          </cell>
          <cell r="G342">
            <v>292.64600000000002</v>
          </cell>
          <cell r="H342">
            <v>381.92700000000002</v>
          </cell>
          <cell r="I342">
            <v>467.58000000000004</v>
          </cell>
          <cell r="J342">
            <v>587.35110874999987</v>
          </cell>
          <cell r="K342">
            <v>751.85676124999986</v>
          </cell>
        </row>
        <row r="346">
          <cell r="C346">
            <v>10.514999999999999</v>
          </cell>
          <cell r="D346">
            <v>12.666</v>
          </cell>
          <cell r="E346">
            <v>24.308</v>
          </cell>
          <cell r="F346">
            <v>42.188999999999993</v>
          </cell>
          <cell r="G346">
            <v>51.13</v>
          </cell>
          <cell r="H346">
            <v>90.211000000000013</v>
          </cell>
          <cell r="I346">
            <v>114.846</v>
          </cell>
          <cell r="J346">
            <v>136.846</v>
          </cell>
          <cell r="K346">
            <v>174.846</v>
          </cell>
        </row>
        <row r="347">
          <cell r="C347">
            <v>3.9820000000000002</v>
          </cell>
          <cell r="D347">
            <v>0</v>
          </cell>
          <cell r="E347">
            <v>3.5059999999999998</v>
          </cell>
          <cell r="F347">
            <v>3.6860000000000004</v>
          </cell>
          <cell r="G347">
            <v>6.5849999999999991</v>
          </cell>
          <cell r="H347">
            <v>8.7880000000000003</v>
          </cell>
          <cell r="I347">
            <v>0</v>
          </cell>
          <cell r="J347">
            <v>0</v>
          </cell>
          <cell r="K347">
            <v>0</v>
          </cell>
        </row>
        <row r="348">
          <cell r="C348">
            <v>2.1999999999999999E-2</v>
          </cell>
          <cell r="D348">
            <v>2.3260000000000001</v>
          </cell>
          <cell r="E348">
            <v>4.407</v>
          </cell>
          <cell r="F348">
            <v>5.6950000000000003</v>
          </cell>
          <cell r="G348">
            <v>5.4039999999999999</v>
          </cell>
          <cell r="H348">
            <v>2.2170000000000001</v>
          </cell>
          <cell r="I348">
            <v>0</v>
          </cell>
          <cell r="J348">
            <v>0</v>
          </cell>
          <cell r="K348">
            <v>0</v>
          </cell>
        </row>
        <row r="349">
          <cell r="C349">
            <v>14.519</v>
          </cell>
          <cell r="D349">
            <v>14.992000000000001</v>
          </cell>
          <cell r="E349">
            <v>32.221000000000004</v>
          </cell>
          <cell r="F349">
            <v>51.569999999999993</v>
          </cell>
          <cell r="G349">
            <v>63.119</v>
          </cell>
          <cell r="H349">
            <v>101.21600000000001</v>
          </cell>
          <cell r="I349">
            <v>114.846</v>
          </cell>
          <cell r="J349">
            <v>136.846</v>
          </cell>
          <cell r="K349">
            <v>174.846</v>
          </cell>
        </row>
        <row r="352">
          <cell r="C352">
            <v>31.163</v>
          </cell>
          <cell r="D352">
            <v>4.4379999999999997</v>
          </cell>
          <cell r="E352">
            <v>16.405999999999999</v>
          </cell>
          <cell r="F352">
            <v>99.53</v>
          </cell>
          <cell r="G352">
            <v>100.69799999999999</v>
          </cell>
          <cell r="H352">
            <v>108.38200000000001</v>
          </cell>
          <cell r="I352">
            <v>8.6419999999999995</v>
          </cell>
          <cell r="J352">
            <v>8.6419999999999995</v>
          </cell>
          <cell r="K352">
            <v>8.6419999999999995</v>
          </cell>
        </row>
        <row r="353">
          <cell r="C353">
            <v>0</v>
          </cell>
          <cell r="D353">
            <v>0</v>
          </cell>
          <cell r="E353">
            <v>0</v>
          </cell>
          <cell r="F353">
            <v>0</v>
          </cell>
          <cell r="G353">
            <v>0</v>
          </cell>
          <cell r="H353">
            <v>0</v>
          </cell>
          <cell r="I353">
            <v>0</v>
          </cell>
          <cell r="J353">
            <v>0</v>
          </cell>
          <cell r="K353">
            <v>0</v>
          </cell>
        </row>
        <row r="354">
          <cell r="C354">
            <v>0</v>
          </cell>
          <cell r="D354">
            <v>0</v>
          </cell>
          <cell r="E354">
            <v>0</v>
          </cell>
          <cell r="F354">
            <v>1.056</v>
          </cell>
          <cell r="G354">
            <v>0.59199999999999997</v>
          </cell>
          <cell r="H354">
            <v>0.55200000000000005</v>
          </cell>
          <cell r="I354">
            <v>0</v>
          </cell>
          <cell r="J354">
            <v>0</v>
          </cell>
          <cell r="K354">
            <v>0</v>
          </cell>
        </row>
        <row r="355">
          <cell r="C355">
            <v>31.163</v>
          </cell>
          <cell r="D355">
            <v>4.4379999999999997</v>
          </cell>
          <cell r="E355">
            <v>16.405999999999999</v>
          </cell>
          <cell r="F355">
            <v>100.586</v>
          </cell>
          <cell r="G355">
            <v>101.28999999999999</v>
          </cell>
          <cell r="H355">
            <v>108.93400000000001</v>
          </cell>
          <cell r="I355">
            <v>8.6419999999999995</v>
          </cell>
          <cell r="J355">
            <v>8.6419999999999995</v>
          </cell>
          <cell r="K355">
            <v>8.6419999999999995</v>
          </cell>
        </row>
        <row r="356">
          <cell r="C356">
            <v>45.682000000000002</v>
          </cell>
          <cell r="D356">
            <v>19.43</v>
          </cell>
          <cell r="E356">
            <v>48.627000000000002</v>
          </cell>
          <cell r="F356">
            <v>152.15600000000001</v>
          </cell>
          <cell r="G356">
            <v>164.40899999999999</v>
          </cell>
          <cell r="H356">
            <v>210.15000000000003</v>
          </cell>
          <cell r="I356">
            <v>123.488</v>
          </cell>
          <cell r="J356">
            <v>145.488</v>
          </cell>
          <cell r="K356">
            <v>183.488</v>
          </cell>
        </row>
        <row r="358">
          <cell r="C358">
            <v>0</v>
          </cell>
          <cell r="D358">
            <v>0</v>
          </cell>
          <cell r="E358">
            <v>0</v>
          </cell>
          <cell r="F358">
            <v>0</v>
          </cell>
          <cell r="G358">
            <v>0</v>
          </cell>
          <cell r="H358">
            <v>0</v>
          </cell>
          <cell r="I358">
            <v>0</v>
          </cell>
          <cell r="J358">
            <v>0</v>
          </cell>
          <cell r="K358">
            <v>0</v>
          </cell>
        </row>
        <row r="361">
          <cell r="C361">
            <v>8.5999999999999993E-2</v>
          </cell>
          <cell r="D361">
            <v>26.123000000000001</v>
          </cell>
          <cell r="E361">
            <v>52.823</v>
          </cell>
          <cell r="F361">
            <v>81.11099999999999</v>
          </cell>
          <cell r="G361">
            <v>128.25899999999999</v>
          </cell>
          <cell r="H361">
            <v>171.75699999999998</v>
          </cell>
          <cell r="I361">
            <v>344.09199999999998</v>
          </cell>
          <cell r="J361">
            <v>441.86310874999987</v>
          </cell>
          <cell r="K361">
            <v>568.36876124999992</v>
          </cell>
        </row>
        <row r="362">
          <cell r="C362">
            <v>0</v>
          </cell>
          <cell r="D362">
            <v>0</v>
          </cell>
          <cell r="E362">
            <v>0</v>
          </cell>
          <cell r="F362">
            <v>-2.1999999999999999E-2</v>
          </cell>
          <cell r="G362">
            <v>-2.1999999999999999E-2</v>
          </cell>
          <cell r="H362">
            <v>0.02</v>
          </cell>
          <cell r="I362">
            <v>0</v>
          </cell>
          <cell r="J362">
            <v>0</v>
          </cell>
          <cell r="K362">
            <v>0</v>
          </cell>
        </row>
        <row r="363">
          <cell r="C363">
            <v>0</v>
          </cell>
          <cell r="D363">
            <v>0</v>
          </cell>
          <cell r="E363">
            <v>0</v>
          </cell>
          <cell r="F363">
            <v>0</v>
          </cell>
          <cell r="G363">
            <v>0</v>
          </cell>
          <cell r="H363">
            <v>0</v>
          </cell>
          <cell r="I363">
            <v>0</v>
          </cell>
          <cell r="J363">
            <v>0</v>
          </cell>
          <cell r="K363">
            <v>0</v>
          </cell>
        </row>
        <row r="364">
          <cell r="C364">
            <v>8.5999999999999993E-2</v>
          </cell>
          <cell r="D364">
            <v>26.123000000000001</v>
          </cell>
          <cell r="E364">
            <v>52.823</v>
          </cell>
          <cell r="F364">
            <v>81.088999999999984</v>
          </cell>
          <cell r="G364">
            <v>128.23699999999999</v>
          </cell>
          <cell r="H364">
            <v>171.77699999999999</v>
          </cell>
          <cell r="I364">
            <v>344.09199999999998</v>
          </cell>
          <cell r="J364">
            <v>441.86310874999987</v>
          </cell>
          <cell r="K364">
            <v>568.36876124999992</v>
          </cell>
        </row>
        <row r="366">
          <cell r="C366">
            <v>45.768000000000001</v>
          </cell>
          <cell r="D366">
            <v>45.552999999999997</v>
          </cell>
          <cell r="E366">
            <v>101.45</v>
          </cell>
          <cell r="F366">
            <v>233.245</v>
          </cell>
          <cell r="G366">
            <v>292.64599999999996</v>
          </cell>
          <cell r="H366">
            <v>381.92700000000002</v>
          </cell>
          <cell r="I366">
            <v>467.58</v>
          </cell>
          <cell r="J366">
            <v>587.35110874999987</v>
          </cell>
          <cell r="K366">
            <v>751.85676124999986</v>
          </cell>
        </row>
        <row r="369">
          <cell r="C369">
            <v>4.1851860750066125E-2</v>
          </cell>
          <cell r="D369">
            <v>4.0911657239035747E-2</v>
          </cell>
          <cell r="E369">
            <v>0.11916225895970201</v>
          </cell>
          <cell r="F369">
            <v>0.32735863289630063</v>
          </cell>
          <cell r="G369">
            <v>0.37241123316886998</v>
          </cell>
          <cell r="H369">
            <v>0.2920521177211835</v>
          </cell>
          <cell r="I369">
            <v>0.27984129114936596</v>
          </cell>
          <cell r="J369">
            <v>0.29269554840848799</v>
          </cell>
          <cell r="K369">
            <v>0.31356593927125492</v>
          </cell>
        </row>
        <row r="370">
          <cell r="C370">
            <v>5.8813636691252433E-2</v>
          </cell>
          <cell r="D370">
            <v>2.9994816498597181E-2</v>
          </cell>
          <cell r="E370">
            <v>6.1649379323304949E-2</v>
          </cell>
          <cell r="F370">
            <v>7.2788648276444226E-2</v>
          </cell>
          <cell r="G370">
            <v>6.4998888530948415E-2</v>
          </cell>
          <cell r="H370">
            <v>6.7919239021363195E-2</v>
          </cell>
          <cell r="I370">
            <v>6.7119062941747257E-2</v>
          </cell>
          <cell r="J370">
            <v>6.6348604277422674E-2</v>
          </cell>
          <cell r="K370">
            <v>6.4804189718330948E-2</v>
          </cell>
        </row>
        <row r="371">
          <cell r="C371">
            <v>3.7511794647957841E-2</v>
          </cell>
          <cell r="D371">
            <v>2.9476538951702186E-2</v>
          </cell>
          <cell r="E371">
            <v>5.0133569658961055E-2</v>
          </cell>
          <cell r="F371">
            <v>6.3158129940084504E-2</v>
          </cell>
          <cell r="G371">
            <v>7.0213575682918097E-2</v>
          </cell>
          <cell r="H371">
            <v>6.8079983993541052E-2</v>
          </cell>
          <cell r="I371">
            <v>6.1198340864631197E-2</v>
          </cell>
          <cell r="J371">
            <v>6.6043739116127251E-2</v>
          </cell>
          <cell r="K371">
            <v>6.2763583420659713E-2</v>
          </cell>
        </row>
        <row r="372">
          <cell r="C372">
            <v>0.99755896795435839</v>
          </cell>
          <cell r="D372">
            <v>0.14521776119891364</v>
          </cell>
          <cell r="E372">
            <v>0.27376091290300403</v>
          </cell>
          <cell r="F372">
            <v>0.56002821410162507</v>
          </cell>
          <cell r="G372">
            <v>0.45551545516304348</v>
          </cell>
          <cell r="H372">
            <v>0.40550689226744008</v>
          </cell>
          <cell r="I372">
            <v>2.4500048194957106E-2</v>
          </cell>
          <cell r="J372">
            <v>1.9182912318083677E-2</v>
          </cell>
          <cell r="K372">
            <v>1.4977190340919313E-2</v>
          </cell>
        </row>
        <row r="373">
          <cell r="C373">
            <v>0.99724791193318196</v>
          </cell>
          <cell r="D373">
            <v>0.14521776119891364</v>
          </cell>
          <cell r="E373">
            <v>0.23698161175230031</v>
          </cell>
          <cell r="F373">
            <v>0.55104944662521671</v>
          </cell>
          <cell r="G373">
            <v>0.43985410706095612</v>
          </cell>
          <cell r="H373">
            <v>0.38685889084412783</v>
          </cell>
          <cell r="I373">
            <v>2.4500048194957106E-2</v>
          </cell>
          <cell r="J373">
            <v>1.9182912318083677E-2</v>
          </cell>
          <cell r="K373">
            <v>1.4977190340919313E-2</v>
          </cell>
        </row>
        <row r="374">
          <cell r="C374">
            <v>1.0026560849947197</v>
          </cell>
          <cell r="D374">
            <v>0.2014004777330583</v>
          </cell>
          <cell r="E374">
            <v>-4.4677808432881869E-2</v>
          </cell>
          <cell r="F374">
            <v>-3.376721164440067E-2</v>
          </cell>
          <cell r="G374">
            <v>-1.4545613383711527E-2</v>
          </cell>
          <cell r="H374">
            <v>-1.3428089049432646E-2</v>
          </cell>
          <cell r="I374">
            <v>-0.40818293671718642</v>
          </cell>
          <cell r="J374">
            <v>-0.45756220017560428</v>
          </cell>
          <cell r="K374">
            <v>-0.53749389453003005</v>
          </cell>
        </row>
        <row r="375">
          <cell r="E375">
            <v>11.17</v>
          </cell>
          <cell r="F375">
            <v>6.8170000000000073</v>
          </cell>
          <cell r="G375">
            <v>85.373999999999995</v>
          </cell>
          <cell r="H375">
            <v>80.804000000000002</v>
          </cell>
          <cell r="I375">
            <v>16.271999999999736</v>
          </cell>
          <cell r="J375">
            <v>16.27199999999965</v>
          </cell>
          <cell r="K375">
            <v>16.27199999999965</v>
          </cell>
        </row>
        <row r="385">
          <cell r="F385" t="str">
            <v>Sanmina Corporation</v>
          </cell>
        </row>
        <row r="386">
          <cell r="F386" t="str">
            <v>Key Financial Ratios</v>
          </cell>
        </row>
        <row r="389">
          <cell r="C389" t="str">
            <v xml:space="preserve">    1992A</v>
          </cell>
          <cell r="D389" t="str">
            <v xml:space="preserve">    1993A</v>
          </cell>
          <cell r="E389" t="str">
            <v>1994RE</v>
          </cell>
          <cell r="F389" t="str">
            <v>1995RE</v>
          </cell>
          <cell r="G389" t="str">
            <v>1996R</v>
          </cell>
          <cell r="H389" t="str">
            <v>1997R</v>
          </cell>
          <cell r="I389" t="str">
            <v>1998A</v>
          </cell>
          <cell r="J389" t="str">
            <v>1999E</v>
          </cell>
          <cell r="K389" t="str">
            <v>2000E</v>
          </cell>
        </row>
        <row r="390">
          <cell r="C390">
            <v>-8.3781803329889756E-2</v>
          </cell>
          <cell r="D390">
            <v>-3.4429495169004939E-2</v>
          </cell>
          <cell r="E390">
            <v>-1.9060268968952444E-2</v>
          </cell>
          <cell r="F390">
            <v>0.11594917518224006</v>
          </cell>
          <cell r="G390">
            <v>0.1377206096198296</v>
          </cell>
          <cell r="H390">
            <v>9.9786411413388024E-2</v>
          </cell>
          <cell r="I390">
            <v>0.14854943598018783</v>
          </cell>
          <cell r="J390">
            <v>0.16336366047745346</v>
          </cell>
          <cell r="K390">
            <v>0.16131295546558705</v>
          </cell>
        </row>
        <row r="392">
          <cell r="C392">
            <v>3.6377381576647432</v>
          </cell>
          <cell r="D392">
            <v>4.1214848637850414</v>
          </cell>
          <cell r="E392">
            <v>2.0779201577131596</v>
          </cell>
          <cell r="F392">
            <v>1.1651139359900538</v>
          </cell>
          <cell r="G392">
            <v>1.3394408261175619</v>
          </cell>
          <cell r="H392">
            <v>1.4918741015953314</v>
          </cell>
          <cell r="I392">
            <v>1.5453633602805938</v>
          </cell>
          <cell r="J392">
            <v>1.6046619917102527</v>
          </cell>
          <cell r="K392">
            <v>1.642600111684505</v>
          </cell>
        </row>
        <row r="393">
          <cell r="C393">
            <v>-0.30477626289110299</v>
          </cell>
          <cell r="D393">
            <v>-0.14190064320681406</v>
          </cell>
          <cell r="E393">
            <v>-3.9605717102020904E-2</v>
          </cell>
          <cell r="F393">
            <v>0.13509399987137996</v>
          </cell>
          <cell r="G393">
            <v>0.1844686071225988</v>
          </cell>
          <cell r="H393">
            <v>0.14886876287877038</v>
          </cell>
          <cell r="I393">
            <v>0.22956285555413</v>
          </cell>
          <cell r="J393">
            <v>0.26214345679482798</v>
          </cell>
          <cell r="K393">
            <v>0.26497267866393087</v>
          </cell>
        </row>
        <row r="395">
          <cell r="C395">
            <v>532.18604651162809</v>
          </cell>
          <cell r="D395">
            <v>1.7437889982008192</v>
          </cell>
          <cell r="E395">
            <v>1.9205649054389182</v>
          </cell>
          <cell r="F395">
            <v>2.8764074042101888</v>
          </cell>
          <cell r="G395">
            <v>2.2820714770308101</v>
          </cell>
          <cell r="H395">
            <v>2.2233884629490563</v>
          </cell>
          <cell r="I395">
            <v>1.358880764446718</v>
          </cell>
          <cell r="J395">
            <v>1.3292603458378218</v>
          </cell>
          <cell r="K395">
            <v>1.3228326616622264</v>
          </cell>
        </row>
        <row r="396">
          <cell r="C396">
            <v>-162.19767441860472</v>
          </cell>
          <cell r="D396">
            <v>-0.24744478046166218</v>
          </cell>
          <cell r="E396">
            <v>-7.6065350320883324E-2</v>
          </cell>
          <cell r="F396">
            <v>0.38858538149440763</v>
          </cell>
          <cell r="G396">
            <v>0.42097054672208528</v>
          </cell>
          <cell r="H396">
            <v>0.33099308987815679</v>
          </cell>
          <cell r="I396">
            <v>0.3119485486439677</v>
          </cell>
          <cell r="J396">
            <v>0.34845690203821517</v>
          </cell>
          <cell r="K396">
            <v>0.35051451378477749</v>
          </cell>
        </row>
        <row r="398">
          <cell r="C398">
            <v>1.0125457022008746</v>
          </cell>
          <cell r="D398">
            <v>1.6104579207920791</v>
          </cell>
          <cell r="E398">
            <v>1.8158287705325991</v>
          </cell>
          <cell r="F398">
            <v>0.64274833386226615</v>
          </cell>
          <cell r="G398">
            <v>0.67733032009484329</v>
          </cell>
          <cell r="H398">
            <v>0.53687320822414231</v>
          </cell>
          <cell r="I398">
            <v>0.63491368468124398</v>
          </cell>
          <cell r="J398">
            <v>0.63499999999999979</v>
          </cell>
          <cell r="K398">
            <v>0.63500000000000001</v>
          </cell>
        </row>
        <row r="399">
          <cell r="C399">
            <v>-164.23255813953494</v>
          </cell>
          <cell r="D399">
            <v>-0.39849940665314093</v>
          </cell>
          <cell r="E399">
            <v>-0.138121651553301</v>
          </cell>
          <cell r="F399">
            <v>0.24976260651876359</v>
          </cell>
          <cell r="G399">
            <v>0.28513611516177123</v>
          </cell>
          <cell r="H399">
            <v>0.17770132206290792</v>
          </cell>
          <cell r="I399">
            <v>0.19806040245050782</v>
          </cell>
          <cell r="J399">
            <v>0.22127013279426655</v>
          </cell>
          <cell r="K399">
            <v>0.22257671625333372</v>
          </cell>
        </row>
        <row r="401">
          <cell r="C401">
            <v>-164.23255813953497</v>
          </cell>
          <cell r="D401">
            <v>-0.43004249129119937</v>
          </cell>
          <cell r="E401">
            <v>5.4351324233761426E-2</v>
          </cell>
          <cell r="F401">
            <v>0.27236739878405231</v>
          </cell>
          <cell r="G401">
            <v>0.28513611516177123</v>
          </cell>
          <cell r="H401">
            <v>0.17770132206290792</v>
          </cell>
          <cell r="I401">
            <v>0.19806040245050779</v>
          </cell>
          <cell r="J401">
            <v>0.22127013279426649</v>
          </cell>
          <cell r="K401">
            <v>0.22257671625333372</v>
          </cell>
        </row>
        <row r="405">
          <cell r="C405" t="str">
            <v xml:space="preserve">    1992A</v>
          </cell>
          <cell r="D405" t="str">
            <v xml:space="preserve">    1993A</v>
          </cell>
          <cell r="E405" t="str">
            <v>1994RE</v>
          </cell>
          <cell r="F405" t="str">
            <v>1995RE</v>
          </cell>
          <cell r="G405" t="str">
            <v>1996R</v>
          </cell>
          <cell r="H405" t="str">
            <v>1997R</v>
          </cell>
          <cell r="I405" t="str">
            <v>1998A</v>
          </cell>
          <cell r="J405" t="str">
            <v>1999E</v>
          </cell>
          <cell r="K405" t="str">
            <v>2000E</v>
          </cell>
        </row>
        <row r="407">
          <cell r="C407">
            <v>-3.99270542801974</v>
          </cell>
          <cell r="D407">
            <v>-2.625345737993463</v>
          </cell>
          <cell r="E407">
            <v>-3.4529914529914656</v>
          </cell>
          <cell r="F407">
            <v>36.467300832342467</v>
          </cell>
          <cell r="G407">
            <v>39.136802973977737</v>
          </cell>
          <cell r="H407">
            <v>22.093826157595501</v>
          </cell>
          <cell r="I407">
            <v>155.0159883720932</v>
          </cell>
          <cell r="J407">
            <v>-25.05785156249998</v>
          </cell>
          <cell r="K407">
            <v>-26.87292207792208</v>
          </cell>
        </row>
        <row r="408">
          <cell r="C408">
            <v>1.4799228597010818</v>
          </cell>
          <cell r="D408">
            <v>1.5598986125933831</v>
          </cell>
          <cell r="E408">
            <v>2.2987182272431013</v>
          </cell>
          <cell r="F408">
            <v>3.6387046732596469</v>
          </cell>
          <cell r="G408">
            <v>3.4696050317653957</v>
          </cell>
          <cell r="H408">
            <v>2.7481030667088211</v>
          </cell>
          <cell r="I408">
            <v>2.9807394249690891</v>
          </cell>
          <cell r="J408">
            <v>3.3694598946991499</v>
          </cell>
          <cell r="K408">
            <v>3.5751619210619623</v>
          </cell>
        </row>
        <row r="409">
          <cell r="C409">
            <v>0.99724791193318196</v>
          </cell>
          <cell r="D409">
            <v>0.14521776119891364</v>
          </cell>
          <cell r="E409">
            <v>0.23698161175230031</v>
          </cell>
          <cell r="F409">
            <v>0.55104944662521671</v>
          </cell>
          <cell r="G409">
            <v>0.43985410706095612</v>
          </cell>
          <cell r="H409">
            <v>0.38685889084412783</v>
          </cell>
          <cell r="I409">
            <v>2.4500048194957106E-2</v>
          </cell>
          <cell r="J409">
            <v>1.9182912318083677E-2</v>
          </cell>
          <cell r="K409">
            <v>1.4977190340919313E-2</v>
          </cell>
        </row>
        <row r="410">
          <cell r="C410">
            <v>1.1246759896316683</v>
          </cell>
          <cell r="D410">
            <v>0.14521776119891364</v>
          </cell>
          <cell r="E410">
            <v>0.28762512819772063</v>
          </cell>
          <cell r="F410">
            <v>0.57145704493990124</v>
          </cell>
          <cell r="G410">
            <v>0.46861772992334061</v>
          </cell>
          <cell r="H410">
            <v>0.41822679264274931</v>
          </cell>
          <cell r="I410">
            <v>2.4500048194957106E-2</v>
          </cell>
          <cell r="J410">
            <v>1.9182912318083677E-2</v>
          </cell>
          <cell r="K410">
            <v>1.4977190340919313E-2</v>
          </cell>
        </row>
        <row r="411">
          <cell r="C411">
            <v>-0.54644282018657575</v>
          </cell>
          <cell r="D411">
            <v>-0.27011413609751878</v>
          </cell>
          <cell r="E411">
            <v>0.19387929074789673</v>
          </cell>
          <cell r="F411">
            <v>0.44193450576106763</v>
          </cell>
          <cell r="G411">
            <v>0.49419841423322508</v>
          </cell>
          <cell r="H411">
            <v>0.40903244954491813</v>
          </cell>
          <cell r="I411">
            <v>1.4375531211634744</v>
          </cell>
          <cell r="J411">
            <v>1.8600885872176813</v>
          </cell>
          <cell r="K411">
            <v>2.4804262303149609</v>
          </cell>
        </row>
        <row r="413">
          <cell r="C413">
            <v>3.9474239845481299E-3</v>
          </cell>
          <cell r="D413">
            <v>0.97488140056306749</v>
          </cell>
          <cell r="E413">
            <v>1.5009945442145942</v>
          </cell>
          <cell r="F413">
            <v>2.0489438043258534</v>
          </cell>
          <cell r="G413">
            <v>3.0999081415586924</v>
          </cell>
          <cell r="H413">
            <v>4.2485407597942215</v>
          </cell>
          <cell r="I413">
            <v>8.1238077249976381</v>
          </cell>
          <cell r="J413">
            <v>8.4932841662662142</v>
          </cell>
          <cell r="K413">
            <v>11.188361441929134</v>
          </cell>
        </row>
        <row r="414">
          <cell r="C414">
            <v>0.15327779905527897</v>
          </cell>
          <cell r="D414">
            <v>0.11521327393496414</v>
          </cell>
          <cell r="E414">
            <v>0.9168843892880425</v>
          </cell>
          <cell r="F414">
            <v>-0.13484551784160193</v>
          </cell>
          <cell r="G414">
            <v>-0.11591897337999768</v>
          </cell>
          <cell r="H414">
            <v>-0.26840101522842591</v>
          </cell>
          <cell r="I414">
            <v>-1.0660475694115417E-2</v>
          </cell>
          <cell r="J414">
            <v>8.1573405030624935E-3</v>
          </cell>
          <cell r="K414">
            <v>1.3655542938866932E-2</v>
          </cell>
        </row>
        <row r="417">
          <cell r="C417">
            <v>10.586454604425438</v>
          </cell>
          <cell r="D417">
            <v>20.129749768303984</v>
          </cell>
          <cell r="E417">
            <v>31.734920898460665</v>
          </cell>
          <cell r="F417">
            <v>43.359177500487569</v>
          </cell>
          <cell r="G417">
            <v>41.504762973810024</v>
          </cell>
          <cell r="H417">
            <v>40.505030827309149</v>
          </cell>
          <cell r="I417">
            <v>43.410385825256952</v>
          </cell>
          <cell r="J417">
            <v>42.384509283819632</v>
          </cell>
          <cell r="K417">
            <v>41.53846153846154</v>
          </cell>
        </row>
        <row r="418">
          <cell r="C418">
            <v>11.368113783244839</v>
          </cell>
          <cell r="D418">
            <v>22.224601323064135</v>
          </cell>
          <cell r="E418">
            <v>31.570977917981075</v>
          </cell>
          <cell r="F418">
            <v>44.04471641944825</v>
          </cell>
          <cell r="G418">
            <v>42.852528942655525</v>
          </cell>
          <cell r="H418">
            <v>44.650685256069359</v>
          </cell>
          <cell r="I418">
            <v>51.081138308369567</v>
          </cell>
          <cell r="J418">
            <v>48.068498673740059</v>
          </cell>
          <cell r="K418">
            <v>45.428793522267213</v>
          </cell>
        </row>
        <row r="419">
          <cell r="C419">
            <v>53.316563997262143</v>
          </cell>
          <cell r="D419">
            <v>21.272785663819132</v>
          </cell>
          <cell r="E419">
            <v>12.860095272993773</v>
          </cell>
          <cell r="F419">
            <v>9.6572090330052109</v>
          </cell>
          <cell r="G419">
            <v>8.7038610699212953</v>
          </cell>
          <cell r="H419">
            <v>8.6975181366933949</v>
          </cell>
          <cell r="I419">
            <v>8.6150144369586155</v>
          </cell>
          <cell r="J419">
            <v>8.8747033697199829</v>
          </cell>
          <cell r="K419">
            <v>8.8764590909090906</v>
          </cell>
        </row>
        <row r="420">
          <cell r="C420">
            <v>1.7992813141683774</v>
          </cell>
          <cell r="D420">
            <v>1.3024164524421595</v>
          </cell>
          <cell r="E420">
            <v>1.383888414460575</v>
          </cell>
          <cell r="F420">
            <v>1.5432929728938798</v>
          </cell>
          <cell r="G420">
            <v>1.1946540807028203</v>
          </cell>
          <cell r="H420">
            <v>1.4559319571988834</v>
          </cell>
          <cell r="I420">
            <v>1.6655693008281003</v>
          </cell>
          <cell r="J420">
            <v>1.403548717948718</v>
          </cell>
          <cell r="K420">
            <v>1.4273142857142858</v>
          </cell>
        </row>
        <row r="421">
          <cell r="C421">
            <v>2.0925930375033062E-2</v>
          </cell>
          <cell r="D421">
            <v>5.9468643805993253E-2</v>
          </cell>
          <cell r="E421">
            <v>0.13907165389815226</v>
          </cell>
          <cell r="F421">
            <v>0.40435020993019483</v>
          </cell>
          <cell r="G421">
            <v>0.5459880810853559</v>
          </cell>
          <cell r="H421">
            <v>0.42883919780549568</v>
          </cell>
          <cell r="I421">
            <v>0.40227462388299717</v>
          </cell>
          <cell r="J421">
            <v>0.41337459350132622</v>
          </cell>
          <cell r="K421">
            <v>0.44484169180161931</v>
          </cell>
        </row>
        <row r="422">
          <cell r="C422">
            <v>7.2754763153294864</v>
          </cell>
          <cell r="D422">
            <v>4.1117815179422035</v>
          </cell>
          <cell r="E422">
            <v>2.8680367067338763</v>
          </cell>
          <cell r="F422">
            <v>1.6239083344537568</v>
          </cell>
          <cell r="G422">
            <v>1.4907347720345092</v>
          </cell>
          <cell r="H422">
            <v>1.6893264331658695</v>
          </cell>
          <cell r="I422">
            <v>1.7011772710525048</v>
          </cell>
          <cell r="J422">
            <v>1.7868465384754442</v>
          </cell>
          <cell r="K422">
            <v>1.8443738685615703</v>
          </cell>
        </row>
        <row r="425">
          <cell r="C425">
            <v>-0.61719979024646054</v>
          </cell>
          <cell r="D425">
            <v>-0.24603322346448245</v>
          </cell>
          <cell r="E425">
            <v>3.9060427338217317E-2</v>
          </cell>
          <cell r="F425">
            <v>0.13197687446779915</v>
          </cell>
          <cell r="G425">
            <v>0.13905923470833331</v>
          </cell>
          <cell r="H425">
            <v>9.0501695146411515E-2</v>
          </cell>
          <cell r="I425">
            <v>0.16044835416306191</v>
          </cell>
          <cell r="J425">
            <v>0.18536017743537772</v>
          </cell>
          <cell r="K425">
            <v>0.18892608882293985</v>
          </cell>
        </row>
        <row r="426">
          <cell r="C426">
            <v>-328.46511627906995</v>
          </cell>
          <cell r="D426">
            <v>-0.85726277233011572</v>
          </cell>
          <cell r="E426">
            <v>7.2733260709851796E-2</v>
          </cell>
          <cell r="F426">
            <v>0.32985841448115205</v>
          </cell>
          <cell r="G426">
            <v>0.3493593724620932</v>
          </cell>
          <cell r="H426">
            <v>0.2034905037764913</v>
          </cell>
          <cell r="I426">
            <v>0.26421824145277245</v>
          </cell>
          <cell r="J426">
            <v>0.24879565680410726</v>
          </cell>
          <cell r="K426">
            <v>0.25044874598937378</v>
          </cell>
        </row>
        <row r="427">
          <cell r="C427">
            <v>6.4273358479686682E-2</v>
          </cell>
          <cell r="D427">
            <v>0.11796789279132443</v>
          </cell>
          <cell r="E427">
            <v>0.16759090154408091</v>
          </cell>
          <cell r="F427">
            <v>0.20217694484410709</v>
          </cell>
          <cell r="G427">
            <v>0.22132393834410777</v>
          </cell>
          <cell r="H427">
            <v>0.20044507859954702</v>
          </cell>
          <cell r="I427">
            <v>0.21958507073947431</v>
          </cell>
          <cell r="J427">
            <v>0.21632838196286461</v>
          </cell>
          <cell r="K427">
            <v>0.20938421052631581</v>
          </cell>
        </row>
        <row r="428">
          <cell r="C428">
            <v>-8.4832904884318813E-2</v>
          </cell>
          <cell r="D428">
            <v>-5.9836161622617796E-2</v>
          </cell>
          <cell r="E428">
            <v>1.3619221555465856E-2</v>
          </cell>
          <cell r="F428">
            <v>8.1271135610122322E-2</v>
          </cell>
          <cell r="G428">
            <v>9.3282344597456143E-2</v>
          </cell>
          <cell r="H428">
            <v>5.35726508326798E-2</v>
          </cell>
          <cell r="I428">
            <v>9.4316069755501608E-2</v>
          </cell>
          <cell r="J428">
            <v>0.1037359244031829</v>
          </cell>
          <cell r="K428">
            <v>0.10243372672064778</v>
          </cell>
        </row>
        <row r="431">
          <cell r="C431">
            <v>1.0536793804170941E-2</v>
          </cell>
          <cell r="D431">
            <v>0.12765778535905636</v>
          </cell>
          <cell r="E431">
            <v>0.12282019323980276</v>
          </cell>
          <cell r="F431">
            <v>0.28913925191527712</v>
          </cell>
          <cell r="G431">
            <v>0.4423989078478201</v>
          </cell>
          <cell r="H431">
            <v>0.4536050124750628</v>
          </cell>
          <cell r="I431">
            <v>0.26815985622697602</v>
          </cell>
          <cell r="J431">
            <v>0.30435203804140976</v>
          </cell>
          <cell r="K431">
            <v>0.31034482758620685</v>
          </cell>
        </row>
        <row r="432">
          <cell r="C432">
            <v>0.18763911321815296</v>
          </cell>
          <cell r="D432">
            <v>-0.40075222443358349</v>
          </cell>
          <cell r="E432">
            <v>-0.46634398045665315</v>
          </cell>
          <cell r="F432" t="str">
            <v xml:space="preserve">     N.M.</v>
          </cell>
          <cell r="G432">
            <v>0.71871757428401217</v>
          </cell>
          <cell r="H432">
            <v>-0.14585934237596243</v>
          </cell>
          <cell r="I432">
            <v>1.1312129433840603</v>
          </cell>
          <cell r="J432">
            <v>0.16799546954384059</v>
          </cell>
          <cell r="K432">
            <v>0.32509729484631644</v>
          </cell>
        </row>
        <row r="433">
          <cell r="C433" t="str">
            <v xml:space="preserve">      N.M.</v>
          </cell>
          <cell r="D433" t="str">
            <v xml:space="preserve">      N.M.</v>
          </cell>
          <cell r="E433" t="str">
            <v xml:space="preserve">      N.M.</v>
          </cell>
          <cell r="F433" t="str">
            <v xml:space="preserve">      N.M.</v>
          </cell>
          <cell r="G433" t="str">
            <v xml:space="preserve">      N.M.</v>
          </cell>
          <cell r="H433" t="str">
            <v xml:space="preserve">      N.M.</v>
          </cell>
          <cell r="I433" t="str">
            <v xml:space="preserve">      N.M.</v>
          </cell>
          <cell r="J433" t="str">
            <v xml:space="preserve">      N.M.</v>
          </cell>
          <cell r="K433" t="str">
            <v xml:space="preserve">      N.M.</v>
          </cell>
        </row>
        <row r="436">
          <cell r="C436">
            <v>-0.40985241324291938</v>
          </cell>
          <cell r="D436">
            <v>0.83786397335339002</v>
          </cell>
          <cell r="E436">
            <v>0.26748009349126511</v>
          </cell>
          <cell r="F436">
            <v>0.34482921417274492</v>
          </cell>
          <cell r="G436">
            <v>0.43080295573653843</v>
          </cell>
          <cell r="H436">
            <v>0.42422394960117787</v>
          </cell>
          <cell r="I436">
            <v>0.25505489224854888</v>
          </cell>
          <cell r="J436">
            <v>0.19276285624985384</v>
          </cell>
          <cell r="K436">
            <v>0.19580047148753532</v>
          </cell>
        </row>
        <row r="437">
          <cell r="C437">
            <v>-1.0757348208538953</v>
          </cell>
          <cell r="D437">
            <v>2.34020618556701</v>
          </cell>
          <cell r="E437">
            <v>15.410866910866901</v>
          </cell>
          <cell r="F437">
            <v>50.372175980975058</v>
          </cell>
          <cell r="G437">
            <v>51.214126394052087</v>
          </cell>
          <cell r="H437">
            <v>31.978878960195019</v>
          </cell>
          <cell r="I437">
            <v>196.60610465116298</v>
          </cell>
          <cell r="J437">
            <v>-28.37035156249998</v>
          </cell>
          <cell r="K437">
            <v>-24.872922077922084</v>
          </cell>
        </row>
        <row r="438">
          <cell r="C438">
            <v>-7.0093737534902205</v>
          </cell>
          <cell r="D438">
            <v>0.4768453851939401</v>
          </cell>
          <cell r="E438">
            <v>0.788812740165591</v>
          </cell>
          <cell r="F438">
            <v>2.4364657838207862</v>
          </cell>
          <cell r="G438">
            <v>1.5574670092765981</v>
          </cell>
          <cell r="H438">
            <v>1.4882131788853299</v>
          </cell>
          <cell r="I438">
            <v>6.3889402284404623E-2</v>
          </cell>
          <cell r="J438">
            <v>4.7595902963178192E-2</v>
          </cell>
          <cell r="K438">
            <v>4.5122871322540802E-2</v>
          </cell>
        </row>
      </sheetData>
      <sheetData sheetId="9"/>
      <sheetData sheetId="10"/>
      <sheetData sheetId="11"/>
      <sheetData sheetId="12"/>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BZ4" t="str">
            <v>Bristol-Myers Squibb</v>
          </cell>
          <cell r="DO4" t="str">
            <v>Bristol-Myers Squibb</v>
          </cell>
        </row>
        <row r="5">
          <cell r="BZ5" t="str">
            <v>Quarterly Sales Comparisons 1999-2006E</v>
          </cell>
          <cell r="DO5" t="str">
            <v>Quarterly Sales Comparisons 1999-2006E</v>
          </cell>
        </row>
        <row r="6">
          <cell r="BZ6" t="str">
            <v>($ Millions)</v>
          </cell>
          <cell r="DO6" t="str">
            <v>($ Millions)</v>
          </cell>
        </row>
        <row r="7">
          <cell r="CC7" t="str">
            <v>Central Nervous System (a)</v>
          </cell>
          <cell r="CR7" t="str">
            <v>Glucophage (a)</v>
          </cell>
          <cell r="DR7" t="str">
            <v>All</v>
          </cell>
          <cell r="DZ7" t="str">
            <v>Consumer Medicines</v>
          </cell>
        </row>
        <row r="8">
          <cell r="CI8" t="str">
            <v>Sine-</v>
          </cell>
          <cell r="CS8" t="str">
            <v>Gluco-</v>
          </cell>
          <cell r="DA8" t="str">
            <v>Derma-</v>
          </cell>
          <cell r="DE8" t="str">
            <v>Diagnos.</v>
          </cell>
          <cell r="DI8" t="str">
            <v>New</v>
          </cell>
          <cell r="DR8" t="str">
            <v>Other</v>
          </cell>
          <cell r="DV8" t="str">
            <v>Total</v>
          </cell>
          <cell r="DZ8" t="str">
            <v>Anale-</v>
          </cell>
          <cell r="ED8" t="str">
            <v>Other</v>
          </cell>
          <cell r="EL8" t="str">
            <v>Total</v>
          </cell>
        </row>
        <row r="9">
          <cell r="CA9" t="str">
            <v>Buspar</v>
          </cell>
          <cell r="CC9" t="str">
            <v>Buspar</v>
          </cell>
          <cell r="CD9" t="str">
            <v>Serzone</v>
          </cell>
          <cell r="CF9" t="str">
            <v>Serzone</v>
          </cell>
          <cell r="CG9" t="str">
            <v>Other</v>
          </cell>
          <cell r="CI9" t="str">
            <v>met</v>
          </cell>
          <cell r="CJ9" t="str">
            <v>Other</v>
          </cell>
          <cell r="CL9" t="str">
            <v>Total CNS</v>
          </cell>
          <cell r="CN9" t="str">
            <v>Total</v>
          </cell>
          <cell r="CP9" t="str">
            <v>Regular</v>
          </cell>
          <cell r="CR9" t="str">
            <v>Regular</v>
          </cell>
          <cell r="CS9" t="str">
            <v>Vance</v>
          </cell>
          <cell r="CT9" t="str">
            <v>Total</v>
          </cell>
          <cell r="CV9" t="str">
            <v>XR</v>
          </cell>
          <cell r="CW9" t="str">
            <v>Total</v>
          </cell>
          <cell r="CY9" t="str">
            <v>Dermatological</v>
          </cell>
          <cell r="DA9" t="str">
            <v>tological</v>
          </cell>
          <cell r="DC9" t="str">
            <v>Diagnostics (b)</v>
          </cell>
          <cell r="DE9" t="str">
            <v>tics (b)</v>
          </cell>
          <cell r="DG9" t="str">
            <v>New Product</v>
          </cell>
          <cell r="DI9" t="str">
            <v>Prod.</v>
          </cell>
          <cell r="DL9" t="str">
            <v>All Other Pharma</v>
          </cell>
          <cell r="DP9" t="str">
            <v>Erbitux</v>
          </cell>
          <cell r="DR9" t="str">
            <v>Pharma</v>
          </cell>
          <cell r="DT9" t="str">
            <v>Total Pharma</v>
          </cell>
          <cell r="DV9" t="str">
            <v>Pharma</v>
          </cell>
          <cell r="DX9" t="str">
            <v>Analegiscs</v>
          </cell>
          <cell r="DZ9" t="str">
            <v>giscs</v>
          </cell>
          <cell r="EB9" t="str">
            <v>CM</v>
          </cell>
          <cell r="ED9" t="str">
            <v>CM</v>
          </cell>
          <cell r="EF9" t="str">
            <v>Total C.M.</v>
          </cell>
          <cell r="EH9" t="str">
            <v>Total</v>
          </cell>
          <cell r="EL9" t="str">
            <v>Medicines</v>
          </cell>
        </row>
        <row r="10">
          <cell r="CA10" t="str">
            <v>U.S.</v>
          </cell>
          <cell r="CB10" t="str">
            <v>Intl</v>
          </cell>
          <cell r="CC10" t="str">
            <v>WW</v>
          </cell>
          <cell r="CD10" t="str">
            <v>U.S.</v>
          </cell>
          <cell r="CE10" t="str">
            <v>Intl</v>
          </cell>
          <cell r="CF10" t="str">
            <v>WW</v>
          </cell>
          <cell r="CG10" t="str">
            <v>U.S.</v>
          </cell>
          <cell r="CH10" t="str">
            <v>Intl</v>
          </cell>
          <cell r="CI10" t="str">
            <v>WW</v>
          </cell>
          <cell r="CJ10" t="str">
            <v>WW</v>
          </cell>
          <cell r="CL10" t="str">
            <v>U.S.</v>
          </cell>
          <cell r="CM10" t="str">
            <v>Intl</v>
          </cell>
          <cell r="CN10" t="str">
            <v>WW</v>
          </cell>
          <cell r="CP10" t="str">
            <v>U.S.</v>
          </cell>
          <cell r="CQ10" t="str">
            <v>Intl</v>
          </cell>
          <cell r="CR10" t="str">
            <v>WW</v>
          </cell>
          <cell r="CS10" t="str">
            <v>WW</v>
          </cell>
          <cell r="CT10" t="str">
            <v>U.S.</v>
          </cell>
          <cell r="CU10" t="str">
            <v>Intl</v>
          </cell>
          <cell r="CW10" t="str">
            <v>WW</v>
          </cell>
          <cell r="CY10" t="str">
            <v>U.S.</v>
          </cell>
          <cell r="CZ10" t="str">
            <v>Intl</v>
          </cell>
          <cell r="DA10" t="str">
            <v>WW</v>
          </cell>
          <cell r="DC10" t="str">
            <v>U.S.</v>
          </cell>
          <cell r="DD10" t="str">
            <v>Intl</v>
          </cell>
          <cell r="DE10" t="str">
            <v>WW</v>
          </cell>
          <cell r="DG10" t="str">
            <v>U.S.</v>
          </cell>
          <cell r="DH10" t="str">
            <v>Intl</v>
          </cell>
          <cell r="DI10" t="str">
            <v>WW</v>
          </cell>
          <cell r="DJ10" t="str">
            <v>Intl</v>
          </cell>
          <cell r="DL10" t="str">
            <v>U.S.</v>
          </cell>
          <cell r="DR10" t="str">
            <v>WW</v>
          </cell>
          <cell r="DT10" t="str">
            <v>U.S.</v>
          </cell>
          <cell r="DU10" t="str">
            <v>Intl</v>
          </cell>
          <cell r="DV10" t="str">
            <v>WW</v>
          </cell>
          <cell r="DX10" t="str">
            <v>U.S.</v>
          </cell>
          <cell r="DY10" t="str">
            <v>Intl</v>
          </cell>
          <cell r="DZ10" t="str">
            <v>WW</v>
          </cell>
          <cell r="EB10" t="str">
            <v>U.S.</v>
          </cell>
          <cell r="EC10" t="str">
            <v>Intl</v>
          </cell>
          <cell r="ED10" t="str">
            <v>WW</v>
          </cell>
          <cell r="EF10" t="str">
            <v>U.S.</v>
          </cell>
          <cell r="EG10" t="str">
            <v>Intl</v>
          </cell>
          <cell r="EH10" t="str">
            <v>WW</v>
          </cell>
          <cell r="EJ10" t="str">
            <v>U.S.</v>
          </cell>
          <cell r="EK10" t="str">
            <v>Intl</v>
          </cell>
          <cell r="EL10" t="str">
            <v>WW</v>
          </cell>
        </row>
        <row r="12">
          <cell r="BZ12">
            <v>1998</v>
          </cell>
          <cell r="DO12">
            <v>1998</v>
          </cell>
        </row>
        <row r="13">
          <cell r="BZ13" t="str">
            <v xml:space="preserve"> 1Q</v>
          </cell>
          <cell r="CA13">
            <v>135</v>
          </cell>
          <cell r="CB13">
            <v>10</v>
          </cell>
          <cell r="CC13">
            <v>145</v>
          </cell>
          <cell r="CD13">
            <v>56</v>
          </cell>
          <cell r="CE13">
            <v>8</v>
          </cell>
          <cell r="CF13">
            <v>64</v>
          </cell>
          <cell r="CG13">
            <v>47</v>
          </cell>
          <cell r="CH13">
            <v>21</v>
          </cell>
          <cell r="CJ13">
            <v>68</v>
          </cell>
          <cell r="CL13">
            <v>238</v>
          </cell>
          <cell r="CM13">
            <v>39</v>
          </cell>
          <cell r="CN13">
            <v>277</v>
          </cell>
          <cell r="CP13">
            <v>180</v>
          </cell>
          <cell r="CQ13">
            <v>1</v>
          </cell>
          <cell r="CR13">
            <v>181</v>
          </cell>
          <cell r="CY13">
            <v>65</v>
          </cell>
          <cell r="CZ13">
            <v>26</v>
          </cell>
          <cell r="DA13">
            <v>91</v>
          </cell>
          <cell r="DC13">
            <v>9</v>
          </cell>
          <cell r="DD13">
            <v>0</v>
          </cell>
          <cell r="DE13">
            <v>9</v>
          </cell>
          <cell r="DG13">
            <v>0</v>
          </cell>
          <cell r="DH13">
            <v>0</v>
          </cell>
          <cell r="DI13">
            <v>0</v>
          </cell>
          <cell r="DJ13">
            <v>49</v>
          </cell>
          <cell r="DL13">
            <v>245</v>
          </cell>
          <cell r="DO13" t="str">
            <v xml:space="preserve"> 1Q</v>
          </cell>
          <cell r="DR13">
            <v>294</v>
          </cell>
          <cell r="DT13">
            <v>1702</v>
          </cell>
          <cell r="DU13">
            <v>1011</v>
          </cell>
          <cell r="DV13">
            <v>2713</v>
          </cell>
          <cell r="DX13">
            <v>73</v>
          </cell>
          <cell r="DY13">
            <v>104</v>
          </cell>
          <cell r="DZ13">
            <v>177</v>
          </cell>
          <cell r="EB13">
            <v>55</v>
          </cell>
          <cell r="EC13">
            <v>111</v>
          </cell>
          <cell r="ED13">
            <v>166</v>
          </cell>
          <cell r="EF13">
            <v>128</v>
          </cell>
          <cell r="EG13">
            <v>215</v>
          </cell>
          <cell r="EH13">
            <v>343</v>
          </cell>
          <cell r="EJ13">
            <v>1830</v>
          </cell>
          <cell r="EK13">
            <v>1226</v>
          </cell>
          <cell r="EL13">
            <v>3056</v>
          </cell>
        </row>
        <row r="14">
          <cell r="BZ14" t="str">
            <v xml:space="preserve"> 2Q</v>
          </cell>
          <cell r="CA14">
            <v>73</v>
          </cell>
          <cell r="CB14">
            <v>11</v>
          </cell>
          <cell r="CC14">
            <v>84</v>
          </cell>
          <cell r="CD14">
            <v>62</v>
          </cell>
          <cell r="CE14">
            <v>9</v>
          </cell>
          <cell r="CF14">
            <v>71</v>
          </cell>
          <cell r="CG14">
            <v>67</v>
          </cell>
          <cell r="CH14">
            <v>21</v>
          </cell>
          <cell r="CJ14">
            <v>88</v>
          </cell>
          <cell r="CL14">
            <v>202</v>
          </cell>
          <cell r="CM14">
            <v>41</v>
          </cell>
          <cell r="CN14">
            <v>243</v>
          </cell>
          <cell r="CP14">
            <v>236</v>
          </cell>
          <cell r="CQ14">
            <v>2</v>
          </cell>
          <cell r="CR14">
            <v>238</v>
          </cell>
          <cell r="CY14">
            <v>64</v>
          </cell>
          <cell r="CZ14">
            <v>26</v>
          </cell>
          <cell r="DA14">
            <v>90</v>
          </cell>
          <cell r="DC14">
            <v>9</v>
          </cell>
          <cell r="DD14">
            <v>1</v>
          </cell>
          <cell r="DE14">
            <v>10</v>
          </cell>
          <cell r="DG14">
            <v>0</v>
          </cell>
          <cell r="DH14">
            <v>0</v>
          </cell>
          <cell r="DI14">
            <v>0</v>
          </cell>
          <cell r="DJ14">
            <v>46</v>
          </cell>
          <cell r="DL14">
            <v>281</v>
          </cell>
          <cell r="DO14" t="str">
            <v xml:space="preserve"> 2Q</v>
          </cell>
          <cell r="DR14">
            <v>327</v>
          </cell>
          <cell r="DT14">
            <v>1599</v>
          </cell>
          <cell r="DU14">
            <v>1092</v>
          </cell>
          <cell r="DV14">
            <v>2691</v>
          </cell>
          <cell r="DX14">
            <v>59</v>
          </cell>
          <cell r="DY14">
            <v>112</v>
          </cell>
          <cell r="DZ14">
            <v>171</v>
          </cell>
          <cell r="EB14">
            <v>26</v>
          </cell>
          <cell r="EC14">
            <v>99</v>
          </cell>
          <cell r="ED14">
            <v>125</v>
          </cell>
          <cell r="EF14">
            <v>85</v>
          </cell>
          <cell r="EG14">
            <v>211</v>
          </cell>
          <cell r="EH14">
            <v>296</v>
          </cell>
          <cell r="EJ14">
            <v>1684</v>
          </cell>
          <cell r="EK14">
            <v>1303</v>
          </cell>
          <cell r="EL14">
            <v>2987</v>
          </cell>
        </row>
        <row r="15">
          <cell r="BZ15" t="str">
            <v xml:space="preserve"> 3Q</v>
          </cell>
          <cell r="CA15">
            <v>129</v>
          </cell>
          <cell r="CB15">
            <v>9</v>
          </cell>
          <cell r="CC15">
            <v>138</v>
          </cell>
          <cell r="CD15">
            <v>52</v>
          </cell>
          <cell r="CE15">
            <v>9</v>
          </cell>
          <cell r="CF15">
            <v>61</v>
          </cell>
          <cell r="CG15">
            <v>50</v>
          </cell>
          <cell r="CH15">
            <v>21</v>
          </cell>
          <cell r="CJ15">
            <v>71</v>
          </cell>
          <cell r="CL15">
            <v>231</v>
          </cell>
          <cell r="CM15">
            <v>39</v>
          </cell>
          <cell r="CN15">
            <v>270</v>
          </cell>
          <cell r="CP15">
            <v>220</v>
          </cell>
          <cell r="CQ15">
            <v>2</v>
          </cell>
          <cell r="CR15">
            <v>222</v>
          </cell>
          <cell r="CY15">
            <v>52</v>
          </cell>
          <cell r="CZ15">
            <v>25</v>
          </cell>
          <cell r="DA15">
            <v>77</v>
          </cell>
          <cell r="DC15">
            <v>9</v>
          </cell>
          <cell r="DD15">
            <v>1</v>
          </cell>
          <cell r="DE15">
            <v>10</v>
          </cell>
          <cell r="DG15">
            <v>0</v>
          </cell>
          <cell r="DH15">
            <v>0</v>
          </cell>
          <cell r="DI15">
            <v>0</v>
          </cell>
          <cell r="DJ15">
            <v>33</v>
          </cell>
          <cell r="DL15">
            <v>286</v>
          </cell>
          <cell r="DO15" t="str">
            <v xml:space="preserve"> 3Q</v>
          </cell>
          <cell r="DR15">
            <v>319</v>
          </cell>
          <cell r="DT15">
            <v>1815</v>
          </cell>
          <cell r="DU15">
            <v>997</v>
          </cell>
          <cell r="DV15">
            <v>2812</v>
          </cell>
          <cell r="DX15">
            <v>67</v>
          </cell>
          <cell r="DY15">
            <v>95</v>
          </cell>
          <cell r="DZ15">
            <v>162</v>
          </cell>
          <cell r="EB15">
            <v>36</v>
          </cell>
          <cell r="EC15">
            <v>90</v>
          </cell>
          <cell r="ED15">
            <v>126</v>
          </cell>
          <cell r="EF15">
            <v>103</v>
          </cell>
          <cell r="EG15">
            <v>185</v>
          </cell>
          <cell r="EH15">
            <v>288</v>
          </cell>
          <cell r="EJ15">
            <v>1918</v>
          </cell>
          <cell r="EK15">
            <v>1182</v>
          </cell>
          <cell r="EL15">
            <v>3100</v>
          </cell>
        </row>
        <row r="16">
          <cell r="BZ16" t="str">
            <v xml:space="preserve"> 4Q </v>
          </cell>
          <cell r="CA16">
            <v>152</v>
          </cell>
          <cell r="CB16">
            <v>11</v>
          </cell>
          <cell r="CC16">
            <v>163</v>
          </cell>
          <cell r="CD16">
            <v>51</v>
          </cell>
          <cell r="CE16">
            <v>10</v>
          </cell>
          <cell r="CF16">
            <v>61</v>
          </cell>
          <cell r="CG16">
            <v>65</v>
          </cell>
          <cell r="CH16">
            <v>9</v>
          </cell>
          <cell r="CJ16">
            <v>74</v>
          </cell>
          <cell r="CL16">
            <v>268</v>
          </cell>
          <cell r="CM16">
            <v>30</v>
          </cell>
          <cell r="CN16">
            <v>298</v>
          </cell>
          <cell r="CP16">
            <v>219</v>
          </cell>
          <cell r="CQ16">
            <v>2</v>
          </cell>
          <cell r="CR16">
            <v>221</v>
          </cell>
          <cell r="CY16">
            <v>86</v>
          </cell>
          <cell r="CZ16">
            <v>25</v>
          </cell>
          <cell r="DA16">
            <v>111</v>
          </cell>
          <cell r="DC16">
            <v>10</v>
          </cell>
          <cell r="DD16">
            <v>2</v>
          </cell>
          <cell r="DE16">
            <v>12</v>
          </cell>
          <cell r="DG16">
            <v>0</v>
          </cell>
          <cell r="DH16">
            <v>0</v>
          </cell>
          <cell r="DI16">
            <v>0</v>
          </cell>
          <cell r="DJ16">
            <v>51</v>
          </cell>
          <cell r="DL16">
            <v>288</v>
          </cell>
          <cell r="DO16" t="str">
            <v xml:space="preserve"> 4Q </v>
          </cell>
          <cell r="DR16">
            <v>339</v>
          </cell>
          <cell r="DT16">
            <v>1897</v>
          </cell>
          <cell r="DU16">
            <v>1164</v>
          </cell>
          <cell r="DV16">
            <v>3061</v>
          </cell>
          <cell r="DX16">
            <v>76</v>
          </cell>
          <cell r="DY16">
            <v>163</v>
          </cell>
          <cell r="DZ16">
            <v>239</v>
          </cell>
          <cell r="EB16">
            <v>40</v>
          </cell>
          <cell r="EC16">
            <v>91</v>
          </cell>
          <cell r="ED16">
            <v>131</v>
          </cell>
          <cell r="EF16">
            <v>116</v>
          </cell>
          <cell r="EG16">
            <v>254</v>
          </cell>
          <cell r="EH16">
            <v>370</v>
          </cell>
          <cell r="EJ16">
            <v>2013</v>
          </cell>
          <cell r="EK16">
            <v>1418</v>
          </cell>
          <cell r="EL16">
            <v>3431</v>
          </cell>
        </row>
        <row r="18">
          <cell r="BZ18" t="str">
            <v>Year</v>
          </cell>
          <cell r="CA18">
            <v>489</v>
          </cell>
          <cell r="CB18">
            <v>41</v>
          </cell>
          <cell r="CC18">
            <v>530</v>
          </cell>
          <cell r="CD18">
            <v>221</v>
          </cell>
          <cell r="CE18">
            <v>36</v>
          </cell>
          <cell r="CF18">
            <v>257</v>
          </cell>
          <cell r="CG18">
            <v>229</v>
          </cell>
          <cell r="CH18">
            <v>72</v>
          </cell>
          <cell r="CJ18">
            <v>301</v>
          </cell>
          <cell r="CL18">
            <v>939</v>
          </cell>
          <cell r="CM18">
            <v>149</v>
          </cell>
          <cell r="CN18">
            <v>1088</v>
          </cell>
          <cell r="CP18">
            <v>855</v>
          </cell>
          <cell r="CQ18">
            <v>7</v>
          </cell>
          <cell r="CR18">
            <v>862</v>
          </cell>
          <cell r="CY18">
            <v>267</v>
          </cell>
          <cell r="CZ18">
            <v>102</v>
          </cell>
          <cell r="DA18">
            <v>369</v>
          </cell>
          <cell r="DC18">
            <v>37</v>
          </cell>
          <cell r="DD18">
            <v>4</v>
          </cell>
          <cell r="DE18">
            <v>41</v>
          </cell>
          <cell r="DG18">
            <v>0</v>
          </cell>
          <cell r="DH18">
            <v>0</v>
          </cell>
          <cell r="DI18">
            <v>0</v>
          </cell>
          <cell r="DJ18">
            <v>179</v>
          </cell>
          <cell r="DL18">
            <v>1100</v>
          </cell>
          <cell r="DO18" t="str">
            <v>Year</v>
          </cell>
          <cell r="DR18">
            <v>1279</v>
          </cell>
          <cell r="DT18">
            <v>7013</v>
          </cell>
          <cell r="DU18">
            <v>4264</v>
          </cell>
          <cell r="DV18">
            <v>11277</v>
          </cell>
          <cell r="DX18">
            <v>275</v>
          </cell>
          <cell r="DY18">
            <v>474</v>
          </cell>
          <cell r="DZ18">
            <v>749</v>
          </cell>
          <cell r="EB18">
            <v>157</v>
          </cell>
          <cell r="EC18">
            <v>391</v>
          </cell>
          <cell r="ED18">
            <v>548</v>
          </cell>
          <cell r="EF18">
            <v>432</v>
          </cell>
          <cell r="EG18">
            <v>865</v>
          </cell>
          <cell r="EH18">
            <v>1297</v>
          </cell>
          <cell r="EJ18">
            <v>7445</v>
          </cell>
          <cell r="EK18">
            <v>5129</v>
          </cell>
          <cell r="EL18">
            <v>12574</v>
          </cell>
        </row>
        <row r="20">
          <cell r="BZ20" t="str">
            <v>1999/98</v>
          </cell>
          <cell r="DO20" t="str">
            <v>1999/98</v>
          </cell>
        </row>
        <row r="21">
          <cell r="BZ21" t="str">
            <v xml:space="preserve"> 1Q</v>
          </cell>
          <cell r="CA21">
            <v>-9.6296296296296324E-2</v>
          </cell>
          <cell r="CB21">
            <v>-9.9999999999999978E-2</v>
          </cell>
          <cell r="CC21">
            <v>-9.6551724137931033E-2</v>
          </cell>
          <cell r="CD21">
            <v>-3.5714285714285698E-2</v>
          </cell>
          <cell r="CE21">
            <v>0.125</v>
          </cell>
          <cell r="CF21">
            <v>-1.5625E-2</v>
          </cell>
          <cell r="CG21">
            <v>8.5106382978723305E-2</v>
          </cell>
          <cell r="CH21">
            <v>-0.52380952380952384</v>
          </cell>
          <cell r="CJ21">
            <v>-0.10294117647058823</v>
          </cell>
          <cell r="CL21">
            <v>-4.621848739495793E-2</v>
          </cell>
          <cell r="CM21">
            <v>-0.28205128205128205</v>
          </cell>
          <cell r="CN21">
            <v>-7.9422382671480149E-2</v>
          </cell>
          <cell r="CP21">
            <v>0.55000000000000004</v>
          </cell>
          <cell r="CQ21">
            <v>2</v>
          </cell>
          <cell r="CR21">
            <v>0.55801104972375692</v>
          </cell>
          <cell r="CY21">
            <v>-7.6923076923076872E-2</v>
          </cell>
          <cell r="CZ21">
            <v>-0.11538461538461542</v>
          </cell>
          <cell r="DA21">
            <v>-8.7912087912087919E-2</v>
          </cell>
          <cell r="DC21">
            <v>-0.11111111111111116</v>
          </cell>
          <cell r="DD21" t="str">
            <v>NM</v>
          </cell>
          <cell r="DE21">
            <v>-0.1111111111111111</v>
          </cell>
          <cell r="DG21" t="str">
            <v>NM</v>
          </cell>
          <cell r="DH21" t="str">
            <v>NM</v>
          </cell>
          <cell r="DI21" t="str">
            <v>NM</v>
          </cell>
          <cell r="DJ21">
            <v>0</v>
          </cell>
          <cell r="DL21">
            <v>-0.83265306122448979</v>
          </cell>
          <cell r="DO21" t="str">
            <v xml:space="preserve"> 1Q</v>
          </cell>
          <cell r="DR21">
            <v>-0.69387755102040816</v>
          </cell>
          <cell r="DT21">
            <v>0.19682726204465334</v>
          </cell>
          <cell r="DU21">
            <v>4.4510385756676561E-2</v>
          </cell>
          <cell r="DV21">
            <v>0.14006634721710284</v>
          </cell>
          <cell r="DX21">
            <v>-0.1095890410958904</v>
          </cell>
          <cell r="DY21">
            <v>0.48076923076923078</v>
          </cell>
          <cell r="DZ21">
            <v>0.23728813559322035</v>
          </cell>
          <cell r="EB21">
            <v>-0.29090909090909089</v>
          </cell>
          <cell r="EC21">
            <v>-0.27927927927927926</v>
          </cell>
          <cell r="ED21">
            <v>-0.28313253012048195</v>
          </cell>
          <cell r="EF21">
            <v>-0.1875</v>
          </cell>
          <cell r="EG21">
            <v>8.8372093023255813E-2</v>
          </cell>
          <cell r="EH21">
            <v>-1.4577259475218658E-2</v>
          </cell>
          <cell r="EJ21">
            <v>0.16994535519125684</v>
          </cell>
          <cell r="EK21">
            <v>5.2202283849918436E-2</v>
          </cell>
          <cell r="EL21">
            <v>0.12270942408376963</v>
          </cell>
        </row>
        <row r="22">
          <cell r="BZ22" t="str">
            <v xml:space="preserve"> 2Q</v>
          </cell>
          <cell r="CA22">
            <v>0.68493150684931514</v>
          </cell>
          <cell r="CB22">
            <v>-0.18181818181818177</v>
          </cell>
          <cell r="CC22">
            <v>0.5714285714285714</v>
          </cell>
          <cell r="CD22">
            <v>0.20967741935483875</v>
          </cell>
          <cell r="CE22">
            <v>0</v>
          </cell>
          <cell r="CF22">
            <v>0.18309859154929578</v>
          </cell>
          <cell r="CG22">
            <v>-1.4925373134328401E-2</v>
          </cell>
          <cell r="CH22">
            <v>-0.4285714285714286</v>
          </cell>
          <cell r="CJ22">
            <v>-0.11363636363636363</v>
          </cell>
          <cell r="CL22">
            <v>0.30693069306930698</v>
          </cell>
          <cell r="CM22">
            <v>-0.26829268292682928</v>
          </cell>
          <cell r="CN22">
            <v>0.20987654320987653</v>
          </cell>
          <cell r="CP22">
            <v>0.47033898305084754</v>
          </cell>
          <cell r="CQ22">
            <v>0.5</v>
          </cell>
          <cell r="CR22">
            <v>0.47058823529411764</v>
          </cell>
          <cell r="CY22">
            <v>0.28125</v>
          </cell>
          <cell r="CZ22">
            <v>-0.23076923076923073</v>
          </cell>
          <cell r="DA22">
            <v>0.13333333333333333</v>
          </cell>
          <cell r="DC22">
            <v>0.22222222222222232</v>
          </cell>
          <cell r="DD22">
            <v>1</v>
          </cell>
          <cell r="DE22">
            <v>0.3</v>
          </cell>
          <cell r="DG22" t="str">
            <v>NM</v>
          </cell>
          <cell r="DH22" t="str">
            <v>NM</v>
          </cell>
          <cell r="DI22" t="str">
            <v>NM</v>
          </cell>
          <cell r="DJ22">
            <v>0</v>
          </cell>
          <cell r="DL22">
            <v>-0.83274021352313166</v>
          </cell>
          <cell r="DO22" t="str">
            <v xml:space="preserve"> 2Q</v>
          </cell>
          <cell r="DR22">
            <v>-0.7155963302752294</v>
          </cell>
          <cell r="DT22">
            <v>0.28517823639774859</v>
          </cell>
          <cell r="DU22">
            <v>5.4945054945054949E-3</v>
          </cell>
          <cell r="DV22">
            <v>0.17168338907469341</v>
          </cell>
          <cell r="DX22">
            <v>0</v>
          </cell>
          <cell r="DY22">
            <v>0.16071428571428573</v>
          </cell>
          <cell r="DZ22">
            <v>0.10526315789473684</v>
          </cell>
          <cell r="EB22">
            <v>0.26923076923076922</v>
          </cell>
          <cell r="EC22">
            <v>-0.39393939393939392</v>
          </cell>
          <cell r="ED22">
            <v>-0.25600000000000001</v>
          </cell>
          <cell r="EF22">
            <v>8.2352941176470587E-2</v>
          </cell>
          <cell r="EG22">
            <v>-9.9526066350710901E-2</v>
          </cell>
          <cell r="EH22">
            <v>-4.72972972972973E-2</v>
          </cell>
          <cell r="EJ22">
            <v>0.27494061757719718</v>
          </cell>
          <cell r="EK22">
            <v>-1.1511895625479662E-2</v>
          </cell>
          <cell r="EL22">
            <v>0.14998326079678606</v>
          </cell>
        </row>
        <row r="23">
          <cell r="BZ23" t="str">
            <v xml:space="preserve"> 3Q</v>
          </cell>
          <cell r="CA23">
            <v>0.13178294573643412</v>
          </cell>
          <cell r="CB23">
            <v>0</v>
          </cell>
          <cell r="CC23">
            <v>0.12318840579710146</v>
          </cell>
          <cell r="CD23">
            <v>0.48076923076923084</v>
          </cell>
          <cell r="CE23">
            <v>0</v>
          </cell>
          <cell r="CF23">
            <v>0.4098360655737705</v>
          </cell>
          <cell r="CG23">
            <v>0</v>
          </cell>
          <cell r="CH23">
            <v>-0.47619047619047616</v>
          </cell>
          <cell r="CJ23">
            <v>-0.14084507042253522</v>
          </cell>
          <cell r="CL23">
            <v>0.18181818181818188</v>
          </cell>
          <cell r="CM23">
            <v>-0.25641025641025639</v>
          </cell>
          <cell r="CN23">
            <v>0.11851851851851852</v>
          </cell>
          <cell r="CP23">
            <v>0.56363636363636371</v>
          </cell>
          <cell r="CQ23">
            <v>1.5</v>
          </cell>
          <cell r="CR23">
            <v>0.57207207207207211</v>
          </cell>
          <cell r="CY23">
            <v>0.26923076923076916</v>
          </cell>
          <cell r="CZ23">
            <v>-7.999999999999996E-2</v>
          </cell>
          <cell r="DA23">
            <v>0.15584415584415584</v>
          </cell>
          <cell r="DC23">
            <v>0.33333333333333326</v>
          </cell>
          <cell r="DD23">
            <v>0</v>
          </cell>
          <cell r="DE23">
            <v>0.3</v>
          </cell>
          <cell r="DG23" t="str">
            <v>NM</v>
          </cell>
          <cell r="DH23" t="str">
            <v>NM</v>
          </cell>
          <cell r="DI23" t="str">
            <v>NM</v>
          </cell>
          <cell r="DJ23">
            <v>6.0606060606060608E-2</v>
          </cell>
          <cell r="DL23">
            <v>-0.71678321678321677</v>
          </cell>
          <cell r="DO23" t="str">
            <v xml:space="preserve"> 3Q</v>
          </cell>
          <cell r="DR23">
            <v>-0.63636363636363635</v>
          </cell>
          <cell r="DT23">
            <v>0.21707988980716253</v>
          </cell>
          <cell r="DU23">
            <v>2.2066198595787363E-2</v>
          </cell>
          <cell r="DV23">
            <v>0.14793741109530584</v>
          </cell>
          <cell r="DX23">
            <v>4.4776119402985072E-2</v>
          </cell>
          <cell r="DY23">
            <v>0.41052631578947368</v>
          </cell>
          <cell r="DZ23">
            <v>0.25925925925925924</v>
          </cell>
          <cell r="EB23">
            <v>0.1111111111111111</v>
          </cell>
          <cell r="EC23">
            <v>-0.15555555555555556</v>
          </cell>
          <cell r="ED23">
            <v>-7.9365079365079361E-2</v>
          </cell>
          <cell r="EF23">
            <v>6.7961165048543687E-2</v>
          </cell>
          <cell r="EG23">
            <v>0.13513513513513514</v>
          </cell>
          <cell r="EH23">
            <v>0.1111111111111111</v>
          </cell>
          <cell r="EJ23">
            <v>0.20907194994786235</v>
          </cell>
          <cell r="EK23">
            <v>3.976311336717428E-2</v>
          </cell>
          <cell r="EL23">
            <v>0.14451612903225808</v>
          </cell>
        </row>
        <row r="24">
          <cell r="BZ24" t="str">
            <v xml:space="preserve"> 4Q </v>
          </cell>
          <cell r="CA24">
            <v>0.16447368421052633</v>
          </cell>
          <cell r="CB24">
            <v>-9.0909090909090939E-2</v>
          </cell>
          <cell r="CC24">
            <v>0.14723926380368099</v>
          </cell>
          <cell r="CD24">
            <v>0.74509803921568629</v>
          </cell>
          <cell r="CE24">
            <v>0</v>
          </cell>
          <cell r="CF24">
            <v>0.62295081967213117</v>
          </cell>
          <cell r="CG24">
            <v>-3.0769230769230771E-2</v>
          </cell>
          <cell r="CH24">
            <v>0.33333333333333326</v>
          </cell>
          <cell r="CJ24">
            <v>1.3513513513513514E-2</v>
          </cell>
          <cell r="CL24">
            <v>0.22761194029850751</v>
          </cell>
          <cell r="CM24">
            <v>6.6666666666666652E-2</v>
          </cell>
          <cell r="CN24">
            <v>0.21140939597315436</v>
          </cell>
          <cell r="CP24">
            <v>0.51598173515981727</v>
          </cell>
          <cell r="CQ24">
            <v>1</v>
          </cell>
          <cell r="CR24">
            <v>0.52036199095022628</v>
          </cell>
          <cell r="CY24">
            <v>0</v>
          </cell>
          <cell r="CZ24">
            <v>0</v>
          </cell>
          <cell r="DA24">
            <v>0</v>
          </cell>
          <cell r="DC24">
            <v>0</v>
          </cell>
          <cell r="DD24">
            <v>0</v>
          </cell>
          <cell r="DE24">
            <v>0</v>
          </cell>
          <cell r="DG24" t="str">
            <v>NM</v>
          </cell>
          <cell r="DH24" t="str">
            <v>NM</v>
          </cell>
          <cell r="DI24" t="str">
            <v>NM</v>
          </cell>
          <cell r="DJ24">
            <v>-0.11764705882352941</v>
          </cell>
          <cell r="DL24">
            <v>-0.70486111111111116</v>
          </cell>
          <cell r="DO24" t="str">
            <v xml:space="preserve"> 4Q </v>
          </cell>
          <cell r="DR24">
            <v>-0.74926253687315636</v>
          </cell>
          <cell r="DT24">
            <v>0.22509225092250923</v>
          </cell>
          <cell r="DU24">
            <v>1.804123711340206E-2</v>
          </cell>
          <cell r="DV24">
            <v>0.14635739954263313</v>
          </cell>
          <cell r="DX24">
            <v>0</v>
          </cell>
          <cell r="DY24">
            <v>9.202453987730061E-2</v>
          </cell>
          <cell r="DZ24">
            <v>6.2761506276150625E-2</v>
          </cell>
          <cell r="EB24">
            <v>0.15</v>
          </cell>
          <cell r="EC24">
            <v>-5.4945054945054944E-2</v>
          </cell>
          <cell r="ED24">
            <v>7.6335877862595417E-3</v>
          </cell>
          <cell r="EF24">
            <v>5.1724137931034482E-2</v>
          </cell>
          <cell r="EG24">
            <v>3.937007874015748E-2</v>
          </cell>
          <cell r="EH24">
            <v>4.3243243243243246E-2</v>
          </cell>
          <cell r="EJ24">
            <v>0.21510183805265773</v>
          </cell>
          <cell r="EK24">
            <v>2.1861777150916785E-2</v>
          </cell>
          <cell r="EL24">
            <v>0.13523754007577965</v>
          </cell>
        </row>
        <row r="26">
          <cell r="BZ26" t="str">
            <v>Year</v>
          </cell>
          <cell r="CA26">
            <v>0.16155419222903888</v>
          </cell>
          <cell r="CB26">
            <v>-9.7560975609756073E-2</v>
          </cell>
          <cell r="CC26">
            <v>0.14150943396226415</v>
          </cell>
          <cell r="CD26">
            <v>0.33484162895927594</v>
          </cell>
          <cell r="CE26">
            <v>2.7777777777777679E-2</v>
          </cell>
          <cell r="CF26">
            <v>0.29182879377431908</v>
          </cell>
          <cell r="CG26">
            <v>4.366812227074135E-3</v>
          </cell>
          <cell r="CH26">
            <v>-0.375</v>
          </cell>
          <cell r="CJ26">
            <v>-8.6378737541528236E-2</v>
          </cell>
          <cell r="CL26">
            <v>0.16400425985090528</v>
          </cell>
          <cell r="CM26">
            <v>-0.20134228187919467</v>
          </cell>
          <cell r="CN26">
            <v>0.11397058823529412</v>
          </cell>
          <cell r="CP26">
            <v>0.52280701754385972</v>
          </cell>
          <cell r="CQ26">
            <v>1.1428571428571428</v>
          </cell>
          <cell r="CR26">
            <v>0.52784222737819031</v>
          </cell>
          <cell r="CY26">
            <v>0.101123595505618</v>
          </cell>
          <cell r="CZ26">
            <v>-0.10784313725490191</v>
          </cell>
          <cell r="DA26">
            <v>4.3360433604336043E-2</v>
          </cell>
          <cell r="DC26">
            <v>0.10810810810810811</v>
          </cell>
          <cell r="DD26">
            <v>0.25</v>
          </cell>
          <cell r="DE26">
            <v>0.12195121951219512</v>
          </cell>
          <cell r="DG26" t="str">
            <v>NM</v>
          </cell>
          <cell r="DH26" t="str">
            <v>NM</v>
          </cell>
          <cell r="DI26" t="str">
            <v>NM</v>
          </cell>
          <cell r="DJ26">
            <v>-2.23463687150838E-2</v>
          </cell>
          <cell r="DL26">
            <v>-0.76909090909090905</v>
          </cell>
          <cell r="DO26" t="str">
            <v>Year</v>
          </cell>
          <cell r="DR26">
            <v>-0.69976544175136823</v>
          </cell>
          <cell r="DT26">
            <v>0.22985883359475259</v>
          </cell>
          <cell r="DU26">
            <v>2.2045028142589119E-2</v>
          </cell>
          <cell r="DV26">
            <v>0.15128136915846413</v>
          </cell>
          <cell r="DX26">
            <v>-1.8181818181818181E-2</v>
          </cell>
          <cell r="DY26">
            <v>0.25738396624472576</v>
          </cell>
          <cell r="DZ26">
            <v>0.15620827770360482</v>
          </cell>
          <cell r="EB26">
            <v>6.369426751592357E-3</v>
          </cell>
          <cell r="EC26">
            <v>-0.22762148337595908</v>
          </cell>
          <cell r="ED26">
            <v>-0.16058394160583941</v>
          </cell>
          <cell r="EF26">
            <v>-9.2592592592592587E-3</v>
          </cell>
          <cell r="EG26">
            <v>3.8150289017341042E-2</v>
          </cell>
          <cell r="EH26">
            <v>2.2359290670778721E-2</v>
          </cell>
          <cell r="EJ26">
            <v>0.21598388179986569</v>
          </cell>
          <cell r="EK26">
            <v>2.4761162019886918E-2</v>
          </cell>
          <cell r="EL26">
            <v>0.13798313981231111</v>
          </cell>
        </row>
        <row r="28">
          <cell r="BZ28">
            <v>1999</v>
          </cell>
          <cell r="DO28">
            <v>1999</v>
          </cell>
        </row>
        <row r="29">
          <cell r="BZ29" t="str">
            <v xml:space="preserve"> 1Q</v>
          </cell>
          <cell r="CA29">
            <v>122</v>
          </cell>
          <cell r="CB29">
            <v>9</v>
          </cell>
          <cell r="CC29">
            <v>131</v>
          </cell>
          <cell r="CD29">
            <v>54</v>
          </cell>
          <cell r="CE29">
            <v>9</v>
          </cell>
          <cell r="CF29">
            <v>63</v>
          </cell>
          <cell r="CG29">
            <v>51</v>
          </cell>
          <cell r="CH29">
            <v>10</v>
          </cell>
          <cell r="CJ29">
            <v>61</v>
          </cell>
          <cell r="CL29">
            <v>227</v>
          </cell>
          <cell r="CM29">
            <v>28</v>
          </cell>
          <cell r="CN29">
            <v>255</v>
          </cell>
          <cell r="CP29">
            <v>279</v>
          </cell>
          <cell r="CQ29">
            <v>3</v>
          </cell>
          <cell r="CR29">
            <v>282</v>
          </cell>
          <cell r="CT29">
            <v>279</v>
          </cell>
          <cell r="CU29">
            <v>3</v>
          </cell>
          <cell r="CW29">
            <v>282</v>
          </cell>
          <cell r="CY29">
            <v>60</v>
          </cell>
          <cell r="CZ29">
            <v>23</v>
          </cell>
          <cell r="DA29">
            <v>83</v>
          </cell>
          <cell r="DC29">
            <v>8</v>
          </cell>
          <cell r="DD29">
            <v>0</v>
          </cell>
          <cell r="DE29">
            <v>8</v>
          </cell>
          <cell r="DJ29">
            <v>49</v>
          </cell>
          <cell r="DL29">
            <v>41</v>
          </cell>
          <cell r="DO29" t="str">
            <v xml:space="preserve"> 1Q</v>
          </cell>
          <cell r="DR29">
            <v>90</v>
          </cell>
          <cell r="DT29">
            <v>2037</v>
          </cell>
          <cell r="DU29">
            <v>1056</v>
          </cell>
          <cell r="DV29">
            <v>3093</v>
          </cell>
          <cell r="DX29">
            <v>65</v>
          </cell>
          <cell r="DY29">
            <v>154</v>
          </cell>
          <cell r="DZ29">
            <v>219</v>
          </cell>
          <cell r="EB29">
            <v>39</v>
          </cell>
          <cell r="EC29">
            <v>80</v>
          </cell>
          <cell r="ED29">
            <v>119</v>
          </cell>
          <cell r="EF29">
            <v>104</v>
          </cell>
          <cell r="EG29">
            <v>234</v>
          </cell>
          <cell r="EH29">
            <v>338</v>
          </cell>
          <cell r="EJ29">
            <v>2141</v>
          </cell>
          <cell r="EK29">
            <v>1290</v>
          </cell>
          <cell r="EL29">
            <v>3431</v>
          </cell>
        </row>
        <row r="30">
          <cell r="BZ30" t="str">
            <v xml:space="preserve"> 2Q</v>
          </cell>
          <cell r="CA30">
            <v>123</v>
          </cell>
          <cell r="CB30">
            <v>9</v>
          </cell>
          <cell r="CC30">
            <v>132</v>
          </cell>
          <cell r="CD30">
            <v>75</v>
          </cell>
          <cell r="CE30">
            <v>9</v>
          </cell>
          <cell r="CF30">
            <v>84</v>
          </cell>
          <cell r="CG30">
            <v>66</v>
          </cell>
          <cell r="CH30">
            <v>12</v>
          </cell>
          <cell r="CJ30">
            <v>78</v>
          </cell>
          <cell r="CL30">
            <v>264</v>
          </cell>
          <cell r="CM30">
            <v>30</v>
          </cell>
          <cell r="CN30">
            <v>294</v>
          </cell>
          <cell r="CP30">
            <v>347</v>
          </cell>
          <cell r="CQ30">
            <v>3</v>
          </cell>
          <cell r="CR30">
            <v>350</v>
          </cell>
          <cell r="CT30">
            <v>347</v>
          </cell>
          <cell r="CU30">
            <v>3</v>
          </cell>
          <cell r="CW30">
            <v>350</v>
          </cell>
          <cell r="CY30">
            <v>82</v>
          </cell>
          <cell r="CZ30">
            <v>20</v>
          </cell>
          <cell r="DA30">
            <v>102</v>
          </cell>
          <cell r="DC30">
            <v>11</v>
          </cell>
          <cell r="DD30">
            <v>2</v>
          </cell>
          <cell r="DE30">
            <v>13</v>
          </cell>
          <cell r="DJ30">
            <v>46</v>
          </cell>
          <cell r="DL30">
            <v>47</v>
          </cell>
          <cell r="DO30" t="str">
            <v xml:space="preserve"> 2Q</v>
          </cell>
          <cell r="DR30">
            <v>93</v>
          </cell>
          <cell r="DT30">
            <v>2055</v>
          </cell>
          <cell r="DU30">
            <v>1098</v>
          </cell>
          <cell r="DV30">
            <v>3153</v>
          </cell>
          <cell r="DX30">
            <v>59</v>
          </cell>
          <cell r="DY30">
            <v>130</v>
          </cell>
          <cell r="DZ30">
            <v>189</v>
          </cell>
          <cell r="EB30">
            <v>33</v>
          </cell>
          <cell r="EC30">
            <v>60</v>
          </cell>
          <cell r="ED30">
            <v>93</v>
          </cell>
          <cell r="EF30">
            <v>92</v>
          </cell>
          <cell r="EG30">
            <v>190</v>
          </cell>
          <cell r="EH30">
            <v>282</v>
          </cell>
          <cell r="EJ30">
            <v>2147</v>
          </cell>
          <cell r="EK30">
            <v>1288</v>
          </cell>
          <cell r="EL30">
            <v>3435</v>
          </cell>
        </row>
        <row r="31">
          <cell r="BZ31" t="str">
            <v xml:space="preserve"> 3Q</v>
          </cell>
          <cell r="CA31">
            <v>146</v>
          </cell>
          <cell r="CB31">
            <v>9</v>
          </cell>
          <cell r="CC31">
            <v>155</v>
          </cell>
          <cell r="CD31">
            <v>77</v>
          </cell>
          <cell r="CE31">
            <v>9</v>
          </cell>
          <cell r="CF31">
            <v>86</v>
          </cell>
          <cell r="CG31">
            <v>50</v>
          </cell>
          <cell r="CH31">
            <v>11</v>
          </cell>
          <cell r="CJ31">
            <v>61</v>
          </cell>
          <cell r="CL31">
            <v>273</v>
          </cell>
          <cell r="CM31">
            <v>29</v>
          </cell>
          <cell r="CN31">
            <v>302</v>
          </cell>
          <cell r="CP31">
            <v>344</v>
          </cell>
          <cell r="CQ31">
            <v>5</v>
          </cell>
          <cell r="CR31">
            <v>349</v>
          </cell>
          <cell r="CT31">
            <v>344</v>
          </cell>
          <cell r="CU31">
            <v>5</v>
          </cell>
          <cell r="CW31">
            <v>349</v>
          </cell>
          <cell r="CY31">
            <v>66</v>
          </cell>
          <cell r="CZ31">
            <v>23</v>
          </cell>
          <cell r="DA31">
            <v>89</v>
          </cell>
          <cell r="DC31">
            <v>12</v>
          </cell>
          <cell r="DD31">
            <v>1</v>
          </cell>
          <cell r="DE31">
            <v>13</v>
          </cell>
          <cell r="DJ31">
            <v>35</v>
          </cell>
          <cell r="DL31">
            <v>81</v>
          </cell>
          <cell r="DO31" t="str">
            <v xml:space="preserve"> 3Q</v>
          </cell>
          <cell r="DR31">
            <v>116</v>
          </cell>
          <cell r="DT31">
            <v>2209</v>
          </cell>
          <cell r="DU31">
            <v>1019</v>
          </cell>
          <cell r="DV31">
            <v>3228</v>
          </cell>
          <cell r="DX31">
            <v>70</v>
          </cell>
          <cell r="DY31">
            <v>134</v>
          </cell>
          <cell r="DZ31">
            <v>204</v>
          </cell>
          <cell r="EB31">
            <v>40</v>
          </cell>
          <cell r="EC31">
            <v>76</v>
          </cell>
          <cell r="ED31">
            <v>116</v>
          </cell>
          <cell r="EF31">
            <v>110</v>
          </cell>
          <cell r="EG31">
            <v>210</v>
          </cell>
          <cell r="EH31">
            <v>320</v>
          </cell>
          <cell r="EJ31">
            <v>2319</v>
          </cell>
          <cell r="EK31">
            <v>1229</v>
          </cell>
          <cell r="EL31">
            <v>3548</v>
          </cell>
        </row>
        <row r="32">
          <cell r="BZ32" t="str">
            <v xml:space="preserve"> 4Q </v>
          </cell>
          <cell r="CA32">
            <v>177</v>
          </cell>
          <cell r="CB32">
            <v>10</v>
          </cell>
          <cell r="CC32">
            <v>187</v>
          </cell>
          <cell r="CD32">
            <v>89</v>
          </cell>
          <cell r="CE32">
            <v>10</v>
          </cell>
          <cell r="CF32">
            <v>99</v>
          </cell>
          <cell r="CG32">
            <v>63</v>
          </cell>
          <cell r="CH32">
            <v>12</v>
          </cell>
          <cell r="CJ32">
            <v>75</v>
          </cell>
          <cell r="CL32">
            <v>329</v>
          </cell>
          <cell r="CM32">
            <v>32</v>
          </cell>
          <cell r="CN32">
            <v>361</v>
          </cell>
          <cell r="CP32">
            <v>332</v>
          </cell>
          <cell r="CQ32">
            <v>4</v>
          </cell>
          <cell r="CR32">
            <v>336</v>
          </cell>
          <cell r="CT32">
            <v>332</v>
          </cell>
          <cell r="CU32">
            <v>4</v>
          </cell>
          <cell r="CW32">
            <v>336</v>
          </cell>
          <cell r="CY32">
            <v>86</v>
          </cell>
          <cell r="CZ32">
            <v>25</v>
          </cell>
          <cell r="DA32">
            <v>111</v>
          </cell>
          <cell r="DC32">
            <v>10</v>
          </cell>
          <cell r="DD32">
            <v>2</v>
          </cell>
          <cell r="DE32">
            <v>12</v>
          </cell>
          <cell r="DJ32">
            <v>45</v>
          </cell>
          <cell r="DL32">
            <v>85</v>
          </cell>
          <cell r="DO32" t="str">
            <v xml:space="preserve"> 4Q </v>
          </cell>
          <cell r="DR32">
            <v>85</v>
          </cell>
          <cell r="DT32">
            <v>2324</v>
          </cell>
          <cell r="DU32">
            <v>1185</v>
          </cell>
          <cell r="DV32">
            <v>3509</v>
          </cell>
          <cell r="DX32">
            <v>76</v>
          </cell>
          <cell r="DY32">
            <v>178</v>
          </cell>
          <cell r="DZ32">
            <v>254</v>
          </cell>
          <cell r="EB32">
            <v>46</v>
          </cell>
          <cell r="EC32">
            <v>86</v>
          </cell>
          <cell r="ED32">
            <v>132</v>
          </cell>
          <cell r="EF32">
            <v>122</v>
          </cell>
          <cell r="EG32">
            <v>264</v>
          </cell>
          <cell r="EH32">
            <v>386</v>
          </cell>
          <cell r="EJ32">
            <v>2446</v>
          </cell>
          <cell r="EK32">
            <v>1449</v>
          </cell>
          <cell r="EL32">
            <v>3895</v>
          </cell>
        </row>
        <row r="34">
          <cell r="BZ34" t="str">
            <v>Year</v>
          </cell>
          <cell r="CA34">
            <v>568</v>
          </cell>
          <cell r="CB34">
            <v>37</v>
          </cell>
          <cell r="CC34">
            <v>605</v>
          </cell>
          <cell r="CD34">
            <v>295</v>
          </cell>
          <cell r="CE34">
            <v>37</v>
          </cell>
          <cell r="CF34">
            <v>332</v>
          </cell>
          <cell r="CG34">
            <v>230</v>
          </cell>
          <cell r="CH34">
            <v>45</v>
          </cell>
          <cell r="CJ34">
            <v>275</v>
          </cell>
          <cell r="CL34">
            <v>1093</v>
          </cell>
          <cell r="CM34">
            <v>119</v>
          </cell>
          <cell r="CN34">
            <v>1212</v>
          </cell>
          <cell r="CP34">
            <v>1302</v>
          </cell>
          <cell r="CQ34">
            <v>15</v>
          </cell>
          <cell r="CR34">
            <v>1317</v>
          </cell>
          <cell r="CT34">
            <v>1302</v>
          </cell>
          <cell r="CU34">
            <v>15</v>
          </cell>
          <cell r="CW34">
            <v>1317</v>
          </cell>
          <cell r="CY34">
            <v>294</v>
          </cell>
          <cell r="CZ34">
            <v>91</v>
          </cell>
          <cell r="DA34">
            <v>385</v>
          </cell>
          <cell r="DC34">
            <v>41</v>
          </cell>
          <cell r="DD34">
            <v>5</v>
          </cell>
          <cell r="DE34">
            <v>46</v>
          </cell>
          <cell r="DJ34">
            <v>175</v>
          </cell>
          <cell r="DL34">
            <v>254</v>
          </cell>
          <cell r="DO34" t="str">
            <v>Year</v>
          </cell>
          <cell r="DR34">
            <v>384</v>
          </cell>
          <cell r="DT34">
            <v>8625</v>
          </cell>
          <cell r="DU34">
            <v>4358</v>
          </cell>
          <cell r="DV34">
            <v>12983</v>
          </cell>
          <cell r="DX34">
            <v>270</v>
          </cell>
          <cell r="DY34">
            <v>596</v>
          </cell>
          <cell r="DZ34">
            <v>866</v>
          </cell>
          <cell r="EB34">
            <v>158</v>
          </cell>
          <cell r="EC34">
            <v>302</v>
          </cell>
          <cell r="ED34">
            <v>460</v>
          </cell>
          <cell r="EF34">
            <v>428</v>
          </cell>
          <cell r="EG34">
            <v>898</v>
          </cell>
          <cell r="EH34">
            <v>1326</v>
          </cell>
          <cell r="EJ34">
            <v>9053</v>
          </cell>
          <cell r="EK34">
            <v>5256</v>
          </cell>
          <cell r="EL34">
            <v>14309</v>
          </cell>
        </row>
        <row r="36">
          <cell r="BZ36" t="str">
            <v>2000E/99</v>
          </cell>
          <cell r="DO36" t="str">
            <v>2000E/99</v>
          </cell>
        </row>
        <row r="37">
          <cell r="BZ37" t="str">
            <v>1QA</v>
          </cell>
          <cell r="CA37">
            <v>0.27049180327868849</v>
          </cell>
          <cell r="CB37">
            <v>-0.11111111111111116</v>
          </cell>
          <cell r="CC37">
            <v>0.24427480916030531</v>
          </cell>
          <cell r="CD37">
            <v>0.44444444444444442</v>
          </cell>
          <cell r="CE37">
            <v>0</v>
          </cell>
          <cell r="CF37">
            <v>0.38095238095238093</v>
          </cell>
          <cell r="CG37">
            <v>-0.25490196078431371</v>
          </cell>
          <cell r="CH37">
            <v>-9.9999999999999978E-2</v>
          </cell>
          <cell r="CJ37">
            <v>-0.22950819672131151</v>
          </cell>
          <cell r="CL37">
            <v>0.19383259911894268</v>
          </cell>
          <cell r="CM37">
            <v>-7.1428571428571397E-2</v>
          </cell>
          <cell r="CN37">
            <v>0.16470588235294126</v>
          </cell>
          <cell r="CP37">
            <v>0.51254480286738358</v>
          </cell>
          <cell r="CQ37">
            <v>0.33333333333333326</v>
          </cell>
          <cell r="CR37">
            <v>0.5106382978723405</v>
          </cell>
          <cell r="CW37">
            <v>0.5106382978723405</v>
          </cell>
          <cell r="CY37">
            <v>0</v>
          </cell>
          <cell r="CZ37">
            <v>-0.13043478260869568</v>
          </cell>
          <cell r="DA37">
            <v>-3.6144578313253017E-2</v>
          </cell>
          <cell r="DC37">
            <v>0.125</v>
          </cell>
          <cell r="DE37">
            <v>0.125</v>
          </cell>
          <cell r="DJ37">
            <v>-4.081632653061229E-2</v>
          </cell>
          <cell r="DL37">
            <v>0.43902439024390238</v>
          </cell>
          <cell r="DO37" t="str">
            <v>1QA</v>
          </cell>
          <cell r="DR37">
            <v>0.17777777777777781</v>
          </cell>
          <cell r="DT37">
            <v>0.19931271477663226</v>
          </cell>
          <cell r="DU37">
            <v>-4.4507575757575801E-2</v>
          </cell>
          <cell r="DV37">
            <v>0.11606854186873594</v>
          </cell>
          <cell r="DX37">
            <v>4.6153846153846212E-2</v>
          </cell>
          <cell r="DY37">
            <v>-6.4935064935064402E-3</v>
          </cell>
          <cell r="DZ37">
            <v>9.1324200913243114E-3</v>
          </cell>
          <cell r="EB37">
            <v>-2.5641025641025661E-2</v>
          </cell>
          <cell r="EC37">
            <v>-9.9999999999999978E-2</v>
          </cell>
          <cell r="ED37">
            <v>-7.5630252100840289E-2</v>
          </cell>
          <cell r="EF37">
            <v>1.9230769230769162E-2</v>
          </cell>
          <cell r="EG37">
            <v>-3.8461538461538436E-2</v>
          </cell>
          <cell r="EH37">
            <v>-2.0710059171597628E-2</v>
          </cell>
          <cell r="EJ37">
            <v>0.19056515646893968</v>
          </cell>
          <cell r="EK37">
            <v>-4.3410852713178349E-2</v>
          </cell>
          <cell r="EL37">
            <v>0.10259399591955698</v>
          </cell>
        </row>
        <row r="38">
          <cell r="BZ38" t="str">
            <v>2QA</v>
          </cell>
          <cell r="CA38">
            <v>0.51219512195121952</v>
          </cell>
          <cell r="CB38">
            <v>-0.11111111111111116</v>
          </cell>
          <cell r="CC38">
            <v>0.46969696969696972</v>
          </cell>
          <cell r="CD38">
            <v>0.12000000000000011</v>
          </cell>
          <cell r="CE38">
            <v>0</v>
          </cell>
          <cell r="CF38">
            <v>0.10714285714285721</v>
          </cell>
          <cell r="CG38">
            <v>-0.46969696969696972</v>
          </cell>
          <cell r="CH38">
            <v>-0.66666666666666674</v>
          </cell>
          <cell r="CJ38">
            <v>-0.5</v>
          </cell>
          <cell r="CL38">
            <v>0.15530303030303028</v>
          </cell>
          <cell r="CM38">
            <v>-0.30000000000000004</v>
          </cell>
          <cell r="CN38">
            <v>0.10884353741496589</v>
          </cell>
          <cell r="CP38">
            <v>0.38328530259366</v>
          </cell>
          <cell r="CQ38">
            <v>0.66666666666666674</v>
          </cell>
          <cell r="CR38">
            <v>0.38571428571428568</v>
          </cell>
          <cell r="CW38">
            <v>0.38571428571428568</v>
          </cell>
          <cell r="CY38">
            <v>-0.15853658536585369</v>
          </cell>
          <cell r="CZ38">
            <v>0.14999999999999991</v>
          </cell>
          <cell r="DA38">
            <v>-9.8039215686274495E-2</v>
          </cell>
          <cell r="DC38">
            <v>0</v>
          </cell>
          <cell r="DE38">
            <v>-0.15384615384615385</v>
          </cell>
          <cell r="DJ38">
            <v>-8.6956521739130488E-2</v>
          </cell>
          <cell r="DL38">
            <v>0.44680851063829796</v>
          </cell>
          <cell r="DO38" t="str">
            <v>2QA</v>
          </cell>
          <cell r="DR38">
            <v>0.18279569892473124</v>
          </cell>
          <cell r="DT38">
            <v>0.18345498783454994</v>
          </cell>
          <cell r="DU38">
            <v>-3.0965391621129323E-2</v>
          </cell>
          <cell r="DV38">
            <v>0.10878528385664454</v>
          </cell>
          <cell r="DX38">
            <v>6.7796610169491567E-2</v>
          </cell>
          <cell r="DY38">
            <v>0.15384615384615374</v>
          </cell>
          <cell r="DZ38">
            <v>0.12698412698412698</v>
          </cell>
          <cell r="EB38">
            <v>-6.0606060606060552E-2</v>
          </cell>
          <cell r="EC38">
            <v>8.3333333333333259E-2</v>
          </cell>
          <cell r="ED38">
            <v>3.2258064516129004E-2</v>
          </cell>
          <cell r="EF38">
            <v>2.1739130434782705E-2</v>
          </cell>
          <cell r="EG38">
            <v>0.13157894736842102</v>
          </cell>
          <cell r="EH38">
            <v>9.5744680851063801E-2</v>
          </cell>
          <cell r="EJ38">
            <v>0.17652538425710285</v>
          </cell>
          <cell r="EK38">
            <v>-6.9875776397515521E-3</v>
          </cell>
          <cell r="EL38">
            <v>0.10771470160116459</v>
          </cell>
        </row>
        <row r="39">
          <cell r="BZ39" t="str">
            <v>3QA</v>
          </cell>
          <cell r="CA39">
            <v>0.13698630136986312</v>
          </cell>
          <cell r="CB39">
            <v>0</v>
          </cell>
          <cell r="CC39">
            <v>0.12903225806451624</v>
          </cell>
          <cell r="CD39">
            <v>0.16883116883116878</v>
          </cell>
          <cell r="CE39">
            <v>0</v>
          </cell>
          <cell r="CF39">
            <v>0.15116279069767447</v>
          </cell>
          <cell r="CG39">
            <v>-9.9999999999999978E-2</v>
          </cell>
          <cell r="CH39">
            <v>-0.36363636363636365</v>
          </cell>
          <cell r="CJ39">
            <v>-0.14754098360655743</v>
          </cell>
          <cell r="CL39">
            <v>0.10256410256410264</v>
          </cell>
          <cell r="CM39">
            <v>-0.13793103448275867</v>
          </cell>
          <cell r="CN39">
            <v>7.9470198675496651E-2</v>
          </cell>
          <cell r="CP39">
            <v>0.24709302325581395</v>
          </cell>
          <cell r="CQ39">
            <v>0.19999999999999996</v>
          </cell>
          <cell r="CR39">
            <v>0.24641833810888247</v>
          </cell>
          <cell r="CW39">
            <v>0.40114613180515768</v>
          </cell>
          <cell r="CY39">
            <v>0.10606060606060597</v>
          </cell>
          <cell r="CZ39">
            <v>-8.6956521739130488E-2</v>
          </cell>
          <cell r="DA39">
            <v>5.6179775280898792E-2</v>
          </cell>
          <cell r="DC39">
            <v>-1</v>
          </cell>
          <cell r="DE39" t="str">
            <v>NM</v>
          </cell>
          <cell r="DJ39">
            <v>5.7142857142857162E-2</v>
          </cell>
          <cell r="DL39">
            <v>-9.8765432098765427E-2</v>
          </cell>
          <cell r="DO39" t="str">
            <v>3QA</v>
          </cell>
          <cell r="DR39">
            <v>-5.1724137931034475E-2</v>
          </cell>
          <cell r="DT39">
            <v>0.17564508827523762</v>
          </cell>
          <cell r="DU39">
            <v>1.0794896957801781E-2</v>
          </cell>
          <cell r="DV39">
            <v>0.12360594795539037</v>
          </cell>
          <cell r="DX39">
            <v>-0.11428571428571432</v>
          </cell>
          <cell r="DY39">
            <v>1.4925373134328401E-2</v>
          </cell>
          <cell r="DZ39">
            <v>-2.9411764705882359E-2</v>
          </cell>
          <cell r="EB39">
            <v>-0.19999999999999996</v>
          </cell>
          <cell r="EC39">
            <v>-0.11842105263157898</v>
          </cell>
          <cell r="ED39">
            <v>-0.14655172413793105</v>
          </cell>
          <cell r="EF39">
            <v>-0.1454545454545455</v>
          </cell>
          <cell r="EG39">
            <v>-3.3333333333333326E-2</v>
          </cell>
          <cell r="EH39">
            <v>-7.1875000000000022E-2</v>
          </cell>
          <cell r="EJ39">
            <v>0.16041397153945658</v>
          </cell>
          <cell r="EK39">
            <v>3.2546786004881145E-3</v>
          </cell>
          <cell r="EL39">
            <v>0.1059751972942502</v>
          </cell>
        </row>
        <row r="40">
          <cell r="BZ40" t="str">
            <v>4QA</v>
          </cell>
          <cell r="CA40">
            <v>-3.9548022598870025E-2</v>
          </cell>
          <cell r="CB40">
            <v>-0.30000000000000004</v>
          </cell>
          <cell r="CC40">
            <v>-5.3475935828876997E-2</v>
          </cell>
          <cell r="CD40">
            <v>-0.1797752808988764</v>
          </cell>
          <cell r="CE40">
            <v>-9.9999999999999978E-2</v>
          </cell>
          <cell r="CF40">
            <v>-0.17171717171717171</v>
          </cell>
          <cell r="CG40">
            <v>-0.31746031746031744</v>
          </cell>
          <cell r="CH40">
            <v>-0.5</v>
          </cell>
          <cell r="CJ40">
            <v>-0.34666666666666668</v>
          </cell>
          <cell r="CL40">
            <v>-0.1306990881458967</v>
          </cell>
          <cell r="CM40">
            <v>-0.3125</v>
          </cell>
          <cell r="CN40">
            <v>-0.14681440443213301</v>
          </cell>
          <cell r="CP40">
            <v>0.14457831325301207</v>
          </cell>
          <cell r="CQ40">
            <v>0.5</v>
          </cell>
          <cell r="CR40">
            <v>0.14880952380952372</v>
          </cell>
          <cell r="CW40">
            <v>0.46428571428571419</v>
          </cell>
          <cell r="DA40">
            <v>0.25225225225225234</v>
          </cell>
          <cell r="DE40" t="str">
            <v>NM</v>
          </cell>
          <cell r="DJ40">
            <v>-0.11111111111111116</v>
          </cell>
          <cell r="DL40">
            <v>-0.3294117647058824</v>
          </cell>
          <cell r="DO40" t="str">
            <v>4QA</v>
          </cell>
          <cell r="DR40">
            <v>0.14117647058823524</v>
          </cell>
          <cell r="DT40">
            <v>0.17168674698795172</v>
          </cell>
          <cell r="DU40">
            <v>-0.10042194092827006</v>
          </cell>
          <cell r="DV40">
            <v>7.9908805927614734E-2</v>
          </cell>
          <cell r="DX40">
            <v>-0.19736842105263153</v>
          </cell>
          <cell r="DY40">
            <v>-5.6179775280898903E-2</v>
          </cell>
          <cell r="DZ40">
            <v>-9.8425196850393748E-2</v>
          </cell>
          <cell r="EB40">
            <v>-0.21739130434782605</v>
          </cell>
          <cell r="EC40">
            <v>-0.12790697674418605</v>
          </cell>
          <cell r="ED40">
            <v>-0.15909090909090906</v>
          </cell>
          <cell r="EF40">
            <v>-0.20491803278688525</v>
          </cell>
          <cell r="EG40">
            <v>-7.9545454545454586E-2</v>
          </cell>
          <cell r="EH40">
            <v>-0.11917098445595853</v>
          </cell>
          <cell r="EJ40">
            <v>0.15290269828291092</v>
          </cell>
          <cell r="EK40">
            <v>-9.661835748792269E-2</v>
          </cell>
          <cell r="EL40">
            <v>6.0179717586649417E-2</v>
          </cell>
        </row>
        <row r="42">
          <cell r="BZ42" t="str">
            <v>Year</v>
          </cell>
          <cell r="CA42">
            <v>0.19190140845070422</v>
          </cell>
          <cell r="CB42">
            <v>-0.13513513513513514</v>
          </cell>
          <cell r="CC42">
            <v>0.17190082644628099</v>
          </cell>
          <cell r="CD42">
            <v>0.10169491525423729</v>
          </cell>
          <cell r="CE42">
            <v>-5.4054054054054057E-2</v>
          </cell>
          <cell r="CF42">
            <v>8.7349397590361449E-2</v>
          </cell>
          <cell r="CG42">
            <v>-0.3</v>
          </cell>
          <cell r="CH42">
            <v>-0.42222222222222222</v>
          </cell>
          <cell r="CJ42">
            <v>-0.32</v>
          </cell>
          <cell r="CL42">
            <v>6.4043915827996345E-2</v>
          </cell>
          <cell r="CM42">
            <v>-0.21848739495798319</v>
          </cell>
          <cell r="CN42">
            <v>3.6303630363036306E-2</v>
          </cell>
          <cell r="CP42">
            <v>0.31413210445468509</v>
          </cell>
          <cell r="CQ42">
            <v>0.4</v>
          </cell>
          <cell r="CR42">
            <v>0.31511009870918755</v>
          </cell>
          <cell r="CW42">
            <v>0.43659832953682615</v>
          </cell>
          <cell r="DA42">
            <v>5.1948051948051951E-2</v>
          </cell>
          <cell r="DE42">
            <v>-0.56521739130434778</v>
          </cell>
          <cell r="DJ42">
            <v>-5.1428571428571428E-2</v>
          </cell>
          <cell r="DL42">
            <v>1.1811023622047244E-2</v>
          </cell>
          <cell r="DO42" t="str">
            <v>Year</v>
          </cell>
          <cell r="DR42">
            <v>0.1015625</v>
          </cell>
          <cell r="DT42">
            <v>0.18202898550724639</v>
          </cell>
          <cell r="DU42">
            <v>-4.3368517668655349E-2</v>
          </cell>
          <cell r="DV42">
            <v>0.10640067780944309</v>
          </cell>
          <cell r="DX42">
            <v>-5.9259259259259262E-2</v>
          </cell>
          <cell r="DY42">
            <v>1.8456375838926176E-2</v>
          </cell>
          <cell r="DZ42">
            <v>-5.7736720554272519E-3</v>
          </cell>
          <cell r="EB42">
            <v>-0.13291139240506328</v>
          </cell>
          <cell r="EC42">
            <v>-7.6158940397350994E-2</v>
          </cell>
          <cell r="ED42">
            <v>-9.5652173913043481E-2</v>
          </cell>
          <cell r="EF42">
            <v>-8.6448598130841117E-2</v>
          </cell>
          <cell r="EG42">
            <v>-1.3363028953229399E-2</v>
          </cell>
          <cell r="EH42">
            <v>-3.6953242835595777E-2</v>
          </cell>
          <cell r="EJ42">
            <v>0.16933613166905997</v>
          </cell>
          <cell r="EK42">
            <v>-3.8242009132420089E-2</v>
          </cell>
          <cell r="EL42">
            <v>9.3116220560486379E-2</v>
          </cell>
        </row>
        <row r="43">
          <cell r="CC43" t="str">
            <v xml:space="preserve"> </v>
          </cell>
        </row>
        <row r="44">
          <cell r="BZ44" t="str">
            <v>2000</v>
          </cell>
          <cell r="CC44" t="str">
            <v xml:space="preserve"> </v>
          </cell>
          <cell r="DO44" t="str">
            <v>2000</v>
          </cell>
        </row>
        <row r="45">
          <cell r="BZ45" t="str">
            <v>1QA</v>
          </cell>
          <cell r="CA45">
            <v>155</v>
          </cell>
          <cell r="CB45">
            <v>8</v>
          </cell>
          <cell r="CC45">
            <v>163</v>
          </cell>
          <cell r="CD45">
            <v>78</v>
          </cell>
          <cell r="CE45">
            <v>9</v>
          </cell>
          <cell r="CF45">
            <v>87</v>
          </cell>
          <cell r="CG45">
            <v>38</v>
          </cell>
          <cell r="CH45">
            <v>9</v>
          </cell>
          <cell r="CJ45">
            <v>47</v>
          </cell>
          <cell r="CL45">
            <v>271</v>
          </cell>
          <cell r="CM45">
            <v>26</v>
          </cell>
          <cell r="CN45">
            <v>297</v>
          </cell>
          <cell r="CP45">
            <v>422</v>
          </cell>
          <cell r="CQ45">
            <v>4</v>
          </cell>
          <cell r="CR45">
            <v>426</v>
          </cell>
          <cell r="CS45">
            <v>0</v>
          </cell>
          <cell r="CV45">
            <v>0</v>
          </cell>
          <cell r="CW45">
            <v>426</v>
          </cell>
          <cell r="CY45">
            <v>60</v>
          </cell>
          <cell r="CZ45">
            <v>20</v>
          </cell>
          <cell r="DA45">
            <v>80</v>
          </cell>
          <cell r="DC45">
            <v>9</v>
          </cell>
          <cell r="DD45">
            <v>0</v>
          </cell>
          <cell r="DE45">
            <v>9</v>
          </cell>
          <cell r="DJ45">
            <v>47</v>
          </cell>
          <cell r="DL45">
            <v>59</v>
          </cell>
          <cell r="DO45" t="str">
            <v>1QA</v>
          </cell>
          <cell r="DR45">
            <v>106</v>
          </cell>
          <cell r="DT45">
            <v>2443</v>
          </cell>
          <cell r="DU45">
            <v>1009</v>
          </cell>
          <cell r="DV45">
            <v>3452</v>
          </cell>
          <cell r="DX45">
            <v>68</v>
          </cell>
          <cell r="DY45">
            <v>153</v>
          </cell>
          <cell r="DZ45">
            <v>221</v>
          </cell>
          <cell r="EB45">
            <v>38</v>
          </cell>
          <cell r="EC45">
            <v>72</v>
          </cell>
          <cell r="ED45">
            <v>110</v>
          </cell>
          <cell r="EF45">
            <v>106</v>
          </cell>
          <cell r="EG45">
            <v>225</v>
          </cell>
          <cell r="EH45">
            <v>331</v>
          </cell>
          <cell r="EJ45">
            <v>2549</v>
          </cell>
          <cell r="EK45">
            <v>1234</v>
          </cell>
          <cell r="EL45">
            <v>3783</v>
          </cell>
        </row>
        <row r="46">
          <cell r="BZ46" t="str">
            <v>2QA</v>
          </cell>
          <cell r="CA46">
            <v>186</v>
          </cell>
          <cell r="CB46">
            <v>8</v>
          </cell>
          <cell r="CC46">
            <v>194</v>
          </cell>
          <cell r="CD46">
            <v>84</v>
          </cell>
          <cell r="CE46">
            <v>9</v>
          </cell>
          <cell r="CF46">
            <v>93</v>
          </cell>
          <cell r="CG46">
            <v>35</v>
          </cell>
          <cell r="CH46">
            <v>4</v>
          </cell>
          <cell r="CJ46">
            <v>39</v>
          </cell>
          <cell r="CL46">
            <v>305</v>
          </cell>
          <cell r="CM46">
            <v>21</v>
          </cell>
          <cell r="CN46">
            <v>326</v>
          </cell>
          <cell r="CP46">
            <v>480</v>
          </cell>
          <cell r="CQ46">
            <v>5</v>
          </cell>
          <cell r="CR46">
            <v>485</v>
          </cell>
          <cell r="CS46">
            <v>0</v>
          </cell>
          <cell r="CV46">
            <v>0</v>
          </cell>
          <cell r="CW46">
            <v>485</v>
          </cell>
          <cell r="CY46">
            <v>69</v>
          </cell>
          <cell r="CZ46">
            <v>23</v>
          </cell>
          <cell r="DA46">
            <v>92</v>
          </cell>
          <cell r="DC46">
            <v>11</v>
          </cell>
          <cell r="DD46">
            <v>0</v>
          </cell>
          <cell r="DE46">
            <v>11</v>
          </cell>
          <cell r="DJ46">
            <v>42</v>
          </cell>
          <cell r="DL46">
            <v>68</v>
          </cell>
          <cell r="DO46" t="str">
            <v>2QA</v>
          </cell>
          <cell r="DR46">
            <v>110</v>
          </cell>
          <cell r="DT46">
            <v>2432</v>
          </cell>
          <cell r="DU46">
            <v>1064</v>
          </cell>
          <cell r="DV46">
            <v>3496</v>
          </cell>
          <cell r="DX46">
            <v>63</v>
          </cell>
          <cell r="DY46">
            <v>150</v>
          </cell>
          <cell r="DZ46">
            <v>213</v>
          </cell>
          <cell r="EB46">
            <v>31</v>
          </cell>
          <cell r="EC46">
            <v>65</v>
          </cell>
          <cell r="ED46">
            <v>96</v>
          </cell>
          <cell r="EF46">
            <v>94</v>
          </cell>
          <cell r="EG46">
            <v>215</v>
          </cell>
          <cell r="EH46">
            <v>309</v>
          </cell>
          <cell r="EJ46">
            <v>2526</v>
          </cell>
          <cell r="EK46">
            <v>1279</v>
          </cell>
          <cell r="EL46">
            <v>3805</v>
          </cell>
        </row>
        <row r="47">
          <cell r="BZ47" t="str">
            <v>3QA</v>
          </cell>
          <cell r="CA47">
            <v>166</v>
          </cell>
          <cell r="CB47">
            <v>9</v>
          </cell>
          <cell r="CC47">
            <v>175</v>
          </cell>
          <cell r="CD47">
            <v>90</v>
          </cell>
          <cell r="CE47">
            <v>9</v>
          </cell>
          <cell r="CF47">
            <v>99</v>
          </cell>
          <cell r="CG47">
            <v>45</v>
          </cell>
          <cell r="CH47">
            <v>7</v>
          </cell>
          <cell r="CJ47">
            <v>52</v>
          </cell>
          <cell r="CL47">
            <v>301</v>
          </cell>
          <cell r="CM47">
            <v>25</v>
          </cell>
          <cell r="CN47">
            <v>326</v>
          </cell>
          <cell r="CP47">
            <v>429</v>
          </cell>
          <cell r="CQ47">
            <v>6</v>
          </cell>
          <cell r="CR47">
            <v>435</v>
          </cell>
          <cell r="CS47">
            <v>54</v>
          </cell>
          <cell r="CV47">
            <v>0</v>
          </cell>
          <cell r="CW47">
            <v>489</v>
          </cell>
          <cell r="CY47">
            <v>73</v>
          </cell>
          <cell r="CZ47">
            <v>21</v>
          </cell>
          <cell r="DA47">
            <v>94</v>
          </cell>
          <cell r="DC47">
            <v>0</v>
          </cell>
          <cell r="DD47">
            <v>0</v>
          </cell>
          <cell r="DE47">
            <v>0</v>
          </cell>
          <cell r="DJ47">
            <v>37</v>
          </cell>
          <cell r="DL47">
            <v>73</v>
          </cell>
          <cell r="DO47" t="str">
            <v>3QA</v>
          </cell>
          <cell r="DR47">
            <v>110</v>
          </cell>
          <cell r="DT47">
            <v>2597</v>
          </cell>
          <cell r="DU47">
            <v>1030</v>
          </cell>
          <cell r="DV47">
            <v>3627</v>
          </cell>
          <cell r="DX47">
            <v>62</v>
          </cell>
          <cell r="DY47">
            <v>136</v>
          </cell>
          <cell r="DZ47">
            <v>198</v>
          </cell>
          <cell r="EB47">
            <v>32</v>
          </cell>
          <cell r="EC47">
            <v>67</v>
          </cell>
          <cell r="ED47">
            <v>99</v>
          </cell>
          <cell r="EF47">
            <v>94</v>
          </cell>
          <cell r="EG47">
            <v>203</v>
          </cell>
          <cell r="EH47">
            <v>297</v>
          </cell>
          <cell r="EJ47">
            <v>2691</v>
          </cell>
          <cell r="EK47">
            <v>1233</v>
          </cell>
          <cell r="EL47">
            <v>3924</v>
          </cell>
        </row>
        <row r="48">
          <cell r="BZ48" t="str">
            <v>4QA</v>
          </cell>
          <cell r="CA48">
            <v>170</v>
          </cell>
          <cell r="CB48">
            <v>7</v>
          </cell>
          <cell r="CC48">
            <v>177</v>
          </cell>
          <cell r="CD48">
            <v>73</v>
          </cell>
          <cell r="CE48">
            <v>9</v>
          </cell>
          <cell r="CF48">
            <v>82</v>
          </cell>
          <cell r="CG48">
            <v>43</v>
          </cell>
          <cell r="CH48">
            <v>6</v>
          </cell>
          <cell r="CJ48">
            <v>49</v>
          </cell>
          <cell r="CL48">
            <v>286</v>
          </cell>
          <cell r="CM48">
            <v>22</v>
          </cell>
          <cell r="CN48">
            <v>308</v>
          </cell>
          <cell r="CP48">
            <v>380</v>
          </cell>
          <cell r="CQ48">
            <v>6</v>
          </cell>
          <cell r="CR48">
            <v>386</v>
          </cell>
          <cell r="CS48">
            <v>56</v>
          </cell>
          <cell r="CV48">
            <v>50</v>
          </cell>
          <cell r="CW48">
            <v>492</v>
          </cell>
          <cell r="CY48">
            <v>118</v>
          </cell>
          <cell r="CZ48">
            <v>21</v>
          </cell>
          <cell r="DA48">
            <v>139</v>
          </cell>
          <cell r="DC48">
            <v>0</v>
          </cell>
          <cell r="DD48">
            <v>0</v>
          </cell>
          <cell r="DE48">
            <v>0</v>
          </cell>
          <cell r="DJ48">
            <v>40</v>
          </cell>
          <cell r="DL48">
            <v>57</v>
          </cell>
          <cell r="DO48" t="str">
            <v>4QA</v>
          </cell>
          <cell r="DR48">
            <v>97</v>
          </cell>
          <cell r="DT48">
            <v>2723</v>
          </cell>
          <cell r="DU48">
            <v>1066</v>
          </cell>
          <cell r="DV48">
            <v>3789.4</v>
          </cell>
          <cell r="DX48">
            <v>61</v>
          </cell>
          <cell r="DY48">
            <v>168</v>
          </cell>
          <cell r="DZ48">
            <v>229</v>
          </cell>
          <cell r="EB48">
            <v>36</v>
          </cell>
          <cell r="EC48">
            <v>75</v>
          </cell>
          <cell r="ED48">
            <v>111</v>
          </cell>
          <cell r="EF48">
            <v>97</v>
          </cell>
          <cell r="EG48">
            <v>243</v>
          </cell>
          <cell r="EH48">
            <v>340</v>
          </cell>
          <cell r="EJ48">
            <v>2820</v>
          </cell>
          <cell r="EK48">
            <v>1309</v>
          </cell>
          <cell r="EL48">
            <v>4129.3999999999996</v>
          </cell>
        </row>
        <row r="50">
          <cell r="BZ50" t="str">
            <v>Year</v>
          </cell>
          <cell r="CA50">
            <v>677</v>
          </cell>
          <cell r="CB50">
            <v>32</v>
          </cell>
          <cell r="CC50">
            <v>709</v>
          </cell>
          <cell r="CD50">
            <v>325</v>
          </cell>
          <cell r="CE50">
            <v>35</v>
          </cell>
          <cell r="CF50">
            <v>361</v>
          </cell>
          <cell r="CG50">
            <v>161</v>
          </cell>
          <cell r="CH50">
            <v>26</v>
          </cell>
          <cell r="CJ50">
            <v>187</v>
          </cell>
          <cell r="CK50">
            <v>0</v>
          </cell>
          <cell r="CL50">
            <v>1163</v>
          </cell>
          <cell r="CM50">
            <v>93</v>
          </cell>
          <cell r="CN50">
            <v>1256</v>
          </cell>
          <cell r="CP50">
            <v>1711</v>
          </cell>
          <cell r="CQ50">
            <v>21</v>
          </cell>
          <cell r="CR50">
            <v>1732</v>
          </cell>
          <cell r="CS50">
            <v>110</v>
          </cell>
          <cell r="CV50">
            <v>50</v>
          </cell>
          <cell r="CW50">
            <v>1892</v>
          </cell>
          <cell r="CY50">
            <v>320</v>
          </cell>
          <cell r="CZ50">
            <v>85</v>
          </cell>
          <cell r="DA50">
            <v>405</v>
          </cell>
          <cell r="DC50">
            <v>20</v>
          </cell>
          <cell r="DD50">
            <v>0</v>
          </cell>
          <cell r="DE50">
            <v>20</v>
          </cell>
          <cell r="DJ50">
            <v>166</v>
          </cell>
          <cell r="DL50">
            <v>257</v>
          </cell>
          <cell r="DO50" t="str">
            <v>Year</v>
          </cell>
          <cell r="DR50">
            <v>423</v>
          </cell>
          <cell r="DT50">
            <v>10195</v>
          </cell>
          <cell r="DU50">
            <v>4169</v>
          </cell>
          <cell r="DV50">
            <v>14364.4</v>
          </cell>
          <cell r="DX50">
            <v>254</v>
          </cell>
          <cell r="DY50">
            <v>607</v>
          </cell>
          <cell r="DZ50">
            <v>861</v>
          </cell>
          <cell r="EB50">
            <v>137</v>
          </cell>
          <cell r="EC50">
            <v>279</v>
          </cell>
          <cell r="ED50">
            <v>416</v>
          </cell>
          <cell r="EF50">
            <v>391</v>
          </cell>
          <cell r="EG50">
            <v>886</v>
          </cell>
          <cell r="EH50">
            <v>1277</v>
          </cell>
          <cell r="EJ50">
            <v>10586</v>
          </cell>
          <cell r="EK50">
            <v>5055</v>
          </cell>
          <cell r="EL50">
            <v>15641.4</v>
          </cell>
        </row>
        <row r="52">
          <cell r="BZ52" t="str">
            <v>2001/00</v>
          </cell>
          <cell r="DO52" t="str">
            <v>2001/00</v>
          </cell>
        </row>
        <row r="53">
          <cell r="BZ53" t="str">
            <v>1QA</v>
          </cell>
          <cell r="CC53">
            <v>0.24539877300613488</v>
          </cell>
          <cell r="CF53">
            <v>0.10344827586206895</v>
          </cell>
          <cell r="CJ53">
            <v>-0.34042553191489366</v>
          </cell>
          <cell r="CK53" t="e">
            <v>#DIV/0!</v>
          </cell>
          <cell r="CN53">
            <v>0.11111111111111116</v>
          </cell>
          <cell r="CR53">
            <v>0.21830985915492951</v>
          </cell>
          <cell r="CS53" t="str">
            <v>NM</v>
          </cell>
          <cell r="CW53">
            <v>0.30751173708920199</v>
          </cell>
          <cell r="DA53">
            <v>0.22500000000000009</v>
          </cell>
          <cell r="DJ53">
            <v>-1</v>
          </cell>
          <cell r="DL53">
            <v>-1</v>
          </cell>
          <cell r="DO53" t="str">
            <v>1QA</v>
          </cell>
          <cell r="DR53">
            <v>-0.24528301886792447</v>
          </cell>
          <cell r="DT53">
            <v>-1</v>
          </cell>
          <cell r="DU53">
            <v>-1</v>
          </cell>
          <cell r="DV53">
            <v>7.8505214368482124E-2</v>
          </cell>
          <cell r="DX53">
            <v>-1</v>
          </cell>
          <cell r="DY53">
            <v>-1</v>
          </cell>
          <cell r="DZ53">
            <v>-8.5972850678733059E-2</v>
          </cell>
          <cell r="EA53" t="e">
            <v>#DIV/0!</v>
          </cell>
          <cell r="EB53">
            <v>-1</v>
          </cell>
          <cell r="EC53">
            <v>-1</v>
          </cell>
          <cell r="ED53">
            <v>-0.15454545454545454</v>
          </cell>
          <cell r="EF53">
            <v>-1</v>
          </cell>
          <cell r="EG53">
            <v>-1</v>
          </cell>
          <cell r="EH53">
            <v>-0.10876132930513593</v>
          </cell>
          <cell r="EJ53">
            <v>-1</v>
          </cell>
          <cell r="EK53">
            <v>-1</v>
          </cell>
          <cell r="EL53">
            <v>6.2120010573618822E-2</v>
          </cell>
        </row>
        <row r="54">
          <cell r="BZ54" t="str">
            <v>2QA</v>
          </cell>
          <cell r="CC54">
            <v>-0.54123711340206193</v>
          </cell>
          <cell r="CF54">
            <v>1.0752688172043001E-2</v>
          </cell>
          <cell r="CJ54">
            <v>-0.38461538461538458</v>
          </cell>
          <cell r="CK54" t="e">
            <v>#DIV/0!</v>
          </cell>
          <cell r="CN54">
            <v>-0.36503067484662577</v>
          </cell>
          <cell r="CR54">
            <v>6.5979381443298957E-2</v>
          </cell>
          <cell r="CS54" t="str">
            <v>NM</v>
          </cell>
          <cell r="CW54">
            <v>0.57319587628865976</v>
          </cell>
          <cell r="DA54">
            <v>-8.6956521739130488E-2</v>
          </cell>
          <cell r="DJ54">
            <v>-1</v>
          </cell>
          <cell r="DL54">
            <v>-1</v>
          </cell>
          <cell r="DO54" t="str">
            <v>2QA</v>
          </cell>
          <cell r="DR54">
            <v>-1.8181818181818188E-2</v>
          </cell>
          <cell r="DV54">
            <v>8.4954233409610946E-2</v>
          </cell>
          <cell r="DZ54">
            <v>-2.3474178403755874E-2</v>
          </cell>
          <cell r="EA54" t="e">
            <v>#DIV/0!</v>
          </cell>
          <cell r="EB54">
            <v>-1</v>
          </cell>
          <cell r="EC54">
            <v>-1</v>
          </cell>
          <cell r="ED54">
            <v>-0.10416666666666663</v>
          </cell>
          <cell r="EF54">
            <v>-1</v>
          </cell>
          <cell r="EG54">
            <v>-1</v>
          </cell>
          <cell r="EH54">
            <v>-4.8543689320388328E-2</v>
          </cell>
          <cell r="EJ54">
            <v>-1</v>
          </cell>
          <cell r="EK54">
            <v>-1</v>
          </cell>
          <cell r="EL54">
            <v>7.411300919842323E-2</v>
          </cell>
        </row>
        <row r="55">
          <cell r="BZ55" t="str">
            <v>3QA</v>
          </cell>
          <cell r="CC55">
            <v>-0.84</v>
          </cell>
          <cell r="CF55">
            <v>-2.0202020202020221E-2</v>
          </cell>
          <cell r="CJ55">
            <v>-0.34615384615384615</v>
          </cell>
          <cell r="CK55" t="e">
            <v>#DIV/0!</v>
          </cell>
          <cell r="CN55">
            <v>-0.51226993865030668</v>
          </cell>
          <cell r="CR55">
            <v>0.16091954022988508</v>
          </cell>
          <cell r="CS55">
            <v>0.7592592592592593</v>
          </cell>
          <cell r="CW55">
            <v>0.4355828220858895</v>
          </cell>
          <cell r="DA55">
            <v>-9.5744680851063801E-2</v>
          </cell>
          <cell r="DJ55">
            <v>-1</v>
          </cell>
          <cell r="DL55">
            <v>-1</v>
          </cell>
          <cell r="DO55" t="str">
            <v>3QA</v>
          </cell>
          <cell r="DR55">
            <v>-0.30000000000000004</v>
          </cell>
          <cell r="DV55">
            <v>5.7071960297766733E-2</v>
          </cell>
          <cell r="DZ55">
            <v>-5.0505050505050497E-2</v>
          </cell>
          <cell r="EA55" t="e">
            <v>#DIV/0!</v>
          </cell>
          <cell r="EB55">
            <v>-1</v>
          </cell>
          <cell r="EC55">
            <v>-1</v>
          </cell>
          <cell r="ED55">
            <v>-0.10101010101010099</v>
          </cell>
          <cell r="EF55">
            <v>-1</v>
          </cell>
          <cell r="EG55">
            <v>-1</v>
          </cell>
          <cell r="EH55">
            <v>-6.7340067340067367E-2</v>
          </cell>
          <cell r="EJ55">
            <v>-1</v>
          </cell>
          <cell r="EK55">
            <v>-1</v>
          </cell>
          <cell r="EL55">
            <v>4.7655453618756338E-2</v>
          </cell>
        </row>
        <row r="56">
          <cell r="BZ56" t="str">
            <v>4QA</v>
          </cell>
          <cell r="CC56">
            <v>-0.89830508474576276</v>
          </cell>
          <cell r="CF56">
            <v>0.48780487804878048</v>
          </cell>
          <cell r="CJ56">
            <v>-0.67346938775510201</v>
          </cell>
          <cell r="CN56">
            <v>-0.4935064935064935</v>
          </cell>
          <cell r="CR56">
            <v>0.31606217616580312</v>
          </cell>
          <cell r="CS56">
            <v>0.3392857142857143</v>
          </cell>
          <cell r="CW56">
            <v>0.34146341463414642</v>
          </cell>
          <cell r="DA56">
            <v>-1</v>
          </cell>
          <cell r="DJ56">
            <v>-1</v>
          </cell>
          <cell r="DL56">
            <v>-1</v>
          </cell>
          <cell r="DO56" t="str">
            <v>4QA</v>
          </cell>
          <cell r="DR56">
            <v>0.63917525773195871</v>
          </cell>
          <cell r="DV56">
            <v>3.8950757375837863E-2</v>
          </cell>
          <cell r="DZ56">
            <v>-8.7336244541484712E-3</v>
          </cell>
          <cell r="ED56">
            <v>-6.3063063063063057E-2</v>
          </cell>
          <cell r="EH56">
            <v>-2.6470588235294117E-2</v>
          </cell>
          <cell r="EL56">
            <v>3.3564198188599015E-2</v>
          </cell>
        </row>
        <row r="58">
          <cell r="BZ58" t="str">
            <v>Year</v>
          </cell>
          <cell r="CC58">
            <v>-0.52327221438645988</v>
          </cell>
          <cell r="CF58">
            <v>0.13296398891966765</v>
          </cell>
          <cell r="CJ58">
            <v>-0.3</v>
          </cell>
          <cell r="CN58">
            <v>-0.321656050955414</v>
          </cell>
          <cell r="CR58">
            <v>0.18302540415704383</v>
          </cell>
          <cell r="CS58">
            <v>1.9909090909090907</v>
          </cell>
          <cell r="CW58">
            <v>0.41754756871035942</v>
          </cell>
          <cell r="DA58">
            <v>-0.34074074074074079</v>
          </cell>
          <cell r="DO58" t="str">
            <v>Year</v>
          </cell>
          <cell r="DR58">
            <v>2.3640661938533203E-3</v>
          </cell>
          <cell r="DV58">
            <v>6.4228230904179812E-2</v>
          </cell>
          <cell r="DZ58">
            <v>-4.181184668989546E-2</v>
          </cell>
          <cell r="ED58">
            <v>-0.10576923076923073</v>
          </cell>
          <cell r="EH58">
            <v>-6.2646828504306917E-2</v>
          </cell>
          <cell r="EL58">
            <v>5.3869858196836623E-2</v>
          </cell>
        </row>
        <row r="59">
          <cell r="CC59" t="str">
            <v xml:space="preserve"> </v>
          </cell>
        </row>
        <row r="60">
          <cell r="BZ60" t="str">
            <v>2001</v>
          </cell>
          <cell r="CC60" t="str">
            <v xml:space="preserve"> </v>
          </cell>
          <cell r="DO60" t="str">
            <v>2001</v>
          </cell>
        </row>
        <row r="61">
          <cell r="BZ61" t="str">
            <v>1QA</v>
          </cell>
          <cell r="CC61">
            <v>203</v>
          </cell>
          <cell r="CF61">
            <v>96</v>
          </cell>
          <cell r="CJ61">
            <v>31</v>
          </cell>
          <cell r="CN61">
            <v>330</v>
          </cell>
          <cell r="CR61">
            <v>519</v>
          </cell>
          <cell r="CS61">
            <v>24</v>
          </cell>
          <cell r="CV61">
            <v>14</v>
          </cell>
          <cell r="CW61">
            <v>557</v>
          </cell>
          <cell r="DA61">
            <v>98</v>
          </cell>
          <cell r="DO61" t="str">
            <v>1QA</v>
          </cell>
          <cell r="DR61">
            <v>80</v>
          </cell>
          <cell r="DV61">
            <v>3723</v>
          </cell>
          <cell r="DZ61">
            <v>202</v>
          </cell>
          <cell r="ED61">
            <v>93</v>
          </cell>
          <cell r="EH61">
            <v>295</v>
          </cell>
          <cell r="EJ61">
            <v>0</v>
          </cell>
          <cell r="EK61">
            <v>0</v>
          </cell>
          <cell r="EL61">
            <v>4018</v>
          </cell>
        </row>
        <row r="62">
          <cell r="BZ62" t="str">
            <v>2QA</v>
          </cell>
          <cell r="CC62">
            <v>89</v>
          </cell>
          <cell r="CF62">
            <v>94</v>
          </cell>
          <cell r="CJ62">
            <v>24</v>
          </cell>
          <cell r="CN62">
            <v>207</v>
          </cell>
          <cell r="CR62">
            <v>517</v>
          </cell>
          <cell r="CS62">
            <v>135</v>
          </cell>
          <cell r="CV62">
            <v>111</v>
          </cell>
          <cell r="CW62">
            <v>763</v>
          </cell>
          <cell r="DA62">
            <v>84</v>
          </cell>
          <cell r="DO62" t="str">
            <v>2QA</v>
          </cell>
          <cell r="DR62">
            <v>108</v>
          </cell>
          <cell r="DV62">
            <v>3793</v>
          </cell>
          <cell r="DZ62">
            <v>208</v>
          </cell>
          <cell r="ED62">
            <v>86</v>
          </cell>
          <cell r="EH62">
            <v>294</v>
          </cell>
          <cell r="EJ62">
            <v>0</v>
          </cell>
          <cell r="EK62">
            <v>0</v>
          </cell>
          <cell r="EL62">
            <v>4087</v>
          </cell>
        </row>
        <row r="63">
          <cell r="BZ63" t="str">
            <v>3QA</v>
          </cell>
          <cell r="CC63">
            <v>28</v>
          </cell>
          <cell r="CF63">
            <v>97</v>
          </cell>
          <cell r="CJ63">
            <v>34</v>
          </cell>
          <cell r="CN63">
            <v>159</v>
          </cell>
          <cell r="CR63">
            <v>505</v>
          </cell>
          <cell r="CS63">
            <v>95</v>
          </cell>
          <cell r="CV63">
            <v>102</v>
          </cell>
          <cell r="CW63">
            <v>702</v>
          </cell>
          <cell r="DA63">
            <v>85</v>
          </cell>
          <cell r="DO63" t="str">
            <v>3QA</v>
          </cell>
          <cell r="DR63">
            <v>77</v>
          </cell>
          <cell r="DV63">
            <v>3834</v>
          </cell>
          <cell r="DZ63">
            <v>188</v>
          </cell>
          <cell r="ED63">
            <v>89</v>
          </cell>
          <cell r="EH63">
            <v>277</v>
          </cell>
          <cell r="EJ63">
            <v>0</v>
          </cell>
          <cell r="EK63">
            <v>0</v>
          </cell>
          <cell r="EL63">
            <v>4111</v>
          </cell>
        </row>
        <row r="64">
          <cell r="BZ64" t="str">
            <v>4QA</v>
          </cell>
          <cell r="CC64">
            <v>18</v>
          </cell>
          <cell r="CF64">
            <v>122</v>
          </cell>
          <cell r="CJ64">
            <v>16</v>
          </cell>
          <cell r="CN64">
            <v>156</v>
          </cell>
          <cell r="CR64">
            <v>508</v>
          </cell>
          <cell r="CS64">
            <v>75</v>
          </cell>
          <cell r="CV64">
            <v>77</v>
          </cell>
          <cell r="CW64">
            <v>660</v>
          </cell>
          <cell r="DA64">
            <v>0</v>
          </cell>
          <cell r="DO64" t="str">
            <v>4QA</v>
          </cell>
          <cell r="DR64">
            <v>159</v>
          </cell>
          <cell r="DV64">
            <v>3937</v>
          </cell>
          <cell r="DZ64">
            <v>227</v>
          </cell>
          <cell r="ED64">
            <v>104</v>
          </cell>
          <cell r="EH64">
            <v>331</v>
          </cell>
          <cell r="EJ64">
            <v>0</v>
          </cell>
          <cell r="EK64">
            <v>0</v>
          </cell>
          <cell r="EL64">
            <v>4268</v>
          </cell>
        </row>
        <row r="66">
          <cell r="BZ66" t="str">
            <v>Year</v>
          </cell>
          <cell r="CC66">
            <v>338</v>
          </cell>
          <cell r="CF66">
            <v>409</v>
          </cell>
          <cell r="CJ66">
            <v>105</v>
          </cell>
          <cell r="CN66">
            <v>852</v>
          </cell>
          <cell r="CR66">
            <v>2049</v>
          </cell>
          <cell r="CS66">
            <v>329</v>
          </cell>
          <cell r="CV66">
            <v>304</v>
          </cell>
          <cell r="CW66">
            <v>2682</v>
          </cell>
          <cell r="DA66">
            <v>267</v>
          </cell>
          <cell r="DO66" t="str">
            <v>Year</v>
          </cell>
          <cell r="DR66">
            <v>424</v>
          </cell>
          <cell r="DV66">
            <v>15287</v>
          </cell>
          <cell r="DZ66">
            <v>825</v>
          </cell>
          <cell r="ED66">
            <v>372</v>
          </cell>
          <cell r="EH66">
            <v>1197</v>
          </cell>
          <cell r="EL66">
            <v>16484</v>
          </cell>
        </row>
        <row r="69">
          <cell r="BZ69" t="str">
            <v>2002E/01</v>
          </cell>
          <cell r="DO69" t="str">
            <v>2002E/01</v>
          </cell>
        </row>
        <row r="70">
          <cell r="BZ70" t="str">
            <v>1QE</v>
          </cell>
          <cell r="CC70">
            <v>-0.94</v>
          </cell>
          <cell r="CF70">
            <v>-7.0000000000000007E-2</v>
          </cell>
          <cell r="CJ70">
            <v>-0.1</v>
          </cell>
          <cell r="CN70">
            <v>-0.51709090909090905</v>
          </cell>
          <cell r="CR70">
            <v>-0.47976878612716767</v>
          </cell>
          <cell r="CS70">
            <v>2.3333333333333335</v>
          </cell>
          <cell r="CV70">
            <v>4.7142857142857144</v>
          </cell>
          <cell r="CW70">
            <v>-0.2280071813285458</v>
          </cell>
          <cell r="DI70" t="str">
            <v>NM</v>
          </cell>
          <cell r="DO70" t="str">
            <v>1QE</v>
          </cell>
          <cell r="DR70">
            <v>1.25</v>
          </cell>
          <cell r="DV70">
            <v>-1.6825141015310185E-2</v>
          </cell>
          <cell r="DZ70">
            <v>-0.04</v>
          </cell>
          <cell r="ED70">
            <v>0.03</v>
          </cell>
          <cell r="EH70">
            <v>-7.5288135593220229E-2</v>
          </cell>
          <cell r="EL70">
            <v>-2.1117471378795383E-2</v>
          </cell>
        </row>
        <row r="71">
          <cell r="BZ71" t="str">
            <v>2QE</v>
          </cell>
          <cell r="CC71">
            <v>-0.88</v>
          </cell>
          <cell r="CF71">
            <v>-0.1</v>
          </cell>
          <cell r="CJ71">
            <v>-7.0000000000000007E-2</v>
          </cell>
          <cell r="CN71">
            <v>-0.3545893719806763</v>
          </cell>
          <cell r="CR71">
            <v>-0.8646034816247582</v>
          </cell>
          <cell r="CS71">
            <v>-0.40740740740740744</v>
          </cell>
          <cell r="CV71">
            <v>-0.18918918918918914</v>
          </cell>
          <cell r="CW71">
            <v>-0.68545216251638275</v>
          </cell>
          <cell r="DI71" t="str">
            <v>NM</v>
          </cell>
          <cell r="DO71" t="str">
            <v>2QE</v>
          </cell>
          <cell r="DR71">
            <v>0.64814814814814814</v>
          </cell>
          <cell r="DV71">
            <v>-6.1639862905351839E-2</v>
          </cell>
          <cell r="DZ71">
            <v>-0.04</v>
          </cell>
          <cell r="ED71">
            <v>-0.08</v>
          </cell>
          <cell r="EH71">
            <v>-0.13605442176870752</v>
          </cell>
          <cell r="EL71">
            <v>-6.6992904330804959E-2</v>
          </cell>
        </row>
        <row r="72">
          <cell r="BZ72" t="str">
            <v>3QE</v>
          </cell>
          <cell r="CC72">
            <v>-0.7</v>
          </cell>
          <cell r="CF72">
            <v>-0.1</v>
          </cell>
          <cell r="CJ72">
            <v>-0.25</v>
          </cell>
          <cell r="CN72">
            <v>-4.9056603773585006E-2</v>
          </cell>
          <cell r="CR72">
            <v>-0.9</v>
          </cell>
          <cell r="CS72">
            <v>0</v>
          </cell>
          <cell r="CV72">
            <v>0</v>
          </cell>
          <cell r="CW72">
            <v>-0.64743589743589736</v>
          </cell>
          <cell r="DI72" t="str">
            <v>NM</v>
          </cell>
          <cell r="DO72" t="str">
            <v>3QE</v>
          </cell>
          <cell r="DR72">
            <v>1.2077922077922079</v>
          </cell>
          <cell r="DV72">
            <v>-3.7149191444966201E-2</v>
          </cell>
          <cell r="DZ72">
            <v>-0.08</v>
          </cell>
          <cell r="ED72">
            <v>-0.08</v>
          </cell>
          <cell r="EH72">
            <v>-0.10873646209386278</v>
          </cell>
          <cell r="EL72">
            <v>-4.1972756020433044E-2</v>
          </cell>
        </row>
        <row r="73">
          <cell r="BZ73" t="str">
            <v>4QE</v>
          </cell>
          <cell r="CC73">
            <v>-0.76500000000000101</v>
          </cell>
          <cell r="CF73">
            <v>-0.25770491803278683</v>
          </cell>
          <cell r="CJ73">
            <v>0.56749999999999989</v>
          </cell>
          <cell r="CN73">
            <v>5.044871794871808E-2</v>
          </cell>
          <cell r="CR73">
            <v>-0.92167322834645682</v>
          </cell>
          <cell r="CS73">
            <v>0.20599999999999974</v>
          </cell>
          <cell r="CV73">
            <v>0.12623376623376581</v>
          </cell>
          <cell r="CW73">
            <v>-0.67127272727272747</v>
          </cell>
          <cell r="DI73" t="str">
            <v>NM</v>
          </cell>
          <cell r="DO73" t="str">
            <v>4QE</v>
          </cell>
          <cell r="DR73">
            <v>1.8867924528301883E-2</v>
          </cell>
          <cell r="DV73">
            <v>-6.7785115570231147E-2</v>
          </cell>
          <cell r="DZ73">
            <v>-0.17180616740088106</v>
          </cell>
          <cell r="ED73">
            <v>-0.36951923076923088</v>
          </cell>
          <cell r="EH73">
            <v>-0.23392749244712996</v>
          </cell>
          <cell r="EL73">
            <v>-8.0670103092783441E-2</v>
          </cell>
        </row>
        <row r="75">
          <cell r="BZ75" t="str">
            <v>2002/01E</v>
          </cell>
          <cell r="CC75">
            <v>-0.89500000000000002</v>
          </cell>
          <cell r="CF75">
            <v>-0.14000000000000001</v>
          </cell>
          <cell r="CI75" t="str">
            <v>NM</v>
          </cell>
          <cell r="CJ75">
            <v>-0.04</v>
          </cell>
          <cell r="CN75">
            <v>-0.28634976525821598</v>
          </cell>
          <cell r="CR75">
            <v>-0.79</v>
          </cell>
          <cell r="CS75">
            <v>0.05</v>
          </cell>
          <cell r="CV75">
            <v>0.18</v>
          </cell>
          <cell r="CW75">
            <v>-0.57700969425801651</v>
          </cell>
          <cell r="DI75" t="str">
            <v>NM</v>
          </cell>
          <cell r="DO75" t="str">
            <v>2002/01E</v>
          </cell>
          <cell r="DR75">
            <v>0.62735849056603776</v>
          </cell>
          <cell r="DV75">
            <v>-4.6166023418590947E-2</v>
          </cell>
          <cell r="DZ75">
            <v>-0.05</v>
          </cell>
          <cell r="EA75" t="str">
            <v>%</v>
          </cell>
          <cell r="ED75">
            <v>-0.08</v>
          </cell>
          <cell r="EH75">
            <v>-0.14182121971595654</v>
          </cell>
          <cell r="EL75">
            <v>-5.3112108711477798E-2</v>
          </cell>
        </row>
        <row r="77">
          <cell r="BZ77" t="str">
            <v>2002E</v>
          </cell>
          <cell r="DO77" t="str">
            <v>2002E</v>
          </cell>
        </row>
        <row r="78">
          <cell r="BZ78" t="str">
            <v>1QE</v>
          </cell>
          <cell r="CC78">
            <v>12.18000000000001</v>
          </cell>
          <cell r="CF78">
            <v>89.28</v>
          </cell>
          <cell r="CI78">
            <v>30</v>
          </cell>
          <cell r="CJ78">
            <v>27.900000000000002</v>
          </cell>
          <cell r="CN78">
            <v>159.36000000000001</v>
          </cell>
          <cell r="CR78">
            <v>270</v>
          </cell>
          <cell r="CS78">
            <v>80</v>
          </cell>
          <cell r="CV78">
            <v>80</v>
          </cell>
          <cell r="CW78">
            <v>430</v>
          </cell>
          <cell r="DI78">
            <v>0</v>
          </cell>
          <cell r="DO78" t="str">
            <v>1QE</v>
          </cell>
          <cell r="DP78">
            <v>0</v>
          </cell>
          <cell r="DR78">
            <v>180</v>
          </cell>
          <cell r="DV78">
            <v>3660.36</v>
          </cell>
          <cell r="DZ78">
            <v>177</v>
          </cell>
          <cell r="ED78">
            <v>95.79</v>
          </cell>
          <cell r="EH78">
            <v>272.79000000000002</v>
          </cell>
          <cell r="EL78">
            <v>3933.15</v>
          </cell>
        </row>
        <row r="79">
          <cell r="BZ79" t="str">
            <v>2QA</v>
          </cell>
          <cell r="CC79">
            <v>10.68</v>
          </cell>
          <cell r="CF79">
            <v>84.600000000000009</v>
          </cell>
          <cell r="CI79">
            <v>16</v>
          </cell>
          <cell r="CJ79">
            <v>22.32</v>
          </cell>
          <cell r="CN79">
            <v>133.6</v>
          </cell>
          <cell r="CR79">
            <v>70</v>
          </cell>
          <cell r="CS79">
            <v>80</v>
          </cell>
          <cell r="CV79">
            <v>90</v>
          </cell>
          <cell r="CW79">
            <v>240</v>
          </cell>
          <cell r="DI79">
            <v>0</v>
          </cell>
          <cell r="DO79" t="str">
            <v>2QA</v>
          </cell>
          <cell r="DP79">
            <v>0</v>
          </cell>
          <cell r="DR79">
            <v>178</v>
          </cell>
          <cell r="DV79">
            <v>3559.2000000000003</v>
          </cell>
          <cell r="DZ79">
            <v>155</v>
          </cell>
          <cell r="ED79">
            <v>99</v>
          </cell>
          <cell r="EH79">
            <v>254</v>
          </cell>
          <cell r="EL79">
            <v>3813.2000000000003</v>
          </cell>
        </row>
        <row r="80">
          <cell r="BZ80" t="str">
            <v>3QE</v>
          </cell>
          <cell r="CC80">
            <v>8.4000000000000021</v>
          </cell>
          <cell r="CF80">
            <v>87.3</v>
          </cell>
          <cell r="CI80">
            <v>30</v>
          </cell>
          <cell r="CJ80">
            <v>25.5</v>
          </cell>
          <cell r="CN80">
            <v>151.19999999999999</v>
          </cell>
          <cell r="CR80">
            <v>50.499999999999986</v>
          </cell>
          <cell r="CS80">
            <v>95</v>
          </cell>
          <cell r="CV80">
            <v>102</v>
          </cell>
          <cell r="CW80">
            <v>247.5</v>
          </cell>
          <cell r="DI80">
            <v>0</v>
          </cell>
          <cell r="DO80" t="str">
            <v>3QE</v>
          </cell>
          <cell r="DP80">
            <v>0</v>
          </cell>
          <cell r="DR80">
            <v>170</v>
          </cell>
          <cell r="DV80">
            <v>3691.5699999999997</v>
          </cell>
          <cell r="DZ80">
            <v>165</v>
          </cell>
          <cell r="ED80">
            <v>81.88000000000001</v>
          </cell>
          <cell r="EH80">
            <v>246.88</v>
          </cell>
          <cell r="EL80">
            <v>3938.45</v>
          </cell>
        </row>
        <row r="81">
          <cell r="BZ81" t="str">
            <v>4QE</v>
          </cell>
          <cell r="CC81">
            <v>4.2299999999999827</v>
          </cell>
          <cell r="CF81">
            <v>90.56</v>
          </cell>
          <cell r="CI81">
            <v>44</v>
          </cell>
          <cell r="CJ81">
            <v>25.08</v>
          </cell>
          <cell r="CN81">
            <v>163.87</v>
          </cell>
          <cell r="CR81">
            <v>39.789999999999907</v>
          </cell>
          <cell r="CS81">
            <v>90.449999999999989</v>
          </cell>
          <cell r="CV81">
            <v>86.71999999999997</v>
          </cell>
          <cell r="CW81">
            <v>216.95999999999987</v>
          </cell>
          <cell r="DI81">
            <v>40</v>
          </cell>
          <cell r="DO81" t="str">
            <v>4QE</v>
          </cell>
          <cell r="DP81">
            <v>0</v>
          </cell>
          <cell r="DR81">
            <v>162</v>
          </cell>
          <cell r="DV81">
            <v>3670.13</v>
          </cell>
          <cell r="DZ81">
            <v>188</v>
          </cell>
          <cell r="ED81">
            <v>65.569999999999993</v>
          </cell>
          <cell r="EH81">
            <v>253.57</v>
          </cell>
          <cell r="EL81">
            <v>3923.7000000000003</v>
          </cell>
        </row>
        <row r="83">
          <cell r="BZ83" t="str">
            <v>2002E</v>
          </cell>
          <cell r="CC83">
            <v>35.489999999999995</v>
          </cell>
          <cell r="CF83">
            <v>351.74</v>
          </cell>
          <cell r="CI83">
            <v>120</v>
          </cell>
          <cell r="CJ83">
            <v>100.8</v>
          </cell>
          <cell r="CN83">
            <v>608.03</v>
          </cell>
          <cell r="CR83">
            <v>430.28999999999991</v>
          </cell>
          <cell r="CS83">
            <v>345.45</v>
          </cell>
          <cell r="CV83">
            <v>358.71999999999997</v>
          </cell>
          <cell r="CW83">
            <v>1134.4599999999998</v>
          </cell>
          <cell r="DI83">
            <v>40</v>
          </cell>
          <cell r="DO83" t="str">
            <v>2002E</v>
          </cell>
          <cell r="DP83">
            <v>0</v>
          </cell>
          <cell r="DR83">
            <v>690</v>
          </cell>
          <cell r="DV83">
            <v>14581.26</v>
          </cell>
          <cell r="DZ83">
            <v>685</v>
          </cell>
          <cell r="ED83">
            <v>342.24</v>
          </cell>
          <cell r="EH83">
            <v>1027.24</v>
          </cell>
          <cell r="EL83">
            <v>15608.5</v>
          </cell>
        </row>
        <row r="84">
          <cell r="CQ84">
            <v>593.54999999999995</v>
          </cell>
          <cell r="CZ84">
            <v>765.56</v>
          </cell>
        </row>
        <row r="86">
          <cell r="BZ86" t="str">
            <v>2002E</v>
          </cell>
          <cell r="DO86" t="str">
            <v>2002E</v>
          </cell>
        </row>
        <row r="87">
          <cell r="BZ87" t="str">
            <v>1QA</v>
          </cell>
          <cell r="CC87">
            <v>12</v>
          </cell>
          <cell r="CF87">
            <v>89</v>
          </cell>
          <cell r="CI87">
            <v>30</v>
          </cell>
          <cell r="CJ87">
            <v>21</v>
          </cell>
          <cell r="CN87">
            <v>152</v>
          </cell>
          <cell r="CR87">
            <v>69</v>
          </cell>
          <cell r="CS87">
            <v>33</v>
          </cell>
          <cell r="CV87">
            <v>62</v>
          </cell>
          <cell r="CW87">
            <v>164</v>
          </cell>
          <cell r="DI87">
            <v>0</v>
          </cell>
          <cell r="DO87" t="str">
            <v>1QA</v>
          </cell>
          <cell r="DP87">
            <v>0</v>
          </cell>
          <cell r="DR87">
            <v>157</v>
          </cell>
          <cell r="DV87">
            <v>3325</v>
          </cell>
          <cell r="DZ87">
            <v>177</v>
          </cell>
          <cell r="ED87">
            <v>96</v>
          </cell>
          <cell r="EH87">
            <v>273</v>
          </cell>
          <cell r="EL87">
            <v>3598</v>
          </cell>
        </row>
        <row r="88">
          <cell r="BZ88" t="str">
            <v>2QA</v>
          </cell>
          <cell r="CC88">
            <v>3</v>
          </cell>
          <cell r="CF88">
            <v>19</v>
          </cell>
          <cell r="CI88">
            <v>16</v>
          </cell>
          <cell r="CJ88">
            <v>25</v>
          </cell>
          <cell r="CN88">
            <v>63</v>
          </cell>
          <cell r="CR88">
            <v>13</v>
          </cell>
          <cell r="CS88">
            <v>26</v>
          </cell>
          <cell r="CV88">
            <v>60</v>
          </cell>
          <cell r="CW88">
            <v>99</v>
          </cell>
          <cell r="DI88">
            <v>0</v>
          </cell>
          <cell r="DO88" t="str">
            <v>2QA</v>
          </cell>
          <cell r="DP88">
            <v>0</v>
          </cell>
          <cell r="DR88">
            <v>178</v>
          </cell>
          <cell r="DV88">
            <v>3012</v>
          </cell>
          <cell r="DZ88">
            <v>155</v>
          </cell>
          <cell r="ED88">
            <v>99</v>
          </cell>
          <cell r="EH88">
            <v>254</v>
          </cell>
          <cell r="EL88">
            <v>3266</v>
          </cell>
        </row>
        <row r="89">
          <cell r="BZ89" t="str">
            <v>3QE</v>
          </cell>
          <cell r="CC89">
            <v>8</v>
          </cell>
          <cell r="CF89">
            <v>27.299999999999997</v>
          </cell>
          <cell r="CI89">
            <v>30</v>
          </cell>
          <cell r="CJ89">
            <v>25.5</v>
          </cell>
          <cell r="CN89">
            <v>90.8</v>
          </cell>
          <cell r="CR89">
            <v>10</v>
          </cell>
          <cell r="CS89">
            <v>33</v>
          </cell>
          <cell r="CV89">
            <v>63</v>
          </cell>
          <cell r="CW89">
            <v>106</v>
          </cell>
          <cell r="DI89">
            <v>0</v>
          </cell>
          <cell r="DO89" t="str">
            <v>3QE</v>
          </cell>
          <cell r="DP89">
            <v>0</v>
          </cell>
          <cell r="DR89">
            <v>170</v>
          </cell>
          <cell r="DV89">
            <v>3141.65</v>
          </cell>
          <cell r="DZ89">
            <v>165</v>
          </cell>
          <cell r="ED89">
            <v>81.88000000000001</v>
          </cell>
          <cell r="EH89">
            <v>246.88</v>
          </cell>
          <cell r="EL89">
            <v>3388.53</v>
          </cell>
        </row>
        <row r="90">
          <cell r="BZ90" t="str">
            <v>4QE</v>
          </cell>
          <cell r="CC90">
            <v>12.489999999999995</v>
          </cell>
          <cell r="CF90">
            <v>36.44</v>
          </cell>
          <cell r="CI90">
            <v>44</v>
          </cell>
          <cell r="CJ90">
            <v>29.299999999999997</v>
          </cell>
          <cell r="CN90">
            <v>122.22999999999999</v>
          </cell>
          <cell r="CR90">
            <v>8</v>
          </cell>
          <cell r="CS90">
            <v>68.449999999999989</v>
          </cell>
          <cell r="CV90">
            <v>63.71999999999997</v>
          </cell>
          <cell r="CW90">
            <v>140.16999999999996</v>
          </cell>
          <cell r="DI90">
            <v>40</v>
          </cell>
          <cell r="DO90" t="str">
            <v>4QE</v>
          </cell>
          <cell r="DP90">
            <v>0</v>
          </cell>
          <cell r="DR90">
            <v>152</v>
          </cell>
          <cell r="DV90">
            <v>3361.4200000000005</v>
          </cell>
          <cell r="DZ90">
            <v>188</v>
          </cell>
          <cell r="ED90">
            <v>65.360000000000014</v>
          </cell>
          <cell r="EH90">
            <v>253.36</v>
          </cell>
          <cell r="EL90">
            <v>3614.7800000000007</v>
          </cell>
        </row>
        <row r="92">
          <cell r="BZ92" t="str">
            <v>2002E</v>
          </cell>
          <cell r="CC92">
            <v>35.489999999999995</v>
          </cell>
          <cell r="CF92">
            <v>171.74</v>
          </cell>
          <cell r="CI92">
            <v>120</v>
          </cell>
          <cell r="CJ92">
            <v>100.8</v>
          </cell>
          <cell r="CN92">
            <v>428.03000000000003</v>
          </cell>
          <cell r="CR92">
            <v>100</v>
          </cell>
          <cell r="CS92">
            <v>160.44999999999999</v>
          </cell>
          <cell r="CV92">
            <v>248.71999999999997</v>
          </cell>
          <cell r="CW92">
            <v>509.16999999999996</v>
          </cell>
          <cell r="DI92">
            <v>40</v>
          </cell>
          <cell r="DO92" t="str">
            <v>2002E</v>
          </cell>
          <cell r="DP92">
            <v>0</v>
          </cell>
          <cell r="DQ92">
            <v>0</v>
          </cell>
          <cell r="DR92">
            <v>657</v>
          </cell>
          <cell r="DV92">
            <v>12840.07</v>
          </cell>
          <cell r="DZ92">
            <v>685</v>
          </cell>
          <cell r="EA92">
            <v>0</v>
          </cell>
          <cell r="EB92">
            <v>0</v>
          </cell>
          <cell r="EC92">
            <v>0</v>
          </cell>
          <cell r="ED92">
            <v>342.24</v>
          </cell>
          <cell r="EF92">
            <v>0</v>
          </cell>
          <cell r="EG92">
            <v>0</v>
          </cell>
          <cell r="EH92">
            <v>1027.24</v>
          </cell>
          <cell r="EJ92">
            <v>0</v>
          </cell>
          <cell r="EK92">
            <v>0</v>
          </cell>
          <cell r="EL92">
            <v>13867.31</v>
          </cell>
        </row>
        <row r="94">
          <cell r="BZ94" t="str">
            <v>2003/02E</v>
          </cell>
          <cell r="CC94">
            <v>-0.2</v>
          </cell>
          <cell r="CF94">
            <v>-0.45</v>
          </cell>
          <cell r="CI94">
            <v>0.05</v>
          </cell>
          <cell r="CJ94">
            <v>0</v>
          </cell>
          <cell r="CN94">
            <v>-0.26212686874002916</v>
          </cell>
          <cell r="CR94">
            <v>-0.75</v>
          </cell>
          <cell r="CS94">
            <v>0.15</v>
          </cell>
          <cell r="CV94">
            <v>0.2</v>
          </cell>
          <cell r="CW94">
            <v>-0.17555136364437704</v>
          </cell>
          <cell r="DI94" t="str">
            <v>NM</v>
          </cell>
          <cell r="DO94" t="str">
            <v>2003/02E</v>
          </cell>
          <cell r="DP94" t="str">
            <v>NM</v>
          </cell>
          <cell r="DR94">
            <v>-0.05</v>
          </cell>
          <cell r="DV94">
            <v>2.7218038770311981E-2</v>
          </cell>
          <cell r="DZ94">
            <v>-0.03</v>
          </cell>
          <cell r="ED94">
            <v>-0.03</v>
          </cell>
          <cell r="EH94">
            <v>-3.0000000000000068E-2</v>
          </cell>
          <cell r="EL94">
            <v>2.3452356088028946E-2</v>
          </cell>
        </row>
        <row r="95">
          <cell r="BZ95" t="str">
            <v>2004/03E</v>
          </cell>
          <cell r="CC95">
            <v>0</v>
          </cell>
          <cell r="CF95">
            <v>-0.8</v>
          </cell>
          <cell r="CI95">
            <v>0</v>
          </cell>
          <cell r="CJ95">
            <v>0</v>
          </cell>
          <cell r="CN95">
            <v>-0.34495919973074729</v>
          </cell>
          <cell r="CR95">
            <v>-0.1</v>
          </cell>
          <cell r="CS95">
            <v>-0.4</v>
          </cell>
          <cell r="CV95">
            <v>-0.3</v>
          </cell>
          <cell r="CW95">
            <v>-0.31947201123912655</v>
          </cell>
          <cell r="DI95" t="str">
            <v>NM</v>
          </cell>
          <cell r="DO95" t="str">
            <v>2004/03E</v>
          </cell>
          <cell r="DP95" t="str">
            <v>NM</v>
          </cell>
          <cell r="DR95">
            <v>0</v>
          </cell>
          <cell r="DV95">
            <v>4.7380497474942468E-2</v>
          </cell>
          <cell r="DZ95">
            <v>0</v>
          </cell>
          <cell r="ED95">
            <v>0</v>
          </cell>
          <cell r="EH95">
            <v>0</v>
          </cell>
          <cell r="EL95">
            <v>4.4425109690528417E-2</v>
          </cell>
        </row>
        <row r="96">
          <cell r="BZ96" t="str">
            <v>2005/04E</v>
          </cell>
          <cell r="CC96">
            <v>0</v>
          </cell>
          <cell r="CF96">
            <v>-0.1</v>
          </cell>
          <cell r="CI96">
            <v>0</v>
          </cell>
          <cell r="CJ96">
            <v>0</v>
          </cell>
          <cell r="CN96">
            <v>-1.3165561579864721E-2</v>
          </cell>
          <cell r="CR96">
            <v>-0.1</v>
          </cell>
          <cell r="CS96">
            <v>-0.8</v>
          </cell>
          <cell r="CV96">
            <v>-0.8</v>
          </cell>
          <cell r="CW96">
            <v>-0.69352613285251685</v>
          </cell>
          <cell r="DI96" t="str">
            <v>NM</v>
          </cell>
          <cell r="DO96" t="str">
            <v>2005/04E</v>
          </cell>
          <cell r="DP96" t="e">
            <v>#DIV/0!</v>
          </cell>
          <cell r="DR96">
            <v>0</v>
          </cell>
          <cell r="DV96">
            <v>3.9587809309156209E-2</v>
          </cell>
          <cell r="DZ96">
            <v>0</v>
          </cell>
          <cell r="ED96">
            <v>0</v>
          </cell>
          <cell r="EH96">
            <v>0</v>
          </cell>
          <cell r="EL96">
            <v>3.722352868656547E-2</v>
          </cell>
        </row>
        <row r="97">
          <cell r="BZ97" t="str">
            <v>2006/05E</v>
          </cell>
          <cell r="CC97">
            <v>0</v>
          </cell>
          <cell r="CF97">
            <v>-0.1</v>
          </cell>
          <cell r="CI97">
            <v>0</v>
          </cell>
          <cell r="CJ97">
            <v>0</v>
          </cell>
          <cell r="CN97">
            <v>-1.2007085444694922E-2</v>
          </cell>
          <cell r="CR97">
            <v>-0.1</v>
          </cell>
          <cell r="CS97">
            <v>-0.1</v>
          </cell>
          <cell r="CV97">
            <v>-0.1</v>
          </cell>
          <cell r="CW97">
            <v>-9.9999999999999908E-2</v>
          </cell>
          <cell r="DI97" t="str">
            <v>NM</v>
          </cell>
          <cell r="DO97" t="str">
            <v>2006/05E</v>
          </cell>
          <cell r="DP97">
            <v>0.71428571428571419</v>
          </cell>
          <cell r="DR97">
            <v>0</v>
          </cell>
          <cell r="DV97">
            <v>1.7729598277320124E-2</v>
          </cell>
          <cell r="DZ97">
            <v>0</v>
          </cell>
          <cell r="ED97">
            <v>0</v>
          </cell>
          <cell r="EH97">
            <v>0</v>
          </cell>
          <cell r="EL97">
            <v>1.6708743210584361E-2</v>
          </cell>
        </row>
        <row r="98">
          <cell r="BZ98" t="str">
            <v>2007/06E</v>
          </cell>
          <cell r="CC98">
            <v>0</v>
          </cell>
          <cell r="CF98">
            <v>-0.1</v>
          </cell>
          <cell r="CI98">
            <v>0</v>
          </cell>
          <cell r="CJ98">
            <v>0</v>
          </cell>
          <cell r="CN98">
            <v>-1.0937706881318687E-2</v>
          </cell>
          <cell r="CR98">
            <v>-0.1</v>
          </cell>
          <cell r="CS98">
            <v>-0.1</v>
          </cell>
          <cell r="CV98">
            <v>-0.1</v>
          </cell>
          <cell r="CW98">
            <v>-9.9999999999999964E-2</v>
          </cell>
          <cell r="DI98" t="str">
            <v>NM</v>
          </cell>
          <cell r="DO98" t="str">
            <v>2007/06E</v>
          </cell>
          <cell r="DP98">
            <v>0.66666666666666674</v>
          </cell>
          <cell r="DR98">
            <v>0</v>
          </cell>
          <cell r="DV98">
            <v>3.7927502331943884E-2</v>
          </cell>
          <cell r="DZ98">
            <v>0</v>
          </cell>
          <cell r="ED98">
            <v>0</v>
          </cell>
          <cell r="EH98">
            <v>0</v>
          </cell>
          <cell r="EL98">
            <v>3.5779558706704802E-2</v>
          </cell>
        </row>
        <row r="100">
          <cell r="BZ100" t="str">
            <v>2003E</v>
          </cell>
          <cell r="CC100">
            <v>28.391999999999996</v>
          </cell>
          <cell r="CF100">
            <v>193.45700000000002</v>
          </cell>
          <cell r="CI100">
            <v>126</v>
          </cell>
          <cell r="CJ100">
            <v>100.8</v>
          </cell>
          <cell r="CN100">
            <v>448.64900000000006</v>
          </cell>
          <cell r="CR100">
            <v>107.57249999999998</v>
          </cell>
          <cell r="CS100">
            <v>397.26749999999998</v>
          </cell>
          <cell r="CV100">
            <v>430.46399999999994</v>
          </cell>
          <cell r="CW100">
            <v>935.30399999999986</v>
          </cell>
          <cell r="DI100">
            <v>300</v>
          </cell>
          <cell r="DO100" t="str">
            <v>2003E</v>
          </cell>
          <cell r="DP100">
            <v>0</v>
          </cell>
          <cell r="DR100">
            <v>655.5</v>
          </cell>
          <cell r="DV100">
            <v>14978.1333</v>
          </cell>
          <cell r="DZ100">
            <v>664.44999999999993</v>
          </cell>
          <cell r="ED100">
            <v>331.97280000000001</v>
          </cell>
          <cell r="EH100">
            <v>996.42279999999994</v>
          </cell>
          <cell r="EL100">
            <v>15974.5561</v>
          </cell>
        </row>
        <row r="101">
          <cell r="BZ101" t="str">
            <v>2004E</v>
          </cell>
          <cell r="CC101">
            <v>28.391999999999996</v>
          </cell>
          <cell r="CF101">
            <v>38.691399999999994</v>
          </cell>
          <cell r="CI101">
            <v>126</v>
          </cell>
          <cell r="CJ101">
            <v>100.8</v>
          </cell>
          <cell r="CN101">
            <v>293.88339999999999</v>
          </cell>
          <cell r="CR101">
            <v>96.815249999999978</v>
          </cell>
          <cell r="CS101">
            <v>238.36049999999997</v>
          </cell>
          <cell r="CV101">
            <v>301.32479999999993</v>
          </cell>
          <cell r="CW101">
            <v>636.50054999999986</v>
          </cell>
          <cell r="DI101">
            <v>1025</v>
          </cell>
          <cell r="DO101" t="str">
            <v>2004E</v>
          </cell>
          <cell r="DP101">
            <v>0</v>
          </cell>
          <cell r="DR101">
            <v>655.5</v>
          </cell>
          <cell r="DV101">
            <v>15687.804707000001</v>
          </cell>
          <cell r="DZ101">
            <v>664.44999999999993</v>
          </cell>
          <cell r="ED101">
            <v>331.97280000000001</v>
          </cell>
          <cell r="EH101">
            <v>996.42279999999994</v>
          </cell>
          <cell r="EL101">
            <v>16684.227507</v>
          </cell>
        </row>
        <row r="102">
          <cell r="BZ102" t="str">
            <v>2005E</v>
          </cell>
          <cell r="CC102">
            <v>28.391999999999996</v>
          </cell>
          <cell r="CF102">
            <v>34.822259999999993</v>
          </cell>
          <cell r="CI102">
            <v>126</v>
          </cell>
          <cell r="CJ102">
            <v>100.8</v>
          </cell>
          <cell r="CN102">
            <v>290.01425999999998</v>
          </cell>
          <cell r="CR102">
            <v>87.133724999999984</v>
          </cell>
          <cell r="CS102">
            <v>47.672099999999986</v>
          </cell>
          <cell r="CV102">
            <v>60.264959999999974</v>
          </cell>
          <cell r="CW102">
            <v>195.07078499999994</v>
          </cell>
          <cell r="DI102">
            <v>1675</v>
          </cell>
          <cell r="DO102" t="str">
            <v>2005E</v>
          </cell>
          <cell r="DP102">
            <v>175</v>
          </cell>
          <cell r="DR102">
            <v>655.5</v>
          </cell>
          <cell r="DV102">
            <v>16308.85052822</v>
          </cell>
          <cell r="DZ102">
            <v>664.44999999999993</v>
          </cell>
          <cell r="ED102">
            <v>331.97280000000001</v>
          </cell>
          <cell r="EH102">
            <v>996.42279999999994</v>
          </cell>
          <cell r="EL102">
            <v>17305.273328219999</v>
          </cell>
        </row>
        <row r="103">
          <cell r="BZ103" t="str">
            <v>2006E</v>
          </cell>
          <cell r="CC103">
            <v>28.391999999999996</v>
          </cell>
          <cell r="CF103">
            <v>31.340033999999996</v>
          </cell>
          <cell r="CI103">
            <v>126</v>
          </cell>
          <cell r="CJ103">
            <v>100.8</v>
          </cell>
          <cell r="CN103">
            <v>286.53203400000001</v>
          </cell>
          <cell r="CR103">
            <v>78.420352499999993</v>
          </cell>
          <cell r="CS103">
            <v>42.904889999999988</v>
          </cell>
          <cell r="CV103">
            <v>54.238463999999979</v>
          </cell>
          <cell r="CW103">
            <v>175.56370649999997</v>
          </cell>
          <cell r="DI103">
            <v>2325</v>
          </cell>
          <cell r="DO103" t="str">
            <v>2006E</v>
          </cell>
          <cell r="DP103">
            <v>300</v>
          </cell>
          <cell r="DR103">
            <v>655.5</v>
          </cell>
          <cell r="DV103">
            <v>16597.999896450201</v>
          </cell>
          <cell r="DZ103">
            <v>664.44999999999993</v>
          </cell>
          <cell r="ED103">
            <v>331.97280000000001</v>
          </cell>
          <cell r="EH103">
            <v>996.42279999999994</v>
          </cell>
          <cell r="EL103">
            <v>17594.422696450201</v>
          </cell>
        </row>
        <row r="104">
          <cell r="BZ104" t="str">
            <v>2007E</v>
          </cell>
          <cell r="CC104">
            <v>28.391999999999996</v>
          </cell>
          <cell r="CF104">
            <v>28.206030599999998</v>
          </cell>
          <cell r="CI104">
            <v>126</v>
          </cell>
          <cell r="CJ104">
            <v>100.8</v>
          </cell>
          <cell r="CN104">
            <v>283.39803059999997</v>
          </cell>
          <cell r="CR104">
            <v>70.578317249999998</v>
          </cell>
          <cell r="CS104">
            <v>38.614400999999987</v>
          </cell>
          <cell r="CV104">
            <v>48.814617599999984</v>
          </cell>
          <cell r="CW104">
            <v>158.00733584999998</v>
          </cell>
          <cell r="DI104">
            <v>2900</v>
          </cell>
          <cell r="DO104" t="str">
            <v>2007E</v>
          </cell>
          <cell r="DP104">
            <v>500</v>
          </cell>
          <cell r="DR104">
            <v>655.5</v>
          </cell>
          <cell r="DV104">
            <v>17227.52057622842</v>
          </cell>
          <cell r="DZ104">
            <v>664.44999999999993</v>
          </cell>
          <cell r="ED104">
            <v>331.97280000000001</v>
          </cell>
          <cell r="EH104">
            <v>996.42279999999994</v>
          </cell>
          <cell r="EL104">
            <v>18223.943376228421</v>
          </cell>
        </row>
        <row r="105">
          <cell r="BZ105" t="str">
            <v>(a) Future patent expirations include the following:</v>
          </cell>
        </row>
        <row r="106">
          <cell r="BZ106" t="str">
            <v xml:space="preserve">      Stadol (8/01); Duricef (2002); Monopril (12/4/02); Cefzil (5/05); and Serzone (2003).  </v>
          </cell>
        </row>
        <row r="107">
          <cell r="BZ107" t="str">
            <v xml:space="preserve">(b) Diagnostics was sold to Bracco in 3Q94.  Under an agreement with Bracco, Isovue sales will continue to </v>
          </cell>
        </row>
        <row r="108">
          <cell r="BZ108" t="str">
            <v xml:space="preserve">      be recorded as sales on BMY's income statement from 3Q94 forward. </v>
          </cell>
        </row>
        <row r="109">
          <cell r="BZ109" t="str">
            <v xml:space="preserve">(c) Analgesics include sales of UPSA, a French pharmaceutical firm acquired in 3Q94 with annual sales </v>
          </cell>
        </row>
        <row r="110">
          <cell r="BZ110" t="str">
            <v xml:space="preserve">      approximating $350 million.  Some 36% of UPSA sales are abroad, and it has an Rx presence.  About </v>
          </cell>
        </row>
        <row r="111">
          <cell r="BZ111" t="str">
            <v xml:space="preserve">      80-90% of UPSA's sales appear in Non-Prescription Healthcare beginning 4Q94. </v>
          </cell>
        </row>
        <row r="113">
          <cell r="BZ113" t="str">
            <v>E = Morgan Stanley  Research Estimates          NM = Not Meaningful        A = Actual</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5 yr Sales and Earnings"/>
      <sheetName val="PFE Qtr Income"/>
      <sheetName val="PFE Qtr Margin"/>
      <sheetName val="PFE Qtr Sales"/>
      <sheetName val="Product History"/>
      <sheetName val="BalanceSheet"/>
      <sheetName val="Cashflow"/>
      <sheetName val="ROIC"/>
      <sheetName val="Global Feed"/>
      <sheetName val="Summary"/>
      <sheetName val="PFE Q-Preview"/>
      <sheetName val="PFE Qtr Incomesolo"/>
      <sheetName val="PFE Qtr Marginsolo"/>
      <sheetName val="PFE Qrt Salessolo"/>
      <sheetName val="PFE 2 Qtr Salessolo"/>
      <sheetName val="PHAPharmaSales"/>
      <sheetName val="Combined products"/>
      <sheetName val="PFE-PHA mergerold"/>
      <sheetName val="P&amp;L Charts"/>
      <sheetName val="mStart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2">
          <cell r="A2" t="str">
            <v>Pfizer</v>
          </cell>
        </row>
        <row r="3">
          <cell r="A3" t="str">
            <v>Quarterly/Annual Sales Analysis 2000-2006E</v>
          </cell>
        </row>
        <row r="4">
          <cell r="A4" t="str">
            <v>($ Millions)</v>
          </cell>
        </row>
        <row r="6">
          <cell r="G6" t="str">
            <v>PFE</v>
          </cell>
          <cell r="N6" t="str">
            <v>Tetra</v>
          </cell>
        </row>
        <row r="7">
          <cell r="B7" t="str">
            <v>Capsugel</v>
          </cell>
          <cell r="F7" t="str">
            <v>Animal Health</v>
          </cell>
          <cell r="J7" t="str">
            <v>Shaving Products</v>
          </cell>
          <cell r="N7" t="str">
            <v>Pet Lines</v>
          </cell>
          <cell r="S7" t="str">
            <v>Consumer Health</v>
          </cell>
        </row>
        <row r="8">
          <cell r="B8" t="str">
            <v>U.S.</v>
          </cell>
          <cell r="C8" t="str">
            <v>Intl</v>
          </cell>
          <cell r="D8" t="str">
            <v>W/W</v>
          </cell>
          <cell r="F8" t="str">
            <v>U.S.</v>
          </cell>
          <cell r="G8" t="str">
            <v>Intl</v>
          </cell>
          <cell r="H8" t="str">
            <v xml:space="preserve">Total  </v>
          </cell>
          <cell r="J8" t="str">
            <v>U.S.</v>
          </cell>
          <cell r="K8" t="str">
            <v>Intl</v>
          </cell>
          <cell r="L8" t="str">
            <v>W/W</v>
          </cell>
          <cell r="N8" t="str">
            <v>U.S.</v>
          </cell>
          <cell r="O8" t="str">
            <v>Intl</v>
          </cell>
          <cell r="P8" t="str">
            <v>W/W</v>
          </cell>
          <cell r="R8" t="str">
            <v>U.S.</v>
          </cell>
          <cell r="S8" t="str">
            <v>Intl</v>
          </cell>
          <cell r="T8" t="str">
            <v>W/W</v>
          </cell>
        </row>
        <row r="10">
          <cell r="A10" t="str">
            <v>1998</v>
          </cell>
          <cell r="E10" t="e">
            <v>#NULL!</v>
          </cell>
          <cell r="M10" t="e">
            <v>#NULL!</v>
          </cell>
        </row>
        <row r="11">
          <cell r="A11" t="str">
            <v xml:space="preserve"> 1Q</v>
          </cell>
          <cell r="B11">
            <v>42</v>
          </cell>
          <cell r="C11">
            <v>52</v>
          </cell>
          <cell r="D11">
            <v>94</v>
          </cell>
          <cell r="F11">
            <v>114</v>
          </cell>
          <cell r="G11">
            <v>173</v>
          </cell>
          <cell r="H11">
            <v>287</v>
          </cell>
          <cell r="J11">
            <v>51</v>
          </cell>
          <cell r="K11">
            <v>116</v>
          </cell>
          <cell r="L11">
            <v>167</v>
          </cell>
          <cell r="N11">
            <v>20</v>
          </cell>
          <cell r="O11">
            <v>29</v>
          </cell>
          <cell r="P11">
            <v>49</v>
          </cell>
          <cell r="R11">
            <v>368</v>
          </cell>
          <cell r="S11">
            <v>201</v>
          </cell>
          <cell r="T11">
            <v>569</v>
          </cell>
        </row>
        <row r="12">
          <cell r="A12" t="str">
            <v xml:space="preserve"> 2Q</v>
          </cell>
          <cell r="B12">
            <v>41</v>
          </cell>
          <cell r="C12">
            <v>51</v>
          </cell>
          <cell r="D12">
            <v>92</v>
          </cell>
          <cell r="F12">
            <v>132</v>
          </cell>
          <cell r="G12">
            <v>186</v>
          </cell>
          <cell r="H12">
            <v>318</v>
          </cell>
          <cell r="J12">
            <v>63</v>
          </cell>
          <cell r="K12">
            <v>133</v>
          </cell>
          <cell r="L12">
            <v>196</v>
          </cell>
          <cell r="N12">
            <v>20</v>
          </cell>
          <cell r="O12">
            <v>29</v>
          </cell>
          <cell r="P12">
            <v>49</v>
          </cell>
          <cell r="R12">
            <v>354</v>
          </cell>
          <cell r="S12">
            <v>217</v>
          </cell>
          <cell r="T12">
            <v>571</v>
          </cell>
        </row>
        <row r="13">
          <cell r="A13" t="str">
            <v xml:space="preserve"> 3Q</v>
          </cell>
          <cell r="B13">
            <v>39</v>
          </cell>
          <cell r="C13">
            <v>46</v>
          </cell>
          <cell r="D13">
            <v>85</v>
          </cell>
          <cell r="F13">
            <v>154</v>
          </cell>
          <cell r="G13">
            <v>163</v>
          </cell>
          <cell r="H13">
            <v>317</v>
          </cell>
          <cell r="J13">
            <v>60</v>
          </cell>
          <cell r="K13">
            <v>133</v>
          </cell>
          <cell r="L13">
            <v>193</v>
          </cell>
          <cell r="N13">
            <v>20</v>
          </cell>
          <cell r="O13">
            <v>26</v>
          </cell>
          <cell r="P13">
            <v>46</v>
          </cell>
          <cell r="R13">
            <v>362</v>
          </cell>
          <cell r="S13">
            <v>211</v>
          </cell>
          <cell r="T13">
            <v>573</v>
          </cell>
        </row>
        <row r="14">
          <cell r="A14" t="str">
            <v xml:space="preserve"> 4Q</v>
          </cell>
          <cell r="B14">
            <v>41</v>
          </cell>
          <cell r="C14">
            <v>54</v>
          </cell>
          <cell r="D14">
            <v>95</v>
          </cell>
          <cell r="F14">
            <v>156</v>
          </cell>
          <cell r="G14">
            <v>226</v>
          </cell>
          <cell r="H14">
            <v>382</v>
          </cell>
          <cell r="J14">
            <v>53</v>
          </cell>
          <cell r="K14">
            <v>136</v>
          </cell>
          <cell r="L14">
            <v>189</v>
          </cell>
          <cell r="N14">
            <v>19</v>
          </cell>
          <cell r="O14">
            <v>30</v>
          </cell>
          <cell r="P14">
            <v>49</v>
          </cell>
          <cell r="R14">
            <v>353</v>
          </cell>
          <cell r="S14">
            <v>235</v>
          </cell>
          <cell r="T14">
            <v>588</v>
          </cell>
        </row>
        <row r="16">
          <cell r="A16" t="str">
            <v>Year</v>
          </cell>
          <cell r="B16">
            <v>163</v>
          </cell>
          <cell r="C16">
            <v>203</v>
          </cell>
          <cell r="D16">
            <v>366</v>
          </cell>
          <cell r="F16">
            <v>556</v>
          </cell>
          <cell r="G16">
            <v>748</v>
          </cell>
          <cell r="H16">
            <v>1304</v>
          </cell>
          <cell r="J16">
            <v>227</v>
          </cell>
          <cell r="K16">
            <v>518</v>
          </cell>
          <cell r="L16">
            <v>745</v>
          </cell>
          <cell r="N16">
            <v>79</v>
          </cell>
          <cell r="O16">
            <v>114</v>
          </cell>
          <cell r="P16">
            <v>193</v>
          </cell>
          <cell r="R16">
            <v>1437</v>
          </cell>
          <cell r="S16">
            <v>864</v>
          </cell>
          <cell r="T16">
            <v>2301</v>
          </cell>
        </row>
        <row r="18">
          <cell r="A18" t="str">
            <v>1999/98</v>
          </cell>
        </row>
        <row r="19">
          <cell r="A19" t="str">
            <v xml:space="preserve"> 1QA</v>
          </cell>
          <cell r="B19">
            <v>-7.1428571428571397E-2</v>
          </cell>
          <cell r="C19">
            <v>3.8461538461538547E-2</v>
          </cell>
          <cell r="D19">
            <v>-1.0638297872340385E-2</v>
          </cell>
          <cell r="F19">
            <v>2.6315789473684292E-2</v>
          </cell>
          <cell r="G19">
            <v>-4.0462427745664775E-2</v>
          </cell>
          <cell r="H19">
            <v>-1.3937282229965153E-2</v>
          </cell>
          <cell r="J19">
            <v>0.11764705882352944</v>
          </cell>
          <cell r="K19">
            <v>0.10344827586206895</v>
          </cell>
          <cell r="L19">
            <v>0.10778443113772451</v>
          </cell>
          <cell r="N19">
            <v>-1.5000000000000013E-2</v>
          </cell>
          <cell r="O19">
            <v>3.4482758620689724E-2</v>
          </cell>
          <cell r="P19">
            <v>1.4285714285714235E-2</v>
          </cell>
          <cell r="R19">
            <v>0.16576086956521729</v>
          </cell>
          <cell r="S19">
            <v>7.9601990049751326E-2</v>
          </cell>
          <cell r="T19">
            <v>0.13532513181019334</v>
          </cell>
        </row>
        <row r="20">
          <cell r="A20" t="str">
            <v xml:space="preserve"> 2QA</v>
          </cell>
          <cell r="B20">
            <v>2.4390243902439046E-2</v>
          </cell>
          <cell r="C20">
            <v>0.13725490196078427</v>
          </cell>
          <cell r="D20">
            <v>8.6956521739130377E-2</v>
          </cell>
          <cell r="F20">
            <v>2.2727272727272707E-2</v>
          </cell>
          <cell r="G20">
            <v>-9.6774193548387122E-2</v>
          </cell>
          <cell r="H20">
            <v>-4.7169811320754707E-2</v>
          </cell>
          <cell r="J20">
            <v>1.5873015873015817E-2</v>
          </cell>
          <cell r="K20">
            <v>-2.2556390977443663E-2</v>
          </cell>
          <cell r="L20">
            <v>-1.0204081632653073E-2</v>
          </cell>
          <cell r="N20">
            <v>5.0000000000000044E-2</v>
          </cell>
          <cell r="O20">
            <v>0</v>
          </cell>
          <cell r="P20">
            <v>2.0408163265306145E-2</v>
          </cell>
          <cell r="R20">
            <v>0.14971751412429368</v>
          </cell>
          <cell r="S20">
            <v>6.4516129032258007E-2</v>
          </cell>
          <cell r="T20">
            <v>0.11733800350262702</v>
          </cell>
        </row>
        <row r="21">
          <cell r="A21" t="str">
            <v xml:space="preserve"> 3QA</v>
          </cell>
          <cell r="B21">
            <v>0.10256410256410264</v>
          </cell>
          <cell r="C21">
            <v>0.17391304347826098</v>
          </cell>
          <cell r="D21">
            <v>0.14117647058823524</v>
          </cell>
          <cell r="F21">
            <v>0.16233766233766245</v>
          </cell>
          <cell r="G21">
            <v>-5.5214723926380382E-2</v>
          </cell>
          <cell r="H21">
            <v>5.0473186119873725E-2</v>
          </cell>
          <cell r="J21">
            <v>0.28333333333333344</v>
          </cell>
          <cell r="K21">
            <v>1.5037593984962516E-2</v>
          </cell>
          <cell r="L21">
            <v>9.8445595854922185E-2</v>
          </cell>
          <cell r="N21">
            <v>0.10000000000000009</v>
          </cell>
          <cell r="O21">
            <v>0.15384615384615374</v>
          </cell>
          <cell r="P21">
            <v>0.13043478260869557</v>
          </cell>
          <cell r="R21">
            <v>0.21823204419889497</v>
          </cell>
          <cell r="S21">
            <v>-0.12322274881516593</v>
          </cell>
          <cell r="T21">
            <v>9.2495636998254804E-2</v>
          </cell>
        </row>
        <row r="22">
          <cell r="A22" t="str">
            <v xml:space="preserve"> 4QA</v>
          </cell>
          <cell r="B22">
            <v>4.8780487804878092E-2</v>
          </cell>
          <cell r="C22">
            <v>7.4074074074074181E-2</v>
          </cell>
          <cell r="D22">
            <v>6.315789473684208E-2</v>
          </cell>
          <cell r="F22">
            <v>0.30769230769230771</v>
          </cell>
          <cell r="G22">
            <v>-7.0796460176991149E-2</v>
          </cell>
          <cell r="H22">
            <v>8.3769633507853491E-2</v>
          </cell>
          <cell r="J22">
            <v>0.16981132075471694</v>
          </cell>
          <cell r="K22">
            <v>2.2058823529411686E-2</v>
          </cell>
          <cell r="L22">
            <v>6.3492063492063489E-2</v>
          </cell>
          <cell r="N22">
            <v>0.10526315789473695</v>
          </cell>
          <cell r="O22">
            <v>0</v>
          </cell>
          <cell r="P22">
            <v>4.081632653061229E-2</v>
          </cell>
          <cell r="R22">
            <v>0.22662889518413598</v>
          </cell>
          <cell r="S22">
            <v>-0.11063829787234047</v>
          </cell>
          <cell r="T22">
            <v>9.1836734693877542E-2</v>
          </cell>
        </row>
        <row r="24">
          <cell r="A24" t="str">
            <v>Year</v>
          </cell>
          <cell r="B24">
            <v>3.0674846625766916E-2</v>
          </cell>
          <cell r="C24">
            <v>9.8522167487684831E-2</v>
          </cell>
          <cell r="D24">
            <v>6.8306010928961713E-2</v>
          </cell>
          <cell r="F24">
            <v>0.1420863309352518</v>
          </cell>
          <cell r="G24">
            <v>-6.6844919786096302E-2</v>
          </cell>
          <cell r="H24">
            <v>2.223926380368102E-2</v>
          </cell>
          <cell r="J24">
            <v>0.14537444933920707</v>
          </cell>
          <cell r="K24">
            <v>2.7027027027026973E-2</v>
          </cell>
          <cell r="L24">
            <v>6.3087248322147627E-2</v>
          </cell>
          <cell r="N24">
            <v>7.2151898734177156E-2</v>
          </cell>
          <cell r="O24">
            <v>3.5087719298245723E-2</v>
          </cell>
          <cell r="P24">
            <v>5.0259067357512954E-2</v>
          </cell>
          <cell r="R24">
            <v>0.18928322894919969</v>
          </cell>
          <cell r="S24">
            <v>-2.546296296296291E-2</v>
          </cell>
          <cell r="T24">
            <v>0.10864841373315959</v>
          </cell>
        </row>
        <row r="26">
          <cell r="A26" t="str">
            <v>1999</v>
          </cell>
          <cell r="E26" t="e">
            <v>#NULL!</v>
          </cell>
          <cell r="M26" t="e">
            <v>#NULL!</v>
          </cell>
        </row>
        <row r="27">
          <cell r="A27" t="str">
            <v xml:space="preserve"> 1Q</v>
          </cell>
          <cell r="B27">
            <v>39</v>
          </cell>
          <cell r="C27">
            <v>54</v>
          </cell>
          <cell r="D27">
            <v>93</v>
          </cell>
          <cell r="F27">
            <v>117</v>
          </cell>
          <cell r="G27">
            <v>166</v>
          </cell>
          <cell r="H27">
            <v>283</v>
          </cell>
          <cell r="J27">
            <v>57</v>
          </cell>
          <cell r="K27">
            <v>128</v>
          </cell>
          <cell r="L27">
            <v>185</v>
          </cell>
          <cell r="N27">
            <v>19.7</v>
          </cell>
          <cell r="O27">
            <v>30</v>
          </cell>
          <cell r="P27">
            <v>49.7</v>
          </cell>
          <cell r="R27">
            <v>429</v>
          </cell>
          <cell r="S27">
            <v>217</v>
          </cell>
          <cell r="T27">
            <v>646</v>
          </cell>
        </row>
        <row r="28">
          <cell r="A28" t="str">
            <v xml:space="preserve"> 2Q</v>
          </cell>
          <cell r="B28">
            <v>42</v>
          </cell>
          <cell r="C28">
            <v>58</v>
          </cell>
          <cell r="D28">
            <v>100</v>
          </cell>
          <cell r="F28">
            <v>135</v>
          </cell>
          <cell r="G28">
            <v>168</v>
          </cell>
          <cell r="H28">
            <v>303</v>
          </cell>
          <cell r="J28">
            <v>64</v>
          </cell>
          <cell r="K28">
            <v>130</v>
          </cell>
          <cell r="L28">
            <v>194</v>
          </cell>
          <cell r="N28">
            <v>21</v>
          </cell>
          <cell r="O28">
            <v>29</v>
          </cell>
          <cell r="P28">
            <v>50</v>
          </cell>
          <cell r="R28">
            <v>407</v>
          </cell>
          <cell r="S28">
            <v>231</v>
          </cell>
          <cell r="T28">
            <v>638</v>
          </cell>
        </row>
        <row r="29">
          <cell r="A29" t="str">
            <v xml:space="preserve"> 3Q</v>
          </cell>
          <cell r="B29">
            <v>43</v>
          </cell>
          <cell r="C29">
            <v>54</v>
          </cell>
          <cell r="D29">
            <v>97</v>
          </cell>
          <cell r="F29">
            <v>179</v>
          </cell>
          <cell r="G29">
            <v>154</v>
          </cell>
          <cell r="H29">
            <v>333</v>
          </cell>
          <cell r="J29">
            <v>77</v>
          </cell>
          <cell r="K29">
            <v>135</v>
          </cell>
          <cell r="L29">
            <v>212</v>
          </cell>
          <cell r="N29">
            <v>22</v>
          </cell>
          <cell r="O29">
            <v>30</v>
          </cell>
          <cell r="P29">
            <v>52</v>
          </cell>
          <cell r="R29">
            <v>441</v>
          </cell>
          <cell r="S29">
            <v>185</v>
          </cell>
          <cell r="T29">
            <v>626</v>
          </cell>
        </row>
        <row r="30">
          <cell r="A30" t="str">
            <v xml:space="preserve"> 4Q</v>
          </cell>
          <cell r="B30">
            <v>43</v>
          </cell>
          <cell r="C30">
            <v>58</v>
          </cell>
          <cell r="D30">
            <v>101</v>
          </cell>
          <cell r="F30">
            <v>204</v>
          </cell>
          <cell r="G30">
            <v>210</v>
          </cell>
          <cell r="H30">
            <v>414</v>
          </cell>
          <cell r="J30">
            <v>62</v>
          </cell>
          <cell r="K30">
            <v>139</v>
          </cell>
          <cell r="L30">
            <v>201</v>
          </cell>
          <cell r="N30">
            <v>21</v>
          </cell>
          <cell r="O30">
            <v>30</v>
          </cell>
          <cell r="P30">
            <v>51</v>
          </cell>
          <cell r="R30">
            <v>433</v>
          </cell>
          <cell r="S30">
            <v>209</v>
          </cell>
          <cell r="T30">
            <v>642</v>
          </cell>
        </row>
        <row r="32">
          <cell r="A32" t="str">
            <v>Year</v>
          </cell>
          <cell r="B32">
            <v>168</v>
          </cell>
          <cell r="C32">
            <v>223</v>
          </cell>
          <cell r="D32">
            <v>391</v>
          </cell>
          <cell r="F32">
            <v>635</v>
          </cell>
          <cell r="G32">
            <v>698</v>
          </cell>
          <cell r="H32">
            <v>1333</v>
          </cell>
          <cell r="J32">
            <v>260</v>
          </cell>
          <cell r="K32">
            <v>532</v>
          </cell>
          <cell r="L32">
            <v>792</v>
          </cell>
          <cell r="N32">
            <v>84.7</v>
          </cell>
          <cell r="O32">
            <v>118</v>
          </cell>
          <cell r="P32">
            <v>202.7</v>
          </cell>
          <cell r="R32">
            <v>1709</v>
          </cell>
          <cell r="S32">
            <v>842</v>
          </cell>
          <cell r="T32">
            <v>2551</v>
          </cell>
        </row>
        <row r="34">
          <cell r="A34" t="str">
            <v>2000/99</v>
          </cell>
        </row>
        <row r="35">
          <cell r="A35" t="str">
            <v xml:space="preserve"> 1QA</v>
          </cell>
          <cell r="B35">
            <v>7.6923076923076872E-2</v>
          </cell>
          <cell r="C35">
            <v>8.5185185185185253E-2</v>
          </cell>
          <cell r="D35">
            <v>8.172043010752672E-2</v>
          </cell>
          <cell r="F35">
            <v>-5.9829059829059839E-2</v>
          </cell>
          <cell r="G35">
            <v>-7.2289156626506035E-2</v>
          </cell>
          <cell r="H35">
            <v>-6.7137809187279185E-2</v>
          </cell>
          <cell r="J35">
            <v>1.7543859649122862E-2</v>
          </cell>
          <cell r="K35">
            <v>-1.5625E-2</v>
          </cell>
          <cell r="L35">
            <v>-5.4054054054053502E-3</v>
          </cell>
          <cell r="N35">
            <v>-3.5532994923857864E-2</v>
          </cell>
          <cell r="O35">
            <v>0</v>
          </cell>
          <cell r="P35">
            <v>-1.4084507042253613E-2</v>
          </cell>
          <cell r="R35">
            <v>-1.3986013986013957E-2</v>
          </cell>
          <cell r="S35">
            <v>-0.16129032258064513</v>
          </cell>
          <cell r="T35">
            <v>-6.3467492260061875E-2</v>
          </cell>
        </row>
        <row r="36">
          <cell r="A36" t="str">
            <v xml:space="preserve"> 2QA</v>
          </cell>
          <cell r="B36">
            <v>4.7619047619047672E-2</v>
          </cell>
          <cell r="C36">
            <v>3.4482758620689724E-2</v>
          </cell>
          <cell r="D36">
            <v>4.0000000000000036E-2</v>
          </cell>
          <cell r="F36">
            <v>-0.19999999999999996</v>
          </cell>
          <cell r="G36">
            <v>6.5476190476190466E-2</v>
          </cell>
          <cell r="H36">
            <v>-5.2805280528052778E-2</v>
          </cell>
          <cell r="J36">
            <v>0.15625</v>
          </cell>
          <cell r="K36">
            <v>-3.8461538461538436E-2</v>
          </cell>
          <cell r="L36">
            <v>2.5773195876288568E-2</v>
          </cell>
          <cell r="N36">
            <v>0</v>
          </cell>
          <cell r="O36">
            <v>0</v>
          </cell>
          <cell r="P36">
            <v>0</v>
          </cell>
          <cell r="R36">
            <v>1.4742014742014753E-2</v>
          </cell>
          <cell r="S36">
            <v>-0.19913419913419916</v>
          </cell>
          <cell r="T36">
            <v>-6.2695924764890276E-2</v>
          </cell>
        </row>
        <row r="37">
          <cell r="A37" t="str">
            <v xml:space="preserve"> 3QA</v>
          </cell>
          <cell r="B37">
            <v>2.3255813953488413E-2</v>
          </cell>
          <cell r="C37">
            <v>0</v>
          </cell>
          <cell r="D37">
            <v>1.0309278350515427E-2</v>
          </cell>
          <cell r="F37">
            <v>-0.63128491620111737</v>
          </cell>
          <cell r="G37">
            <v>-7.7922077922077948E-2</v>
          </cell>
          <cell r="H37">
            <v>-0.37537537537537535</v>
          </cell>
          <cell r="J37">
            <v>-2.5974025974025983E-2</v>
          </cell>
          <cell r="K37">
            <v>-8.1481481481481488E-2</v>
          </cell>
          <cell r="L37">
            <v>-6.1320754716981174E-2</v>
          </cell>
          <cell r="N37">
            <v>-9.0909090909090939E-2</v>
          </cell>
          <cell r="O37">
            <v>-0.1333333333333333</v>
          </cell>
          <cell r="P37">
            <v>-0.11538461538461542</v>
          </cell>
          <cell r="R37">
            <v>-9.7505668934240397E-2</v>
          </cell>
          <cell r="S37">
            <v>-7.567567567567568E-2</v>
          </cell>
          <cell r="T37">
            <v>-9.1054313099041551E-2</v>
          </cell>
        </row>
        <row r="38">
          <cell r="A38" t="str">
            <v xml:space="preserve"> 4QA</v>
          </cell>
          <cell r="B38">
            <v>0</v>
          </cell>
          <cell r="C38">
            <v>3.4482758620689724E-2</v>
          </cell>
          <cell r="D38">
            <v>1.980198019801982E-2</v>
          </cell>
          <cell r="F38">
            <v>-0.50980392156862742</v>
          </cell>
          <cell r="G38">
            <v>-8.5714285714285743E-2</v>
          </cell>
          <cell r="H38">
            <v>-0.29468599033816423</v>
          </cell>
          <cell r="J38">
            <v>-1.6129032258064502E-2</v>
          </cell>
          <cell r="K38">
            <v>-7.9136690647481966E-2</v>
          </cell>
          <cell r="L38">
            <v>-5.9701492537313383E-2</v>
          </cell>
          <cell r="N38">
            <v>0</v>
          </cell>
          <cell r="O38">
            <v>-0.16666666666666663</v>
          </cell>
          <cell r="P38">
            <v>-9.8039215686274495E-2</v>
          </cell>
          <cell r="R38">
            <v>-9.9307159353348773E-2</v>
          </cell>
          <cell r="S38">
            <v>-9.0909090909090939E-2</v>
          </cell>
          <cell r="T38">
            <v>-9.6573208722741444E-2</v>
          </cell>
        </row>
        <row r="40">
          <cell r="A40" t="str">
            <v>Year</v>
          </cell>
          <cell r="B40">
            <v>2.9761904761904656E-2</v>
          </cell>
          <cell r="C40">
            <v>4.3049327354260036E-2</v>
          </cell>
          <cell r="D40">
            <v>3.7340153452685376E-2</v>
          </cell>
          <cell r="F40">
            <v>-0.39527559055118111</v>
          </cell>
          <cell r="G40">
            <v>-4.4412607449856756E-2</v>
          </cell>
          <cell r="H40">
            <v>-0.21155288822205554</v>
          </cell>
          <cell r="J40">
            <v>3.076923076923066E-2</v>
          </cell>
          <cell r="K40">
            <v>-5.4511278195488733E-2</v>
          </cell>
          <cell r="L40">
            <v>-2.6515151515151492E-2</v>
          </cell>
          <cell r="N40">
            <v>-4.3683589138134638E-2</v>
          </cell>
          <cell r="O40">
            <v>-6.7796610169491567E-2</v>
          </cell>
          <cell r="P40">
            <v>-5.7720769610261402E-2</v>
          </cell>
          <cell r="R40">
            <v>-4.9736688121708617E-2</v>
          </cell>
          <cell r="S40">
            <v>-0.13539192399049882</v>
          </cell>
          <cell r="T40">
            <v>-7.800862406899256E-2</v>
          </cell>
        </row>
        <row r="42">
          <cell r="A42">
            <v>2000</v>
          </cell>
        </row>
        <row r="43">
          <cell r="A43" t="str">
            <v xml:space="preserve"> 1QA</v>
          </cell>
          <cell r="B43">
            <v>42</v>
          </cell>
          <cell r="C43">
            <v>58.6</v>
          </cell>
          <cell r="D43">
            <v>100.6</v>
          </cell>
          <cell r="F43">
            <v>110</v>
          </cell>
          <cell r="G43">
            <v>154</v>
          </cell>
          <cell r="H43">
            <v>264</v>
          </cell>
          <cell r="J43">
            <v>58</v>
          </cell>
          <cell r="K43">
            <v>126</v>
          </cell>
          <cell r="L43">
            <v>184</v>
          </cell>
          <cell r="N43">
            <v>19</v>
          </cell>
          <cell r="O43">
            <v>30</v>
          </cell>
          <cell r="P43">
            <v>49</v>
          </cell>
          <cell r="R43">
            <v>423</v>
          </cell>
          <cell r="S43">
            <v>182</v>
          </cell>
          <cell r="T43">
            <v>605</v>
          </cell>
        </row>
        <row r="44">
          <cell r="A44" t="str">
            <v xml:space="preserve"> 2QA</v>
          </cell>
          <cell r="B44">
            <v>44</v>
          </cell>
          <cell r="C44">
            <v>60</v>
          </cell>
          <cell r="D44">
            <v>104</v>
          </cell>
          <cell r="F44">
            <v>108</v>
          </cell>
          <cell r="G44">
            <v>179</v>
          </cell>
          <cell r="H44">
            <v>287</v>
          </cell>
          <cell r="J44">
            <v>74</v>
          </cell>
          <cell r="K44">
            <v>125</v>
          </cell>
          <cell r="L44">
            <v>199</v>
          </cell>
          <cell r="N44">
            <v>21</v>
          </cell>
          <cell r="O44">
            <v>29</v>
          </cell>
          <cell r="P44">
            <v>50</v>
          </cell>
          <cell r="R44">
            <v>413</v>
          </cell>
          <cell r="S44">
            <v>185</v>
          </cell>
          <cell r="T44">
            <v>598</v>
          </cell>
        </row>
        <row r="45">
          <cell r="A45" t="str">
            <v xml:space="preserve"> 3QA</v>
          </cell>
          <cell r="B45">
            <v>44</v>
          </cell>
          <cell r="C45">
            <v>54</v>
          </cell>
          <cell r="D45">
            <v>98</v>
          </cell>
          <cell r="F45">
            <v>66</v>
          </cell>
          <cell r="G45">
            <v>142</v>
          </cell>
          <cell r="H45">
            <v>208</v>
          </cell>
          <cell r="J45">
            <v>75</v>
          </cell>
          <cell r="K45">
            <v>124</v>
          </cell>
          <cell r="L45">
            <v>199</v>
          </cell>
          <cell r="N45">
            <v>20</v>
          </cell>
          <cell r="O45">
            <v>26</v>
          </cell>
          <cell r="P45">
            <v>46</v>
          </cell>
          <cell r="R45">
            <v>398</v>
          </cell>
          <cell r="S45">
            <v>171</v>
          </cell>
          <cell r="T45">
            <v>569</v>
          </cell>
        </row>
        <row r="46">
          <cell r="A46" t="str">
            <v xml:space="preserve"> 4QA</v>
          </cell>
          <cell r="B46">
            <v>43</v>
          </cell>
          <cell r="C46">
            <v>60</v>
          </cell>
          <cell r="D46">
            <v>103</v>
          </cell>
          <cell r="F46">
            <v>100</v>
          </cell>
          <cell r="G46">
            <v>192</v>
          </cell>
          <cell r="H46">
            <v>292</v>
          </cell>
          <cell r="J46">
            <v>61</v>
          </cell>
          <cell r="K46">
            <v>128</v>
          </cell>
          <cell r="L46">
            <v>189</v>
          </cell>
          <cell r="N46">
            <v>21</v>
          </cell>
          <cell r="O46">
            <v>25</v>
          </cell>
          <cell r="P46">
            <v>46</v>
          </cell>
          <cell r="R46">
            <v>390</v>
          </cell>
          <cell r="S46">
            <v>190</v>
          </cell>
          <cell r="T46">
            <v>580</v>
          </cell>
        </row>
        <row r="48">
          <cell r="A48" t="str">
            <v>Year</v>
          </cell>
          <cell r="B48">
            <v>173</v>
          </cell>
          <cell r="C48">
            <v>232.6</v>
          </cell>
          <cell r="D48">
            <v>405.6</v>
          </cell>
          <cell r="F48">
            <v>384</v>
          </cell>
          <cell r="G48">
            <v>667</v>
          </cell>
          <cell r="H48">
            <v>1051</v>
          </cell>
          <cell r="J48">
            <v>268</v>
          </cell>
          <cell r="K48">
            <v>503</v>
          </cell>
          <cell r="L48">
            <v>771</v>
          </cell>
          <cell r="N48">
            <v>81</v>
          </cell>
          <cell r="O48">
            <v>110</v>
          </cell>
          <cell r="P48">
            <v>191</v>
          </cell>
          <cell r="R48">
            <v>1624</v>
          </cell>
          <cell r="S48">
            <v>728</v>
          </cell>
          <cell r="T48">
            <v>2352</v>
          </cell>
        </row>
        <row r="51">
          <cell r="A51" t="str">
            <v>2001A/00</v>
          </cell>
        </row>
        <row r="52">
          <cell r="A52" t="str">
            <v xml:space="preserve"> 1QE</v>
          </cell>
          <cell r="B52">
            <v>2.3809523809523725E-2</v>
          </cell>
          <cell r="C52">
            <v>-1.0238907849829393E-2</v>
          </cell>
          <cell r="D52">
            <v>3.9761431411531323E-3</v>
          </cell>
          <cell r="E52" t="e">
            <v>#DIV/0!</v>
          </cell>
          <cell r="F52">
            <v>-7.2727272727272751E-2</v>
          </cell>
          <cell r="G52">
            <v>-0.24025974025974028</v>
          </cell>
          <cell r="H52">
            <v>-0.17045454545454541</v>
          </cell>
          <cell r="I52" t="e">
            <v>#DIV/0!</v>
          </cell>
          <cell r="J52">
            <v>-5.1724137931034475E-2</v>
          </cell>
          <cell r="K52">
            <v>-0.23015873015873012</v>
          </cell>
          <cell r="L52">
            <v>-0.17391304347826086</v>
          </cell>
          <cell r="M52" t="e">
            <v>#DIV/0!</v>
          </cell>
          <cell r="N52">
            <v>-0.10526315789473684</v>
          </cell>
          <cell r="O52">
            <v>-0.19999999999999996</v>
          </cell>
          <cell r="P52">
            <v>-0.16326530612244894</v>
          </cell>
          <cell r="Q52" t="e">
            <v>#DIV/0!</v>
          </cell>
          <cell r="R52">
            <v>-2.6004728132387744E-2</v>
          </cell>
          <cell r="S52">
            <v>-0.1428571428571429</v>
          </cell>
          <cell r="T52">
            <v>-6.115702479338847E-2</v>
          </cell>
        </row>
        <row r="53">
          <cell r="A53" t="str">
            <v xml:space="preserve"> 2QA</v>
          </cell>
          <cell r="B53">
            <v>6.8181818181818121E-2</v>
          </cell>
          <cell r="C53">
            <v>-1.6666666666666718E-2</v>
          </cell>
          <cell r="D53">
            <v>1.9230769230769162E-2</v>
          </cell>
          <cell r="F53">
            <v>-1.851851851851849E-2</v>
          </cell>
          <cell r="G53">
            <v>-0.21229050279329609</v>
          </cell>
          <cell r="H53">
            <v>-0.13937282229965153</v>
          </cell>
          <cell r="J53">
            <v>-0.18918918918918914</v>
          </cell>
          <cell r="K53">
            <v>-0.20799999999999996</v>
          </cell>
          <cell r="L53">
            <v>-0.20100502512562812</v>
          </cell>
          <cell r="N53">
            <v>0</v>
          </cell>
          <cell r="O53">
            <v>-1.7241379310344862E-2</v>
          </cell>
          <cell r="P53">
            <v>-1.0000000000000009E-2</v>
          </cell>
          <cell r="R53">
            <v>1.6949152542372836E-2</v>
          </cell>
          <cell r="S53">
            <v>-0.10270270270270265</v>
          </cell>
          <cell r="T53">
            <v>-2.006688963210701E-2</v>
          </cell>
        </row>
        <row r="54">
          <cell r="A54" t="str">
            <v xml:space="preserve"> 3QA</v>
          </cell>
          <cell r="B54">
            <v>4.5454545454545414E-2</v>
          </cell>
          <cell r="C54">
            <v>-3.703703703703709E-2</v>
          </cell>
          <cell r="D54">
            <v>0</v>
          </cell>
          <cell r="F54">
            <v>0.8484848484848484</v>
          </cell>
          <cell r="G54">
            <v>-7.0422535211267623E-2</v>
          </cell>
          <cell r="H54">
            <v>0.22115384615384615</v>
          </cell>
          <cell r="J54">
            <v>-0.17333333333333334</v>
          </cell>
          <cell r="K54">
            <v>-0.19354838709677424</v>
          </cell>
          <cell r="L54">
            <v>-0.18592964824120603</v>
          </cell>
          <cell r="N54">
            <v>5.0000000000000044E-2</v>
          </cell>
          <cell r="O54">
            <v>-7.6923076923076872E-2</v>
          </cell>
          <cell r="P54">
            <v>-2.1739130434782608E-2</v>
          </cell>
          <cell r="R54">
            <v>8.5427135678391997E-2</v>
          </cell>
          <cell r="S54">
            <v>-0.15204678362573099</v>
          </cell>
          <cell r="T54">
            <v>1.4059753954305799E-2</v>
          </cell>
        </row>
        <row r="55">
          <cell r="A55" t="str">
            <v xml:space="preserve"> 4QA</v>
          </cell>
          <cell r="B55">
            <v>-6.9767441860465115E-2</v>
          </cell>
          <cell r="C55">
            <v>6.6666666666666666E-2</v>
          </cell>
          <cell r="D55">
            <v>9.7087378640776691E-3</v>
          </cell>
          <cell r="F55">
            <v>0.18</v>
          </cell>
          <cell r="G55">
            <v>-4.6875E-2</v>
          </cell>
          <cell r="H55">
            <v>3.0821917808219176E-2</v>
          </cell>
          <cell r="J55">
            <v>-0.11475409836065574</v>
          </cell>
          <cell r="K55">
            <v>-0.1796875</v>
          </cell>
          <cell r="L55">
            <v>-0.15873015873015872</v>
          </cell>
          <cell r="N55">
            <v>-9.5238095238095233E-2</v>
          </cell>
          <cell r="O55">
            <v>0.04</v>
          </cell>
          <cell r="P55">
            <v>-2.1739130434782608E-2</v>
          </cell>
          <cell r="R55">
            <v>0.13589743589743589</v>
          </cell>
          <cell r="S55">
            <v>-5.2631578947368418E-2</v>
          </cell>
          <cell r="T55">
            <v>7.4137931034482754E-2</v>
          </cell>
        </row>
        <row r="56">
          <cell r="B56" t="str">
            <v xml:space="preserve"> </v>
          </cell>
        </row>
        <row r="57">
          <cell r="A57" t="str">
            <v>Year E</v>
          </cell>
          <cell r="B57">
            <v>1.7341040462427681E-2</v>
          </cell>
          <cell r="C57">
            <v>1.7196904557179593E-3</v>
          </cell>
          <cell r="D57">
            <v>8.3826429980276007E-3</v>
          </cell>
          <cell r="F57">
            <v>0.16666666666666674</v>
          </cell>
          <cell r="G57">
            <v>-0.14092953523238383</v>
          </cell>
          <cell r="H57">
            <v>-2.8544243577545148E-2</v>
          </cell>
          <cell r="J57">
            <v>-0.13805970149253732</v>
          </cell>
          <cell r="K57">
            <v>-0.20278330019880719</v>
          </cell>
          <cell r="L57">
            <v>-0.18028534370946825</v>
          </cell>
          <cell r="N57">
            <v>-3.703703703703709E-2</v>
          </cell>
          <cell r="O57">
            <v>-6.8181818181818232E-2</v>
          </cell>
          <cell r="P57">
            <v>-5.4973821989528826E-2</v>
          </cell>
          <cell r="R57">
            <v>5.1108374384236432E-2</v>
          </cell>
          <cell r="S57">
            <v>-0.11126373626373631</v>
          </cell>
          <cell r="T57">
            <v>8.5034013605445047E-4</v>
          </cell>
        </row>
        <row r="59">
          <cell r="A59">
            <v>2001</v>
          </cell>
        </row>
        <row r="60">
          <cell r="A60" t="str">
            <v xml:space="preserve"> 1QA</v>
          </cell>
          <cell r="B60">
            <v>43</v>
          </cell>
          <cell r="C60">
            <v>58</v>
          </cell>
          <cell r="D60">
            <v>101</v>
          </cell>
          <cell r="F60">
            <v>102</v>
          </cell>
          <cell r="G60">
            <v>117</v>
          </cell>
          <cell r="H60">
            <v>219</v>
          </cell>
          <cell r="J60">
            <v>55</v>
          </cell>
          <cell r="K60">
            <v>97</v>
          </cell>
          <cell r="L60">
            <v>152</v>
          </cell>
          <cell r="N60">
            <v>17</v>
          </cell>
          <cell r="O60">
            <v>24</v>
          </cell>
          <cell r="P60">
            <v>41</v>
          </cell>
          <cell r="R60">
            <v>412</v>
          </cell>
          <cell r="S60">
            <v>156</v>
          </cell>
          <cell r="T60">
            <v>568</v>
          </cell>
        </row>
        <row r="61">
          <cell r="A61" t="str">
            <v xml:space="preserve"> 2QA</v>
          </cell>
          <cell r="B61">
            <v>47</v>
          </cell>
          <cell r="C61">
            <v>59</v>
          </cell>
          <cell r="D61">
            <v>106</v>
          </cell>
          <cell r="F61">
            <v>106</v>
          </cell>
          <cell r="G61">
            <v>141</v>
          </cell>
          <cell r="H61">
            <v>247</v>
          </cell>
          <cell r="J61">
            <v>60</v>
          </cell>
          <cell r="K61">
            <v>99</v>
          </cell>
          <cell r="L61">
            <v>159</v>
          </cell>
          <cell r="N61">
            <v>21</v>
          </cell>
          <cell r="O61">
            <v>28.5</v>
          </cell>
          <cell r="P61">
            <v>49.5</v>
          </cell>
          <cell r="R61">
            <v>420</v>
          </cell>
          <cell r="S61">
            <v>166</v>
          </cell>
          <cell r="T61">
            <v>586</v>
          </cell>
        </row>
        <row r="62">
          <cell r="A62" t="str">
            <v xml:space="preserve"> 3QA</v>
          </cell>
          <cell r="B62">
            <v>46</v>
          </cell>
          <cell r="C62">
            <v>52</v>
          </cell>
          <cell r="D62">
            <v>98</v>
          </cell>
          <cell r="F62">
            <v>122</v>
          </cell>
          <cell r="G62">
            <v>132</v>
          </cell>
          <cell r="H62">
            <v>254</v>
          </cell>
          <cell r="J62">
            <v>62</v>
          </cell>
          <cell r="K62">
            <v>100</v>
          </cell>
          <cell r="L62">
            <v>162</v>
          </cell>
          <cell r="N62">
            <v>21</v>
          </cell>
          <cell r="O62">
            <v>24</v>
          </cell>
          <cell r="P62">
            <v>45</v>
          </cell>
          <cell r="R62">
            <v>432</v>
          </cell>
          <cell r="S62">
            <v>145</v>
          </cell>
          <cell r="T62">
            <v>577</v>
          </cell>
        </row>
        <row r="63">
          <cell r="A63" t="str">
            <v xml:space="preserve"> 4QA</v>
          </cell>
          <cell r="B63">
            <v>40</v>
          </cell>
          <cell r="C63">
            <v>64</v>
          </cell>
          <cell r="D63">
            <v>104</v>
          </cell>
          <cell r="F63">
            <v>118</v>
          </cell>
          <cell r="G63">
            <v>183</v>
          </cell>
          <cell r="H63">
            <v>301</v>
          </cell>
          <cell r="J63">
            <v>54</v>
          </cell>
          <cell r="K63">
            <v>105</v>
          </cell>
          <cell r="L63">
            <v>159</v>
          </cell>
          <cell r="N63">
            <v>19</v>
          </cell>
          <cell r="O63">
            <v>26</v>
          </cell>
          <cell r="P63">
            <v>45</v>
          </cell>
          <cell r="R63">
            <v>443</v>
          </cell>
          <cell r="S63">
            <v>180</v>
          </cell>
          <cell r="T63">
            <v>623</v>
          </cell>
        </row>
        <row r="65">
          <cell r="A65" t="str">
            <v xml:space="preserve">Year  </v>
          </cell>
          <cell r="B65">
            <v>176</v>
          </cell>
          <cell r="C65">
            <v>233</v>
          </cell>
          <cell r="D65">
            <v>409</v>
          </cell>
          <cell r="F65">
            <v>448</v>
          </cell>
          <cell r="G65">
            <v>573</v>
          </cell>
          <cell r="H65">
            <v>1021</v>
          </cell>
          <cell r="J65">
            <v>231</v>
          </cell>
          <cell r="K65">
            <v>401</v>
          </cell>
          <cell r="L65">
            <v>632</v>
          </cell>
          <cell r="N65">
            <v>78</v>
          </cell>
          <cell r="O65">
            <v>102.5</v>
          </cell>
          <cell r="P65">
            <v>180.5</v>
          </cell>
          <cell r="R65">
            <v>1707</v>
          </cell>
          <cell r="S65">
            <v>647</v>
          </cell>
          <cell r="T65">
            <v>2354</v>
          </cell>
        </row>
        <row r="67">
          <cell r="A67" t="str">
            <v>2002E/01</v>
          </cell>
        </row>
        <row r="68">
          <cell r="A68" t="str">
            <v xml:space="preserve"> 1QA</v>
          </cell>
          <cell r="B68">
            <v>2.3255813953488413E-2</v>
          </cell>
          <cell r="C68">
            <v>-4.8275862068965503E-2</v>
          </cell>
          <cell r="D68">
            <v>-1.7821782178217838E-2</v>
          </cell>
          <cell r="F68">
            <v>0.15882352941176481</v>
          </cell>
          <cell r="G68">
            <v>3.4188034188034289E-2</v>
          </cell>
          <cell r="H68">
            <v>9.2237442922374457E-2</v>
          </cell>
          <cell r="J68">
            <v>1.8181818181818077E-2</v>
          </cell>
          <cell r="K68">
            <v>-0.10309278350515461</v>
          </cell>
          <cell r="L68">
            <v>-5.9210526315789491E-2</v>
          </cell>
          <cell r="N68">
            <v>0.29411764705882359</v>
          </cell>
          <cell r="O68">
            <v>-8.333333333333337E-2</v>
          </cell>
          <cell r="P68">
            <v>7.3170731707317138E-2</v>
          </cell>
          <cell r="R68">
            <v>0.14077669902912615</v>
          </cell>
          <cell r="S68">
            <v>8.3333333333333259E-2</v>
          </cell>
          <cell r="T68">
            <v>0.125</v>
          </cell>
        </row>
        <row r="69">
          <cell r="A69" t="str">
            <v xml:space="preserve"> 2QA</v>
          </cell>
          <cell r="B69">
            <v>-4.2553191489361653E-2</v>
          </cell>
          <cell r="C69">
            <v>8.4745762711864403E-2</v>
          </cell>
          <cell r="D69">
            <v>2.8301886792452935E-2</v>
          </cell>
          <cell r="F69">
            <v>0.15094339622641506</v>
          </cell>
          <cell r="G69">
            <v>7.8014184397163122E-2</v>
          </cell>
          <cell r="H69">
            <v>0.10931174089068829</v>
          </cell>
          <cell r="J69">
            <v>5.0000000000000044E-2</v>
          </cell>
          <cell r="K69">
            <v>0</v>
          </cell>
          <cell r="L69">
            <v>1.8867924528301883E-2</v>
          </cell>
          <cell r="N69">
            <v>4.7619047619047672E-2</v>
          </cell>
          <cell r="O69">
            <v>-1.7543859649122862E-2</v>
          </cell>
          <cell r="P69">
            <v>1.0101010101010166E-2</v>
          </cell>
          <cell r="R69">
            <v>0.10000000000000009</v>
          </cell>
          <cell r="S69">
            <v>0.10843373493975905</v>
          </cell>
          <cell r="T69">
            <v>0.10238907849829348</v>
          </cell>
        </row>
        <row r="70">
          <cell r="A70" t="str">
            <v xml:space="preserve"> 3QA</v>
          </cell>
          <cell r="B70">
            <v>-2.1739130434782594E-2</v>
          </cell>
          <cell r="C70">
            <v>0.23461538461538467</v>
          </cell>
          <cell r="D70">
            <v>0.11428571428571432</v>
          </cell>
          <cell r="F70">
            <v>8.1967213114754189E-2</v>
          </cell>
          <cell r="G70">
            <v>0.1212121212121211</v>
          </cell>
          <cell r="H70">
            <v>0.10236220472440949</v>
          </cell>
          <cell r="J70">
            <v>-8.064516129032262E-2</v>
          </cell>
          <cell r="K70">
            <v>7.0000000000000062E-2</v>
          </cell>
          <cell r="L70">
            <v>1.2345679012345734E-2</v>
          </cell>
          <cell r="N70">
            <v>0</v>
          </cell>
          <cell r="O70">
            <v>0.125</v>
          </cell>
          <cell r="P70">
            <v>6.6666666666666652E-2</v>
          </cell>
          <cell r="R70">
            <v>2.3148148148148806E-3</v>
          </cell>
          <cell r="S70">
            <v>0.21379310344827585</v>
          </cell>
          <cell r="T70">
            <v>5.5459272097053702E-2</v>
          </cell>
        </row>
        <row r="71">
          <cell r="A71" t="str">
            <v xml:space="preserve"> 4QA</v>
          </cell>
          <cell r="B71">
            <v>0.10999999999999988</v>
          </cell>
          <cell r="C71">
            <v>0.15625</v>
          </cell>
          <cell r="D71">
            <v>0.13846153846153841</v>
          </cell>
          <cell r="F71">
            <v>0.11016949152542366</v>
          </cell>
          <cell r="G71">
            <v>6.0109289617486406E-2</v>
          </cell>
          <cell r="H71">
            <v>7.9734219269103068E-2</v>
          </cell>
          <cell r="J71">
            <v>-1</v>
          </cell>
          <cell r="K71">
            <v>-1</v>
          </cell>
          <cell r="L71">
            <v>-1</v>
          </cell>
          <cell r="N71">
            <v>-1</v>
          </cell>
          <cell r="O71">
            <v>-1</v>
          </cell>
          <cell r="P71">
            <v>-1</v>
          </cell>
          <cell r="R71">
            <v>-6.0948081264108334E-2</v>
          </cell>
          <cell r="S71">
            <v>0.22777777777777786</v>
          </cell>
          <cell r="T71">
            <v>2.2471910112359605E-2</v>
          </cell>
        </row>
        <row r="73">
          <cell r="A73" t="str">
            <v xml:space="preserve">2002E/01E </v>
          </cell>
          <cell r="B73">
            <v>1.3636363636363669E-2</v>
          </cell>
          <cell r="C73">
            <v>0.10472103004291844</v>
          </cell>
          <cell r="D73">
            <v>6.5525672371637977E-2</v>
          </cell>
          <cell r="F73">
            <v>0.12321428571428572</v>
          </cell>
          <cell r="G73">
            <v>7.3298429319371694E-2</v>
          </cell>
          <cell r="H73">
            <v>9.5200783545543635E-2</v>
          </cell>
          <cell r="J73">
            <v>-0.23809523809523814</v>
          </cell>
          <cell r="K73">
            <v>-0.26932668329177056</v>
          </cell>
          <cell r="L73">
            <v>-0.25791139240506333</v>
          </cell>
          <cell r="N73">
            <v>-0.16666666666666663</v>
          </cell>
          <cell r="O73">
            <v>-0.24878048780487805</v>
          </cell>
          <cell r="P73">
            <v>-0.21329639889196672</v>
          </cell>
          <cell r="R73">
            <v>4.3350908025776125E-2</v>
          </cell>
          <cell r="S73">
            <v>0.15919629057187024</v>
          </cell>
          <cell r="T73">
            <v>7.5191163976210618E-2</v>
          </cell>
        </row>
        <row r="75">
          <cell r="A75" t="str">
            <v>2002E</v>
          </cell>
        </row>
        <row r="76">
          <cell r="A76" t="str">
            <v xml:space="preserve"> 1QA</v>
          </cell>
          <cell r="B76">
            <v>44</v>
          </cell>
          <cell r="C76">
            <v>55.2</v>
          </cell>
          <cell r="D76">
            <v>99.2</v>
          </cell>
          <cell r="F76">
            <v>118.2</v>
          </cell>
          <cell r="G76">
            <v>121</v>
          </cell>
          <cell r="H76">
            <v>239.2</v>
          </cell>
          <cell r="J76">
            <v>56</v>
          </cell>
          <cell r="K76">
            <v>87</v>
          </cell>
          <cell r="L76">
            <v>143</v>
          </cell>
          <cell r="N76">
            <v>22</v>
          </cell>
          <cell r="O76">
            <v>22</v>
          </cell>
          <cell r="P76">
            <v>44</v>
          </cell>
          <cell r="R76">
            <v>470</v>
          </cell>
          <cell r="S76">
            <v>169</v>
          </cell>
          <cell r="T76">
            <v>639</v>
          </cell>
        </row>
        <row r="77">
          <cell r="A77" t="str">
            <v xml:space="preserve"> 2QA</v>
          </cell>
          <cell r="B77">
            <v>45</v>
          </cell>
          <cell r="C77">
            <v>64</v>
          </cell>
          <cell r="D77">
            <v>109</v>
          </cell>
          <cell r="F77">
            <v>122</v>
          </cell>
          <cell r="G77">
            <v>152</v>
          </cell>
          <cell r="H77">
            <v>274</v>
          </cell>
          <cell r="J77">
            <v>63</v>
          </cell>
          <cell r="K77">
            <v>99</v>
          </cell>
          <cell r="L77">
            <v>162</v>
          </cell>
          <cell r="N77">
            <v>22</v>
          </cell>
          <cell r="O77">
            <v>28</v>
          </cell>
          <cell r="P77">
            <v>50</v>
          </cell>
          <cell r="R77">
            <v>462</v>
          </cell>
          <cell r="S77">
            <v>184</v>
          </cell>
          <cell r="T77">
            <v>646</v>
          </cell>
        </row>
        <row r="78">
          <cell r="A78" t="str">
            <v xml:space="preserve"> 3QA</v>
          </cell>
          <cell r="B78">
            <v>45</v>
          </cell>
          <cell r="C78">
            <v>64.2</v>
          </cell>
          <cell r="D78">
            <v>109.2</v>
          </cell>
          <cell r="F78">
            <v>132</v>
          </cell>
          <cell r="G78">
            <v>148</v>
          </cell>
          <cell r="H78">
            <v>280</v>
          </cell>
          <cell r="J78">
            <v>57</v>
          </cell>
          <cell r="K78">
            <v>107</v>
          </cell>
          <cell r="L78">
            <v>164</v>
          </cell>
          <cell r="N78">
            <v>21</v>
          </cell>
          <cell r="O78">
            <v>27</v>
          </cell>
          <cell r="P78">
            <v>48</v>
          </cell>
          <cell r="R78">
            <v>433</v>
          </cell>
          <cell r="S78">
            <v>176</v>
          </cell>
          <cell r="T78">
            <v>609</v>
          </cell>
        </row>
        <row r="79">
          <cell r="A79" t="str">
            <v xml:space="preserve"> 4QA</v>
          </cell>
          <cell r="B79">
            <v>44.4</v>
          </cell>
          <cell r="C79">
            <v>74</v>
          </cell>
          <cell r="D79">
            <v>118.4</v>
          </cell>
          <cell r="F79">
            <v>131</v>
          </cell>
          <cell r="G79">
            <v>194</v>
          </cell>
          <cell r="H79">
            <v>325</v>
          </cell>
          <cell r="J79">
            <v>0</v>
          </cell>
          <cell r="K79">
            <v>0</v>
          </cell>
          <cell r="L79">
            <v>0</v>
          </cell>
          <cell r="N79">
            <v>0</v>
          </cell>
          <cell r="O79">
            <v>0</v>
          </cell>
          <cell r="P79">
            <v>0</v>
          </cell>
          <cell r="R79">
            <v>416</v>
          </cell>
          <cell r="S79">
            <v>221</v>
          </cell>
          <cell r="T79">
            <v>637</v>
          </cell>
        </row>
        <row r="81">
          <cell r="A81" t="str">
            <v>2002E</v>
          </cell>
          <cell r="B81">
            <v>178.4</v>
          </cell>
          <cell r="C81">
            <v>257.39999999999998</v>
          </cell>
          <cell r="D81">
            <v>435.79999999999995</v>
          </cell>
          <cell r="F81">
            <v>503.2</v>
          </cell>
          <cell r="G81">
            <v>615</v>
          </cell>
          <cell r="H81">
            <v>1118.2</v>
          </cell>
          <cell r="J81">
            <v>176</v>
          </cell>
          <cell r="K81">
            <v>293</v>
          </cell>
          <cell r="L81">
            <v>469</v>
          </cell>
          <cell r="N81">
            <v>65</v>
          </cell>
          <cell r="O81">
            <v>77</v>
          </cell>
          <cell r="P81">
            <v>142</v>
          </cell>
          <cell r="R81">
            <v>1781</v>
          </cell>
          <cell r="S81">
            <v>750</v>
          </cell>
          <cell r="T81">
            <v>2531</v>
          </cell>
        </row>
        <row r="83">
          <cell r="A83" t="str">
            <v>2003E/02</v>
          </cell>
        </row>
        <row r="84">
          <cell r="A84" t="str">
            <v xml:space="preserve"> 1QA</v>
          </cell>
          <cell r="B84">
            <v>0.02</v>
          </cell>
          <cell r="C84">
            <v>0.11</v>
          </cell>
          <cell r="D84">
            <v>0.12903225806451601</v>
          </cell>
          <cell r="F84">
            <v>0.05</v>
          </cell>
          <cell r="G84">
            <v>0.08</v>
          </cell>
          <cell r="H84">
            <v>0.12458193979933108</v>
          </cell>
          <cell r="J84" t="str">
            <v>NA</v>
          </cell>
          <cell r="K84" t="str">
            <v>NA</v>
          </cell>
          <cell r="L84" t="str">
            <v>NA</v>
          </cell>
          <cell r="N84" t="str">
            <v>NA</v>
          </cell>
          <cell r="O84" t="str">
            <v>NA</v>
          </cell>
          <cell r="P84" t="str">
            <v>NA</v>
          </cell>
          <cell r="R84">
            <v>0.02</v>
          </cell>
          <cell r="S84">
            <v>0.02</v>
          </cell>
          <cell r="T84">
            <v>-6.7292644757433462E-2</v>
          </cell>
        </row>
        <row r="85">
          <cell r="A85" t="str">
            <v xml:space="preserve"> 2QA</v>
          </cell>
          <cell r="B85">
            <v>0.02</v>
          </cell>
          <cell r="C85">
            <v>0.11</v>
          </cell>
          <cell r="D85">
            <v>7.2844036697247594E-2</v>
          </cell>
          <cell r="F85">
            <v>0.05</v>
          </cell>
          <cell r="G85">
            <v>0.08</v>
          </cell>
          <cell r="H85">
            <v>6.6642335766423422E-2</v>
          </cell>
          <cell r="J85" t="str">
            <v>NA</v>
          </cell>
          <cell r="K85" t="str">
            <v>NA</v>
          </cell>
          <cell r="L85" t="str">
            <v>NA</v>
          </cell>
          <cell r="N85" t="str">
            <v>NA</v>
          </cell>
          <cell r="O85" t="str">
            <v>NA</v>
          </cell>
          <cell r="P85" t="str">
            <v>NA</v>
          </cell>
          <cell r="R85">
            <v>0.02</v>
          </cell>
          <cell r="S85">
            <v>0.02</v>
          </cell>
          <cell r="T85">
            <v>2.0000000000000018E-2</v>
          </cell>
        </row>
        <row r="86">
          <cell r="A86" t="str">
            <v xml:space="preserve"> 3QA</v>
          </cell>
          <cell r="B86">
            <v>0.02</v>
          </cell>
          <cell r="C86">
            <v>0.11</v>
          </cell>
          <cell r="D86">
            <v>7.291208791208792E-2</v>
          </cell>
          <cell r="F86">
            <v>0.05</v>
          </cell>
          <cell r="G86">
            <v>0.08</v>
          </cell>
          <cell r="H86">
            <v>6.5857142857142836E-2</v>
          </cell>
          <cell r="J86" t="str">
            <v>NA</v>
          </cell>
          <cell r="K86" t="str">
            <v>NA</v>
          </cell>
          <cell r="L86" t="str">
            <v>NA</v>
          </cell>
          <cell r="N86" t="str">
            <v>NA</v>
          </cell>
          <cell r="O86" t="str">
            <v>NA</v>
          </cell>
          <cell r="P86" t="str">
            <v>NA</v>
          </cell>
          <cell r="R86">
            <v>0.02</v>
          </cell>
          <cell r="S86">
            <v>0.02</v>
          </cell>
          <cell r="T86">
            <v>2.0000000000000018E-2</v>
          </cell>
        </row>
        <row r="87">
          <cell r="A87" t="str">
            <v xml:space="preserve"> 4QA</v>
          </cell>
          <cell r="B87">
            <v>3.9819819819820079E-2</v>
          </cell>
          <cell r="C87">
            <v>1.9081081081080864E-2</v>
          </cell>
          <cell r="D87">
            <v>2.6858108108107848E-2</v>
          </cell>
          <cell r="F87">
            <v>1.2671755725190526E-2</v>
          </cell>
          <cell r="G87">
            <v>-0.15824742268041259</v>
          </cell>
          <cell r="H87">
            <v>-8.9353846153846339E-2</v>
          </cell>
          <cell r="J87" t="str">
            <v>NA</v>
          </cell>
          <cell r="K87" t="str">
            <v>NA</v>
          </cell>
          <cell r="L87" t="str">
            <v>NA</v>
          </cell>
          <cell r="N87" t="str">
            <v>NA</v>
          </cell>
          <cell r="O87" t="str">
            <v>NA</v>
          </cell>
          <cell r="P87" t="str">
            <v>NA</v>
          </cell>
          <cell r="R87">
            <v>0.26374999999999948</v>
          </cell>
          <cell r="S87">
            <v>-0.18642533936651606</v>
          </cell>
          <cell r="T87">
            <v>0.10756671899529002</v>
          </cell>
        </row>
        <row r="89">
          <cell r="A89" t="str">
            <v xml:space="preserve">2003E/02E </v>
          </cell>
          <cell r="B89">
            <v>0.02</v>
          </cell>
          <cell r="C89">
            <v>0.11</v>
          </cell>
          <cell r="D89">
            <v>7.3157411656723514E-2</v>
          </cell>
          <cell r="F89">
            <v>0.05</v>
          </cell>
          <cell r="G89">
            <v>0.02</v>
          </cell>
          <cell r="H89">
            <v>3.3500268288320312E-2</v>
          </cell>
          <cell r="J89" t="str">
            <v>NA</v>
          </cell>
          <cell r="K89" t="str">
            <v>NA</v>
          </cell>
          <cell r="L89" t="str">
            <v>NA</v>
          </cell>
          <cell r="N89" t="str">
            <v>NA</v>
          </cell>
          <cell r="O89" t="str">
            <v>NA</v>
          </cell>
          <cell r="P89" t="str">
            <v>NA</v>
          </cell>
          <cell r="R89">
            <v>0.02</v>
          </cell>
          <cell r="S89">
            <v>0.02</v>
          </cell>
          <cell r="T89">
            <v>2.0000000000000018E-2</v>
          </cell>
        </row>
        <row r="91">
          <cell r="A91" t="str">
            <v>2003E</v>
          </cell>
        </row>
        <row r="92">
          <cell r="A92" t="str">
            <v xml:space="preserve"> 1QE</v>
          </cell>
          <cell r="B92">
            <v>44</v>
          </cell>
          <cell r="C92">
            <v>68</v>
          </cell>
          <cell r="D92">
            <v>112</v>
          </cell>
          <cell r="F92">
            <v>129</v>
          </cell>
          <cell r="G92">
            <v>140</v>
          </cell>
          <cell r="H92">
            <v>269</v>
          </cell>
          <cell r="J92">
            <v>0</v>
          </cell>
          <cell r="K92">
            <v>0</v>
          </cell>
          <cell r="L92">
            <v>0</v>
          </cell>
          <cell r="N92">
            <v>0</v>
          </cell>
          <cell r="O92">
            <v>0</v>
          </cell>
          <cell r="P92">
            <v>0</v>
          </cell>
          <cell r="R92">
            <v>378</v>
          </cell>
          <cell r="S92">
            <v>218</v>
          </cell>
          <cell r="T92">
            <v>596</v>
          </cell>
        </row>
        <row r="93">
          <cell r="A93" t="str">
            <v xml:space="preserve"> 2QE</v>
          </cell>
          <cell r="B93">
            <v>45.9</v>
          </cell>
          <cell r="C93">
            <v>71.040000000000006</v>
          </cell>
          <cell r="D93">
            <v>116.94</v>
          </cell>
          <cell r="F93">
            <v>128.1</v>
          </cell>
          <cell r="G93">
            <v>164.16000000000003</v>
          </cell>
          <cell r="H93">
            <v>292.26</v>
          </cell>
          <cell r="J93">
            <v>0</v>
          </cell>
          <cell r="K93">
            <v>0</v>
          </cell>
          <cell r="L93">
            <v>0</v>
          </cell>
          <cell r="N93">
            <v>0</v>
          </cell>
          <cell r="O93">
            <v>0</v>
          </cell>
          <cell r="P93">
            <v>0</v>
          </cell>
          <cell r="R93">
            <v>471.24</v>
          </cell>
          <cell r="S93">
            <v>187.68</v>
          </cell>
          <cell r="T93">
            <v>658.92000000000007</v>
          </cell>
        </row>
        <row r="94">
          <cell r="A94" t="str">
            <v xml:space="preserve"> 3QE</v>
          </cell>
          <cell r="B94">
            <v>45.9</v>
          </cell>
          <cell r="C94">
            <v>71.262000000000015</v>
          </cell>
          <cell r="D94">
            <v>117.16200000000001</v>
          </cell>
          <cell r="F94">
            <v>138.6</v>
          </cell>
          <cell r="G94">
            <v>159.84</v>
          </cell>
          <cell r="H94">
            <v>298.44</v>
          </cell>
          <cell r="J94">
            <v>0</v>
          </cell>
          <cell r="K94">
            <v>0</v>
          </cell>
          <cell r="L94">
            <v>0</v>
          </cell>
          <cell r="N94">
            <v>0</v>
          </cell>
          <cell r="O94">
            <v>0</v>
          </cell>
          <cell r="P94">
            <v>0</v>
          </cell>
          <cell r="R94">
            <v>441.66</v>
          </cell>
          <cell r="S94">
            <v>179.52</v>
          </cell>
          <cell r="T94">
            <v>621.18000000000006</v>
          </cell>
        </row>
        <row r="95">
          <cell r="A95" t="str">
            <v xml:space="preserve"> 4QE</v>
          </cell>
          <cell r="B95">
            <v>46.168000000000006</v>
          </cell>
          <cell r="C95">
            <v>75.411999999999978</v>
          </cell>
          <cell r="D95">
            <v>121.57999999999998</v>
          </cell>
          <cell r="F95">
            <v>132.65999999999997</v>
          </cell>
          <cell r="G95">
            <v>163.29999999999995</v>
          </cell>
          <cell r="H95">
            <v>295.95999999999992</v>
          </cell>
          <cell r="J95">
            <v>0</v>
          </cell>
          <cell r="K95">
            <v>0</v>
          </cell>
          <cell r="L95">
            <v>0</v>
          </cell>
          <cell r="N95">
            <v>0</v>
          </cell>
          <cell r="O95">
            <v>0</v>
          </cell>
          <cell r="P95">
            <v>0</v>
          </cell>
          <cell r="R95">
            <v>525.7199999999998</v>
          </cell>
          <cell r="S95">
            <v>179.79999999999995</v>
          </cell>
          <cell r="T95">
            <v>705.51999999999975</v>
          </cell>
        </row>
        <row r="97">
          <cell r="A97" t="str">
            <v>2003E</v>
          </cell>
          <cell r="B97">
            <v>181.96800000000002</v>
          </cell>
          <cell r="C97">
            <v>285.714</v>
          </cell>
          <cell r="D97">
            <v>467.68200000000002</v>
          </cell>
          <cell r="F97">
            <v>528.36</v>
          </cell>
          <cell r="G97">
            <v>627.29999999999995</v>
          </cell>
          <cell r="H97">
            <v>1155.6599999999999</v>
          </cell>
          <cell r="J97">
            <v>0</v>
          </cell>
          <cell r="K97">
            <v>0</v>
          </cell>
          <cell r="L97">
            <v>0</v>
          </cell>
          <cell r="N97">
            <v>0</v>
          </cell>
          <cell r="O97">
            <v>0</v>
          </cell>
          <cell r="P97">
            <v>0</v>
          </cell>
          <cell r="R97">
            <v>1816.62</v>
          </cell>
          <cell r="S97">
            <v>765</v>
          </cell>
          <cell r="T97">
            <v>2581.62</v>
          </cell>
        </row>
        <row r="99">
          <cell r="A99" t="str">
            <v xml:space="preserve">2004E/03E </v>
          </cell>
          <cell r="B99">
            <v>0.02</v>
          </cell>
          <cell r="C99">
            <v>0.02</v>
          </cell>
          <cell r="D99">
            <v>2.0000000000000018E-2</v>
          </cell>
          <cell r="F99">
            <v>0.03</v>
          </cell>
          <cell r="G99">
            <v>0</v>
          </cell>
          <cell r="H99">
            <v>1.371579876434259E-2</v>
          </cell>
          <cell r="J99" t="str">
            <v>NA</v>
          </cell>
          <cell r="K99" t="str">
            <v>NA</v>
          </cell>
          <cell r="L99" t="str">
            <v>NA</v>
          </cell>
          <cell r="N99" t="str">
            <v>NA</v>
          </cell>
          <cell r="O99" t="str">
            <v>NA</v>
          </cell>
          <cell r="P99" t="str">
            <v>NA</v>
          </cell>
          <cell r="R99">
            <v>0.02</v>
          </cell>
          <cell r="S99">
            <v>0</v>
          </cell>
          <cell r="T99">
            <v>1.407348873962877E-2</v>
          </cell>
        </row>
        <row r="100">
          <cell r="A100" t="str">
            <v xml:space="preserve">2005E/04E </v>
          </cell>
          <cell r="B100">
            <v>0.02</v>
          </cell>
          <cell r="C100">
            <v>0.02</v>
          </cell>
          <cell r="D100">
            <v>2.0000000000000018E-2</v>
          </cell>
          <cell r="F100">
            <v>0.03</v>
          </cell>
          <cell r="G100">
            <v>0</v>
          </cell>
          <cell r="H100">
            <v>1.3936127605481907E-2</v>
          </cell>
          <cell r="J100" t="str">
            <v>NA</v>
          </cell>
          <cell r="K100" t="str">
            <v>NA</v>
          </cell>
          <cell r="L100" t="str">
            <v>NA</v>
          </cell>
          <cell r="N100" t="str">
            <v>NA</v>
          </cell>
          <cell r="O100" t="str">
            <v>NA</v>
          </cell>
          <cell r="P100" t="str">
            <v>NA</v>
          </cell>
          <cell r="R100">
            <v>0.02</v>
          </cell>
          <cell r="S100">
            <v>0</v>
          </cell>
          <cell r="T100">
            <v>1.4155737896533127E-2</v>
          </cell>
        </row>
        <row r="101">
          <cell r="A101" t="str">
            <v>2006E/05E</v>
          </cell>
          <cell r="B101">
            <v>0.02</v>
          </cell>
          <cell r="C101">
            <v>0.02</v>
          </cell>
          <cell r="D101">
            <v>2.0000000000000018E-2</v>
          </cell>
          <cell r="F101">
            <v>0.03</v>
          </cell>
          <cell r="G101">
            <v>0</v>
          </cell>
          <cell r="H101">
            <v>1.4156918806656149E-2</v>
          </cell>
          <cell r="J101" t="str">
            <v>NA</v>
          </cell>
          <cell r="K101" t="str">
            <v>NA</v>
          </cell>
          <cell r="L101" t="str">
            <v>NA</v>
          </cell>
          <cell r="N101" t="str">
            <v>NA</v>
          </cell>
          <cell r="O101" t="str">
            <v>NA</v>
          </cell>
          <cell r="P101" t="str">
            <v>NA</v>
          </cell>
          <cell r="R101">
            <v>0.02</v>
          </cell>
          <cell r="S101">
            <v>0</v>
          </cell>
          <cell r="T101">
            <v>1.4237312983518269E-2</v>
          </cell>
        </row>
        <row r="103">
          <cell r="A103" t="str">
            <v>2004E</v>
          </cell>
          <cell r="B103">
            <v>185.60736000000003</v>
          </cell>
          <cell r="C103">
            <v>291.42827999999997</v>
          </cell>
          <cell r="D103">
            <v>477.03564</v>
          </cell>
          <cell r="F103">
            <v>544.21080000000006</v>
          </cell>
          <cell r="G103">
            <v>627.29999999999995</v>
          </cell>
          <cell r="H103">
            <v>1171.5108</v>
          </cell>
          <cell r="J103">
            <v>0</v>
          </cell>
          <cell r="K103">
            <v>0</v>
          </cell>
          <cell r="L103">
            <v>0</v>
          </cell>
          <cell r="N103">
            <v>0</v>
          </cell>
          <cell r="O103">
            <v>0</v>
          </cell>
          <cell r="P103">
            <v>0</v>
          </cell>
          <cell r="R103">
            <v>1852.9523999999999</v>
          </cell>
          <cell r="S103">
            <v>765</v>
          </cell>
          <cell r="T103">
            <v>2617.9524000000001</v>
          </cell>
        </row>
        <row r="104">
          <cell r="A104" t="str">
            <v>2005E</v>
          </cell>
          <cell r="B104">
            <v>189.31950720000003</v>
          </cell>
          <cell r="C104">
            <v>297.25684559999996</v>
          </cell>
          <cell r="D104">
            <v>486.5763528</v>
          </cell>
          <cell r="F104">
            <v>560.53712400000006</v>
          </cell>
          <cell r="G104">
            <v>627.29999999999995</v>
          </cell>
          <cell r="H104">
            <v>1187.8371240000001</v>
          </cell>
          <cell r="J104">
            <v>0</v>
          </cell>
          <cell r="K104">
            <v>0</v>
          </cell>
          <cell r="L104">
            <v>0</v>
          </cell>
          <cell r="N104">
            <v>0</v>
          </cell>
          <cell r="O104">
            <v>0</v>
          </cell>
          <cell r="P104">
            <v>0</v>
          </cell>
          <cell r="R104">
            <v>1890.011448</v>
          </cell>
          <cell r="S104">
            <v>765</v>
          </cell>
          <cell r="T104">
            <v>2655.0114480000002</v>
          </cell>
        </row>
        <row r="105">
          <cell r="A105" t="str">
            <v>2006E</v>
          </cell>
          <cell r="B105">
            <v>193.10589734400003</v>
          </cell>
          <cell r="C105">
            <v>303.20198251199997</v>
          </cell>
          <cell r="D105">
            <v>496.307879856</v>
          </cell>
          <cell r="F105">
            <v>577.35323772000004</v>
          </cell>
          <cell r="G105">
            <v>627.29999999999995</v>
          </cell>
          <cell r="H105">
            <v>1204.6532377200001</v>
          </cell>
          <cell r="J105">
            <v>0</v>
          </cell>
          <cell r="K105">
            <v>0</v>
          </cell>
          <cell r="L105">
            <v>0</v>
          </cell>
          <cell r="N105">
            <v>0</v>
          </cell>
          <cell r="O105">
            <v>0</v>
          </cell>
          <cell r="P105">
            <v>0</v>
          </cell>
          <cell r="R105">
            <v>1927.8116769599999</v>
          </cell>
          <cell r="S105">
            <v>765</v>
          </cell>
          <cell r="T105">
            <v>2692.8116769600001</v>
          </cell>
        </row>
        <row r="107">
          <cell r="A107" t="str">
            <v>E = Morgan Stanley Dean Witter Research Estimates             NM = Not Meaningful             A = Actual</v>
          </cell>
        </row>
      </sheetData>
      <sheetData sheetId="22" refreshError="1"/>
      <sheetData sheetId="23" refreshError="1"/>
      <sheetData sheetId="24" refreshError="1"/>
      <sheetData sheetId="25" refreshError="1"/>
      <sheetData sheetId="26"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tivity"/>
      <sheetName val="iQ_Measure_Validations_Errors"/>
      <sheetName val="iQ_US_CoreIndustrials"/>
      <sheetName val="GeographicalBreakdown"/>
      <sheetName val="Sheet1"/>
      <sheetName val="Model for comment"/>
      <sheetName val="Model"/>
      <sheetName val="Balance Sheet (2)"/>
      <sheetName val="Cash Flows (2)"/>
      <sheetName val="Balance Sheet"/>
      <sheetName val="well stats"/>
      <sheetName val="2000notes"/>
      <sheetName val="Debt"/>
      <sheetName val="COGdom"/>
      <sheetName val="Module1"/>
      <sheetName val="iQ_CoreIndustrials"/>
      <sheetName val="GAAP &amp; Comments"/>
      <sheetName val="Variance"/>
      <sheetName val="Hedges"/>
    </sheetNames>
    <sheetDataSet>
      <sheetData sheetId="0" refreshError="1"/>
      <sheetData sheetId="1" refreshError="1"/>
      <sheetData sheetId="2" refreshError="1"/>
      <sheetData sheetId="3" refreshError="1"/>
      <sheetData sheetId="4" refreshError="1"/>
      <sheetData sheetId="5" refreshError="1"/>
      <sheetData sheetId="6" refreshError="1">
        <row r="2">
          <cell r="A2" t="str">
            <v>COMMODITY ASSUMPTIONS</v>
          </cell>
          <cell r="P2" t="str">
            <v>2Q93</v>
          </cell>
          <cell r="Q2" t="str">
            <v>3Q93</v>
          </cell>
          <cell r="R2" t="str">
            <v>4Q93</v>
          </cell>
          <cell r="S2">
            <v>1993</v>
          </cell>
          <cell r="T2" t="str">
            <v>1Q 94</v>
          </cell>
          <cell r="U2" t="str">
            <v>2Q 94</v>
          </cell>
          <cell r="V2" t="str">
            <v>3Q 94</v>
          </cell>
          <cell r="W2" t="str">
            <v>4Q 94</v>
          </cell>
          <cell r="X2">
            <v>1994</v>
          </cell>
          <cell r="Y2" t="str">
            <v>1Q 95</v>
          </cell>
          <cell r="Z2" t="str">
            <v>2Q 95</v>
          </cell>
          <cell r="AA2" t="str">
            <v>3Q 95</v>
          </cell>
          <cell r="AB2" t="str">
            <v>4Q 95</v>
          </cell>
          <cell r="AC2">
            <v>1995</v>
          </cell>
          <cell r="AD2" t="str">
            <v>1Q 96</v>
          </cell>
          <cell r="AE2" t="str">
            <v>2Q 96</v>
          </cell>
        </row>
        <row r="3">
          <cell r="P3">
            <v>19.786666666666665</v>
          </cell>
          <cell r="Q3">
            <v>17.796666666666667</v>
          </cell>
          <cell r="R3">
            <v>15.53</v>
          </cell>
          <cell r="S3">
            <v>18.489999999999998</v>
          </cell>
          <cell r="T3">
            <v>14.72</v>
          </cell>
          <cell r="U3">
            <v>17.606666666666669</v>
          </cell>
          <cell r="V3">
            <v>18.510000000000002</v>
          </cell>
          <cell r="W3">
            <v>17.233333333333334</v>
          </cell>
          <cell r="X3">
            <v>16.73</v>
          </cell>
          <cell r="Y3">
            <v>18.27</v>
          </cell>
          <cell r="Z3">
            <v>19.34</v>
          </cell>
          <cell r="AA3">
            <v>17.833333333333332</v>
          </cell>
          <cell r="AB3">
            <v>18.09</v>
          </cell>
          <cell r="AC3">
            <v>18.399999999999999</v>
          </cell>
          <cell r="AD3">
            <v>19.690000000000001</v>
          </cell>
          <cell r="AE3">
            <v>21.793333333333333</v>
          </cell>
        </row>
        <row r="4">
          <cell r="P4">
            <v>2.0233333333333334</v>
          </cell>
          <cell r="Q4">
            <v>2.0366666666666666</v>
          </cell>
          <cell r="R4">
            <v>1.99</v>
          </cell>
          <cell r="S4">
            <v>1.96</v>
          </cell>
          <cell r="T4">
            <v>2.16</v>
          </cell>
          <cell r="U4">
            <v>1.7433333333333334</v>
          </cell>
          <cell r="V4">
            <v>1.53</v>
          </cell>
          <cell r="W4">
            <v>1.45</v>
          </cell>
          <cell r="X4">
            <v>1.73</v>
          </cell>
          <cell r="Y4">
            <v>1.32</v>
          </cell>
          <cell r="Z4">
            <v>1.41</v>
          </cell>
          <cell r="AA4">
            <v>1.36</v>
          </cell>
          <cell r="AB4">
            <v>1.81</v>
          </cell>
          <cell r="AC4">
            <v>1.47</v>
          </cell>
          <cell r="AD4">
            <v>2.7366666666666668</v>
          </cell>
          <cell r="AE4">
            <v>2.1466666666666669</v>
          </cell>
        </row>
        <row r="6">
          <cell r="P6" t="str">
            <v xml:space="preserve">2q </v>
          </cell>
          <cell r="Q6" t="str">
            <v>3q*</v>
          </cell>
          <cell r="R6" t="str">
            <v>4q</v>
          </cell>
          <cell r="S6">
            <v>1993</v>
          </cell>
          <cell r="T6" t="str">
            <v>1q</v>
          </cell>
          <cell r="U6" t="str">
            <v>2q</v>
          </cell>
          <cell r="V6" t="str">
            <v>3q</v>
          </cell>
          <cell r="W6" t="str">
            <v>4q</v>
          </cell>
          <cell r="X6" t="str">
            <v>1994</v>
          </cell>
          <cell r="Y6" t="str">
            <v>1q</v>
          </cell>
          <cell r="Z6" t="str">
            <v>2q</v>
          </cell>
          <cell r="AA6" t="str">
            <v>3q</v>
          </cell>
          <cell r="AB6" t="str">
            <v>4q</v>
          </cell>
          <cell r="AC6">
            <v>1995</v>
          </cell>
          <cell r="AD6" t="str">
            <v>1q</v>
          </cell>
          <cell r="AE6" t="str">
            <v>2q</v>
          </cell>
        </row>
        <row r="7">
          <cell r="P7">
            <v>69</v>
          </cell>
          <cell r="Q7">
            <v>71</v>
          </cell>
          <cell r="R7">
            <v>78.260869565217391</v>
          </cell>
          <cell r="S7">
            <v>72.947945205479456</v>
          </cell>
          <cell r="T7">
            <v>80</v>
          </cell>
          <cell r="U7">
            <v>80.5</v>
          </cell>
          <cell r="V7">
            <v>82.608695652173907</v>
          </cell>
          <cell r="W7">
            <v>82.5</v>
          </cell>
          <cell r="X7">
            <v>81.412328767123284</v>
          </cell>
          <cell r="Y7">
            <v>82.222222222222229</v>
          </cell>
          <cell r="Z7">
            <v>76.92307692307692</v>
          </cell>
          <cell r="AA7">
            <v>71.739130434782609</v>
          </cell>
          <cell r="AB7">
            <v>70.652173913043484</v>
          </cell>
          <cell r="AC7">
            <v>75.342465753424648</v>
          </cell>
          <cell r="AD7">
            <v>74.444444444444457</v>
          </cell>
          <cell r="AE7">
            <v>71.428571428571431</v>
          </cell>
        </row>
        <row r="8">
          <cell r="P8">
            <v>52</v>
          </cell>
          <cell r="Q8">
            <v>55</v>
          </cell>
          <cell r="R8">
            <v>60.869565217391298</v>
          </cell>
          <cell r="S8">
            <v>54.4986301369863</v>
          </cell>
          <cell r="T8">
            <v>56.666666666666664</v>
          </cell>
          <cell r="U8">
            <v>80.400000000000006</v>
          </cell>
          <cell r="V8">
            <v>89.673913043478251</v>
          </cell>
          <cell r="W8">
            <v>85</v>
          </cell>
          <cell r="X8">
            <v>78.044931506849323</v>
          </cell>
          <cell r="Y8">
            <v>77.466666666666654</v>
          </cell>
          <cell r="Z8">
            <v>77.604395604395606</v>
          </cell>
          <cell r="AA8">
            <v>63.489130434782609</v>
          </cell>
          <cell r="AB8">
            <v>72.858695652173907</v>
          </cell>
          <cell r="AC8">
            <v>72.816438356164383</v>
          </cell>
          <cell r="AD8">
            <v>71.577777777777783</v>
          </cell>
          <cell r="AE8">
            <v>80.208791208791212</v>
          </cell>
        </row>
        <row r="9">
          <cell r="Y9">
            <v>11.422222222222222</v>
          </cell>
          <cell r="Z9">
            <v>9.2087912087912098</v>
          </cell>
          <cell r="AA9">
            <v>9.336956521739129</v>
          </cell>
          <cell r="AB9">
            <v>10.836956521739131</v>
          </cell>
          <cell r="AC9">
            <v>10.197260273972603</v>
          </cell>
          <cell r="AD9">
            <v>11.755555555555556</v>
          </cell>
          <cell r="AE9">
            <v>12.098901098901099</v>
          </cell>
        </row>
        <row r="11">
          <cell r="P11">
            <v>121</v>
          </cell>
          <cell r="Q11">
            <v>126</v>
          </cell>
          <cell r="R11">
            <v>139.13043478260869</v>
          </cell>
          <cell r="S11">
            <v>127.44657534246576</v>
          </cell>
          <cell r="T11">
            <v>136.66666666666666</v>
          </cell>
          <cell r="U11">
            <v>160.9</v>
          </cell>
          <cell r="V11">
            <v>172.28260869565216</v>
          </cell>
          <cell r="W11">
            <v>167.5</v>
          </cell>
          <cell r="X11">
            <v>159.45726027397262</v>
          </cell>
          <cell r="Y11">
            <v>171.11111111111109</v>
          </cell>
          <cell r="Z11">
            <v>163.73626373626374</v>
          </cell>
          <cell r="AA11">
            <v>144.56521739130434</v>
          </cell>
          <cell r="AB11">
            <v>154.3478260869565</v>
          </cell>
          <cell r="AC11">
            <v>158.35616438356163</v>
          </cell>
          <cell r="AD11">
            <v>157.7777777777778</v>
          </cell>
          <cell r="AE11">
            <v>163.73626373626374</v>
          </cell>
        </row>
        <row r="14">
          <cell r="P14">
            <v>6.2789999999999999</v>
          </cell>
          <cell r="Q14">
            <v>6.532</v>
          </cell>
          <cell r="R14">
            <v>7.2</v>
          </cell>
          <cell r="S14">
            <v>26.626000000000001</v>
          </cell>
          <cell r="T14">
            <v>7.2</v>
          </cell>
          <cell r="U14">
            <v>7.3254999999999999</v>
          </cell>
          <cell r="V14">
            <v>7.6</v>
          </cell>
          <cell r="W14">
            <v>7.59</v>
          </cell>
          <cell r="X14">
            <v>29.715500000000002</v>
          </cell>
          <cell r="Y14">
            <v>7.4</v>
          </cell>
          <cell r="Z14">
            <v>7</v>
          </cell>
          <cell r="AA14">
            <v>6.6</v>
          </cell>
          <cell r="AB14">
            <v>6.5</v>
          </cell>
          <cell r="AC14">
            <v>27.5</v>
          </cell>
          <cell r="AD14">
            <v>6.7</v>
          </cell>
          <cell r="AE14">
            <v>6.5</v>
          </cell>
        </row>
        <row r="15">
          <cell r="P15">
            <v>4.7320000000000002</v>
          </cell>
          <cell r="Q15">
            <v>5.0599999999999996</v>
          </cell>
          <cell r="R15">
            <v>5.6</v>
          </cell>
          <cell r="S15">
            <v>19.891999999999999</v>
          </cell>
          <cell r="T15">
            <v>5.0999999999999996</v>
          </cell>
          <cell r="U15">
            <v>7.3164000000000007</v>
          </cell>
          <cell r="V15">
            <v>8.25</v>
          </cell>
          <cell r="W15">
            <v>7.82</v>
          </cell>
          <cell r="X15">
            <v>28.4864</v>
          </cell>
          <cell r="Y15">
            <v>6.9719999999999995</v>
          </cell>
          <cell r="Z15">
            <v>7.0620000000000003</v>
          </cell>
          <cell r="AA15">
            <v>5.8410000000000002</v>
          </cell>
          <cell r="AB15">
            <v>6.7030000000000003</v>
          </cell>
          <cell r="AC15">
            <v>26.577999999999999</v>
          </cell>
          <cell r="AD15">
            <v>6.4420000000000002</v>
          </cell>
          <cell r="AE15">
            <v>7.2990000000000004</v>
          </cell>
        </row>
        <row r="16">
          <cell r="Y16">
            <v>1.028</v>
          </cell>
          <cell r="Z16">
            <v>0.83799999999999997</v>
          </cell>
          <cell r="AA16">
            <v>0.85899999999999999</v>
          </cell>
          <cell r="AB16">
            <v>0.997</v>
          </cell>
          <cell r="AC16">
            <v>3.722</v>
          </cell>
          <cell r="AD16">
            <v>1.0580000000000001</v>
          </cell>
          <cell r="AE16">
            <v>1.101</v>
          </cell>
        </row>
        <row r="18">
          <cell r="P18">
            <v>11.010999999999999</v>
          </cell>
          <cell r="Q18">
            <v>11.591999999999999</v>
          </cell>
          <cell r="R18">
            <v>12.8</v>
          </cell>
          <cell r="S18">
            <v>46.518000000000001</v>
          </cell>
          <cell r="T18">
            <v>12.3</v>
          </cell>
          <cell r="U18">
            <v>14.6419</v>
          </cell>
          <cell r="V18">
            <v>15.85</v>
          </cell>
          <cell r="W18">
            <v>15.41</v>
          </cell>
          <cell r="X18">
            <v>58.201899999999995</v>
          </cell>
          <cell r="Y18">
            <v>15.4</v>
          </cell>
          <cell r="Z18">
            <v>14.9</v>
          </cell>
          <cell r="AA18">
            <v>13.299999999999999</v>
          </cell>
          <cell r="AB18">
            <v>14.2</v>
          </cell>
          <cell r="AC18">
            <v>57.8</v>
          </cell>
          <cell r="AD18">
            <v>14.2</v>
          </cell>
          <cell r="AE18">
            <v>14.899999999999999</v>
          </cell>
        </row>
        <row r="21">
          <cell r="P21">
            <v>2.69</v>
          </cell>
          <cell r="Q21">
            <v>2.6</v>
          </cell>
          <cell r="R21">
            <v>2.72</v>
          </cell>
          <cell r="S21">
            <v>2.6825000000000001</v>
          </cell>
          <cell r="T21">
            <v>2.94</v>
          </cell>
          <cell r="U21">
            <v>2.4700000000000002</v>
          </cell>
          <cell r="V21">
            <v>2.14</v>
          </cell>
          <cell r="W21">
            <v>2.21</v>
          </cell>
          <cell r="X21">
            <v>2.4330697783984783</v>
          </cell>
          <cell r="Y21">
            <v>2.25</v>
          </cell>
          <cell r="Z21">
            <v>2.12</v>
          </cell>
          <cell r="AA21">
            <v>1.97</v>
          </cell>
          <cell r="AB21">
            <v>2.4</v>
          </cell>
          <cell r="AC21">
            <v>2.1851636363636366</v>
          </cell>
          <cell r="AD21">
            <v>3</v>
          </cell>
          <cell r="AE21">
            <v>2.5099999999999998</v>
          </cell>
        </row>
        <row r="22">
          <cell r="P22">
            <v>2.02</v>
          </cell>
          <cell r="Q22">
            <v>1.96</v>
          </cell>
          <cell r="R22">
            <v>1.94</v>
          </cell>
          <cell r="S22">
            <v>1.9325000000000001</v>
          </cell>
          <cell r="T22">
            <v>2.04</v>
          </cell>
          <cell r="U22">
            <v>1.7749999999999999</v>
          </cell>
          <cell r="V22">
            <v>1.68</v>
          </cell>
          <cell r="W22">
            <v>1.62</v>
          </cell>
          <cell r="X22">
            <v>1.7523804341720961</v>
          </cell>
          <cell r="Y22">
            <v>1.22</v>
          </cell>
          <cell r="Z22">
            <v>1.36</v>
          </cell>
          <cell r="AA22">
            <v>1.17</v>
          </cell>
          <cell r="AB22">
            <v>1.5</v>
          </cell>
          <cell r="AC22">
            <v>1.3168270750244566</v>
          </cell>
          <cell r="AD22">
            <v>1.77</v>
          </cell>
          <cell r="AE22">
            <v>1.74</v>
          </cell>
        </row>
        <row r="23">
          <cell r="Y23">
            <v>1.54</v>
          </cell>
          <cell r="Z23">
            <v>1.54</v>
          </cell>
          <cell r="AA23">
            <v>1.5</v>
          </cell>
          <cell r="AB23">
            <v>1.66</v>
          </cell>
          <cell r="AC23">
            <v>1.5629124126813541</v>
          </cell>
          <cell r="AD23">
            <v>2.09</v>
          </cell>
          <cell r="AE23">
            <v>2.12</v>
          </cell>
        </row>
        <row r="25">
          <cell r="P25">
            <v>2.4020661157024792</v>
          </cell>
          <cell r="Q25">
            <v>2.31</v>
          </cell>
          <cell r="R25">
            <v>2.3787500000000001</v>
          </cell>
          <cell r="S25">
            <v>2.3617854378950085</v>
          </cell>
          <cell r="T25">
            <v>2.566829268292683</v>
          </cell>
          <cell r="U25">
            <v>2.1227159726538223</v>
          </cell>
          <cell r="V25">
            <v>1.9005678233438486</v>
          </cell>
          <cell r="W25">
            <v>1.910597014925373</v>
          </cell>
          <cell r="X25">
            <v>2.0999124599025119</v>
          </cell>
          <cell r="Y25">
            <v>1.736296103896104</v>
          </cell>
          <cell r="Z25">
            <v>1.7271704697986578</v>
          </cell>
          <cell r="AA25">
            <v>1.5883060150375941</v>
          </cell>
          <cell r="AB25">
            <v>1.9232056338028169</v>
          </cell>
          <cell r="AC25">
            <v>1.7458095155709343</v>
          </cell>
          <cell r="AD25">
            <v>2.3741943661971834</v>
          </cell>
          <cell r="AE25">
            <v>2.1039852348993286</v>
          </cell>
        </row>
        <row r="29">
          <cell r="P29">
            <v>185.60999999999999</v>
          </cell>
          <cell r="Q29">
            <v>184.6</v>
          </cell>
          <cell r="R29">
            <v>212.86956521739131</v>
          </cell>
          <cell r="S29">
            <v>195.68286301369864</v>
          </cell>
          <cell r="T29">
            <v>235.2</v>
          </cell>
          <cell r="U29">
            <v>198.83500000000001</v>
          </cell>
          <cell r="V29">
            <v>176.78260869565216</v>
          </cell>
          <cell r="W29">
            <v>182.32499999999999</v>
          </cell>
          <cell r="X29">
            <v>198.08187671232875</v>
          </cell>
          <cell r="Y29">
            <v>185</v>
          </cell>
          <cell r="Z29">
            <v>163.07692307692307</v>
          </cell>
          <cell r="AA29">
            <v>141.32608695652175</v>
          </cell>
          <cell r="AB29">
            <v>169.56521739130434</v>
          </cell>
          <cell r="AC29">
            <v>164.63561643835618</v>
          </cell>
          <cell r="AD29">
            <v>223.33333333333337</v>
          </cell>
          <cell r="AE29">
            <v>179.28571428571428</v>
          </cell>
        </row>
        <row r="30">
          <cell r="P30">
            <v>105.04</v>
          </cell>
          <cell r="Q30">
            <v>107.8</v>
          </cell>
          <cell r="R30">
            <v>118.08695652173911</v>
          </cell>
          <cell r="S30">
            <v>105.31860273972603</v>
          </cell>
          <cell r="T30">
            <v>115.6</v>
          </cell>
          <cell r="U30">
            <v>142.71</v>
          </cell>
          <cell r="V30">
            <v>150.65217391304347</v>
          </cell>
          <cell r="W30">
            <v>137.70000000000002</v>
          </cell>
          <cell r="X30">
            <v>136.76441095890411</v>
          </cell>
          <cell r="Y30">
            <v>94.509333333333316</v>
          </cell>
          <cell r="Z30">
            <v>105.54197802197803</v>
          </cell>
          <cell r="AA30">
            <v>74.282282608695652</v>
          </cell>
          <cell r="AB30">
            <v>109.28804347826086</v>
          </cell>
          <cell r="AC30">
            <v>95.886657534246595</v>
          </cell>
          <cell r="AD30">
            <v>126.69266666666668</v>
          </cell>
          <cell r="AE30">
            <v>139.56329670329671</v>
          </cell>
        </row>
        <row r="31">
          <cell r="Y31">
            <v>17.590222222222224</v>
          </cell>
          <cell r="Z31">
            <v>14.181538461538464</v>
          </cell>
          <cell r="AA31">
            <v>14.005434782608694</v>
          </cell>
          <cell r="AB31">
            <v>17.989347826086956</v>
          </cell>
          <cell r="AC31">
            <v>15.937424657534244</v>
          </cell>
          <cell r="AD31">
            <v>24.569111111111113</v>
          </cell>
          <cell r="AE31">
            <v>25.649670329670329</v>
          </cell>
        </row>
        <row r="33">
          <cell r="P33">
            <v>290.64999999999998</v>
          </cell>
          <cell r="Q33">
            <v>292.39999999999998</v>
          </cell>
          <cell r="R33">
            <v>330.95652173913044</v>
          </cell>
          <cell r="S33">
            <v>301.00146575342467</v>
          </cell>
          <cell r="T33">
            <v>350.79999999999995</v>
          </cell>
          <cell r="U33">
            <v>341.54500000000002</v>
          </cell>
          <cell r="V33">
            <v>327.43478260869563</v>
          </cell>
          <cell r="W33">
            <v>320.02499999999998</v>
          </cell>
          <cell r="X33">
            <v>334.84628767123286</v>
          </cell>
          <cell r="Y33">
            <v>297.09955555555553</v>
          </cell>
          <cell r="Z33">
            <v>282.8004395604396</v>
          </cell>
          <cell r="AA33">
            <v>229.61380434782609</v>
          </cell>
          <cell r="AB33">
            <v>296.84260869565213</v>
          </cell>
          <cell r="AC33">
            <v>276.45969863013698</v>
          </cell>
          <cell r="AD33">
            <v>374.59511111111118</v>
          </cell>
          <cell r="AE33">
            <v>344.49868131868129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Q_US_CoreIndustrials"/>
      <sheetName val="Model"/>
      <sheetName val="EOGVALUE"/>
      <sheetName val="EOGCMP"/>
      <sheetName val="Balance Sheet"/>
      <sheetName val="Module1"/>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
      <sheetName val="Royalties &amp; Licenses"/>
      <sheetName val="Product Revenue"/>
      <sheetName val="Pipeline"/>
      <sheetName val="Clinical Trials"/>
      <sheetName val="Valuation"/>
      <sheetName val="Model"/>
    </sheetNames>
    <sheetDataSet>
      <sheetData sheetId="0"/>
      <sheetData sheetId="1"/>
      <sheetData sheetId="2"/>
      <sheetData sheetId="3"/>
      <sheetData sheetId="4"/>
      <sheetData sheetId="5"/>
      <sheetData sheetId="6"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PID2"/>
      <sheetName val="Annual"/>
      <sheetName val="Quarterly"/>
      <sheetName val="Model2Wizard"/>
      <sheetName val="Valuation"/>
      <sheetName val="BS"/>
      <sheetName val="CF"/>
      <sheetName val="Revenues"/>
      <sheetName val="MS Model"/>
    </sheetNames>
    <sheetDataSet>
      <sheetData sheetId="0" refreshError="1">
        <row r="1">
          <cell r="C1" t="str">
            <v>TICKER</v>
          </cell>
          <cell r="D1" t="str">
            <v>Ticker</v>
          </cell>
          <cell r="E1" t="str">
            <v>$D$11</v>
          </cell>
          <cell r="F1" t="str">
            <v>T5</v>
          </cell>
          <cell r="G1" t="e">
            <v>#NULL!</v>
          </cell>
        </row>
        <row r="2">
          <cell r="C2" t="str">
            <v>DATEOFSUBMISSION</v>
          </cell>
          <cell r="D2" t="str">
            <v>Date of Submission</v>
          </cell>
          <cell r="E2" t="str">
            <v>$J$11</v>
          </cell>
          <cell r="F2" t="str">
            <v>D</v>
          </cell>
          <cell r="G2" t="e">
            <v>#NULL!</v>
          </cell>
        </row>
        <row r="3">
          <cell r="C3" t="str">
            <v>CURRENTRATING</v>
          </cell>
          <cell r="D3" t="str">
            <v>Current Rating</v>
          </cell>
          <cell r="E3" t="str">
            <v>$D$14</v>
          </cell>
          <cell r="F3" t="str">
            <v>T20</v>
          </cell>
          <cell r="G3" t="e">
            <v>#NULL!</v>
          </cell>
        </row>
        <row r="4">
          <cell r="C4" t="str">
            <v>SHARESOUTSTANDING</v>
          </cell>
          <cell r="D4" t="str">
            <v>Shares Outstanding (MM)</v>
          </cell>
          <cell r="E4" t="str">
            <v>$D$19</v>
          </cell>
          <cell r="F4" t="str">
            <v>N</v>
          </cell>
          <cell r="G4" t="e">
            <v>#NULL!</v>
          </cell>
        </row>
        <row r="5">
          <cell r="C5" t="str">
            <v>MARKETCAP</v>
          </cell>
          <cell r="D5" t="str">
            <v>Market Capitalization (MM)</v>
          </cell>
          <cell r="E5" t="str">
            <v>$D$20</v>
          </cell>
          <cell r="F5" t="str">
            <v>N</v>
          </cell>
          <cell r="G5" t="e">
            <v>#NULL!</v>
          </cell>
        </row>
        <row r="6">
          <cell r="C6" t="str">
            <v>AVERAGETRADINGVOLUME</v>
          </cell>
          <cell r="D6" t="str">
            <v>Average Trading Volume (000)</v>
          </cell>
          <cell r="E6" t="str">
            <v>$D$21</v>
          </cell>
          <cell r="F6" t="str">
            <v>N</v>
          </cell>
          <cell r="G6" t="e">
            <v>#NULL!</v>
          </cell>
        </row>
        <row r="7">
          <cell r="C7" t="str">
            <v>BOOKVALUEPERSHARE</v>
          </cell>
          <cell r="D7" t="str">
            <v>Book Value/Share</v>
          </cell>
          <cell r="E7" t="str">
            <v>$D$22</v>
          </cell>
          <cell r="F7" t="str">
            <v>N</v>
          </cell>
          <cell r="G7" t="e">
            <v>#NULL!</v>
          </cell>
        </row>
        <row r="8">
          <cell r="C8" t="str">
            <v>ROAE</v>
          </cell>
          <cell r="D8" t="str">
            <v>current year's estimated ROE/ROAE</v>
          </cell>
          <cell r="F8" t="str">
            <v>N</v>
          </cell>
        </row>
        <row r="9">
          <cell r="C9" t="str">
            <v>ROIC</v>
          </cell>
          <cell r="D9" t="str">
            <v>current year's estimated ROIC</v>
          </cell>
          <cell r="F9" t="str">
            <v>N</v>
          </cell>
        </row>
        <row r="10">
          <cell r="C10" t="str">
            <v>NETCASHPERSHARE</v>
          </cell>
          <cell r="D10" t="str">
            <v>Net Cash/Share</v>
          </cell>
          <cell r="E10" t="str">
            <v>$D$25</v>
          </cell>
          <cell r="F10" t="str">
            <v>N</v>
          </cell>
          <cell r="G10" t="e">
            <v>#NULL!</v>
          </cell>
        </row>
        <row r="11">
          <cell r="C11" t="str">
            <v>SECULARGROWTHRATE</v>
          </cell>
          <cell r="D11" t="str">
            <v>Secular Growth Rate</v>
          </cell>
          <cell r="F11" t="str">
            <v>T</v>
          </cell>
        </row>
        <row r="12">
          <cell r="C12" t="str">
            <v>EARNINGS</v>
          </cell>
          <cell r="D12" t="str">
            <v>Earnings/FFO/EBITDA region including year headings</v>
          </cell>
          <cell r="E12" t="str">
            <v>$F$15:$J$21</v>
          </cell>
          <cell r="G12" t="e">
            <v>#NULL!</v>
          </cell>
        </row>
        <row r="13">
          <cell r="C13" t="str">
            <v>REVENUES</v>
          </cell>
          <cell r="D13" t="str">
            <v>Revenues region including year headings</v>
          </cell>
          <cell r="E13" t="str">
            <v>$F$22:$J$28</v>
          </cell>
          <cell r="G13" t="e">
            <v>#NULL!</v>
          </cell>
        </row>
        <row r="15">
          <cell r="C15" t="str">
            <v>Y1E</v>
          </cell>
          <cell r="D15" t="str">
            <v>Earnings Year 1</v>
          </cell>
          <cell r="E15" t="str">
            <v>$G$15</v>
          </cell>
          <cell r="F15" t="str">
            <v>Y</v>
          </cell>
          <cell r="G15" t="e">
            <v>#NULL!</v>
          </cell>
        </row>
        <row r="16">
          <cell r="C16" t="str">
            <v>Y2E</v>
          </cell>
          <cell r="D16" t="str">
            <v>Earnings Year 2</v>
          </cell>
          <cell r="E16" t="str">
            <v>$H$15</v>
          </cell>
          <cell r="F16" t="str">
            <v>Y</v>
          </cell>
          <cell r="G16" t="e">
            <v>#NULL!</v>
          </cell>
        </row>
        <row r="17">
          <cell r="C17" t="str">
            <v>Y3E</v>
          </cell>
          <cell r="D17" t="str">
            <v>Earnings Year 3</v>
          </cell>
          <cell r="E17" t="str">
            <v>$J$15</v>
          </cell>
          <cell r="F17" t="str">
            <v>Y</v>
          </cell>
          <cell r="G17" t="e">
            <v>#NULL!</v>
          </cell>
        </row>
        <row r="18">
          <cell r="C18" t="str">
            <v>Y4E</v>
          </cell>
          <cell r="D18" t="str">
            <v>Earnings Year 4</v>
          </cell>
          <cell r="F18" t="str">
            <v>Y</v>
          </cell>
        </row>
        <row r="19">
          <cell r="C19" t="str">
            <v>Y1Q1E</v>
          </cell>
          <cell r="D19" t="str">
            <v>Year 1 Quarter 1 Earnings</v>
          </cell>
          <cell r="E19" t="str">
            <v>$G$16</v>
          </cell>
          <cell r="F19" t="str">
            <v>N</v>
          </cell>
          <cell r="G19" t="e">
            <v>#NULL!</v>
          </cell>
        </row>
        <row r="20">
          <cell r="C20" t="str">
            <v>Y1Q2E</v>
          </cell>
          <cell r="D20" t="str">
            <v>Year 1 Quarter 2 Earnings</v>
          </cell>
          <cell r="E20" t="str">
            <v>$G$17</v>
          </cell>
          <cell r="F20" t="str">
            <v>N</v>
          </cell>
          <cell r="G20" t="e">
            <v>#NULL!</v>
          </cell>
        </row>
        <row r="21">
          <cell r="C21" t="str">
            <v>Y1Q3E</v>
          </cell>
          <cell r="D21" t="str">
            <v>Year 1 Quarter 3 Earnings</v>
          </cell>
          <cell r="E21" t="str">
            <v>$G$18</v>
          </cell>
          <cell r="F21" t="str">
            <v>N</v>
          </cell>
          <cell r="G21" t="e">
            <v>#NULL!</v>
          </cell>
        </row>
        <row r="22">
          <cell r="C22" t="str">
            <v>Y1Q4E</v>
          </cell>
          <cell r="D22" t="str">
            <v>Year 1 Quarter 4 Earnings</v>
          </cell>
          <cell r="E22" t="str">
            <v>$G$19</v>
          </cell>
          <cell r="F22" t="str">
            <v>N</v>
          </cell>
          <cell r="G22" t="e">
            <v>#NULL!</v>
          </cell>
        </row>
        <row r="23">
          <cell r="C23" t="str">
            <v>Y1YearE</v>
          </cell>
          <cell r="D23" t="str">
            <v>Year 1 Earnings</v>
          </cell>
          <cell r="E23" t="str">
            <v>$G$20</v>
          </cell>
          <cell r="F23" t="str">
            <v>N</v>
          </cell>
          <cell r="G23" t="e">
            <v>#NULL!</v>
          </cell>
        </row>
        <row r="24">
          <cell r="C24" t="str">
            <v>Y1PEE</v>
          </cell>
          <cell r="D24" t="str">
            <v>Year 1 P/E</v>
          </cell>
          <cell r="E24" t="str">
            <v>$G$21</v>
          </cell>
          <cell r="F24" t="str">
            <v>N</v>
          </cell>
          <cell r="G24" t="e">
            <v>#NULL!</v>
          </cell>
        </row>
        <row r="25">
          <cell r="C25" t="str">
            <v>Y1CYE</v>
          </cell>
          <cell r="D25" t="str">
            <v>Year 1 CY</v>
          </cell>
          <cell r="F25" t="str">
            <v>N</v>
          </cell>
        </row>
        <row r="26">
          <cell r="C26" t="str">
            <v>Y1CYPEE</v>
          </cell>
          <cell r="D26" t="str">
            <v>Year 1 CY P/E</v>
          </cell>
          <cell r="F26" t="str">
            <v>N</v>
          </cell>
        </row>
        <row r="27">
          <cell r="C27" t="str">
            <v>Y2Q1E</v>
          </cell>
          <cell r="D27" t="str">
            <v>Year 2 Quarter 1 Earnings</v>
          </cell>
          <cell r="E27" t="str">
            <v>$H$16</v>
          </cell>
          <cell r="F27" t="str">
            <v>N</v>
          </cell>
          <cell r="G27" t="e">
            <v>#NULL!</v>
          </cell>
        </row>
        <row r="28">
          <cell r="C28" t="str">
            <v>Y2Q2E</v>
          </cell>
          <cell r="D28" t="str">
            <v>Year 2 Quarter 2 Earnings</v>
          </cell>
          <cell r="E28" t="str">
            <v>$H$17</v>
          </cell>
          <cell r="F28" t="str">
            <v>N</v>
          </cell>
          <cell r="G28" t="e">
            <v>#NULL!</v>
          </cell>
        </row>
        <row r="29">
          <cell r="C29" t="str">
            <v>Y2Q3E</v>
          </cell>
          <cell r="D29" t="str">
            <v>Year 2 Quarter 3 Earnings</v>
          </cell>
          <cell r="E29" t="str">
            <v>$H$18</v>
          </cell>
          <cell r="F29" t="str">
            <v>N</v>
          </cell>
          <cell r="G29" t="e">
            <v>#NULL!</v>
          </cell>
        </row>
        <row r="30">
          <cell r="C30" t="str">
            <v>Y2Q4E</v>
          </cell>
          <cell r="D30" t="str">
            <v>Year 2 Quarter 4 Earnings</v>
          </cell>
          <cell r="E30" t="str">
            <v>$H$19</v>
          </cell>
          <cell r="F30" t="str">
            <v>N</v>
          </cell>
          <cell r="G30" t="e">
            <v>#NULL!</v>
          </cell>
        </row>
        <row r="31">
          <cell r="C31" t="str">
            <v>Y2YearE</v>
          </cell>
          <cell r="D31" t="str">
            <v>Year 2 Earnings</v>
          </cell>
          <cell r="E31" t="str">
            <v>$H$20</v>
          </cell>
          <cell r="F31" t="str">
            <v>N</v>
          </cell>
          <cell r="G31" t="e">
            <v>#NULL!</v>
          </cell>
        </row>
        <row r="32">
          <cell r="C32" t="str">
            <v>Y2PEE</v>
          </cell>
          <cell r="D32" t="str">
            <v>Year 2 P/E</v>
          </cell>
          <cell r="E32" t="str">
            <v>$H$21</v>
          </cell>
          <cell r="F32" t="str">
            <v>N</v>
          </cell>
          <cell r="G32" t="e">
            <v>#NULL!</v>
          </cell>
        </row>
        <row r="33">
          <cell r="C33" t="str">
            <v>Y2CYE</v>
          </cell>
          <cell r="D33" t="str">
            <v>Year 2 CY</v>
          </cell>
          <cell r="F33" t="str">
            <v>N</v>
          </cell>
        </row>
        <row r="34">
          <cell r="C34" t="str">
            <v>Y2CYPEE</v>
          </cell>
          <cell r="D34" t="str">
            <v>Year 2 CY P/E</v>
          </cell>
          <cell r="F34" t="str">
            <v>N</v>
          </cell>
        </row>
        <row r="35">
          <cell r="C35" t="str">
            <v>Y3Q1E</v>
          </cell>
          <cell r="D35" t="str">
            <v>Year 3 Quarter 1 Earnings</v>
          </cell>
          <cell r="E35" t="str">
            <v>$J$16</v>
          </cell>
          <cell r="F35" t="str">
            <v>N</v>
          </cell>
          <cell r="G35" t="e">
            <v>#NULL!</v>
          </cell>
        </row>
        <row r="36">
          <cell r="C36" t="str">
            <v>Y3Q2E</v>
          </cell>
          <cell r="D36" t="str">
            <v>Year 3 Quarter 2 Earnings</v>
          </cell>
          <cell r="E36" t="str">
            <v>$J$17</v>
          </cell>
          <cell r="F36" t="str">
            <v>N</v>
          </cell>
          <cell r="G36" t="e">
            <v>#NULL!</v>
          </cell>
        </row>
        <row r="37">
          <cell r="C37" t="str">
            <v>Y3Q3E</v>
          </cell>
          <cell r="D37" t="str">
            <v>Year 3 Quarter 3 Earnings</v>
          </cell>
          <cell r="E37" t="str">
            <v>$J$18</v>
          </cell>
          <cell r="F37" t="str">
            <v>N</v>
          </cell>
          <cell r="G37" t="e">
            <v>#NULL!</v>
          </cell>
        </row>
        <row r="38">
          <cell r="C38" t="str">
            <v>Y3Q4E</v>
          </cell>
          <cell r="D38" t="str">
            <v>Year 3 Quarter 4 Earnings</v>
          </cell>
          <cell r="E38" t="str">
            <v>$J$19</v>
          </cell>
          <cell r="F38" t="str">
            <v>N</v>
          </cell>
          <cell r="G38" t="e">
            <v>#NULL!</v>
          </cell>
        </row>
        <row r="39">
          <cell r="C39" t="str">
            <v>Y3YearE</v>
          </cell>
          <cell r="D39" t="str">
            <v>Year 3 Earnings</v>
          </cell>
          <cell r="E39" t="str">
            <v>$J$20</v>
          </cell>
          <cell r="F39" t="str">
            <v>N</v>
          </cell>
          <cell r="G39" t="e">
            <v>#NULL!</v>
          </cell>
        </row>
        <row r="40">
          <cell r="C40" t="str">
            <v>Y3PEE</v>
          </cell>
          <cell r="D40" t="str">
            <v>Year 3 P/E</v>
          </cell>
          <cell r="E40" t="str">
            <v>$J$21</v>
          </cell>
          <cell r="F40" t="str">
            <v>N</v>
          </cell>
          <cell r="G40" t="e">
            <v>#NULL!</v>
          </cell>
        </row>
        <row r="41">
          <cell r="C41" t="str">
            <v>Y3CYE</v>
          </cell>
          <cell r="D41" t="str">
            <v>Year 3 CY</v>
          </cell>
          <cell r="F41" t="str">
            <v>N</v>
          </cell>
        </row>
        <row r="42">
          <cell r="C42" t="str">
            <v>Y3CYPEE</v>
          </cell>
          <cell r="D42" t="str">
            <v>Year 3 CY P/E</v>
          </cell>
          <cell r="F42" t="str">
            <v>N</v>
          </cell>
        </row>
        <row r="43">
          <cell r="C43" t="str">
            <v>Y4Q1E</v>
          </cell>
          <cell r="D43" t="str">
            <v>Year 4 Quarter 1 Earnings</v>
          </cell>
          <cell r="F43" t="str">
            <v>N</v>
          </cell>
        </row>
        <row r="44">
          <cell r="C44" t="str">
            <v>Y4Q2E</v>
          </cell>
          <cell r="D44" t="str">
            <v>Year 4 Quarter 2 Earnings</v>
          </cell>
          <cell r="F44" t="str">
            <v>N</v>
          </cell>
        </row>
        <row r="45">
          <cell r="C45" t="str">
            <v>Y4Q3E</v>
          </cell>
          <cell r="D45" t="str">
            <v>Year 4 Quarter 3 Earnings</v>
          </cell>
          <cell r="F45" t="str">
            <v>N</v>
          </cell>
        </row>
        <row r="46">
          <cell r="C46" t="str">
            <v>Y4Q4E</v>
          </cell>
          <cell r="D46" t="str">
            <v>Year 4 Quarter 4 Earnings</v>
          </cell>
          <cell r="F46" t="str">
            <v>N</v>
          </cell>
        </row>
        <row r="47">
          <cell r="C47" t="str">
            <v>Y4YearE</v>
          </cell>
          <cell r="D47" t="str">
            <v>Year 4 Earnings</v>
          </cell>
          <cell r="F47" t="str">
            <v>N</v>
          </cell>
        </row>
        <row r="48">
          <cell r="C48" t="str">
            <v>Y4PEE</v>
          </cell>
          <cell r="D48" t="str">
            <v>Year 4 P/E</v>
          </cell>
          <cell r="F48" t="str">
            <v>N</v>
          </cell>
        </row>
        <row r="49">
          <cell r="C49" t="str">
            <v>Y4CYE</v>
          </cell>
          <cell r="D49" t="str">
            <v>Year 4 CY</v>
          </cell>
          <cell r="F49" t="str">
            <v>N</v>
          </cell>
        </row>
        <row r="50">
          <cell r="C50" t="str">
            <v>Y4CYPEE</v>
          </cell>
          <cell r="D50" t="str">
            <v>Year 4 CY P/E</v>
          </cell>
          <cell r="F50" t="str">
            <v>N</v>
          </cell>
        </row>
        <row r="51">
          <cell r="C51" t="str">
            <v>Y1R</v>
          </cell>
          <cell r="D51" t="str">
            <v>Revenues Year 1</v>
          </cell>
          <cell r="E51" t="str">
            <v>$G$22</v>
          </cell>
          <cell r="F51" t="str">
            <v>Y</v>
          </cell>
          <cell r="G51" t="e">
            <v>#NULL!</v>
          </cell>
        </row>
        <row r="52">
          <cell r="C52" t="str">
            <v>Y2R</v>
          </cell>
          <cell r="D52" t="str">
            <v>Revenues Year 2</v>
          </cell>
          <cell r="E52" t="str">
            <v>$H$22</v>
          </cell>
          <cell r="F52" t="str">
            <v>Y</v>
          </cell>
          <cell r="G52" t="e">
            <v>#NULL!</v>
          </cell>
        </row>
        <row r="53">
          <cell r="C53" t="str">
            <v>Y3R</v>
          </cell>
          <cell r="D53" t="str">
            <v>Revenues Year 3</v>
          </cell>
          <cell r="E53" t="str">
            <v>$J$22</v>
          </cell>
          <cell r="F53" t="str">
            <v>Y</v>
          </cell>
          <cell r="G53" t="e">
            <v>#NULL!</v>
          </cell>
        </row>
        <row r="54">
          <cell r="C54" t="str">
            <v>Y4R</v>
          </cell>
          <cell r="D54" t="str">
            <v>Revenues Year 4</v>
          </cell>
          <cell r="F54" t="str">
            <v>Y</v>
          </cell>
        </row>
        <row r="55">
          <cell r="C55" t="str">
            <v>Y1Q1R</v>
          </cell>
          <cell r="D55" t="str">
            <v>Year 1 Quarter 1 Revenue</v>
          </cell>
          <cell r="E55" t="str">
            <v>$G$23</v>
          </cell>
          <cell r="F55" t="str">
            <v>N</v>
          </cell>
          <cell r="G55" t="e">
            <v>#NULL!</v>
          </cell>
        </row>
        <row r="56">
          <cell r="C56" t="str">
            <v>Y1Q2R</v>
          </cell>
          <cell r="D56" t="str">
            <v>Year 1 Quarter 2 Revenue</v>
          </cell>
          <cell r="E56" t="str">
            <v>$G$24</v>
          </cell>
          <cell r="F56" t="str">
            <v>N</v>
          </cell>
          <cell r="G56" t="e">
            <v>#NULL!</v>
          </cell>
        </row>
        <row r="57">
          <cell r="C57" t="str">
            <v>Y1Q3R</v>
          </cell>
          <cell r="D57" t="str">
            <v>Year 1 Quarter 3 Revenue</v>
          </cell>
          <cell r="E57" t="str">
            <v>$G$25</v>
          </cell>
          <cell r="F57" t="str">
            <v>N</v>
          </cell>
          <cell r="G57" t="e">
            <v>#NULL!</v>
          </cell>
        </row>
        <row r="58">
          <cell r="C58" t="str">
            <v>Y1Q4R</v>
          </cell>
          <cell r="D58" t="str">
            <v>Year 1 Quarter 4 Revenue</v>
          </cell>
          <cell r="E58" t="str">
            <v>$G$26</v>
          </cell>
          <cell r="F58" t="str">
            <v>N</v>
          </cell>
          <cell r="G58" t="e">
            <v>#NULL!</v>
          </cell>
        </row>
        <row r="59">
          <cell r="C59" t="str">
            <v>Y1YearR</v>
          </cell>
          <cell r="D59" t="str">
            <v>Year 1 Revenue</v>
          </cell>
          <cell r="E59" t="str">
            <v>$G$27</v>
          </cell>
          <cell r="F59" t="str">
            <v>N</v>
          </cell>
          <cell r="G59" t="e">
            <v>#NULL!</v>
          </cell>
        </row>
        <row r="60">
          <cell r="C60" t="str">
            <v>Y1Cap/RevR</v>
          </cell>
          <cell r="D60" t="str">
            <v>Year 1 Cap/Revs</v>
          </cell>
          <cell r="E60" t="str">
            <v>$G$28</v>
          </cell>
          <cell r="F60" t="str">
            <v>N</v>
          </cell>
          <cell r="G60" t="e">
            <v>#NULL!</v>
          </cell>
        </row>
        <row r="61">
          <cell r="C61" t="str">
            <v>Y2Q1R</v>
          </cell>
          <cell r="D61" t="str">
            <v>Year 2 Quarter 1 Revenue</v>
          </cell>
          <cell r="E61" t="str">
            <v>$H$23</v>
          </cell>
          <cell r="F61" t="str">
            <v>N</v>
          </cell>
          <cell r="G61" t="e">
            <v>#NULL!</v>
          </cell>
        </row>
        <row r="62">
          <cell r="C62" t="str">
            <v>Y2Q2R</v>
          </cell>
          <cell r="D62" t="str">
            <v>Year 2 Quarter 2 Revenue</v>
          </cell>
          <cell r="E62" t="str">
            <v>$H$24</v>
          </cell>
          <cell r="F62" t="str">
            <v>N</v>
          </cell>
          <cell r="G62" t="e">
            <v>#NULL!</v>
          </cell>
        </row>
        <row r="63">
          <cell r="C63" t="str">
            <v>Y2Q3R</v>
          </cell>
          <cell r="D63" t="str">
            <v>Year 2 Quarter 3 Revenue</v>
          </cell>
          <cell r="E63" t="str">
            <v>$H$25</v>
          </cell>
          <cell r="F63" t="str">
            <v>N</v>
          </cell>
          <cell r="G63" t="e">
            <v>#NULL!</v>
          </cell>
        </row>
        <row r="64">
          <cell r="C64" t="str">
            <v>Y2Q4R</v>
          </cell>
          <cell r="D64" t="str">
            <v>Year 2 Quarter 4 Revenue</v>
          </cell>
          <cell r="E64" t="str">
            <v>$H$26</v>
          </cell>
          <cell r="F64" t="str">
            <v>N</v>
          </cell>
          <cell r="G64" t="e">
            <v>#NULL!</v>
          </cell>
        </row>
        <row r="65">
          <cell r="C65" t="str">
            <v>Y2YearR</v>
          </cell>
          <cell r="D65" t="str">
            <v>Year 2 Revenue</v>
          </cell>
          <cell r="E65" t="str">
            <v>$H$27</v>
          </cell>
          <cell r="F65" t="str">
            <v>N</v>
          </cell>
          <cell r="G65" t="e">
            <v>#NULL!</v>
          </cell>
        </row>
        <row r="66">
          <cell r="C66" t="str">
            <v>Y2Cap/RevR</v>
          </cell>
          <cell r="D66" t="str">
            <v>Year 2 Cap/Revs</v>
          </cell>
          <cell r="E66" t="str">
            <v>$H$28</v>
          </cell>
          <cell r="F66" t="str">
            <v>N</v>
          </cell>
          <cell r="G66" t="e">
            <v>#NULL!</v>
          </cell>
        </row>
        <row r="67">
          <cell r="C67" t="str">
            <v>Y3Q1R</v>
          </cell>
          <cell r="D67" t="str">
            <v>Year 3 Quarter 1 Revenue</v>
          </cell>
          <cell r="E67" t="str">
            <v>$J$23</v>
          </cell>
          <cell r="F67" t="str">
            <v>N</v>
          </cell>
          <cell r="G67" t="e">
            <v>#NULL!</v>
          </cell>
        </row>
        <row r="68">
          <cell r="C68" t="str">
            <v>Y3Q2R</v>
          </cell>
          <cell r="D68" t="str">
            <v>Year 3 Quarter 2 Revenue</v>
          </cell>
          <cell r="E68" t="str">
            <v>$J$24</v>
          </cell>
          <cell r="F68" t="str">
            <v>N</v>
          </cell>
          <cell r="G68" t="e">
            <v>#NULL!</v>
          </cell>
        </row>
        <row r="69">
          <cell r="C69" t="str">
            <v>Y3Q3R</v>
          </cell>
          <cell r="D69" t="str">
            <v>Year 3 Quarter 3 Revenue</v>
          </cell>
          <cell r="E69" t="str">
            <v>$J$25</v>
          </cell>
          <cell r="F69" t="str">
            <v>N</v>
          </cell>
          <cell r="G69" t="e">
            <v>#NULL!</v>
          </cell>
        </row>
        <row r="70">
          <cell r="C70" t="str">
            <v>Y3Q4R</v>
          </cell>
          <cell r="D70" t="str">
            <v>Year 3 Quarter 4 Revenue</v>
          </cell>
          <cell r="E70" t="str">
            <v>$J$26</v>
          </cell>
          <cell r="F70" t="str">
            <v>N</v>
          </cell>
          <cell r="G70" t="e">
            <v>#NULL!</v>
          </cell>
        </row>
        <row r="71">
          <cell r="C71" t="str">
            <v>Y3YearR</v>
          </cell>
          <cell r="D71" t="str">
            <v>Year 3 Revenue</v>
          </cell>
          <cell r="E71" t="str">
            <v>$J$27</v>
          </cell>
          <cell r="F71" t="str">
            <v>N</v>
          </cell>
          <cell r="G71" t="e">
            <v>#NULL!</v>
          </cell>
        </row>
        <row r="72">
          <cell r="C72" t="str">
            <v>Y3Cap/RevR</v>
          </cell>
          <cell r="D72" t="str">
            <v>Year 3 Cap/Revs</v>
          </cell>
          <cell r="E72" t="str">
            <v>$J$28</v>
          </cell>
          <cell r="F72" t="str">
            <v>N</v>
          </cell>
          <cell r="G72" t="e">
            <v>#NULL!</v>
          </cell>
        </row>
        <row r="73">
          <cell r="C73" t="str">
            <v>Y4Q1R</v>
          </cell>
          <cell r="D73" t="str">
            <v>Year 4 Quarter 1 Revenue</v>
          </cell>
          <cell r="F73" t="str">
            <v>N</v>
          </cell>
        </row>
        <row r="74">
          <cell r="C74" t="str">
            <v>Y4Q2R</v>
          </cell>
          <cell r="D74" t="str">
            <v>Year 4 Quarter 2 Revenue</v>
          </cell>
          <cell r="F74" t="str">
            <v>N</v>
          </cell>
        </row>
        <row r="75">
          <cell r="C75" t="str">
            <v>Y4Q3R</v>
          </cell>
          <cell r="D75" t="str">
            <v>Year 4 Quarter 3 Revenue</v>
          </cell>
          <cell r="F75" t="str">
            <v>N</v>
          </cell>
        </row>
        <row r="76">
          <cell r="C76" t="str">
            <v>Y4Q4R</v>
          </cell>
          <cell r="D76" t="str">
            <v>Year 4 Quarter 4 Revenue</v>
          </cell>
          <cell r="F76" t="str">
            <v>N</v>
          </cell>
        </row>
        <row r="77">
          <cell r="C77" t="str">
            <v>Y4YearR</v>
          </cell>
          <cell r="D77" t="str">
            <v>Year 4 Revenue</v>
          </cell>
          <cell r="F77" t="str">
            <v>N</v>
          </cell>
        </row>
        <row r="78">
          <cell r="C78" t="str">
            <v>Y4Cap/RevR</v>
          </cell>
          <cell r="D78" t="str">
            <v>Year 4 Cap/Revs</v>
          </cell>
          <cell r="F78" t="str">
            <v>N</v>
          </cell>
        </row>
        <row r="80">
          <cell r="C80" t="str">
            <v>xCONTENTANALYSIS</v>
          </cell>
          <cell r="D80" t="str">
            <v>Analysis</v>
          </cell>
          <cell r="F80" t="str">
            <v>B</v>
          </cell>
          <cell r="G80" t="b">
            <v>0</v>
          </cell>
        </row>
        <row r="81">
          <cell r="C81" t="str">
            <v>xCONTENTESTIMATECHANGE</v>
          </cell>
          <cell r="D81" t="str">
            <v>Estimate Change</v>
          </cell>
          <cell r="F81" t="str">
            <v>B</v>
          </cell>
          <cell r="G81" t="b">
            <v>0</v>
          </cell>
        </row>
        <row r="82">
          <cell r="C82" t="str">
            <v>xCONTENTRATINGCHANGE</v>
          </cell>
          <cell r="D82" t="str">
            <v>Rating Change</v>
          </cell>
          <cell r="F82" t="str">
            <v>B</v>
          </cell>
          <cell r="G82" t="b">
            <v>0</v>
          </cell>
        </row>
        <row r="83">
          <cell r="C83" t="str">
            <v>xCONTENTUPDATE</v>
          </cell>
          <cell r="D83" t="str">
            <v>Update</v>
          </cell>
          <cell r="F83" t="str">
            <v>B</v>
          </cell>
          <cell r="G83" t="b">
            <v>0</v>
          </cell>
        </row>
        <row r="84">
          <cell r="C84" t="str">
            <v>xCONTENTINITIATE</v>
          </cell>
          <cell r="D84" t="str">
            <v>Initiate</v>
          </cell>
          <cell r="F84" t="str">
            <v>B</v>
          </cell>
          <cell r="G84" t="b">
            <v>0</v>
          </cell>
        </row>
        <row r="85">
          <cell r="C85" t="str">
            <v>xCONTENTECONOMIC</v>
          </cell>
          <cell r="D85" t="str">
            <v>Economic</v>
          </cell>
          <cell r="F85" t="str">
            <v>B</v>
          </cell>
          <cell r="G85" t="b">
            <v>0</v>
          </cell>
        </row>
        <row r="86">
          <cell r="C86" t="str">
            <v>xCONTENTPRCOMMENTS</v>
          </cell>
          <cell r="D86" t="str">
            <v>Pre-results Comments</v>
          </cell>
          <cell r="F86" t="str">
            <v>B</v>
          </cell>
          <cell r="G86" t="b">
            <v>0</v>
          </cell>
        </row>
        <row r="87">
          <cell r="C87" t="str">
            <v>xCONTENTOPERATINGRES</v>
          </cell>
          <cell r="D87" t="str">
            <v>Operating Results</v>
          </cell>
          <cell r="F87" t="str">
            <v>B</v>
          </cell>
          <cell r="G87" t="b">
            <v>0</v>
          </cell>
        </row>
        <row r="88">
          <cell r="C88" t="str">
            <v>xCONTENTINDUSTRYOVERVIEW</v>
          </cell>
          <cell r="D88" t="str">
            <v>Industry Overview</v>
          </cell>
          <cell r="F88" t="str">
            <v>B</v>
          </cell>
          <cell r="G88" t="b">
            <v>0</v>
          </cell>
        </row>
        <row r="89">
          <cell r="C89" t="str">
            <v>xCONTENTOTHER</v>
          </cell>
          <cell r="D89" t="str">
            <v>Other</v>
          </cell>
          <cell r="F89" t="str">
            <v>B</v>
          </cell>
          <cell r="G89" t="b">
            <v>0</v>
          </cell>
        </row>
        <row r="90">
          <cell r="C90" t="str">
            <v>xNEXTREPORTDATE</v>
          </cell>
          <cell r="D90" t="str">
            <v>Next Expected Report Date</v>
          </cell>
          <cell r="F90" t="str">
            <v>D</v>
          </cell>
        </row>
        <row r="91">
          <cell r="C91" t="str">
            <v>xHEADLINE</v>
          </cell>
          <cell r="D91" t="str">
            <v>Headline</v>
          </cell>
          <cell r="F91" t="str">
            <v>T</v>
          </cell>
        </row>
        <row r="92">
          <cell r="C92" t="str">
            <v>xSYNOPSIS</v>
          </cell>
          <cell r="D92" t="str">
            <v>Synopsis</v>
          </cell>
          <cell r="F92" t="str">
            <v>T</v>
          </cell>
        </row>
        <row r="93">
          <cell r="C93" t="str">
            <v>xOTHERCOMPANIES</v>
          </cell>
          <cell r="D93" t="str">
            <v>Other Companies Mentioned</v>
          </cell>
          <cell r="F93" t="str">
            <v>T</v>
          </cell>
        </row>
        <row r="94">
          <cell r="C94" t="str">
            <v>LASTACTUALYEAR</v>
          </cell>
          <cell r="D94" t="str">
            <v>Last Actual Year</v>
          </cell>
          <cell r="F94" t="str">
            <v>N</v>
          </cell>
          <cell r="G94">
            <v>1</v>
          </cell>
        </row>
        <row r="95">
          <cell r="C95" t="str">
            <v>LASTACTUALQUARTER</v>
          </cell>
          <cell r="D95" t="str">
            <v>Last Actual Quarter</v>
          </cell>
          <cell r="F95" t="str">
            <v>N</v>
          </cell>
          <cell r="G95">
            <v>4</v>
          </cell>
        </row>
        <row r="97">
          <cell r="C97" t="str">
            <v>RESULT</v>
          </cell>
          <cell r="D97" t="str">
            <v>Document Status</v>
          </cell>
          <cell r="F97" t="str">
            <v>N</v>
          </cell>
          <cell r="G97">
            <v>0</v>
          </cell>
          <cell r="J97" t="str">
            <v>quarterly earnings for 2001 and quarterly revenue for 1999, 2001 do not add up to year values</v>
          </cell>
        </row>
        <row r="98">
          <cell r="C98" t="str">
            <v>WIZARDDEFINED</v>
          </cell>
          <cell r="D98" t="str">
            <v>Wizard Defined</v>
          </cell>
          <cell r="F98" t="str">
            <v>D</v>
          </cell>
          <cell r="G98">
            <v>36557</v>
          </cell>
        </row>
        <row r="99">
          <cell r="C99" t="str">
            <v>WIZARDVERSION</v>
          </cell>
          <cell r="D99" t="str">
            <v>Wizard Version</v>
          </cell>
          <cell r="F99" t="str">
            <v>T</v>
          </cell>
          <cell r="G99" t="str">
            <v>Version 1.3a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MTC"/>
      <sheetName val="SEARLE - SALES"/>
      <sheetName val="SEARLE - QTRINC"/>
      <sheetName val="SEARLE-MARG"/>
      <sheetName val="MTC-QTRINC"/>
      <sheetName val="MTC-MARG"/>
      <sheetName val="MTC - IS"/>
      <sheetName val="MTC - MARGIN"/>
      <sheetName val="SEARLE - LOREX"/>
      <sheetName val="SEARLE - NEW PRODS"/>
      <sheetName val="Sheet1"/>
      <sheetName val="IndexInformation"/>
      <sheetName val="Link"/>
      <sheetName val="Chart1"/>
      <sheetName val="P_E2"/>
      <sheetName val="Product Table"/>
      <sheetName val="1997 Sales"/>
      <sheetName val="variance"/>
      <sheetName val="2004 ag Sales"/>
      <sheetName val="1997 ag EBIT"/>
      <sheetName val="2004 ag EBIT"/>
      <sheetName val="Charts"/>
      <sheetName val="MainCode"/>
      <sheetName val="SEARLE - IS"/>
      <sheetName val="SEARLE-MARGIN"/>
    </sheetNames>
    <sheetDataSet>
      <sheetData sheetId="0" refreshError="1"/>
      <sheetData sheetId="1" refreshError="1"/>
      <sheetData sheetId="2" refreshError="1">
        <row r="1">
          <cell r="N1">
            <v>36119.67398240741</v>
          </cell>
          <cell r="U1" t="str">
            <v>Table 10</v>
          </cell>
          <cell r="AD1">
            <v>36119.67398240741</v>
          </cell>
        </row>
        <row r="2">
          <cell r="U2" t="str">
            <v>Monsanto</v>
          </cell>
        </row>
        <row r="3">
          <cell r="U3" t="str">
            <v>Quarterly Sales 1995-2005E</v>
          </cell>
        </row>
        <row r="4">
          <cell r="I4" t="str">
            <v>Women's</v>
          </cell>
          <cell r="K4" t="str">
            <v>Sleep</v>
          </cell>
          <cell r="U4" t="str">
            <v>($ Millions)</v>
          </cell>
        </row>
        <row r="5">
          <cell r="B5" t="str">
            <v>Cardiovascular</v>
          </cell>
          <cell r="I5" t="str">
            <v>Health</v>
          </cell>
          <cell r="K5" t="str">
            <v>Disorder</v>
          </cell>
          <cell r="M5" t="str">
            <v>Arthritis</v>
          </cell>
          <cell r="V5" t="str">
            <v>New Products</v>
          </cell>
          <cell r="AG5" t="str">
            <v>Total</v>
          </cell>
          <cell r="AH5" t="str">
            <v>Royal-</v>
          </cell>
          <cell r="AI5" t="str">
            <v>One-</v>
          </cell>
          <cell r="AJ5" t="str">
            <v>Total</v>
          </cell>
        </row>
        <row r="6">
          <cell r="B6" t="str">
            <v>Calan/</v>
          </cell>
          <cell r="C6" t="str">
            <v>Spirono-</v>
          </cell>
          <cell r="D6" t="str">
            <v>Covera-</v>
          </cell>
          <cell r="F6" t="str">
            <v>Other</v>
          </cell>
          <cell r="P6" t="str">
            <v>Other</v>
          </cell>
          <cell r="Q6" t="str">
            <v>Total</v>
          </cell>
          <cell r="S6" t="str">
            <v>Other</v>
          </cell>
          <cell r="V6" t="str">
            <v>Xemilo-</v>
          </cell>
          <cell r="W6" t="str">
            <v>Orbo</v>
          </cell>
          <cell r="X6" t="str">
            <v>Eplere-</v>
          </cell>
          <cell r="Y6" t="str">
            <v>Tifa-</v>
          </cell>
          <cell r="AA6" t="str">
            <v>Dani-</v>
          </cell>
          <cell r="AB6" t="str">
            <v>Progeni-</v>
          </cell>
          <cell r="AC6" t="str">
            <v>Myelo-</v>
          </cell>
          <cell r="AD6" t="str">
            <v>Promega-</v>
          </cell>
          <cell r="AG6" t="str">
            <v>Product</v>
          </cell>
          <cell r="AH6" t="str">
            <v xml:space="preserve">ties/  </v>
          </cell>
          <cell r="AI6" t="str">
            <v>time</v>
          </cell>
          <cell r="AJ6" t="str">
            <v>Searle</v>
          </cell>
        </row>
        <row r="7">
          <cell r="B7" t="str">
            <v>Verapamil</v>
          </cell>
          <cell r="C7" t="str">
            <v>lactone</v>
          </cell>
          <cell r="D7" t="str">
            <v>HS</v>
          </cell>
          <cell r="E7" t="str">
            <v>Kerlone</v>
          </cell>
          <cell r="F7" t="str">
            <v>Cardio</v>
          </cell>
          <cell r="G7" t="str">
            <v>Total</v>
          </cell>
          <cell r="I7" t="str">
            <v xml:space="preserve">(a) </v>
          </cell>
          <cell r="K7" t="str">
            <v>Ambien</v>
          </cell>
          <cell r="M7" t="str">
            <v>Daypro</v>
          </cell>
          <cell r="N7" t="str">
            <v>Cytotec</v>
          </cell>
          <cell r="O7" t="str">
            <v>Arthrotec</v>
          </cell>
          <cell r="P7" t="str">
            <v>Arthritis</v>
          </cell>
          <cell r="Q7" t="str">
            <v>Arthritis</v>
          </cell>
          <cell r="S7" t="str">
            <v>(b)</v>
          </cell>
          <cell r="V7" t="str">
            <v>fiban</v>
          </cell>
          <cell r="W7" t="str">
            <v>fiban</v>
          </cell>
          <cell r="X7" t="str">
            <v>none</v>
          </cell>
          <cell r="Y7" t="str">
            <v>cogin</v>
          </cell>
          <cell r="Z7" t="str">
            <v>Celebra</v>
          </cell>
          <cell r="AA7" t="str">
            <v>plastin</v>
          </cell>
          <cell r="AB7" t="str">
            <v>poetin</v>
          </cell>
          <cell r="AC7" t="str">
            <v>poetin</v>
          </cell>
          <cell r="AD7" t="str">
            <v>poetin</v>
          </cell>
          <cell r="AE7" t="str">
            <v>Other</v>
          </cell>
          <cell r="AF7" t="str">
            <v>Total</v>
          </cell>
          <cell r="AG7" t="str">
            <v>Sales</v>
          </cell>
          <cell r="AH7" t="str">
            <v xml:space="preserve">Fees  </v>
          </cell>
          <cell r="AI7" t="str">
            <v>Items</v>
          </cell>
          <cell r="AJ7" t="str">
            <v>Revs.</v>
          </cell>
        </row>
        <row r="9">
          <cell r="U9" t="str">
            <v>1995</v>
          </cell>
        </row>
        <row r="10">
          <cell r="B10">
            <v>74</v>
          </cell>
          <cell r="C10">
            <v>54</v>
          </cell>
          <cell r="D10">
            <v>0</v>
          </cell>
          <cell r="E10">
            <v>3</v>
          </cell>
          <cell r="F10">
            <v>16</v>
          </cell>
          <cell r="G10">
            <v>147</v>
          </cell>
          <cell r="I10">
            <v>30</v>
          </cell>
          <cell r="K10">
            <v>43</v>
          </cell>
          <cell r="M10">
            <v>43</v>
          </cell>
          <cell r="N10">
            <v>38</v>
          </cell>
          <cell r="O10">
            <v>9</v>
          </cell>
          <cell r="P10">
            <v>4</v>
          </cell>
          <cell r="Q10">
            <v>94</v>
          </cell>
          <cell r="S10">
            <v>0</v>
          </cell>
          <cell r="U10" t="str">
            <v>1Q</v>
          </cell>
          <cell r="V10">
            <v>0</v>
          </cell>
          <cell r="W10">
            <v>0</v>
          </cell>
          <cell r="X10">
            <v>0</v>
          </cell>
          <cell r="Y10">
            <v>0</v>
          </cell>
          <cell r="Z10">
            <v>0</v>
          </cell>
          <cell r="AA10">
            <v>0</v>
          </cell>
          <cell r="AB10">
            <v>0</v>
          </cell>
          <cell r="AC10">
            <v>0</v>
          </cell>
          <cell r="AD10">
            <v>0</v>
          </cell>
          <cell r="AE10">
            <v>0</v>
          </cell>
          <cell r="AF10">
            <v>0</v>
          </cell>
          <cell r="AG10">
            <v>386</v>
          </cell>
          <cell r="AH10">
            <v>0</v>
          </cell>
          <cell r="AI10">
            <v>0</v>
          </cell>
          <cell r="AJ10">
            <v>386</v>
          </cell>
        </row>
        <row r="11">
          <cell r="B11">
            <v>42</v>
          </cell>
          <cell r="C11">
            <v>64</v>
          </cell>
          <cell r="D11">
            <v>0</v>
          </cell>
          <cell r="E11">
            <v>3</v>
          </cell>
          <cell r="F11">
            <v>17</v>
          </cell>
          <cell r="G11">
            <v>126</v>
          </cell>
          <cell r="I11">
            <v>27</v>
          </cell>
          <cell r="K11">
            <v>52</v>
          </cell>
          <cell r="M11">
            <v>56</v>
          </cell>
          <cell r="N11">
            <v>39</v>
          </cell>
          <cell r="O11">
            <v>12</v>
          </cell>
          <cell r="P11">
            <v>4</v>
          </cell>
          <cell r="Q11">
            <v>111</v>
          </cell>
          <cell r="S11">
            <v>0</v>
          </cell>
          <cell r="U11" t="str">
            <v>2Q</v>
          </cell>
          <cell r="V11">
            <v>0</v>
          </cell>
          <cell r="W11">
            <v>0</v>
          </cell>
          <cell r="X11">
            <v>0</v>
          </cell>
          <cell r="Y11">
            <v>0</v>
          </cell>
          <cell r="Z11">
            <v>0</v>
          </cell>
          <cell r="AA11">
            <v>0</v>
          </cell>
          <cell r="AB11">
            <v>0</v>
          </cell>
          <cell r="AC11">
            <v>0</v>
          </cell>
          <cell r="AD11">
            <v>0</v>
          </cell>
          <cell r="AE11">
            <v>0</v>
          </cell>
          <cell r="AF11">
            <v>0</v>
          </cell>
          <cell r="AG11">
            <v>402</v>
          </cell>
          <cell r="AH11">
            <v>0</v>
          </cell>
          <cell r="AI11">
            <v>0</v>
          </cell>
          <cell r="AJ11">
            <v>402</v>
          </cell>
        </row>
        <row r="12">
          <cell r="B12">
            <v>72</v>
          </cell>
          <cell r="C12">
            <v>61</v>
          </cell>
          <cell r="D12">
            <v>0</v>
          </cell>
          <cell r="E12">
            <v>3</v>
          </cell>
          <cell r="F12">
            <v>17</v>
          </cell>
          <cell r="G12">
            <v>153</v>
          </cell>
          <cell r="I12">
            <v>40</v>
          </cell>
          <cell r="K12">
            <v>44</v>
          </cell>
          <cell r="M12">
            <v>62</v>
          </cell>
          <cell r="N12">
            <v>43</v>
          </cell>
          <cell r="O12">
            <v>12</v>
          </cell>
          <cell r="P12">
            <v>6</v>
          </cell>
          <cell r="Q12">
            <v>123</v>
          </cell>
          <cell r="S12">
            <v>0</v>
          </cell>
          <cell r="U12" t="str">
            <v>3Q</v>
          </cell>
          <cell r="V12">
            <v>0</v>
          </cell>
          <cell r="W12">
            <v>0</v>
          </cell>
          <cell r="X12">
            <v>0</v>
          </cell>
          <cell r="Y12">
            <v>0</v>
          </cell>
          <cell r="Z12">
            <v>0</v>
          </cell>
          <cell r="AA12">
            <v>0</v>
          </cell>
          <cell r="AB12">
            <v>0</v>
          </cell>
          <cell r="AC12">
            <v>0</v>
          </cell>
          <cell r="AD12">
            <v>0</v>
          </cell>
          <cell r="AE12">
            <v>0</v>
          </cell>
          <cell r="AF12">
            <v>0</v>
          </cell>
          <cell r="AG12">
            <v>430</v>
          </cell>
          <cell r="AH12">
            <v>5</v>
          </cell>
          <cell r="AI12">
            <v>0</v>
          </cell>
          <cell r="AJ12">
            <v>435</v>
          </cell>
        </row>
        <row r="13">
          <cell r="B13">
            <v>71</v>
          </cell>
          <cell r="C13">
            <v>58</v>
          </cell>
          <cell r="D13">
            <v>0</v>
          </cell>
          <cell r="E13">
            <v>3</v>
          </cell>
          <cell r="F13">
            <v>17</v>
          </cell>
          <cell r="G13">
            <v>149</v>
          </cell>
          <cell r="I13">
            <v>56</v>
          </cell>
          <cell r="K13">
            <v>55</v>
          </cell>
          <cell r="M13">
            <v>73</v>
          </cell>
          <cell r="N13">
            <v>49</v>
          </cell>
          <cell r="O13">
            <v>17</v>
          </cell>
          <cell r="P13">
            <v>7</v>
          </cell>
          <cell r="Q13">
            <v>146</v>
          </cell>
          <cell r="S13">
            <v>0</v>
          </cell>
          <cell r="U13" t="str">
            <v>4Q</v>
          </cell>
          <cell r="V13">
            <v>0</v>
          </cell>
          <cell r="W13">
            <v>0</v>
          </cell>
          <cell r="X13">
            <v>0</v>
          </cell>
          <cell r="Y13">
            <v>0</v>
          </cell>
          <cell r="Z13">
            <v>0</v>
          </cell>
          <cell r="AA13">
            <v>0</v>
          </cell>
          <cell r="AB13">
            <v>0</v>
          </cell>
          <cell r="AC13">
            <v>0</v>
          </cell>
          <cell r="AD13">
            <v>0</v>
          </cell>
          <cell r="AE13">
            <v>0</v>
          </cell>
          <cell r="AF13">
            <v>0</v>
          </cell>
          <cell r="AG13">
            <v>483</v>
          </cell>
          <cell r="AH13">
            <v>5</v>
          </cell>
          <cell r="AI13">
            <v>0</v>
          </cell>
          <cell r="AJ13">
            <v>488</v>
          </cell>
        </row>
        <row r="15">
          <cell r="B15">
            <v>259</v>
          </cell>
          <cell r="C15">
            <v>237</v>
          </cell>
          <cell r="D15">
            <v>0</v>
          </cell>
          <cell r="E15">
            <v>12</v>
          </cell>
          <cell r="F15">
            <v>67</v>
          </cell>
          <cell r="G15">
            <v>575</v>
          </cell>
          <cell r="I15">
            <v>153</v>
          </cell>
          <cell r="K15">
            <v>194</v>
          </cell>
          <cell r="M15">
            <v>234</v>
          </cell>
          <cell r="N15">
            <v>169</v>
          </cell>
          <cell r="O15">
            <v>50</v>
          </cell>
          <cell r="P15">
            <v>21</v>
          </cell>
          <cell r="Q15">
            <v>474</v>
          </cell>
          <cell r="S15">
            <v>305</v>
          </cell>
          <cell r="U15" t="str">
            <v xml:space="preserve">Year </v>
          </cell>
          <cell r="V15">
            <v>0</v>
          </cell>
          <cell r="W15">
            <v>0</v>
          </cell>
          <cell r="X15">
            <v>0</v>
          </cell>
          <cell r="Y15">
            <v>0</v>
          </cell>
          <cell r="Z15">
            <v>0</v>
          </cell>
          <cell r="AA15">
            <v>0</v>
          </cell>
          <cell r="AB15">
            <v>0</v>
          </cell>
          <cell r="AC15">
            <v>0</v>
          </cell>
          <cell r="AD15">
            <v>0</v>
          </cell>
          <cell r="AE15">
            <v>0</v>
          </cell>
          <cell r="AF15">
            <v>0</v>
          </cell>
          <cell r="AG15">
            <v>1701</v>
          </cell>
          <cell r="AH15">
            <v>10</v>
          </cell>
          <cell r="AI15">
            <v>0</v>
          </cell>
          <cell r="AJ15">
            <v>1711</v>
          </cell>
        </row>
        <row r="17">
          <cell r="U17" t="str">
            <v>1996/95</v>
          </cell>
        </row>
        <row r="18">
          <cell r="B18">
            <v>-0.2432432432432432</v>
          </cell>
          <cell r="C18">
            <v>7.4074074074074181E-2</v>
          </cell>
          <cell r="D18" t="str">
            <v>NM</v>
          </cell>
          <cell r="E18">
            <v>0</v>
          </cell>
          <cell r="F18">
            <v>0.125</v>
          </cell>
          <cell r="G18">
            <v>-8.1632653061224469E-2</v>
          </cell>
          <cell r="I18">
            <v>1.1333333333333333</v>
          </cell>
          <cell r="K18">
            <v>0.88372093023255816</v>
          </cell>
          <cell r="M18">
            <v>0.37209302325581395</v>
          </cell>
          <cell r="N18">
            <v>0.10526315789473695</v>
          </cell>
          <cell r="O18">
            <v>0.55555555555555558</v>
          </cell>
          <cell r="P18">
            <v>1</v>
          </cell>
          <cell r="Q18">
            <v>0.3085106382978724</v>
          </cell>
          <cell r="S18" t="str">
            <v>NM</v>
          </cell>
          <cell r="U18" t="str">
            <v>1Q</v>
          </cell>
          <cell r="V18" t="str">
            <v>NM</v>
          </cell>
          <cell r="W18" t="str">
            <v>NM</v>
          </cell>
          <cell r="X18" t="str">
            <v>NM</v>
          </cell>
          <cell r="Y18" t="str">
            <v>NM</v>
          </cell>
          <cell r="Z18" t="str">
            <v>NM</v>
          </cell>
          <cell r="AA18" t="str">
            <v>NM</v>
          </cell>
          <cell r="AB18" t="str">
            <v>NM</v>
          </cell>
          <cell r="AC18" t="str">
            <v>NM</v>
          </cell>
          <cell r="AD18" t="str">
            <v>NM</v>
          </cell>
          <cell r="AE18" t="str">
            <v>NM</v>
          </cell>
          <cell r="AF18" t="str">
            <v>NM</v>
          </cell>
          <cell r="AG18">
            <v>0.23575129533678751</v>
          </cell>
          <cell r="AH18" t="str">
            <v>NM</v>
          </cell>
          <cell r="AI18" t="str">
            <v>NM</v>
          </cell>
          <cell r="AJ18">
            <v>0.23575129533678751</v>
          </cell>
        </row>
        <row r="19">
          <cell r="B19">
            <v>2.3809523809523725E-2</v>
          </cell>
          <cell r="C19">
            <v>-0.109375</v>
          </cell>
          <cell r="D19" t="str">
            <v>NM</v>
          </cell>
          <cell r="E19">
            <v>0</v>
          </cell>
          <cell r="F19">
            <v>0</v>
          </cell>
          <cell r="G19">
            <v>8.7301587301587213E-2</v>
          </cell>
          <cell r="I19">
            <v>1.1111111111111112</v>
          </cell>
          <cell r="K19">
            <v>-9.6153846153846145E-2</v>
          </cell>
          <cell r="M19">
            <v>7.1428571428571397E-2</v>
          </cell>
          <cell r="N19">
            <v>2.564102564102555E-2</v>
          </cell>
          <cell r="O19">
            <v>0.58333333333333326</v>
          </cell>
          <cell r="P19">
            <v>0.75</v>
          </cell>
          <cell r="Q19">
            <v>0.13513513513513509</v>
          </cell>
          <cell r="S19" t="str">
            <v>NM</v>
          </cell>
          <cell r="U19" t="str">
            <v>2Q</v>
          </cell>
          <cell r="V19" t="str">
            <v>NM</v>
          </cell>
          <cell r="W19" t="str">
            <v>NM</v>
          </cell>
          <cell r="X19" t="str">
            <v>NM</v>
          </cell>
          <cell r="Y19" t="str">
            <v>NM</v>
          </cell>
          <cell r="Z19" t="str">
            <v>NM</v>
          </cell>
          <cell r="AA19" t="str">
            <v>NM</v>
          </cell>
          <cell r="AB19" t="str">
            <v>NM</v>
          </cell>
          <cell r="AC19" t="str">
            <v>NM</v>
          </cell>
          <cell r="AD19" t="str">
            <v>NM</v>
          </cell>
          <cell r="AE19" t="str">
            <v>NM</v>
          </cell>
          <cell r="AF19" t="str">
            <v>NM</v>
          </cell>
          <cell r="AG19">
            <v>0.12189054726368154</v>
          </cell>
          <cell r="AH19" t="str">
            <v>NM</v>
          </cell>
          <cell r="AI19" t="str">
            <v>NM</v>
          </cell>
          <cell r="AJ19">
            <v>0.13432835820895517</v>
          </cell>
        </row>
        <row r="20">
          <cell r="B20">
            <v>-0.40277777777777779</v>
          </cell>
          <cell r="C20">
            <v>-6.557377049180324E-2</v>
          </cell>
          <cell r="D20" t="str">
            <v>NM</v>
          </cell>
          <cell r="E20">
            <v>0</v>
          </cell>
          <cell r="F20">
            <v>0.11764705882352944</v>
          </cell>
          <cell r="G20">
            <v>-0.20261437908496727</v>
          </cell>
          <cell r="I20">
            <v>0.39999999999999991</v>
          </cell>
          <cell r="K20">
            <v>0.95454545454545459</v>
          </cell>
          <cell r="M20">
            <v>0.19354838709677424</v>
          </cell>
          <cell r="N20">
            <v>2.3255813953488413E-2</v>
          </cell>
          <cell r="O20">
            <v>0.75</v>
          </cell>
          <cell r="P20">
            <v>0.83333333333333326</v>
          </cell>
          <cell r="Q20">
            <v>0.21951219512195119</v>
          </cell>
          <cell r="S20" t="str">
            <v>NM</v>
          </cell>
          <cell r="U20" t="str">
            <v>3Q</v>
          </cell>
          <cell r="V20" t="str">
            <v>NM</v>
          </cell>
          <cell r="W20" t="str">
            <v>NM</v>
          </cell>
          <cell r="X20" t="str">
            <v>NM</v>
          </cell>
          <cell r="Y20" t="str">
            <v>NM</v>
          </cell>
          <cell r="Z20" t="str">
            <v>NM</v>
          </cell>
          <cell r="AA20" t="str">
            <v>NM</v>
          </cell>
          <cell r="AB20" t="str">
            <v>NM</v>
          </cell>
          <cell r="AC20" t="str">
            <v>NM</v>
          </cell>
          <cell r="AD20" t="str">
            <v>NM</v>
          </cell>
          <cell r="AE20" t="str">
            <v>NM</v>
          </cell>
          <cell r="AF20" t="str">
            <v>NM</v>
          </cell>
          <cell r="AG20">
            <v>0.14418604651162781</v>
          </cell>
          <cell r="AH20" t="str">
            <v>NM</v>
          </cell>
          <cell r="AI20" t="str">
            <v>NM</v>
          </cell>
          <cell r="AJ20">
            <v>0.14252873563218382</v>
          </cell>
        </row>
        <row r="21">
          <cell r="B21">
            <v>-0.18309859154929575</v>
          </cell>
          <cell r="C21">
            <v>0</v>
          </cell>
          <cell r="D21" t="str">
            <v>NM</v>
          </cell>
          <cell r="E21">
            <v>-0.33333333333333337</v>
          </cell>
          <cell r="F21">
            <v>0.23529411764705888</v>
          </cell>
          <cell r="G21">
            <v>-4.0268456375838979E-2</v>
          </cell>
          <cell r="I21">
            <v>0.1964285714285714</v>
          </cell>
          <cell r="K21">
            <v>0.60000000000000009</v>
          </cell>
          <cell r="M21">
            <v>0.13698630136986312</v>
          </cell>
          <cell r="N21">
            <v>6.1224489795918435E-2</v>
          </cell>
          <cell r="O21">
            <v>0.64705882352941169</v>
          </cell>
          <cell r="P21">
            <v>0.71428571428571419</v>
          </cell>
          <cell r="Q21">
            <v>0.19863013698630128</v>
          </cell>
          <cell r="S21" t="str">
            <v>NM</v>
          </cell>
          <cell r="U21" t="str">
            <v>4Q</v>
          </cell>
          <cell r="V21" t="str">
            <v>NM</v>
          </cell>
          <cell r="W21" t="str">
            <v>NM</v>
          </cell>
          <cell r="X21" t="str">
            <v>NM</v>
          </cell>
          <cell r="Y21" t="str">
            <v>NM</v>
          </cell>
          <cell r="Z21" t="str">
            <v>NM</v>
          </cell>
          <cell r="AA21" t="str">
            <v>NM</v>
          </cell>
          <cell r="AB21" t="str">
            <v>NM</v>
          </cell>
          <cell r="AC21" t="str">
            <v>NM</v>
          </cell>
          <cell r="AD21" t="str">
            <v>NM</v>
          </cell>
          <cell r="AE21" t="str">
            <v>NM</v>
          </cell>
          <cell r="AF21" t="str">
            <v>NM</v>
          </cell>
          <cell r="AG21">
            <v>0.15942028985507251</v>
          </cell>
          <cell r="AH21" t="str">
            <v>NM</v>
          </cell>
          <cell r="AI21" t="str">
            <v>NM</v>
          </cell>
          <cell r="AJ21">
            <v>0.15778688524590168</v>
          </cell>
        </row>
        <row r="23">
          <cell r="B23">
            <v>-0.22779922779922779</v>
          </cell>
          <cell r="C23">
            <v>-2.9535864978902926E-2</v>
          </cell>
          <cell r="D23" t="str">
            <v>NM</v>
          </cell>
          <cell r="E23">
            <v>-8.333333333333337E-2</v>
          </cell>
          <cell r="F23">
            <v>0.11940298507462677</v>
          </cell>
          <cell r="G23">
            <v>-6.6086956521739126E-2</v>
          </cell>
          <cell r="I23">
            <v>0.59477124183006547</v>
          </cell>
          <cell r="K23">
            <v>0.55670103092783507</v>
          </cell>
          <cell r="M23">
            <v>0.17948717948717952</v>
          </cell>
          <cell r="N23">
            <v>5.3254437869822535E-2</v>
          </cell>
          <cell r="O23">
            <v>0.6399999999999999</v>
          </cell>
          <cell r="P23">
            <v>0.80952380952380953</v>
          </cell>
          <cell r="Q23">
            <v>0.21097046413502119</v>
          </cell>
          <cell r="S23">
            <v>5.9016393442622883E-2</v>
          </cell>
          <cell r="U23" t="str">
            <v>1996/95</v>
          </cell>
          <cell r="V23" t="str">
            <v>NM</v>
          </cell>
          <cell r="W23" t="str">
            <v>NM</v>
          </cell>
          <cell r="X23" t="str">
            <v>NM</v>
          </cell>
          <cell r="Y23" t="str">
            <v>NM</v>
          </cell>
          <cell r="Z23" t="str">
            <v>NM</v>
          </cell>
          <cell r="AA23" t="str">
            <v>NM</v>
          </cell>
          <cell r="AB23" t="str">
            <v>NM</v>
          </cell>
          <cell r="AC23" t="str">
            <v>NM</v>
          </cell>
          <cell r="AD23" t="str">
            <v>NM</v>
          </cell>
          <cell r="AE23" t="str">
            <v>NM</v>
          </cell>
          <cell r="AF23" t="str">
            <v>NM</v>
          </cell>
          <cell r="AG23">
            <v>0.16402116402116396</v>
          </cell>
          <cell r="AH23" t="str">
            <v>NM</v>
          </cell>
          <cell r="AI23" t="str">
            <v>NM</v>
          </cell>
          <cell r="AJ23">
            <v>0.16598480420806538</v>
          </cell>
        </row>
        <row r="25">
          <cell r="U25">
            <v>1996</v>
          </cell>
        </row>
        <row r="26">
          <cell r="B26">
            <v>56</v>
          </cell>
          <cell r="C26">
            <v>58</v>
          </cell>
          <cell r="D26">
            <v>0</v>
          </cell>
          <cell r="E26">
            <v>3</v>
          </cell>
          <cell r="F26">
            <v>18</v>
          </cell>
          <cell r="G26">
            <v>135</v>
          </cell>
          <cell r="I26">
            <v>64</v>
          </cell>
          <cell r="K26">
            <v>81</v>
          </cell>
          <cell r="M26">
            <v>59</v>
          </cell>
          <cell r="N26">
            <v>42</v>
          </cell>
          <cell r="O26">
            <v>14</v>
          </cell>
          <cell r="P26">
            <v>8</v>
          </cell>
          <cell r="Q26">
            <v>123</v>
          </cell>
          <cell r="S26">
            <v>74</v>
          </cell>
          <cell r="U26" t="str">
            <v>1Q</v>
          </cell>
          <cell r="V26">
            <v>0</v>
          </cell>
          <cell r="W26">
            <v>0</v>
          </cell>
          <cell r="X26">
            <v>0</v>
          </cell>
          <cell r="Y26">
            <v>0</v>
          </cell>
          <cell r="Z26">
            <v>0</v>
          </cell>
          <cell r="AA26">
            <v>0</v>
          </cell>
          <cell r="AB26">
            <v>0</v>
          </cell>
          <cell r="AC26">
            <v>0</v>
          </cell>
          <cell r="AD26">
            <v>0</v>
          </cell>
          <cell r="AE26">
            <v>0</v>
          </cell>
          <cell r="AF26">
            <v>0</v>
          </cell>
          <cell r="AG26">
            <v>477</v>
          </cell>
          <cell r="AH26">
            <v>0</v>
          </cell>
          <cell r="AI26">
            <v>0</v>
          </cell>
          <cell r="AJ26">
            <v>477</v>
          </cell>
        </row>
        <row r="27">
          <cell r="B27">
            <v>43</v>
          </cell>
          <cell r="C27">
            <v>57</v>
          </cell>
          <cell r="D27">
            <v>17</v>
          </cell>
          <cell r="E27">
            <v>3</v>
          </cell>
          <cell r="F27">
            <v>17</v>
          </cell>
          <cell r="G27">
            <v>137</v>
          </cell>
          <cell r="I27">
            <v>57</v>
          </cell>
          <cell r="K27">
            <v>47</v>
          </cell>
          <cell r="M27">
            <v>60</v>
          </cell>
          <cell r="N27">
            <v>40</v>
          </cell>
          <cell r="O27">
            <v>19</v>
          </cell>
          <cell r="P27">
            <v>7</v>
          </cell>
          <cell r="Q27">
            <v>126</v>
          </cell>
          <cell r="S27">
            <v>84</v>
          </cell>
          <cell r="U27" t="str">
            <v>2Q</v>
          </cell>
          <cell r="V27">
            <v>0</v>
          </cell>
          <cell r="W27">
            <v>0</v>
          </cell>
          <cell r="X27">
            <v>0</v>
          </cell>
          <cell r="Y27">
            <v>0</v>
          </cell>
          <cell r="Z27">
            <v>0</v>
          </cell>
          <cell r="AA27">
            <v>0</v>
          </cell>
          <cell r="AB27">
            <v>0</v>
          </cell>
          <cell r="AC27">
            <v>0</v>
          </cell>
          <cell r="AD27">
            <v>0</v>
          </cell>
          <cell r="AE27">
            <v>0</v>
          </cell>
          <cell r="AF27">
            <v>0</v>
          </cell>
          <cell r="AG27">
            <v>451</v>
          </cell>
          <cell r="AH27">
            <v>5</v>
          </cell>
          <cell r="AI27">
            <v>0</v>
          </cell>
          <cell r="AJ27">
            <v>456</v>
          </cell>
        </row>
        <row r="28">
          <cell r="B28">
            <v>43</v>
          </cell>
          <cell r="C28">
            <v>57</v>
          </cell>
          <cell r="D28">
            <v>0</v>
          </cell>
          <cell r="E28">
            <v>3</v>
          </cell>
          <cell r="F28">
            <v>19</v>
          </cell>
          <cell r="G28">
            <v>122</v>
          </cell>
          <cell r="I28">
            <v>56</v>
          </cell>
          <cell r="K28">
            <v>86</v>
          </cell>
          <cell r="M28">
            <v>74</v>
          </cell>
          <cell r="N28">
            <v>44</v>
          </cell>
          <cell r="O28">
            <v>21</v>
          </cell>
          <cell r="P28">
            <v>11</v>
          </cell>
          <cell r="Q28">
            <v>150</v>
          </cell>
          <cell r="S28">
            <v>78</v>
          </cell>
          <cell r="U28" t="str">
            <v>3Q</v>
          </cell>
          <cell r="V28">
            <v>0</v>
          </cell>
          <cell r="W28">
            <v>0</v>
          </cell>
          <cell r="X28">
            <v>0</v>
          </cell>
          <cell r="Y28">
            <v>0</v>
          </cell>
          <cell r="Z28">
            <v>0</v>
          </cell>
          <cell r="AA28">
            <v>0</v>
          </cell>
          <cell r="AB28">
            <v>0</v>
          </cell>
          <cell r="AC28">
            <v>0</v>
          </cell>
          <cell r="AD28">
            <v>0</v>
          </cell>
          <cell r="AE28">
            <v>0</v>
          </cell>
          <cell r="AF28">
            <v>0</v>
          </cell>
          <cell r="AG28">
            <v>492</v>
          </cell>
          <cell r="AH28">
            <v>5</v>
          </cell>
          <cell r="AI28">
            <v>0</v>
          </cell>
          <cell r="AJ28">
            <v>497</v>
          </cell>
        </row>
        <row r="29">
          <cell r="B29">
            <v>58</v>
          </cell>
          <cell r="C29">
            <v>58</v>
          </cell>
          <cell r="D29">
            <v>4</v>
          </cell>
          <cell r="E29">
            <v>2</v>
          </cell>
          <cell r="F29">
            <v>21</v>
          </cell>
          <cell r="G29">
            <v>143</v>
          </cell>
          <cell r="I29">
            <v>67</v>
          </cell>
          <cell r="K29">
            <v>88</v>
          </cell>
          <cell r="M29">
            <v>83</v>
          </cell>
          <cell r="N29">
            <v>52</v>
          </cell>
          <cell r="O29">
            <v>28</v>
          </cell>
          <cell r="P29">
            <v>12</v>
          </cell>
          <cell r="Q29">
            <v>175</v>
          </cell>
          <cell r="S29">
            <v>87</v>
          </cell>
          <cell r="U29" t="str">
            <v>4Q</v>
          </cell>
          <cell r="V29">
            <v>0</v>
          </cell>
          <cell r="W29">
            <v>0</v>
          </cell>
          <cell r="X29">
            <v>0</v>
          </cell>
          <cell r="Y29">
            <v>0</v>
          </cell>
          <cell r="Z29">
            <v>0</v>
          </cell>
          <cell r="AA29">
            <v>0</v>
          </cell>
          <cell r="AB29">
            <v>0</v>
          </cell>
          <cell r="AC29">
            <v>0</v>
          </cell>
          <cell r="AD29">
            <v>0</v>
          </cell>
          <cell r="AE29">
            <v>0</v>
          </cell>
          <cell r="AF29">
            <v>0</v>
          </cell>
          <cell r="AG29">
            <v>560</v>
          </cell>
          <cell r="AH29">
            <v>5</v>
          </cell>
          <cell r="AI29">
            <v>0</v>
          </cell>
          <cell r="AJ29">
            <v>565</v>
          </cell>
        </row>
        <row r="31">
          <cell r="B31">
            <v>200</v>
          </cell>
          <cell r="C31">
            <v>230</v>
          </cell>
          <cell r="D31">
            <v>21</v>
          </cell>
          <cell r="E31">
            <v>11</v>
          </cell>
          <cell r="F31">
            <v>75</v>
          </cell>
          <cell r="G31">
            <v>537</v>
          </cell>
          <cell r="I31">
            <v>244</v>
          </cell>
          <cell r="K31">
            <v>302</v>
          </cell>
          <cell r="M31">
            <v>276</v>
          </cell>
          <cell r="N31">
            <v>178</v>
          </cell>
          <cell r="O31">
            <v>82</v>
          </cell>
          <cell r="P31">
            <v>38</v>
          </cell>
          <cell r="Q31">
            <v>574</v>
          </cell>
          <cell r="S31">
            <v>323</v>
          </cell>
          <cell r="U31">
            <v>1996</v>
          </cell>
          <cell r="V31">
            <v>0</v>
          </cell>
          <cell r="W31">
            <v>0</v>
          </cell>
          <cell r="X31">
            <v>0</v>
          </cell>
          <cell r="Y31">
            <v>0</v>
          </cell>
          <cell r="Z31">
            <v>0</v>
          </cell>
          <cell r="AA31">
            <v>0</v>
          </cell>
          <cell r="AB31">
            <v>0</v>
          </cell>
          <cell r="AC31">
            <v>0</v>
          </cell>
          <cell r="AD31">
            <v>0</v>
          </cell>
          <cell r="AE31">
            <v>0</v>
          </cell>
          <cell r="AF31">
            <v>0</v>
          </cell>
          <cell r="AG31">
            <v>1980</v>
          </cell>
          <cell r="AH31">
            <v>15</v>
          </cell>
          <cell r="AI31">
            <v>0</v>
          </cell>
          <cell r="AJ31">
            <v>1995</v>
          </cell>
        </row>
        <row r="33">
          <cell r="U33" t="str">
            <v>1997/96</v>
          </cell>
        </row>
        <row r="34">
          <cell r="B34">
            <v>-0.1428571428571429</v>
          </cell>
          <cell r="C34">
            <v>-6.8965517241379337E-2</v>
          </cell>
          <cell r="D34" t="str">
            <v>NM</v>
          </cell>
          <cell r="E34" t="str">
            <v>NM</v>
          </cell>
          <cell r="F34">
            <v>0</v>
          </cell>
          <cell r="G34">
            <v>-2.9629629629629672E-2</v>
          </cell>
          <cell r="I34">
            <v>-9.375E-2</v>
          </cell>
          <cell r="K34">
            <v>-6.1728395061728447E-2</v>
          </cell>
          <cell r="M34">
            <v>0.18644067796610164</v>
          </cell>
          <cell r="N34">
            <v>9.5238095238095344E-2</v>
          </cell>
          <cell r="O34">
            <v>0.4285714285714286</v>
          </cell>
          <cell r="P34">
            <v>0.125</v>
          </cell>
          <cell r="Q34">
            <v>0.17886178861788626</v>
          </cell>
          <cell r="S34">
            <v>0.41891891891891886</v>
          </cell>
          <cell r="U34" t="str">
            <v>1Q</v>
          </cell>
          <cell r="V34" t="str">
            <v>NM</v>
          </cell>
          <cell r="W34" t="str">
            <v>NM</v>
          </cell>
          <cell r="X34" t="str">
            <v>NM</v>
          </cell>
          <cell r="Y34" t="str">
            <v>NM</v>
          </cell>
          <cell r="Z34" t="str">
            <v>NM</v>
          </cell>
          <cell r="AA34" t="str">
            <v>NM</v>
          </cell>
          <cell r="AB34" t="str">
            <v>NM</v>
          </cell>
          <cell r="AC34" t="str">
            <v>NM</v>
          </cell>
          <cell r="AD34" t="str">
            <v>NM</v>
          </cell>
          <cell r="AE34" t="str">
            <v>NM</v>
          </cell>
          <cell r="AF34" t="str">
            <v>NM</v>
          </cell>
          <cell r="AG34">
            <v>7.9664570230608023E-2</v>
          </cell>
          <cell r="AH34" t="str">
            <v>NM</v>
          </cell>
          <cell r="AI34" t="str">
            <v>NM</v>
          </cell>
          <cell r="AJ34">
            <v>7.9664570230608023E-2</v>
          </cell>
        </row>
        <row r="35">
          <cell r="B35">
            <v>-0.32558139534883723</v>
          </cell>
          <cell r="C35">
            <v>-7.0175438596491224E-2</v>
          </cell>
          <cell r="D35" t="str">
            <v>NM</v>
          </cell>
          <cell r="E35" t="str">
            <v>NM</v>
          </cell>
          <cell r="F35">
            <v>0</v>
          </cell>
          <cell r="G35">
            <v>-0.16788321167883213</v>
          </cell>
          <cell r="I35">
            <v>3.5087719298245723E-2</v>
          </cell>
          <cell r="K35">
            <v>1.1063829787234041</v>
          </cell>
          <cell r="M35">
            <v>1.6666666666666607E-2</v>
          </cell>
          <cell r="N35">
            <v>0</v>
          </cell>
          <cell r="O35">
            <v>0.26315789473684204</v>
          </cell>
          <cell r="P35">
            <v>0.5714285714285714</v>
          </cell>
          <cell r="Q35">
            <v>7.9365079365079305E-2</v>
          </cell>
          <cell r="S35">
            <v>-0.1071428571428571</v>
          </cell>
          <cell r="U35" t="str">
            <v>2Q</v>
          </cell>
          <cell r="V35" t="str">
            <v>NM</v>
          </cell>
          <cell r="W35" t="str">
            <v>NM</v>
          </cell>
          <cell r="X35" t="str">
            <v>NM</v>
          </cell>
          <cell r="Y35" t="str">
            <v>NM</v>
          </cell>
          <cell r="Z35" t="str">
            <v>NM</v>
          </cell>
          <cell r="AA35" t="str">
            <v>NM</v>
          </cell>
          <cell r="AB35" t="str">
            <v>NM</v>
          </cell>
          <cell r="AC35" t="str">
            <v>NM</v>
          </cell>
          <cell r="AD35" t="str">
            <v>NM</v>
          </cell>
          <cell r="AE35" t="str">
            <v>NM</v>
          </cell>
          <cell r="AF35" t="str">
            <v>NM</v>
          </cell>
          <cell r="AG35">
            <v>7.0953436807095427E-2</v>
          </cell>
          <cell r="AH35" t="str">
            <v>NM</v>
          </cell>
          <cell r="AI35" t="str">
            <v>NM</v>
          </cell>
          <cell r="AJ35">
            <v>0.125</v>
          </cell>
        </row>
        <row r="36">
          <cell r="B36">
            <v>-0.13953488372093026</v>
          </cell>
          <cell r="C36">
            <v>-7.0175438596491224E-2</v>
          </cell>
          <cell r="D36" t="str">
            <v>NM</v>
          </cell>
          <cell r="E36" t="str">
            <v>NM</v>
          </cell>
          <cell r="F36">
            <v>5.2631578947368363E-2</v>
          </cell>
          <cell r="G36">
            <v>4.9180327868852514E-2</v>
          </cell>
          <cell r="I36">
            <v>1.7857142857142794E-2</v>
          </cell>
          <cell r="K36">
            <v>4.6511627906976827E-2</v>
          </cell>
          <cell r="M36">
            <v>0.32432432432432434</v>
          </cell>
          <cell r="N36">
            <v>2.2727272727272707E-2</v>
          </cell>
          <cell r="O36">
            <v>0.19047619047619047</v>
          </cell>
          <cell r="P36">
            <v>0</v>
          </cell>
          <cell r="Q36">
            <v>0.19333333333333336</v>
          </cell>
          <cell r="S36">
            <v>0.30769230769230771</v>
          </cell>
          <cell r="U36" t="str">
            <v>3Q</v>
          </cell>
          <cell r="V36" t="str">
            <v>NM</v>
          </cell>
          <cell r="W36" t="str">
            <v>NM</v>
          </cell>
          <cell r="X36" t="str">
            <v>NM</v>
          </cell>
          <cell r="Y36" t="str">
            <v>NM</v>
          </cell>
          <cell r="Z36" t="str">
            <v>NM</v>
          </cell>
          <cell r="AA36" t="str">
            <v>NM</v>
          </cell>
          <cell r="AB36" t="str">
            <v>NM</v>
          </cell>
          <cell r="AC36" t="str">
            <v>NM</v>
          </cell>
          <cell r="AD36" t="str">
            <v>NM</v>
          </cell>
          <cell r="AE36" t="str">
            <v>NM</v>
          </cell>
          <cell r="AF36" t="str">
            <v>NM</v>
          </cell>
          <cell r="AG36">
            <v>0.13008130081300817</v>
          </cell>
          <cell r="AH36" t="str">
            <v>NM</v>
          </cell>
          <cell r="AI36" t="str">
            <v>NM</v>
          </cell>
          <cell r="AJ36">
            <v>0.21730382293762585</v>
          </cell>
        </row>
        <row r="37">
          <cell r="B37">
            <v>-0.56896551724137934</v>
          </cell>
          <cell r="C37">
            <v>3.4482758620689724E-2</v>
          </cell>
          <cell r="D37" t="str">
            <v>NM</v>
          </cell>
          <cell r="E37" t="str">
            <v>NM</v>
          </cell>
          <cell r="F37">
            <v>0</v>
          </cell>
          <cell r="G37">
            <v>-0.11188811188811187</v>
          </cell>
          <cell r="I37">
            <v>0.16417910447761197</v>
          </cell>
          <cell r="K37">
            <v>0.48863636363636354</v>
          </cell>
          <cell r="M37">
            <v>0.22891566265060237</v>
          </cell>
          <cell r="N37">
            <v>3.8461538461538547E-2</v>
          </cell>
          <cell r="O37">
            <v>0.1785714285714286</v>
          </cell>
          <cell r="P37">
            <v>8.3333333333333259E-2</v>
          </cell>
          <cell r="Q37">
            <v>0.15428571428571436</v>
          </cell>
          <cell r="S37">
            <v>6.8965517241379226E-2</v>
          </cell>
          <cell r="U37" t="str">
            <v>4Q</v>
          </cell>
          <cell r="V37" t="str">
            <v>NM</v>
          </cell>
          <cell r="W37" t="str">
            <v>NM</v>
          </cell>
          <cell r="X37" t="str">
            <v>NM</v>
          </cell>
          <cell r="Y37" t="str">
            <v>NM</v>
          </cell>
          <cell r="Z37" t="str">
            <v>NM</v>
          </cell>
          <cell r="AA37" t="str">
            <v>NM</v>
          </cell>
          <cell r="AB37" t="str">
            <v>NM</v>
          </cell>
          <cell r="AC37" t="str">
            <v>NM</v>
          </cell>
          <cell r="AD37" t="str">
            <v>NM</v>
          </cell>
          <cell r="AE37" t="str">
            <v>NM</v>
          </cell>
          <cell r="AF37" t="str">
            <v>NM</v>
          </cell>
          <cell r="AG37">
            <v>0.12678571428571428</v>
          </cell>
          <cell r="AH37" t="str">
            <v>NM</v>
          </cell>
          <cell r="AI37" t="str">
            <v>NM</v>
          </cell>
          <cell r="AJ37">
            <v>0.36991150442477871</v>
          </cell>
        </row>
        <row r="39">
          <cell r="B39">
            <v>-0.30500000000000005</v>
          </cell>
          <cell r="C39">
            <v>-4.3478260869565188E-2</v>
          </cell>
          <cell r="D39" t="str">
            <v>NM</v>
          </cell>
          <cell r="E39" t="str">
            <v>NM</v>
          </cell>
          <cell r="F39">
            <v>1.3333333333333419E-2</v>
          </cell>
          <cell r="G39">
            <v>-6.8901303538175029E-2</v>
          </cell>
          <cell r="I39">
            <v>3.2786885245901676E-2</v>
          </cell>
          <cell r="K39">
            <v>0.3112582781456954</v>
          </cell>
          <cell r="M39">
            <v>0.19927536231884058</v>
          </cell>
          <cell r="N39">
            <v>3.9325842696629199E-2</v>
          </cell>
          <cell r="O39">
            <v>0.24390243902439024</v>
          </cell>
          <cell r="P39">
            <v>0.15789473684210531</v>
          </cell>
          <cell r="Q39">
            <v>0.1533101045296168</v>
          </cell>
          <cell r="S39">
            <v>0.16099071207430349</v>
          </cell>
          <cell r="U39" t="str">
            <v xml:space="preserve">Year </v>
          </cell>
          <cell r="V39" t="str">
            <v>NM</v>
          </cell>
          <cell r="W39" t="str">
            <v>NM</v>
          </cell>
          <cell r="X39" t="str">
            <v>NM</v>
          </cell>
          <cell r="Y39" t="str">
            <v>NM</v>
          </cell>
          <cell r="Z39" t="str">
            <v>NM</v>
          </cell>
          <cell r="AA39" t="str">
            <v>NM</v>
          </cell>
          <cell r="AB39" t="str">
            <v>NM</v>
          </cell>
          <cell r="AC39" t="str">
            <v>NM</v>
          </cell>
          <cell r="AD39" t="str">
            <v>NM</v>
          </cell>
          <cell r="AE39" t="str">
            <v>NM</v>
          </cell>
          <cell r="AF39" t="str">
            <v>NM</v>
          </cell>
          <cell r="AG39">
            <v>0.10353535353535359</v>
          </cell>
          <cell r="AH39" t="str">
            <v>NM</v>
          </cell>
          <cell r="AI39" t="str">
            <v>NM</v>
          </cell>
          <cell r="AJ39">
            <v>0.20651629072681699</v>
          </cell>
        </row>
        <row r="41">
          <cell r="U41">
            <v>1997</v>
          </cell>
        </row>
        <row r="42">
          <cell r="B42">
            <v>48</v>
          </cell>
          <cell r="C42">
            <v>54</v>
          </cell>
          <cell r="D42">
            <v>8</v>
          </cell>
          <cell r="E42">
            <v>3</v>
          </cell>
          <cell r="F42">
            <v>18</v>
          </cell>
          <cell r="G42">
            <v>131</v>
          </cell>
          <cell r="I42">
            <v>58</v>
          </cell>
          <cell r="K42">
            <v>76</v>
          </cell>
          <cell r="M42">
            <v>70</v>
          </cell>
          <cell r="N42">
            <v>46</v>
          </cell>
          <cell r="O42">
            <v>20</v>
          </cell>
          <cell r="P42">
            <v>9</v>
          </cell>
          <cell r="Q42">
            <v>145</v>
          </cell>
          <cell r="S42">
            <v>105</v>
          </cell>
          <cell r="U42" t="str">
            <v>1Q</v>
          </cell>
          <cell r="V42">
            <v>0</v>
          </cell>
          <cell r="W42">
            <v>0</v>
          </cell>
          <cell r="X42">
            <v>0</v>
          </cell>
          <cell r="Y42">
            <v>0</v>
          </cell>
          <cell r="Z42">
            <v>0</v>
          </cell>
          <cell r="AA42">
            <v>0</v>
          </cell>
          <cell r="AB42">
            <v>0</v>
          </cell>
          <cell r="AC42">
            <v>0</v>
          </cell>
          <cell r="AD42">
            <v>0</v>
          </cell>
          <cell r="AE42">
            <v>0</v>
          </cell>
          <cell r="AF42">
            <v>0</v>
          </cell>
          <cell r="AG42">
            <v>515</v>
          </cell>
          <cell r="AH42">
            <v>0</v>
          </cell>
          <cell r="AI42">
            <v>0</v>
          </cell>
          <cell r="AJ42">
            <v>515</v>
          </cell>
        </row>
        <row r="43">
          <cell r="B43">
            <v>29</v>
          </cell>
          <cell r="C43">
            <v>53</v>
          </cell>
          <cell r="D43">
            <v>12</v>
          </cell>
          <cell r="E43">
            <v>3</v>
          </cell>
          <cell r="F43">
            <v>17</v>
          </cell>
          <cell r="G43">
            <v>114</v>
          </cell>
          <cell r="I43">
            <v>59</v>
          </cell>
          <cell r="K43">
            <v>99</v>
          </cell>
          <cell r="M43">
            <v>61</v>
          </cell>
          <cell r="N43">
            <v>40</v>
          </cell>
          <cell r="O43">
            <v>24</v>
          </cell>
          <cell r="P43">
            <v>11</v>
          </cell>
          <cell r="Q43">
            <v>136</v>
          </cell>
          <cell r="S43">
            <v>75</v>
          </cell>
          <cell r="U43" t="str">
            <v>2Q</v>
          </cell>
          <cell r="V43">
            <v>0</v>
          </cell>
          <cell r="W43">
            <v>0</v>
          </cell>
          <cell r="X43">
            <v>0</v>
          </cell>
          <cell r="Y43">
            <v>0</v>
          </cell>
          <cell r="Z43">
            <v>0</v>
          </cell>
          <cell r="AA43">
            <v>0</v>
          </cell>
          <cell r="AB43">
            <v>0</v>
          </cell>
          <cell r="AC43">
            <v>0</v>
          </cell>
          <cell r="AD43">
            <v>0</v>
          </cell>
          <cell r="AE43">
            <v>0</v>
          </cell>
          <cell r="AF43">
            <v>0</v>
          </cell>
          <cell r="AG43">
            <v>483</v>
          </cell>
          <cell r="AH43">
            <v>19</v>
          </cell>
          <cell r="AI43">
            <v>11</v>
          </cell>
          <cell r="AJ43">
            <v>513</v>
          </cell>
        </row>
        <row r="44">
          <cell r="B44">
            <v>37</v>
          </cell>
          <cell r="C44">
            <v>53</v>
          </cell>
          <cell r="D44">
            <v>16</v>
          </cell>
          <cell r="E44">
            <v>2</v>
          </cell>
          <cell r="F44">
            <v>20</v>
          </cell>
          <cell r="G44">
            <v>128</v>
          </cell>
          <cell r="I44">
            <v>57</v>
          </cell>
          <cell r="K44">
            <v>90</v>
          </cell>
          <cell r="M44">
            <v>98</v>
          </cell>
          <cell r="N44">
            <v>45</v>
          </cell>
          <cell r="O44">
            <v>25</v>
          </cell>
          <cell r="P44">
            <v>11</v>
          </cell>
          <cell r="Q44">
            <v>179</v>
          </cell>
          <cell r="S44">
            <v>102</v>
          </cell>
          <cell r="U44" t="str">
            <v>3Q</v>
          </cell>
          <cell r="V44">
            <v>0</v>
          </cell>
          <cell r="W44">
            <v>0</v>
          </cell>
          <cell r="X44">
            <v>0</v>
          </cell>
          <cell r="Y44">
            <v>0</v>
          </cell>
          <cell r="Z44">
            <v>0</v>
          </cell>
          <cell r="AA44">
            <v>0</v>
          </cell>
          <cell r="AB44">
            <v>0</v>
          </cell>
          <cell r="AC44">
            <v>0</v>
          </cell>
          <cell r="AD44">
            <v>0</v>
          </cell>
          <cell r="AE44">
            <v>0</v>
          </cell>
          <cell r="AF44">
            <v>0</v>
          </cell>
          <cell r="AG44">
            <v>556</v>
          </cell>
          <cell r="AH44">
            <v>0</v>
          </cell>
          <cell r="AI44">
            <v>49</v>
          </cell>
          <cell r="AJ44">
            <v>605</v>
          </cell>
        </row>
        <row r="45">
          <cell r="B45">
            <v>25</v>
          </cell>
          <cell r="C45">
            <v>60</v>
          </cell>
          <cell r="D45">
            <v>19</v>
          </cell>
          <cell r="E45">
            <v>2</v>
          </cell>
          <cell r="F45">
            <v>21</v>
          </cell>
          <cell r="G45">
            <v>127</v>
          </cell>
          <cell r="I45">
            <v>78</v>
          </cell>
          <cell r="K45">
            <v>131</v>
          </cell>
          <cell r="M45">
            <v>102</v>
          </cell>
          <cell r="N45">
            <v>54</v>
          </cell>
          <cell r="O45">
            <v>33</v>
          </cell>
          <cell r="P45">
            <v>13</v>
          </cell>
          <cell r="Q45">
            <v>202</v>
          </cell>
          <cell r="S45">
            <v>93</v>
          </cell>
          <cell r="U45" t="str">
            <v>4Q</v>
          </cell>
          <cell r="V45">
            <v>0</v>
          </cell>
          <cell r="W45">
            <v>0</v>
          </cell>
          <cell r="X45">
            <v>0</v>
          </cell>
          <cell r="Y45">
            <v>0</v>
          </cell>
          <cell r="Z45">
            <v>0</v>
          </cell>
          <cell r="AA45">
            <v>0</v>
          </cell>
          <cell r="AB45">
            <v>0</v>
          </cell>
          <cell r="AC45">
            <v>0</v>
          </cell>
          <cell r="AD45">
            <v>0</v>
          </cell>
          <cell r="AE45">
            <v>0</v>
          </cell>
          <cell r="AF45">
            <v>0</v>
          </cell>
          <cell r="AG45">
            <v>631</v>
          </cell>
          <cell r="AH45">
            <v>75</v>
          </cell>
          <cell r="AI45">
            <v>68</v>
          </cell>
          <cell r="AJ45">
            <v>774</v>
          </cell>
        </row>
        <row r="47">
          <cell r="B47">
            <v>139</v>
          </cell>
          <cell r="C47">
            <v>220</v>
          </cell>
          <cell r="D47">
            <v>55</v>
          </cell>
          <cell r="E47">
            <v>10</v>
          </cell>
          <cell r="F47">
            <v>76</v>
          </cell>
          <cell r="G47">
            <v>500</v>
          </cell>
          <cell r="I47">
            <v>252</v>
          </cell>
          <cell r="K47">
            <v>396</v>
          </cell>
          <cell r="M47">
            <v>331</v>
          </cell>
          <cell r="N47">
            <v>185</v>
          </cell>
          <cell r="O47">
            <v>102</v>
          </cell>
          <cell r="P47">
            <v>44</v>
          </cell>
          <cell r="Q47">
            <v>662</v>
          </cell>
          <cell r="S47">
            <v>375</v>
          </cell>
          <cell r="U47" t="str">
            <v xml:space="preserve">Year </v>
          </cell>
          <cell r="V47">
            <v>0</v>
          </cell>
          <cell r="W47">
            <v>0</v>
          </cell>
          <cell r="X47">
            <v>0</v>
          </cell>
          <cell r="Y47">
            <v>0</v>
          </cell>
          <cell r="Z47">
            <v>0</v>
          </cell>
          <cell r="AA47">
            <v>0</v>
          </cell>
          <cell r="AB47">
            <v>0</v>
          </cell>
          <cell r="AC47">
            <v>0</v>
          </cell>
          <cell r="AD47">
            <v>0</v>
          </cell>
          <cell r="AE47">
            <v>0</v>
          </cell>
          <cell r="AF47">
            <v>0</v>
          </cell>
          <cell r="AG47">
            <v>2185</v>
          </cell>
          <cell r="AH47">
            <v>94</v>
          </cell>
          <cell r="AI47">
            <v>128</v>
          </cell>
          <cell r="AJ47">
            <v>2407</v>
          </cell>
        </row>
        <row r="49">
          <cell r="U49" t="str">
            <v>1998E/97</v>
          </cell>
        </row>
        <row r="50">
          <cell r="B50">
            <v>-0.52083333333333326</v>
          </cell>
          <cell r="C50">
            <v>-0.2407407407407407</v>
          </cell>
          <cell r="D50">
            <v>0.5</v>
          </cell>
          <cell r="E50" t="str">
            <v>NM</v>
          </cell>
          <cell r="F50">
            <v>-0.16666666666666663</v>
          </cell>
          <cell r="G50">
            <v>-0.28244274809160308</v>
          </cell>
          <cell r="I50">
            <v>-0.24137931034482762</v>
          </cell>
          <cell r="K50">
            <v>-7.8947368421052655E-2</v>
          </cell>
          <cell r="M50">
            <v>-0.32857142857142863</v>
          </cell>
          <cell r="N50">
            <v>-0.47826086956521741</v>
          </cell>
          <cell r="O50">
            <v>1.4500000000000002</v>
          </cell>
          <cell r="P50">
            <v>0.11111111111111116</v>
          </cell>
          <cell r="Q50">
            <v>-0.10344827586206895</v>
          </cell>
          <cell r="S50">
            <v>-0.20952380952380956</v>
          </cell>
          <cell r="U50" t="str">
            <v>1QA</v>
          </cell>
          <cell r="V50" t="str">
            <v>NM</v>
          </cell>
          <cell r="W50" t="str">
            <v>NM</v>
          </cell>
          <cell r="X50" t="str">
            <v>NM</v>
          </cell>
          <cell r="Y50" t="str">
            <v>NM</v>
          </cell>
          <cell r="Z50" t="str">
            <v>NM</v>
          </cell>
          <cell r="AA50" t="str">
            <v>NM</v>
          </cell>
          <cell r="AB50" t="str">
            <v>NM</v>
          </cell>
          <cell r="AC50" t="str">
            <v>NM</v>
          </cell>
          <cell r="AD50" t="str">
            <v>NM</v>
          </cell>
          <cell r="AE50" t="str">
            <v>NM</v>
          </cell>
          <cell r="AF50" t="str">
            <v>NM</v>
          </cell>
          <cell r="AG50">
            <v>-0.18252427184466025</v>
          </cell>
          <cell r="AH50" t="str">
            <v>NM</v>
          </cell>
          <cell r="AI50" t="str">
            <v>NM</v>
          </cell>
          <cell r="AJ50">
            <v>1.1650485436893288E-2</v>
          </cell>
        </row>
        <row r="51">
          <cell r="B51">
            <v>-0.62068965517241381</v>
          </cell>
          <cell r="C51">
            <v>-1.8867924528301883E-2</v>
          </cell>
          <cell r="D51">
            <v>0.66666666666666674</v>
          </cell>
          <cell r="E51" t="str">
            <v>NM</v>
          </cell>
          <cell r="F51">
            <v>0.17647058823529416</v>
          </cell>
          <cell r="G51">
            <v>-7.0175438596491224E-2</v>
          </cell>
          <cell r="I51">
            <v>-1.6949152542372836E-2</v>
          </cell>
          <cell r="K51">
            <v>0.2525252525252526</v>
          </cell>
          <cell r="M51">
            <v>0.11475409836065564</v>
          </cell>
          <cell r="N51">
            <v>-0.19999999999999996</v>
          </cell>
          <cell r="O51">
            <v>2.3333333333333335</v>
          </cell>
          <cell r="P51">
            <v>9.0909090909090828E-2</v>
          </cell>
          <cell r="Q51">
            <v>0.41176470588235303</v>
          </cell>
          <cell r="S51">
            <v>0.4933333333333334</v>
          </cell>
          <cell r="U51" t="str">
            <v>2QA</v>
          </cell>
          <cell r="V51" t="str">
            <v>NM</v>
          </cell>
          <cell r="W51" t="str">
            <v>NM</v>
          </cell>
          <cell r="X51" t="str">
            <v>NM</v>
          </cell>
          <cell r="Y51" t="str">
            <v>NM</v>
          </cell>
          <cell r="Z51" t="str">
            <v>NM</v>
          </cell>
          <cell r="AA51" t="str">
            <v>NM</v>
          </cell>
          <cell r="AB51" t="str">
            <v>NM</v>
          </cell>
          <cell r="AC51" t="str">
            <v>NM</v>
          </cell>
          <cell r="AD51" t="str">
            <v>NM</v>
          </cell>
          <cell r="AE51" t="str">
            <v>NM</v>
          </cell>
          <cell r="AF51" t="str">
            <v>NM</v>
          </cell>
          <cell r="AG51">
            <v>0.22567287784679091</v>
          </cell>
          <cell r="AH51" t="str">
            <v>NM</v>
          </cell>
          <cell r="AI51" t="str">
            <v>NM</v>
          </cell>
          <cell r="AJ51">
            <v>0.15399610136452235</v>
          </cell>
        </row>
        <row r="52">
          <cell r="B52">
            <v>-0.59459459459459452</v>
          </cell>
          <cell r="C52">
            <v>-1.8867924528301883E-2</v>
          </cell>
          <cell r="D52">
            <v>0.4375</v>
          </cell>
          <cell r="E52" t="str">
            <v>NM</v>
          </cell>
          <cell r="F52">
            <v>-0.1</v>
          </cell>
          <cell r="G52">
            <v>-0.140625</v>
          </cell>
          <cell r="I52">
            <v>5.2631578947368363E-2</v>
          </cell>
          <cell r="K52">
            <v>-4.4444444444444398E-2</v>
          </cell>
          <cell r="M52">
            <v>0.1</v>
          </cell>
          <cell r="N52">
            <v>-0.2</v>
          </cell>
          <cell r="O52">
            <v>2.88</v>
          </cell>
          <cell r="P52">
            <v>0.05</v>
          </cell>
          <cell r="Q52">
            <v>0.39413407821229063</v>
          </cell>
          <cell r="S52">
            <v>0.41617647058823515</v>
          </cell>
          <cell r="U52" t="str">
            <v>3Q</v>
          </cell>
          <cell r="V52" t="str">
            <v>NM</v>
          </cell>
          <cell r="W52" t="str">
            <v>NM</v>
          </cell>
          <cell r="X52" t="str">
            <v>NM</v>
          </cell>
          <cell r="Y52" t="str">
            <v>NM</v>
          </cell>
          <cell r="Z52" t="str">
            <v>NM</v>
          </cell>
          <cell r="AA52" t="str">
            <v>NM</v>
          </cell>
          <cell r="AB52" t="str">
            <v>NM</v>
          </cell>
          <cell r="AC52" t="str">
            <v>NM</v>
          </cell>
          <cell r="AD52" t="str">
            <v>NM</v>
          </cell>
          <cell r="AE52" t="str">
            <v>NM</v>
          </cell>
          <cell r="AF52" t="str">
            <v>NM</v>
          </cell>
          <cell r="AG52">
            <v>0.16906474820143891</v>
          </cell>
          <cell r="AH52" t="str">
            <v>NM</v>
          </cell>
          <cell r="AI52" t="str">
            <v>NM</v>
          </cell>
          <cell r="AJ52">
            <v>0.30578512396694224</v>
          </cell>
        </row>
        <row r="53">
          <cell r="B53">
            <v>-0.4</v>
          </cell>
          <cell r="C53">
            <v>-0.1333333333333333</v>
          </cell>
          <cell r="D53">
            <v>0.42105263157894735</v>
          </cell>
          <cell r="E53" t="str">
            <v>NM</v>
          </cell>
          <cell r="F53">
            <v>-0.1</v>
          </cell>
          <cell r="G53">
            <v>-9.5275590551181066E-2</v>
          </cell>
          <cell r="I53">
            <v>-0.23076923076923073</v>
          </cell>
          <cell r="K53">
            <v>3.0534351145038219E-2</v>
          </cell>
          <cell r="M53">
            <v>0.1</v>
          </cell>
          <cell r="N53">
            <v>-0.2</v>
          </cell>
          <cell r="O53">
            <v>2.0303030303030303</v>
          </cell>
          <cell r="P53">
            <v>0.05</v>
          </cell>
          <cell r="Q53">
            <v>0.33193069306930689</v>
          </cell>
          <cell r="S53">
            <v>-8.6021505376344121E-2</v>
          </cell>
          <cell r="U53" t="str">
            <v>4Q</v>
          </cell>
          <cell r="V53" t="str">
            <v>NM</v>
          </cell>
          <cell r="W53" t="str">
            <v>NM</v>
          </cell>
          <cell r="X53" t="str">
            <v>NM</v>
          </cell>
          <cell r="Y53" t="str">
            <v>NM</v>
          </cell>
          <cell r="Z53" t="str">
            <v>NM</v>
          </cell>
          <cell r="AA53" t="str">
            <v>NM</v>
          </cell>
          <cell r="AB53" t="str">
            <v>NM</v>
          </cell>
          <cell r="AC53" t="str">
            <v>NM</v>
          </cell>
          <cell r="AD53" t="str">
            <v>NM</v>
          </cell>
          <cell r="AE53" t="str">
            <v>NM</v>
          </cell>
          <cell r="AF53" t="str">
            <v>NM</v>
          </cell>
          <cell r="AG53">
            <v>5.2218700475435975E-2</v>
          </cell>
          <cell r="AH53" t="str">
            <v>NM</v>
          </cell>
          <cell r="AI53" t="str">
            <v>NM</v>
          </cell>
          <cell r="AJ53">
            <v>-0.14218346253229963</v>
          </cell>
        </row>
        <row r="55">
          <cell r="B55">
            <v>-0.53956834532374098</v>
          </cell>
          <cell r="C55">
            <v>-0.1045454545454545</v>
          </cell>
          <cell r="D55">
            <v>0.49090909090909096</v>
          </cell>
          <cell r="E55" t="str">
            <v>NM</v>
          </cell>
          <cell r="F55">
            <v>-5.3947368421052522E-2</v>
          </cell>
          <cell r="G55">
            <v>-0.1502</v>
          </cell>
          <cell r="I55">
            <v>-0.11904761904761907</v>
          </cell>
          <cell r="K55">
            <v>4.7979797979798011E-2</v>
          </cell>
          <cell r="M55">
            <v>3.6253776435044571E-3</v>
          </cell>
          <cell r="N55">
            <v>-0.26918918918918922</v>
          </cell>
          <cell r="O55">
            <v>2.1960784313725492</v>
          </cell>
          <cell r="P55">
            <v>7.2727272727272529E-2</v>
          </cell>
          <cell r="Q55">
            <v>0.26978851963746209</v>
          </cell>
          <cell r="S55">
            <v>0.13186666666666658</v>
          </cell>
          <cell r="U55" t="str">
            <v xml:space="preserve">Year </v>
          </cell>
          <cell r="V55" t="str">
            <v>NM</v>
          </cell>
          <cell r="W55" t="str">
            <v>NM</v>
          </cell>
          <cell r="X55" t="str">
            <v>NM</v>
          </cell>
          <cell r="Y55" t="str">
            <v>NM</v>
          </cell>
          <cell r="Z55" t="str">
            <v>NM</v>
          </cell>
          <cell r="AA55" t="str">
            <v>NM</v>
          </cell>
          <cell r="AB55" t="str">
            <v>NM</v>
          </cell>
          <cell r="AC55" t="str">
            <v>NM</v>
          </cell>
          <cell r="AD55" t="str">
            <v>NM</v>
          </cell>
          <cell r="AE55" t="str">
            <v>NM</v>
          </cell>
          <cell r="AF55" t="str">
            <v>NM</v>
          </cell>
          <cell r="AG55">
            <v>6.4965675057208072E-2</v>
          </cell>
          <cell r="AH55" t="str">
            <v>NM</v>
          </cell>
          <cell r="AI55" t="str">
            <v>NM</v>
          </cell>
          <cell r="AJ55">
            <v>6.6452014956377203E-2</v>
          </cell>
        </row>
        <row r="57">
          <cell r="U57" t="str">
            <v>1998E</v>
          </cell>
        </row>
        <row r="58">
          <cell r="B58">
            <v>23</v>
          </cell>
          <cell r="C58">
            <v>41</v>
          </cell>
          <cell r="D58">
            <v>12</v>
          </cell>
          <cell r="E58">
            <v>3</v>
          </cell>
          <cell r="F58">
            <v>15</v>
          </cell>
          <cell r="G58">
            <v>94</v>
          </cell>
          <cell r="I58">
            <v>44</v>
          </cell>
          <cell r="K58">
            <v>70</v>
          </cell>
          <cell r="M58">
            <v>47</v>
          </cell>
          <cell r="N58">
            <v>24</v>
          </cell>
          <cell r="O58">
            <v>49</v>
          </cell>
          <cell r="P58">
            <v>10</v>
          </cell>
          <cell r="Q58">
            <v>130</v>
          </cell>
          <cell r="S58">
            <v>83</v>
          </cell>
          <cell r="U58" t="str">
            <v>1QA</v>
          </cell>
          <cell r="V58">
            <v>0</v>
          </cell>
          <cell r="W58">
            <v>0</v>
          </cell>
          <cell r="X58">
            <v>0</v>
          </cell>
          <cell r="Y58">
            <v>0</v>
          </cell>
          <cell r="Z58">
            <v>0</v>
          </cell>
          <cell r="AA58">
            <v>0</v>
          </cell>
          <cell r="AB58">
            <v>0</v>
          </cell>
          <cell r="AC58">
            <v>0</v>
          </cell>
          <cell r="AD58">
            <v>0</v>
          </cell>
          <cell r="AE58">
            <v>0</v>
          </cell>
          <cell r="AF58">
            <v>0</v>
          </cell>
          <cell r="AG58">
            <v>421</v>
          </cell>
          <cell r="AH58">
            <v>100</v>
          </cell>
          <cell r="AI58">
            <v>0</v>
          </cell>
          <cell r="AJ58">
            <v>521</v>
          </cell>
        </row>
        <row r="59">
          <cell r="B59">
            <v>11</v>
          </cell>
          <cell r="C59">
            <v>52</v>
          </cell>
          <cell r="D59">
            <v>20</v>
          </cell>
          <cell r="E59">
            <v>3</v>
          </cell>
          <cell r="F59">
            <v>20</v>
          </cell>
          <cell r="G59">
            <v>106</v>
          </cell>
          <cell r="I59">
            <v>58</v>
          </cell>
          <cell r="K59">
            <v>124</v>
          </cell>
          <cell r="M59">
            <v>68</v>
          </cell>
          <cell r="N59">
            <v>32</v>
          </cell>
          <cell r="O59">
            <v>80</v>
          </cell>
          <cell r="P59">
            <v>12</v>
          </cell>
          <cell r="Q59">
            <v>192</v>
          </cell>
          <cell r="S59">
            <v>112</v>
          </cell>
          <cell r="U59" t="str">
            <v>2QA</v>
          </cell>
          <cell r="V59">
            <v>0</v>
          </cell>
          <cell r="W59">
            <v>0</v>
          </cell>
          <cell r="X59">
            <v>0</v>
          </cell>
          <cell r="Y59">
            <v>0</v>
          </cell>
          <cell r="Z59">
            <v>0</v>
          </cell>
          <cell r="AA59">
            <v>0</v>
          </cell>
          <cell r="AB59">
            <v>0</v>
          </cell>
          <cell r="AC59">
            <v>0</v>
          </cell>
          <cell r="AD59">
            <v>0</v>
          </cell>
          <cell r="AE59">
            <v>0</v>
          </cell>
          <cell r="AF59">
            <v>0</v>
          </cell>
          <cell r="AG59">
            <v>592</v>
          </cell>
          <cell r="AH59">
            <v>0</v>
          </cell>
          <cell r="AI59">
            <v>0</v>
          </cell>
          <cell r="AJ59">
            <v>592</v>
          </cell>
        </row>
        <row r="60">
          <cell r="B60">
            <v>15</v>
          </cell>
          <cell r="C60">
            <v>52</v>
          </cell>
          <cell r="D60">
            <v>23</v>
          </cell>
          <cell r="E60">
            <v>2</v>
          </cell>
          <cell r="F60">
            <v>18</v>
          </cell>
          <cell r="G60">
            <v>110</v>
          </cell>
          <cell r="I60">
            <v>60</v>
          </cell>
          <cell r="K60">
            <v>86</v>
          </cell>
          <cell r="M60">
            <v>105</v>
          </cell>
          <cell r="N60">
            <v>36</v>
          </cell>
          <cell r="O60">
            <v>97</v>
          </cell>
          <cell r="P60">
            <v>11.55</v>
          </cell>
          <cell r="Q60">
            <v>249.55</v>
          </cell>
          <cell r="S60">
            <v>144.44999999999999</v>
          </cell>
          <cell r="U60" t="str">
            <v>3QA</v>
          </cell>
          <cell r="V60">
            <v>0</v>
          </cell>
          <cell r="W60">
            <v>0</v>
          </cell>
          <cell r="X60">
            <v>0</v>
          </cell>
          <cell r="Y60">
            <v>0</v>
          </cell>
          <cell r="Z60">
            <v>0</v>
          </cell>
          <cell r="AA60">
            <v>0</v>
          </cell>
          <cell r="AB60">
            <v>0</v>
          </cell>
          <cell r="AC60">
            <v>0</v>
          </cell>
          <cell r="AD60">
            <v>0</v>
          </cell>
          <cell r="AE60">
            <v>0</v>
          </cell>
          <cell r="AF60">
            <v>0</v>
          </cell>
          <cell r="AG60">
            <v>650</v>
          </cell>
          <cell r="AH60">
            <v>140</v>
          </cell>
          <cell r="AI60">
            <v>0</v>
          </cell>
          <cell r="AJ60">
            <v>790</v>
          </cell>
        </row>
        <row r="61">
          <cell r="B61">
            <v>15</v>
          </cell>
          <cell r="C61">
            <v>52</v>
          </cell>
          <cell r="D61">
            <v>27</v>
          </cell>
          <cell r="E61">
            <v>2</v>
          </cell>
          <cell r="F61">
            <v>18.900000000000002</v>
          </cell>
          <cell r="G61">
            <v>114.9</v>
          </cell>
          <cell r="I61">
            <v>60</v>
          </cell>
          <cell r="K61">
            <v>135</v>
          </cell>
          <cell r="M61">
            <v>112.2</v>
          </cell>
          <cell r="N61">
            <v>43.2</v>
          </cell>
          <cell r="O61">
            <v>100</v>
          </cell>
          <cell r="P61">
            <v>13.65</v>
          </cell>
          <cell r="Q61">
            <v>269.05</v>
          </cell>
          <cell r="S61">
            <v>85</v>
          </cell>
          <cell r="U61" t="str">
            <v>4Q</v>
          </cell>
          <cell r="V61">
            <v>0</v>
          </cell>
          <cell r="W61">
            <v>0</v>
          </cell>
          <cell r="X61">
            <v>0</v>
          </cell>
          <cell r="Y61">
            <v>0</v>
          </cell>
          <cell r="Z61">
            <v>0</v>
          </cell>
          <cell r="AA61">
            <v>0</v>
          </cell>
          <cell r="AB61">
            <v>0</v>
          </cell>
          <cell r="AC61">
            <v>0</v>
          </cell>
          <cell r="AD61">
            <v>0</v>
          </cell>
          <cell r="AE61">
            <v>0</v>
          </cell>
          <cell r="AF61">
            <v>0</v>
          </cell>
          <cell r="AG61">
            <v>663.95</v>
          </cell>
          <cell r="AH61">
            <v>200</v>
          </cell>
          <cell r="AI61">
            <v>0</v>
          </cell>
          <cell r="AJ61">
            <v>863.95</v>
          </cell>
        </row>
        <row r="63">
          <cell r="B63">
            <v>64</v>
          </cell>
          <cell r="C63">
            <v>197</v>
          </cell>
          <cell r="D63">
            <v>82</v>
          </cell>
          <cell r="E63">
            <v>10</v>
          </cell>
          <cell r="F63">
            <v>71.900000000000006</v>
          </cell>
          <cell r="G63">
            <v>424.9</v>
          </cell>
          <cell r="I63">
            <v>222</v>
          </cell>
          <cell r="K63">
            <v>415</v>
          </cell>
          <cell r="M63">
            <v>332.2</v>
          </cell>
          <cell r="N63">
            <v>135.19999999999999</v>
          </cell>
          <cell r="O63">
            <v>326</v>
          </cell>
          <cell r="P63">
            <v>47.199999999999996</v>
          </cell>
          <cell r="Q63">
            <v>840.59999999999991</v>
          </cell>
          <cell r="S63">
            <v>424.45</v>
          </cell>
          <cell r="U63" t="str">
            <v xml:space="preserve">Year </v>
          </cell>
          <cell r="V63">
            <v>0</v>
          </cell>
          <cell r="W63">
            <v>0</v>
          </cell>
          <cell r="X63">
            <v>0</v>
          </cell>
          <cell r="Y63">
            <v>0</v>
          </cell>
          <cell r="Z63">
            <v>0</v>
          </cell>
          <cell r="AA63">
            <v>0</v>
          </cell>
          <cell r="AB63">
            <v>0</v>
          </cell>
          <cell r="AC63">
            <v>0</v>
          </cell>
          <cell r="AD63">
            <v>0</v>
          </cell>
          <cell r="AE63">
            <v>0</v>
          </cell>
          <cell r="AF63">
            <v>0</v>
          </cell>
          <cell r="AG63">
            <v>2326.9499999999998</v>
          </cell>
          <cell r="AH63">
            <v>440</v>
          </cell>
          <cell r="AI63">
            <v>0</v>
          </cell>
          <cell r="AJ63">
            <v>2566.9499999999998</v>
          </cell>
        </row>
        <row r="65">
          <cell r="B65">
            <v>-0.15</v>
          </cell>
          <cell r="C65">
            <v>0</v>
          </cell>
          <cell r="D65">
            <v>0.35</v>
          </cell>
          <cell r="E65">
            <v>0</v>
          </cell>
          <cell r="F65">
            <v>0</v>
          </cell>
          <cell r="G65">
            <v>4.495175335373025E-2</v>
          </cell>
          <cell r="I65">
            <v>0.04</v>
          </cell>
          <cell r="K65">
            <v>0.12</v>
          </cell>
          <cell r="M65">
            <v>0.05</v>
          </cell>
          <cell r="N65">
            <v>-0.2</v>
          </cell>
          <cell r="O65">
            <v>0.25</v>
          </cell>
          <cell r="P65">
            <v>0</v>
          </cell>
          <cell r="Q65">
            <v>8.4546752319771823E-2</v>
          </cell>
          <cell r="S65">
            <v>-0.08</v>
          </cell>
          <cell r="U65" t="str">
            <v>1999/98E</v>
          </cell>
          <cell r="V65" t="str">
            <v>NM</v>
          </cell>
          <cell r="W65" t="str">
            <v>NM</v>
          </cell>
          <cell r="X65" t="str">
            <v>NM</v>
          </cell>
          <cell r="Y65" t="str">
            <v>NM</v>
          </cell>
          <cell r="Z65" t="str">
            <v>NM</v>
          </cell>
          <cell r="AA65" t="str">
            <v>NM</v>
          </cell>
          <cell r="AB65" t="str">
            <v>NM</v>
          </cell>
          <cell r="AC65" t="str">
            <v>NM</v>
          </cell>
          <cell r="AD65" t="str">
            <v>NM</v>
          </cell>
          <cell r="AE65" t="str">
            <v>NM</v>
          </cell>
          <cell r="AF65" t="str">
            <v>NM</v>
          </cell>
          <cell r="AG65" t="str">
            <v>NM</v>
          </cell>
          <cell r="AH65" t="str">
            <v>NM</v>
          </cell>
          <cell r="AI65" t="str">
            <v>NM</v>
          </cell>
          <cell r="AJ65">
            <v>0.27460371257718341</v>
          </cell>
        </row>
        <row r="66">
          <cell r="B66">
            <v>-0.1</v>
          </cell>
          <cell r="C66">
            <v>0</v>
          </cell>
          <cell r="D66">
            <v>0.25</v>
          </cell>
          <cell r="E66">
            <v>0</v>
          </cell>
          <cell r="F66">
            <v>0</v>
          </cell>
          <cell r="G66">
            <v>5.007882882882897E-2</v>
          </cell>
          <cell r="I66">
            <v>0.04</v>
          </cell>
          <cell r="K66">
            <v>0.1</v>
          </cell>
          <cell r="M66">
            <v>-0.1</v>
          </cell>
          <cell r="N66">
            <v>-0.15</v>
          </cell>
          <cell r="O66">
            <v>0.2</v>
          </cell>
          <cell r="P66">
            <v>0</v>
          </cell>
          <cell r="Q66">
            <v>3.333991466210362E-2</v>
          </cell>
          <cell r="S66">
            <v>0</v>
          </cell>
          <cell r="U66" t="str">
            <v>2000/99E</v>
          </cell>
          <cell r="V66" t="str">
            <v>NM</v>
          </cell>
          <cell r="W66" t="str">
            <v>NM</v>
          </cell>
          <cell r="X66" t="str">
            <v>NM</v>
          </cell>
          <cell r="Y66" t="str">
            <v>NM</v>
          </cell>
          <cell r="Z66" t="str">
            <v>NM</v>
          </cell>
          <cell r="AA66" t="str">
            <v>NM</v>
          </cell>
          <cell r="AB66" t="str">
            <v>NM</v>
          </cell>
          <cell r="AC66" t="str">
            <v>NM</v>
          </cell>
          <cell r="AD66" t="str">
            <v>NM</v>
          </cell>
          <cell r="AE66" t="str">
            <v>NM</v>
          </cell>
          <cell r="AF66" t="str">
            <v>NM</v>
          </cell>
          <cell r="AG66">
            <v>0.20289856382820703</v>
          </cell>
          <cell r="AH66" t="str">
            <v>NM</v>
          </cell>
          <cell r="AI66" t="str">
            <v>NM</v>
          </cell>
          <cell r="AJ66">
            <v>0.16912334451153521</v>
          </cell>
        </row>
        <row r="67">
          <cell r="B67">
            <v>-0.05</v>
          </cell>
          <cell r="C67">
            <v>0</v>
          </cell>
          <cell r="D67">
            <v>0.15</v>
          </cell>
          <cell r="E67">
            <v>0</v>
          </cell>
          <cell r="F67">
            <v>0</v>
          </cell>
          <cell r="G67">
            <v>3.926828745160682E-2</v>
          </cell>
          <cell r="I67">
            <v>0.04</v>
          </cell>
          <cell r="K67">
            <v>0.09</v>
          </cell>
          <cell r="M67">
            <v>-0.1</v>
          </cell>
          <cell r="N67">
            <v>-0.1</v>
          </cell>
          <cell r="O67">
            <v>0.15</v>
          </cell>
          <cell r="P67">
            <v>0</v>
          </cell>
          <cell r="Q67">
            <v>3.4778385780174226E-2</v>
          </cell>
          <cell r="S67">
            <v>0</v>
          </cell>
          <cell r="U67" t="str">
            <v>2001/00E</v>
          </cell>
          <cell r="V67" t="str">
            <v>NM</v>
          </cell>
          <cell r="W67" t="str">
            <v>NM</v>
          </cell>
          <cell r="X67" t="str">
            <v>NM</v>
          </cell>
          <cell r="Y67" t="str">
            <v>NM</v>
          </cell>
          <cell r="Z67" t="str">
            <v>NM</v>
          </cell>
          <cell r="AA67" t="str">
            <v>NM</v>
          </cell>
          <cell r="AB67" t="str">
            <v>NM</v>
          </cell>
          <cell r="AC67" t="str">
            <v>NM</v>
          </cell>
          <cell r="AD67" t="str">
            <v>NM</v>
          </cell>
          <cell r="AE67" t="str">
            <v>NM</v>
          </cell>
          <cell r="AF67">
            <v>0.42553191489361697</v>
          </cell>
          <cell r="AG67">
            <v>0.16286194483759364</v>
          </cell>
          <cell r="AH67" t="str">
            <v>NM</v>
          </cell>
          <cell r="AI67" t="str">
            <v>NM</v>
          </cell>
          <cell r="AJ67">
            <v>0.13246182907763093</v>
          </cell>
        </row>
        <row r="68">
          <cell r="B68">
            <v>-0.05</v>
          </cell>
          <cell r="C68">
            <v>0</v>
          </cell>
          <cell r="D68">
            <v>0.12</v>
          </cell>
          <cell r="E68">
            <v>0</v>
          </cell>
          <cell r="F68">
            <v>0</v>
          </cell>
          <cell r="G68">
            <v>3.4610223132816476E-2</v>
          </cell>
          <cell r="I68">
            <v>0.04</v>
          </cell>
          <cell r="K68">
            <v>0.08</v>
          </cell>
          <cell r="M68">
            <v>-0.05</v>
          </cell>
          <cell r="N68">
            <v>-0.05</v>
          </cell>
          <cell r="O68">
            <v>0.1</v>
          </cell>
          <cell r="P68">
            <v>0</v>
          </cell>
          <cell r="Q68">
            <v>3.8951543784368159E-2</v>
          </cell>
          <cell r="S68">
            <v>0</v>
          </cell>
          <cell r="U68" t="str">
            <v>2002/01E</v>
          </cell>
          <cell r="V68" t="str">
            <v>NM</v>
          </cell>
          <cell r="W68" t="str">
            <v>NM</v>
          </cell>
          <cell r="X68" t="str">
            <v>NM</v>
          </cell>
          <cell r="Y68" t="str">
            <v>NM</v>
          </cell>
          <cell r="Z68" t="str">
            <v>NM</v>
          </cell>
          <cell r="AA68" t="str">
            <v>NM</v>
          </cell>
          <cell r="AB68" t="str">
            <v>NM</v>
          </cell>
          <cell r="AC68" t="str">
            <v>NM</v>
          </cell>
          <cell r="AD68" t="str">
            <v>NM</v>
          </cell>
          <cell r="AE68" t="str">
            <v>NM</v>
          </cell>
          <cell r="AF68">
            <v>0.31343283582089554</v>
          </cell>
          <cell r="AG68">
            <v>5.3801363042966788E-2</v>
          </cell>
          <cell r="AH68" t="str">
            <v>NM</v>
          </cell>
          <cell r="AI68" t="str">
            <v>NM</v>
          </cell>
          <cell r="AJ68">
            <v>5.3801363042966788E-2</v>
          </cell>
        </row>
        <row r="69">
          <cell r="B69">
            <v>0</v>
          </cell>
          <cell r="C69">
            <v>0</v>
          </cell>
          <cell r="D69">
            <v>0.08</v>
          </cell>
          <cell r="E69">
            <v>0</v>
          </cell>
          <cell r="F69">
            <v>0</v>
          </cell>
          <cell r="G69">
            <v>2.844160957995534E-2</v>
          </cell>
          <cell r="I69">
            <v>0.04</v>
          </cell>
          <cell r="K69" t="str">
            <v>NM</v>
          </cell>
          <cell r="M69">
            <v>-0.05</v>
          </cell>
          <cell r="N69">
            <v>-0.05</v>
          </cell>
          <cell r="O69">
            <v>0.08</v>
          </cell>
          <cell r="P69">
            <v>0</v>
          </cell>
          <cell r="Q69">
            <v>3.172994148422692E-2</v>
          </cell>
          <cell r="S69">
            <v>0</v>
          </cell>
          <cell r="U69" t="str">
            <v>2003/02E</v>
          </cell>
          <cell r="V69" t="str">
            <v>NM</v>
          </cell>
          <cell r="W69" t="str">
            <v>NM</v>
          </cell>
          <cell r="X69" t="str">
            <v>NM</v>
          </cell>
          <cell r="Y69" t="str">
            <v>NM</v>
          </cell>
          <cell r="Z69" t="str">
            <v>NM</v>
          </cell>
          <cell r="AA69" t="str">
            <v>NM</v>
          </cell>
          <cell r="AB69" t="str">
            <v>NM</v>
          </cell>
          <cell r="AC69" t="str">
            <v>NM</v>
          </cell>
          <cell r="AD69" t="str">
            <v>NM</v>
          </cell>
          <cell r="AE69" t="str">
            <v>NM</v>
          </cell>
          <cell r="AF69">
            <v>0.30681818181818188</v>
          </cell>
          <cell r="AG69">
            <v>0.11635554647309099</v>
          </cell>
          <cell r="AH69" t="str">
            <v>NM</v>
          </cell>
          <cell r="AI69" t="str">
            <v>NM</v>
          </cell>
          <cell r="AJ69">
            <v>0.11635554647309099</v>
          </cell>
        </row>
        <row r="70">
          <cell r="B70">
            <v>0</v>
          </cell>
          <cell r="C70">
            <v>0</v>
          </cell>
          <cell r="D70">
            <v>0.05</v>
          </cell>
          <cell r="E70">
            <v>0</v>
          </cell>
          <cell r="F70">
            <v>0</v>
          </cell>
          <cell r="G70">
            <v>1.8667162323693809E-2</v>
          </cell>
          <cell r="I70">
            <v>0.04</v>
          </cell>
          <cell r="K70" t="str">
            <v>NM</v>
          </cell>
          <cell r="M70">
            <v>-0.05</v>
          </cell>
          <cell r="N70">
            <v>-0.05</v>
          </cell>
          <cell r="O70">
            <v>0.05</v>
          </cell>
          <cell r="P70">
            <v>0</v>
          </cell>
          <cell r="Q70">
            <v>1.6192765313560509E-2</v>
          </cell>
          <cell r="S70">
            <v>0</v>
          </cell>
          <cell r="U70" t="str">
            <v>2004/03E</v>
          </cell>
          <cell r="V70" t="str">
            <v>NM</v>
          </cell>
          <cell r="W70" t="str">
            <v>NM</v>
          </cell>
          <cell r="X70" t="str">
            <v>NM</v>
          </cell>
          <cell r="Y70" t="str">
            <v>NM</v>
          </cell>
          <cell r="Z70" t="str">
            <v>NM</v>
          </cell>
          <cell r="AA70" t="str">
            <v>NM</v>
          </cell>
          <cell r="AB70" t="str">
            <v>NM</v>
          </cell>
          <cell r="AC70" t="str">
            <v>NM</v>
          </cell>
          <cell r="AD70" t="str">
            <v>NM</v>
          </cell>
          <cell r="AE70" t="str">
            <v>NM</v>
          </cell>
          <cell r="AF70">
            <v>0.28695652173913033</v>
          </cell>
          <cell r="AG70">
            <v>0.16921741065018381</v>
          </cell>
          <cell r="AH70" t="str">
            <v>NM</v>
          </cell>
          <cell r="AI70" t="str">
            <v>NM</v>
          </cell>
          <cell r="AJ70">
            <v>0.16921741065018381</v>
          </cell>
        </row>
        <row r="71">
          <cell r="B71">
            <v>0</v>
          </cell>
          <cell r="C71">
            <v>0</v>
          </cell>
          <cell r="D71">
            <v>0.05</v>
          </cell>
          <cell r="E71">
            <v>0</v>
          </cell>
          <cell r="F71">
            <v>0</v>
          </cell>
          <cell r="G71">
            <v>1.9241339237015875E-2</v>
          </cell>
          <cell r="I71">
            <v>0.04</v>
          </cell>
          <cell r="K71" t="str">
            <v>NM</v>
          </cell>
          <cell r="M71">
            <v>-0.05</v>
          </cell>
          <cell r="N71">
            <v>-0.05</v>
          </cell>
          <cell r="O71">
            <v>0.05</v>
          </cell>
          <cell r="P71">
            <v>0</v>
          </cell>
          <cell r="Q71">
            <v>1.8283774824252808E-2</v>
          </cell>
          <cell r="S71">
            <v>0</v>
          </cell>
          <cell r="U71" t="str">
            <v>2005/04E</v>
          </cell>
          <cell r="V71" t="str">
            <v>NM</v>
          </cell>
          <cell r="W71" t="str">
            <v>NM</v>
          </cell>
          <cell r="X71" t="str">
            <v>NM</v>
          </cell>
          <cell r="Y71" t="str">
            <v>NM</v>
          </cell>
          <cell r="Z71" t="str">
            <v>NM</v>
          </cell>
          <cell r="AA71" t="str">
            <v>NM</v>
          </cell>
          <cell r="AB71" t="str">
            <v>NM</v>
          </cell>
          <cell r="AC71" t="str">
            <v>NM</v>
          </cell>
          <cell r="AD71" t="str">
            <v>NM</v>
          </cell>
          <cell r="AE71" t="str">
            <v>NM</v>
          </cell>
          <cell r="AF71">
            <v>0.2391891891891893</v>
          </cell>
          <cell r="AG71">
            <v>0.15536872102363386</v>
          </cell>
          <cell r="AH71" t="str">
            <v>NM</v>
          </cell>
          <cell r="AI71" t="str">
            <v>NM</v>
          </cell>
          <cell r="AJ71">
            <v>0.15536872102363386</v>
          </cell>
        </row>
        <row r="73">
          <cell r="B73">
            <v>54.4</v>
          </cell>
          <cell r="C73">
            <v>197</v>
          </cell>
          <cell r="D73">
            <v>110.7</v>
          </cell>
          <cell r="E73">
            <v>10</v>
          </cell>
          <cell r="F73">
            <v>71.900000000000006</v>
          </cell>
          <cell r="G73">
            <v>444</v>
          </cell>
          <cell r="I73">
            <v>230.88</v>
          </cell>
          <cell r="K73">
            <v>464.80000000000007</v>
          </cell>
          <cell r="M73">
            <v>348.81</v>
          </cell>
          <cell r="N73">
            <v>108.16</v>
          </cell>
          <cell r="O73">
            <v>407.5</v>
          </cell>
          <cell r="P73">
            <v>47.199999999999996</v>
          </cell>
          <cell r="Q73">
            <v>911.67000000000007</v>
          </cell>
          <cell r="S73">
            <v>390.49400000000003</v>
          </cell>
          <cell r="U73" t="str">
            <v>1999E</v>
          </cell>
          <cell r="V73">
            <v>0</v>
          </cell>
          <cell r="W73">
            <v>0</v>
          </cell>
          <cell r="X73">
            <v>0</v>
          </cell>
          <cell r="Y73">
            <v>0</v>
          </cell>
          <cell r="Z73">
            <v>650</v>
          </cell>
          <cell r="AA73">
            <v>5</v>
          </cell>
          <cell r="AB73">
            <v>0</v>
          </cell>
          <cell r="AC73">
            <v>0</v>
          </cell>
          <cell r="AD73">
            <v>0</v>
          </cell>
          <cell r="AE73">
            <v>0</v>
          </cell>
          <cell r="AF73">
            <v>655</v>
          </cell>
          <cell r="AG73">
            <v>3096.8440000000005</v>
          </cell>
          <cell r="AH73">
            <v>175</v>
          </cell>
          <cell r="AI73">
            <v>0</v>
          </cell>
          <cell r="AJ73">
            <v>3271.8440000000005</v>
          </cell>
        </row>
        <row r="74">
          <cell r="B74">
            <v>48.96</v>
          </cell>
          <cell r="C74">
            <v>197</v>
          </cell>
          <cell r="D74">
            <v>138.375</v>
          </cell>
          <cell r="E74">
            <v>10</v>
          </cell>
          <cell r="F74">
            <v>71.900000000000006</v>
          </cell>
          <cell r="G74">
            <v>466.23500000000001</v>
          </cell>
          <cell r="I74">
            <v>240.11520000000002</v>
          </cell>
          <cell r="K74">
            <v>511.28000000000014</v>
          </cell>
          <cell r="M74">
            <v>313.92900000000003</v>
          </cell>
          <cell r="N74">
            <v>91.935999999999993</v>
          </cell>
          <cell r="O74">
            <v>489</v>
          </cell>
          <cell r="P74">
            <v>47.199999999999996</v>
          </cell>
          <cell r="Q74">
            <v>942.06500000000005</v>
          </cell>
          <cell r="S74">
            <v>390.49400000000003</v>
          </cell>
          <cell r="U74" t="str">
            <v>2000E</v>
          </cell>
          <cell r="V74">
            <v>20</v>
          </cell>
          <cell r="W74">
            <v>5</v>
          </cell>
          <cell r="X74">
            <v>0</v>
          </cell>
          <cell r="Y74">
            <v>0</v>
          </cell>
          <cell r="Z74">
            <v>1100</v>
          </cell>
          <cell r="AA74">
            <v>25</v>
          </cell>
          <cell r="AB74">
            <v>25</v>
          </cell>
          <cell r="AC74">
            <v>0</v>
          </cell>
          <cell r="AD74">
            <v>0</v>
          </cell>
          <cell r="AE74">
            <v>0</v>
          </cell>
          <cell r="AF74">
            <v>1175</v>
          </cell>
          <cell r="AG74">
            <v>3725.1892000000003</v>
          </cell>
          <cell r="AH74">
            <v>100</v>
          </cell>
          <cell r="AI74">
            <v>0</v>
          </cell>
          <cell r="AJ74">
            <v>3825.1892000000003</v>
          </cell>
        </row>
        <row r="75">
          <cell r="B75">
            <v>46.512</v>
          </cell>
          <cell r="C75">
            <v>197</v>
          </cell>
          <cell r="D75">
            <v>159.13124999999999</v>
          </cell>
          <cell r="E75">
            <v>10</v>
          </cell>
          <cell r="F75">
            <v>71.900000000000006</v>
          </cell>
          <cell r="G75">
            <v>484.54324999999994</v>
          </cell>
          <cell r="I75">
            <v>249.71980800000003</v>
          </cell>
          <cell r="K75">
            <v>557.29520000000025</v>
          </cell>
          <cell r="M75">
            <v>282.53610000000003</v>
          </cell>
          <cell r="N75">
            <v>82.742399999999989</v>
          </cell>
          <cell r="O75">
            <v>562.34999999999991</v>
          </cell>
          <cell r="P75">
            <v>47.199999999999996</v>
          </cell>
          <cell r="Q75">
            <v>974.82849999999996</v>
          </cell>
          <cell r="S75">
            <v>390.49400000000003</v>
          </cell>
          <cell r="U75" t="str">
            <v>2001E</v>
          </cell>
          <cell r="V75">
            <v>35</v>
          </cell>
          <cell r="W75">
            <v>65</v>
          </cell>
          <cell r="X75">
            <v>0</v>
          </cell>
          <cell r="Y75">
            <v>0</v>
          </cell>
          <cell r="Z75">
            <v>1450</v>
          </cell>
          <cell r="AA75">
            <v>50</v>
          </cell>
          <cell r="AB75">
            <v>50</v>
          </cell>
          <cell r="AC75">
            <v>0</v>
          </cell>
          <cell r="AD75">
            <v>0</v>
          </cell>
          <cell r="AE75">
            <v>25</v>
          </cell>
          <cell r="AF75">
            <v>1675</v>
          </cell>
          <cell r="AG75">
            <v>4331.8807580000002</v>
          </cell>
          <cell r="AH75">
            <v>0</v>
          </cell>
          <cell r="AI75">
            <v>0</v>
          </cell>
          <cell r="AJ75">
            <v>4331.8807580000002</v>
          </cell>
        </row>
        <row r="76">
          <cell r="B76">
            <v>44.186399999999999</v>
          </cell>
          <cell r="C76">
            <v>197</v>
          </cell>
          <cell r="D76">
            <v>178.227</v>
          </cell>
          <cell r="E76">
            <v>10</v>
          </cell>
          <cell r="F76">
            <v>71.900000000000006</v>
          </cell>
          <cell r="G76">
            <v>501.3134</v>
          </cell>
          <cell r="I76">
            <v>259.70860032000002</v>
          </cell>
          <cell r="K76">
            <v>200.62627200000009</v>
          </cell>
          <cell r="M76">
            <v>268.40929500000004</v>
          </cell>
          <cell r="N76">
            <v>78.605279999999979</v>
          </cell>
          <cell r="O76">
            <v>618.58499999999992</v>
          </cell>
          <cell r="P76">
            <v>47.199999999999996</v>
          </cell>
          <cell r="Q76">
            <v>1012.799575</v>
          </cell>
          <cell r="S76">
            <v>390.49400000000003</v>
          </cell>
          <cell r="U76" t="str">
            <v>2002E</v>
          </cell>
          <cell r="V76">
            <v>50</v>
          </cell>
          <cell r="W76">
            <v>100</v>
          </cell>
          <cell r="X76">
            <v>0</v>
          </cell>
          <cell r="Y76">
            <v>0</v>
          </cell>
          <cell r="Z76">
            <v>1800</v>
          </cell>
          <cell r="AA76">
            <v>75</v>
          </cell>
          <cell r="AB76">
            <v>75</v>
          </cell>
          <cell r="AC76">
            <v>50</v>
          </cell>
          <cell r="AD76">
            <v>0</v>
          </cell>
          <cell r="AE76">
            <v>50</v>
          </cell>
          <cell r="AF76">
            <v>2200</v>
          </cell>
          <cell r="AG76">
            <v>4564.9418473200003</v>
          </cell>
          <cell r="AH76">
            <v>0</v>
          </cell>
          <cell r="AI76">
            <v>0</v>
          </cell>
          <cell r="AJ76">
            <v>4564.9418473200003</v>
          </cell>
        </row>
        <row r="77">
          <cell r="B77">
            <v>44.186399999999999</v>
          </cell>
          <cell r="C77">
            <v>197</v>
          </cell>
          <cell r="D77">
            <v>192.48516000000001</v>
          </cell>
          <cell r="E77">
            <v>10</v>
          </cell>
          <cell r="F77">
            <v>71.900000000000006</v>
          </cell>
          <cell r="G77">
            <v>515.57155999999998</v>
          </cell>
          <cell r="I77">
            <v>270.09694433280004</v>
          </cell>
          <cell r="K77">
            <v>0</v>
          </cell>
          <cell r="M77">
            <v>254.98883025000003</v>
          </cell>
          <cell r="N77">
            <v>74.675015999999971</v>
          </cell>
          <cell r="O77">
            <v>668.07179999999994</v>
          </cell>
          <cell r="P77">
            <v>47.199999999999996</v>
          </cell>
          <cell r="Q77">
            <v>1044.93564625</v>
          </cell>
          <cell r="S77">
            <v>390.49400000000003</v>
          </cell>
          <cell r="U77" t="str">
            <v>2003E</v>
          </cell>
          <cell r="V77">
            <v>65</v>
          </cell>
          <cell r="W77">
            <v>135</v>
          </cell>
          <cell r="X77">
            <v>0</v>
          </cell>
          <cell r="Y77">
            <v>0</v>
          </cell>
          <cell r="Z77">
            <v>2200</v>
          </cell>
          <cell r="AA77">
            <v>100</v>
          </cell>
          <cell r="AB77">
            <v>100</v>
          </cell>
          <cell r="AC77">
            <v>200</v>
          </cell>
          <cell r="AD77">
            <v>0</v>
          </cell>
          <cell r="AE77">
            <v>75</v>
          </cell>
          <cell r="AF77">
            <v>2875</v>
          </cell>
          <cell r="AG77">
            <v>5096.0981505828004</v>
          </cell>
          <cell r="AH77">
            <v>0</v>
          </cell>
          <cell r="AI77">
            <v>0</v>
          </cell>
          <cell r="AJ77">
            <v>5096.0981505828004</v>
          </cell>
        </row>
        <row r="78">
          <cell r="B78">
            <v>44.186399999999999</v>
          </cell>
          <cell r="C78">
            <v>197</v>
          </cell>
          <cell r="D78">
            <v>202.10941800000001</v>
          </cell>
          <cell r="E78">
            <v>10</v>
          </cell>
          <cell r="F78">
            <v>71.900000000000006</v>
          </cell>
          <cell r="G78">
            <v>525.19581800000003</v>
          </cell>
          <cell r="I78">
            <v>280.90082210611206</v>
          </cell>
          <cell r="K78">
            <v>0</v>
          </cell>
          <cell r="M78">
            <v>242.23938873750004</v>
          </cell>
          <cell r="N78">
            <v>70.941265199999975</v>
          </cell>
          <cell r="O78">
            <v>701.47538999999995</v>
          </cell>
          <cell r="P78">
            <v>47.199999999999996</v>
          </cell>
          <cell r="Q78">
            <v>1061.8560439374999</v>
          </cell>
          <cell r="S78">
            <v>390.49400000000003</v>
          </cell>
          <cell r="U78" t="str">
            <v>2004E</v>
          </cell>
          <cell r="V78">
            <v>75</v>
          </cell>
          <cell r="W78">
            <v>175</v>
          </cell>
          <cell r="X78">
            <v>0</v>
          </cell>
          <cell r="Y78">
            <v>0</v>
          </cell>
          <cell r="Z78">
            <v>2600</v>
          </cell>
          <cell r="AA78">
            <v>125</v>
          </cell>
          <cell r="AB78">
            <v>125</v>
          </cell>
          <cell r="AC78">
            <v>500</v>
          </cell>
          <cell r="AD78">
            <v>0</v>
          </cell>
          <cell r="AE78">
            <v>100</v>
          </cell>
          <cell r="AF78">
            <v>3700</v>
          </cell>
          <cell r="AG78">
            <v>5958.4466840436125</v>
          </cell>
          <cell r="AH78">
            <v>0</v>
          </cell>
          <cell r="AI78">
            <v>0</v>
          </cell>
          <cell r="AJ78">
            <v>5958.4466840436125</v>
          </cell>
        </row>
        <row r="79">
          <cell r="B79">
            <v>44.186399999999999</v>
          </cell>
          <cell r="C79">
            <v>197</v>
          </cell>
          <cell r="D79">
            <v>212.21488890000001</v>
          </cell>
          <cell r="E79">
            <v>10</v>
          </cell>
          <cell r="F79">
            <v>71.900000000000006</v>
          </cell>
          <cell r="G79">
            <v>535.30128890000003</v>
          </cell>
          <cell r="I79">
            <v>292.13685499035654</v>
          </cell>
          <cell r="K79">
            <v>0</v>
          </cell>
          <cell r="M79">
            <v>230.12741930062504</v>
          </cell>
          <cell r="N79">
            <v>67.394201939999974</v>
          </cell>
          <cell r="O79">
            <v>736.54915949999997</v>
          </cell>
          <cell r="P79">
            <v>47.199999999999996</v>
          </cell>
          <cell r="Q79">
            <v>1081.270780740625</v>
          </cell>
          <cell r="S79">
            <v>390.49400000000003</v>
          </cell>
          <cell r="U79" t="str">
            <v>2005E</v>
          </cell>
          <cell r="V79">
            <v>85</v>
          </cell>
          <cell r="W79">
            <v>200</v>
          </cell>
          <cell r="X79">
            <v>0</v>
          </cell>
          <cell r="Y79">
            <v>0</v>
          </cell>
          <cell r="Z79">
            <v>3000</v>
          </cell>
          <cell r="AA79">
            <v>200</v>
          </cell>
          <cell r="AB79">
            <v>200</v>
          </cell>
          <cell r="AC79">
            <v>700</v>
          </cell>
          <cell r="AD79">
            <v>0</v>
          </cell>
          <cell r="AE79">
            <v>200</v>
          </cell>
          <cell r="AF79">
            <v>4585</v>
          </cell>
          <cell r="AG79">
            <v>6884.2029246309812</v>
          </cell>
          <cell r="AH79">
            <v>0</v>
          </cell>
          <cell r="AI79">
            <v>0</v>
          </cell>
          <cell r="AJ79">
            <v>6884.2029246309812</v>
          </cell>
        </row>
        <row r="81">
          <cell r="U81" t="str">
            <v>Notes:</v>
          </cell>
        </row>
        <row r="82">
          <cell r="U82" t="str">
            <v>(a)  Searle acquired Roche/Syntex's Womens' Health business in 1995.  Pro-forma sales for 1995 were $211 million.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heckpoint inhibitor mkt model"/>
      <sheetName val="MS Week2"/>
    </sheetNames>
    <sheetDataSet>
      <sheetData sheetId="0" refreshError="1"/>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4.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5.xml" Type="http://schemas.openxmlformats.org/officeDocument/2006/relationships/drawing"/>
<Relationship Id="rId3" Target="../drawings/vmlDrawing5.vml" Type="http://schemas.openxmlformats.org/officeDocument/2006/relationships/vmlDrawing"/>
<Relationship Id="rId4"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6.xml" Type="http://schemas.openxmlformats.org/officeDocument/2006/relationships/drawing"/>
<Relationship Id="rId3" Target="../drawings/vmlDrawing8.vml" Type="http://schemas.openxmlformats.org/officeDocument/2006/relationships/vmlDrawing"/>
<Relationship Id="rId4"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81"/>
  <sheetViews>
    <sheetView showGridLines="0" tabSelected="1" workbookViewId="0">
      <selection activeCell="Z1" sqref="Z1"/>
    </sheetView>
  </sheetViews>
  <sheetFormatPr defaultRowHeight="12.75"/>
  <cols>
    <col min="1" max="1" width="25.7109375" style="1564" customWidth="1"/>
    <col min="2" max="5" width="9.140625" style="1564"/>
    <col min="6" max="6" width="18.7109375" style="1564" customWidth="1"/>
    <col min="7" max="256" width="9.140625" style="1564"/>
    <col min="257" max="257" width="100.7109375" style="1564" customWidth="1"/>
    <col min="258" max="512" width="9.140625" style="1564"/>
    <col min="513" max="513" width="100.7109375" style="1564" customWidth="1"/>
    <col min="514" max="768" width="9.140625" style="1564"/>
    <col min="769" max="769" width="100.7109375" style="1564" customWidth="1"/>
    <col min="770" max="1024" width="9.140625" style="1564"/>
    <col min="1025" max="1025" width="100.7109375" style="1564" customWidth="1"/>
    <col min="1026" max="1280" width="9.140625" style="1564"/>
    <col min="1281" max="1281" width="100.7109375" style="1564" customWidth="1"/>
    <col min="1282" max="1536" width="9.140625" style="1564"/>
    <col min="1537" max="1537" width="100.7109375" style="1564" customWidth="1"/>
    <col min="1538" max="1792" width="9.140625" style="1564"/>
    <col min="1793" max="1793" width="100.7109375" style="1564" customWidth="1"/>
    <col min="1794" max="2048" width="9.140625" style="1564"/>
    <col min="2049" max="2049" width="100.7109375" style="1564" customWidth="1"/>
    <col min="2050" max="2304" width="9.140625" style="1564"/>
    <col min="2305" max="2305" width="100.7109375" style="1564" customWidth="1"/>
    <col min="2306" max="2560" width="9.140625" style="1564"/>
    <col min="2561" max="2561" width="100.7109375" style="1564" customWidth="1"/>
    <col min="2562" max="2816" width="9.140625" style="1564"/>
    <col min="2817" max="2817" width="100.7109375" style="1564" customWidth="1"/>
    <col min="2818" max="3072" width="9.140625" style="1564"/>
    <col min="3073" max="3073" width="100.7109375" style="1564" customWidth="1"/>
    <col min="3074" max="3328" width="9.140625" style="1564"/>
    <col min="3329" max="3329" width="100.7109375" style="1564" customWidth="1"/>
    <col min="3330" max="3584" width="9.140625" style="1564"/>
    <col min="3585" max="3585" width="100.7109375" style="1564" customWidth="1"/>
    <col min="3586" max="3840" width="9.140625" style="1564"/>
    <col min="3841" max="3841" width="100.7109375" style="1564" customWidth="1"/>
    <col min="3842" max="4096" width="9.140625" style="1564"/>
    <col min="4097" max="4097" width="100.7109375" style="1564" customWidth="1"/>
    <col min="4098" max="4352" width="9.140625" style="1564"/>
    <col min="4353" max="4353" width="100.7109375" style="1564" customWidth="1"/>
    <col min="4354" max="4608" width="9.140625" style="1564"/>
    <col min="4609" max="4609" width="100.7109375" style="1564" customWidth="1"/>
    <col min="4610" max="4864" width="9.140625" style="1564"/>
    <col min="4865" max="4865" width="100.7109375" style="1564" customWidth="1"/>
    <col min="4866" max="5120" width="9.140625" style="1564"/>
    <col min="5121" max="5121" width="100.7109375" style="1564" customWidth="1"/>
    <col min="5122" max="5376" width="9.140625" style="1564"/>
    <col min="5377" max="5377" width="100.7109375" style="1564" customWidth="1"/>
    <col min="5378" max="5632" width="9.140625" style="1564"/>
    <col min="5633" max="5633" width="100.7109375" style="1564" customWidth="1"/>
    <col min="5634" max="5888" width="9.140625" style="1564"/>
    <col min="5889" max="5889" width="100.7109375" style="1564" customWidth="1"/>
    <col min="5890" max="6144" width="9.140625" style="1564"/>
    <col min="6145" max="6145" width="100.7109375" style="1564" customWidth="1"/>
    <col min="6146" max="6400" width="9.140625" style="1564"/>
    <col min="6401" max="6401" width="100.7109375" style="1564" customWidth="1"/>
    <col min="6402" max="6656" width="9.140625" style="1564"/>
    <col min="6657" max="6657" width="100.7109375" style="1564" customWidth="1"/>
    <col min="6658" max="6912" width="9.140625" style="1564"/>
    <col min="6913" max="6913" width="100.7109375" style="1564" customWidth="1"/>
    <col min="6914" max="7168" width="9.140625" style="1564"/>
    <col min="7169" max="7169" width="100.7109375" style="1564" customWidth="1"/>
    <col min="7170" max="7424" width="9.140625" style="1564"/>
    <col min="7425" max="7425" width="100.7109375" style="1564" customWidth="1"/>
    <col min="7426" max="7680" width="9.140625" style="1564"/>
    <col min="7681" max="7681" width="100.7109375" style="1564" customWidth="1"/>
    <col min="7682" max="7936" width="9.140625" style="1564"/>
    <col min="7937" max="7937" width="100.7109375" style="1564" customWidth="1"/>
    <col min="7938" max="8192" width="9.140625" style="1564"/>
    <col min="8193" max="8193" width="100.7109375" style="1564" customWidth="1"/>
    <col min="8194" max="8448" width="9.140625" style="1564"/>
    <col min="8449" max="8449" width="100.7109375" style="1564" customWidth="1"/>
    <col min="8450" max="8704" width="9.140625" style="1564"/>
    <col min="8705" max="8705" width="100.7109375" style="1564" customWidth="1"/>
    <col min="8706" max="8960" width="9.140625" style="1564"/>
    <col min="8961" max="8961" width="100.7109375" style="1564" customWidth="1"/>
    <col min="8962" max="9216" width="9.140625" style="1564"/>
    <col min="9217" max="9217" width="100.7109375" style="1564" customWidth="1"/>
    <col min="9218" max="9472" width="9.140625" style="1564"/>
    <col min="9473" max="9473" width="100.7109375" style="1564" customWidth="1"/>
    <col min="9474" max="9728" width="9.140625" style="1564"/>
    <col min="9729" max="9729" width="100.7109375" style="1564" customWidth="1"/>
    <col min="9730" max="9984" width="9.140625" style="1564"/>
    <col min="9985" max="9985" width="100.7109375" style="1564" customWidth="1"/>
    <col min="9986" max="10240" width="9.140625" style="1564"/>
    <col min="10241" max="10241" width="100.7109375" style="1564" customWidth="1"/>
    <col min="10242" max="10496" width="9.140625" style="1564"/>
    <col min="10497" max="10497" width="100.7109375" style="1564" customWidth="1"/>
    <col min="10498" max="10752" width="9.140625" style="1564"/>
    <col min="10753" max="10753" width="100.7109375" style="1564" customWidth="1"/>
    <col min="10754" max="11008" width="9.140625" style="1564"/>
    <col min="11009" max="11009" width="100.7109375" style="1564" customWidth="1"/>
    <col min="11010" max="11264" width="9.140625" style="1564"/>
    <col min="11265" max="11265" width="100.7109375" style="1564" customWidth="1"/>
    <col min="11266" max="11520" width="9.140625" style="1564"/>
    <col min="11521" max="11521" width="100.7109375" style="1564" customWidth="1"/>
    <col min="11522" max="11776" width="9.140625" style="1564"/>
    <col min="11777" max="11777" width="100.7109375" style="1564" customWidth="1"/>
    <col min="11778" max="12032" width="9.140625" style="1564"/>
    <col min="12033" max="12033" width="100.7109375" style="1564" customWidth="1"/>
    <col min="12034" max="12288" width="9.140625" style="1564"/>
    <col min="12289" max="12289" width="100.7109375" style="1564" customWidth="1"/>
    <col min="12290" max="12544" width="9.140625" style="1564"/>
    <col min="12545" max="12545" width="100.7109375" style="1564" customWidth="1"/>
    <col min="12546" max="12800" width="9.140625" style="1564"/>
    <col min="12801" max="12801" width="100.7109375" style="1564" customWidth="1"/>
    <col min="12802" max="13056" width="9.140625" style="1564"/>
    <col min="13057" max="13057" width="100.7109375" style="1564" customWidth="1"/>
    <col min="13058" max="13312" width="9.140625" style="1564"/>
    <col min="13313" max="13313" width="100.7109375" style="1564" customWidth="1"/>
    <col min="13314" max="13568" width="9.140625" style="1564"/>
    <col min="13569" max="13569" width="100.7109375" style="1564" customWidth="1"/>
    <col min="13570" max="13824" width="9.140625" style="1564"/>
    <col min="13825" max="13825" width="100.7109375" style="1564" customWidth="1"/>
    <col min="13826" max="14080" width="9.140625" style="1564"/>
    <col min="14081" max="14081" width="100.7109375" style="1564" customWidth="1"/>
    <col min="14082" max="14336" width="9.140625" style="1564"/>
    <col min="14337" max="14337" width="100.7109375" style="1564" customWidth="1"/>
    <col min="14338" max="14592" width="9.140625" style="1564"/>
    <col min="14593" max="14593" width="100.7109375" style="1564" customWidth="1"/>
    <col min="14594" max="14848" width="9.140625" style="1564"/>
    <col min="14849" max="14849" width="100.7109375" style="1564" customWidth="1"/>
    <col min="14850" max="15104" width="9.140625" style="1564"/>
    <col min="15105" max="15105" width="100.7109375" style="1564" customWidth="1"/>
    <col min="15106" max="15360" width="9.140625" style="1564"/>
    <col min="15361" max="15361" width="100.7109375" style="1564" customWidth="1"/>
    <col min="15362" max="15616" width="9.140625" style="1564"/>
    <col min="15617" max="15617" width="100.7109375" style="1564" customWidth="1"/>
    <col min="15618" max="15872" width="9.140625" style="1564"/>
    <col min="15873" max="15873" width="100.7109375" style="1564" customWidth="1"/>
    <col min="15874" max="16128" width="9.140625" style="1564"/>
    <col min="16129" max="16129" width="100.7109375" style="1564" customWidth="1"/>
    <col min="16130" max="16384" width="9.140625" style="1564"/>
  </cols>
  <sheetData>
    <row r="1" spans="1:8" ht="30" customHeight="1">
      <c r="A1" s="1562"/>
      <c r="B1" s="1563"/>
      <c r="C1" s="1563"/>
      <c r="D1" s="1563"/>
      <c r="E1" s="1563"/>
      <c r="F1" s="1563"/>
      <c r="G1" s="1563"/>
      <c r="H1" s="1563"/>
    </row>
    <row r="2" spans="1:8" ht="14.25">
      <c r="A2" s="1565" t="s">
        <v>889</v>
      </c>
      <c r="B2" s="1563"/>
      <c r="C2" s="1563"/>
      <c r="D2" s="1563"/>
      <c r="E2" s="1563"/>
      <c r="F2" s="1563"/>
      <c r="G2" s="1563"/>
      <c r="H2" s="1563"/>
    </row>
    <row r="3" spans="1:8" ht="14.25">
      <c r="A3" s="1565" t="s">
        <v>890</v>
      </c>
      <c r="B3" s="1563"/>
      <c r="C3" s="1563"/>
      <c r="D3" s="1563"/>
      <c r="E3" s="1563"/>
      <c r="F3" s="1563"/>
      <c r="G3" s="1563"/>
      <c r="H3" s="1563"/>
    </row>
    <row r="4" spans="1:8" ht="14.25">
      <c r="A4" s="1565" t="s">
        <v>891</v>
      </c>
      <c r="B4" s="1563"/>
      <c r="C4" s="1563"/>
      <c r="D4" s="1563"/>
      <c r="E4" s="1563"/>
      <c r="F4" s="1563"/>
      <c r="G4" s="1563"/>
      <c r="H4" s="1563"/>
    </row>
    <row r="5" spans="1:8" ht="14.25">
      <c r="A5" s="1565" t="s">
        <v>892</v>
      </c>
      <c r="B5" s="1563"/>
      <c r="C5" s="1563"/>
      <c r="D5" s="1563"/>
      <c r="E5" s="1563"/>
      <c r="F5" s="1563"/>
      <c r="G5" s="1563"/>
      <c r="H5" s="1563"/>
    </row>
    <row r="6" spans="1:8" ht="14.25">
      <c r="A6" s="1565"/>
      <c r="B6" s="1563"/>
      <c r="C6" s="1563"/>
      <c r="D6" s="1563"/>
      <c r="E6" s="1563"/>
      <c r="F6" s="1563"/>
      <c r="G6" s="1563"/>
      <c r="H6" s="1563"/>
    </row>
    <row r="7" spans="1:8">
      <c r="A7" s="1562" t="s">
        <v>893</v>
      </c>
      <c r="B7" s="1563"/>
      <c r="C7" s="1563"/>
      <c r="D7" s="1563"/>
      <c r="E7" s="1563"/>
      <c r="F7" s="1563"/>
      <c r="G7" s="1563"/>
      <c r="H7" s="1563"/>
    </row>
    <row r="8" spans="1:8">
      <c r="A8" s="1562" t="s">
        <v>894</v>
      </c>
      <c r="B8" s="1563"/>
      <c r="C8" s="1563"/>
      <c r="D8" s="1563"/>
      <c r="E8" s="1563"/>
      <c r="F8" s="1563"/>
      <c r="G8" s="1563"/>
      <c r="H8" s="1563"/>
    </row>
    <row r="9" spans="1:8">
      <c r="A9" s="1562"/>
      <c r="B9" s="1563"/>
      <c r="C9" s="1563"/>
      <c r="D9" s="1563"/>
      <c r="E9" s="1563"/>
      <c r="F9" s="1563"/>
      <c r="G9" s="1563"/>
      <c r="H9" s="1563"/>
    </row>
    <row r="10" spans="1:8">
      <c r="A10" s="1566" t="s">
        <v>895</v>
      </c>
      <c r="B10" s="1563"/>
      <c r="C10" s="1563"/>
      <c r="D10" s="1563"/>
      <c r="E10" s="1563"/>
      <c r="F10" s="1563"/>
      <c r="G10" s="1563"/>
      <c r="H10" s="1563"/>
    </row>
    <row r="11" spans="1:8">
      <c r="A11" s="1566" t="s">
        <v>896</v>
      </c>
      <c r="B11" s="1563"/>
      <c r="C11" s="1563"/>
      <c r="D11" s="1563"/>
      <c r="E11" s="1563"/>
      <c r="F11" s="1563"/>
      <c r="G11" s="1563"/>
      <c r="H11" s="1563"/>
    </row>
    <row r="12" spans="1:8">
      <c r="A12" s="1566" t="s">
        <v>897</v>
      </c>
      <c r="B12" s="1563"/>
      <c r="C12" s="1563"/>
      <c r="D12" s="1563"/>
      <c r="E12" s="1563"/>
      <c r="F12" s="1563"/>
      <c r="G12" s="1563"/>
      <c r="H12" s="1563"/>
    </row>
    <row r="13" spans="1:8">
      <c r="A13" s="1566" t="s">
        <v>898</v>
      </c>
      <c r="B13" s="1563"/>
      <c r="C13" s="1563"/>
      <c r="D13" s="1563"/>
      <c r="E13" s="1563"/>
      <c r="F13" s="1563"/>
      <c r="G13" s="1563"/>
      <c r="H13" s="1563"/>
    </row>
    <row r="14" spans="1:8">
      <c r="A14" s="1566" t="s">
        <v>899</v>
      </c>
      <c r="B14" s="1563"/>
      <c r="C14" s="1563"/>
      <c r="D14" s="1563"/>
      <c r="E14" s="1563"/>
      <c r="F14" s="1563"/>
      <c r="G14" s="1563"/>
      <c r="H14" s="1563"/>
    </row>
    <row r="15" spans="1:8">
      <c r="A15" s="1566" t="s">
        <v>900</v>
      </c>
      <c r="B15" s="1563"/>
      <c r="C15" s="1563"/>
      <c r="D15" s="1563"/>
      <c r="E15" s="1563"/>
      <c r="F15" s="1563"/>
      <c r="G15" s="1563"/>
      <c r="H15" s="1563"/>
    </row>
    <row r="16" spans="1:8">
      <c r="A16" s="1566"/>
      <c r="B16" s="1563"/>
      <c r="C16" s="1563"/>
      <c r="D16" s="1563"/>
      <c r="E16" s="1563"/>
      <c r="F16" s="1563"/>
      <c r="G16" s="1563"/>
      <c r="H16" s="1563"/>
    </row>
    <row r="17" spans="1:8">
      <c r="A17" s="1566" t="s">
        <v>886</v>
      </c>
      <c r="B17" s="1563"/>
      <c r="C17" s="1563"/>
      <c r="D17" s="1563"/>
      <c r="E17" s="1563"/>
      <c r="F17" s="1563"/>
      <c r="G17" s="1563"/>
      <c r="H17" s="1563"/>
    </row>
    <row r="18" spans="1:8">
      <c r="A18" s="1566"/>
      <c r="B18" s="1563"/>
      <c r="C18" s="1563"/>
      <c r="D18" s="1563"/>
      <c r="E18" s="1563"/>
      <c r="F18" s="1563"/>
      <c r="G18" s="1563"/>
      <c r="H18" s="1563"/>
    </row>
    <row r="19" spans="1:8">
      <c r="A19" s="1566" t="s">
        <v>887</v>
      </c>
      <c r="B19" s="1563"/>
      <c r="C19" s="1563"/>
      <c r="D19" s="1563"/>
      <c r="E19" s="1563"/>
      <c r="F19" s="1563"/>
      <c r="G19" s="1563"/>
      <c r="H19" s="1563"/>
    </row>
    <row r="20" spans="1:8">
      <c r="A20" s="1562"/>
      <c r="B20" s="1563"/>
      <c r="C20" s="1563"/>
      <c r="D20" s="1563"/>
      <c r="E20" s="1563"/>
      <c r="F20" s="1563"/>
      <c r="G20" s="1563"/>
      <c r="H20" s="1563"/>
    </row>
    <row r="21" spans="1:8">
      <c r="A21" s="1567" t="s">
        <v>888</v>
      </c>
      <c r="B21" s="1563"/>
      <c r="C21" s="1563"/>
      <c r="D21" s="1563"/>
      <c r="E21" s="1563"/>
      <c r="F21" s="1563"/>
      <c r="G21" s="1563"/>
      <c r="H21" s="1563"/>
    </row>
    <row r="22" spans="1:8">
      <c r="A22" s="1568"/>
      <c r="B22" s="1568"/>
      <c r="C22" s="1568"/>
      <c r="D22" s="1568"/>
      <c r="E22" s="1568"/>
      <c r="F22" s="1568"/>
      <c r="G22" s="1568"/>
      <c r="H22" s="1568"/>
    </row>
    <row r="23" spans="1:8">
      <c r="A23" s="1569" t="s">
        <v>1172</v>
      </c>
      <c r="B23" s="1568"/>
      <c r="C23" s="1568"/>
      <c r="D23" s="1568"/>
      <c r="E23" s="1568"/>
      <c r="F23" s="1568"/>
      <c r="G23" s="1568"/>
      <c r="H23" s="1568"/>
    </row>
    <row r="24" spans="1:8">
      <c r="A24" s="1569" t="s">
        <v>1173</v>
      </c>
      <c r="B24" s="1568"/>
      <c r="C24" s="1568"/>
      <c r="D24" s="1568"/>
      <c r="E24" s="1568"/>
      <c r="F24" s="1568"/>
      <c r="G24" s="1568"/>
      <c r="H24" s="1568"/>
    </row>
    <row r="25" spans="1:8">
      <c r="A25" s="1569" t="s">
        <v>1174</v>
      </c>
      <c r="B25" s="1568"/>
      <c r="C25" s="1568"/>
      <c r="D25" s="1568"/>
      <c r="E25" s="1568"/>
      <c r="F25" s="1568"/>
      <c r="G25" s="1568"/>
      <c r="H25" s="1568"/>
    </row>
    <row r="26" spans="1:8">
      <c r="A26" s="1569" t="s">
        <v>1175</v>
      </c>
      <c r="B26" s="1568"/>
      <c r="C26" s="1568"/>
      <c r="D26" s="1568"/>
      <c r="E26" s="1568"/>
      <c r="F26" s="1568"/>
      <c r="G26" s="1568"/>
      <c r="H26" s="1568"/>
    </row>
    <row r="27" spans="1:8">
      <c r="A27" s="1568"/>
      <c r="B27" s="1568"/>
      <c r="C27" s="1568"/>
      <c r="D27" s="1568"/>
      <c r="E27" s="1568"/>
      <c r="F27" s="1568"/>
      <c r="G27" s="1568"/>
      <c r="H27" s="1568"/>
    </row>
    <row r="28" spans="1:8">
      <c r="A28" s="1568"/>
      <c r="B28" s="1568"/>
      <c r="C28" s="1568"/>
      <c r="D28" s="1568"/>
      <c r="E28" s="1568"/>
      <c r="F28" s="1568"/>
      <c r="G28" s="1568"/>
      <c r="H28" s="1568"/>
    </row>
    <row r="29" spans="1:8">
      <c r="A29" s="1569" t="s">
        <v>1167</v>
      </c>
      <c r="B29" s="1568"/>
      <c r="C29" s="1568"/>
      <c r="D29" s="1568"/>
      <c r="E29" s="1568"/>
      <c r="F29" s="1568"/>
      <c r="G29" s="1568"/>
      <c r="H29" s="1568"/>
    </row>
    <row r="30" spans="1:8">
      <c r="A30" s="1569" t="s">
        <v>1168</v>
      </c>
      <c r="B30" s="1568"/>
      <c r="C30" s="1568"/>
      <c r="D30" s="1568"/>
      <c r="E30" s="1568"/>
      <c r="F30" s="1568"/>
      <c r="G30" s="1568"/>
      <c r="H30" s="1568"/>
    </row>
    <row r="31" spans="1:8">
      <c r="A31" s="1569" t="s">
        <v>1169</v>
      </c>
      <c r="B31" s="1568"/>
      <c r="C31" s="1568"/>
      <c r="D31" s="1568"/>
      <c r="E31" s="1568"/>
      <c r="F31" s="1568"/>
      <c r="G31" s="1568"/>
      <c r="H31" s="1568"/>
    </row>
    <row r="32" spans="1:8">
      <c r="A32" s="1569" t="s">
        <v>1170</v>
      </c>
      <c r="B32" s="1568"/>
      <c r="C32" s="1568"/>
      <c r="D32" s="1568"/>
      <c r="E32" s="1568"/>
      <c r="F32" s="1568"/>
      <c r="G32" s="1568"/>
      <c r="H32" s="1568"/>
    </row>
    <row r="33" spans="1:8">
      <c r="A33" s="1569" t="s">
        <v>1171</v>
      </c>
      <c r="B33" s="1568"/>
      <c r="C33" s="1568"/>
      <c r="D33" s="1568"/>
      <c r="E33" s="1568"/>
      <c r="F33" s="1568"/>
      <c r="G33" s="1568"/>
      <c r="H33" s="1568"/>
    </row>
    <row r="34" spans="1:8">
      <c r="A34" s="1568"/>
      <c r="B34" s="1568"/>
      <c r="C34" s="1568"/>
      <c r="D34" s="1568"/>
      <c r="E34" s="1568"/>
      <c r="F34" s="1568"/>
      <c r="G34" s="1568"/>
      <c r="H34" s="1568"/>
    </row>
    <row r="35" spans="1:8">
      <c r="A35" s="1569" t="s">
        <v>1163</v>
      </c>
      <c r="B35" s="1568"/>
      <c r="C35" s="1568"/>
      <c r="D35" s="1568"/>
      <c r="E35" s="1568"/>
      <c r="F35" s="1568"/>
      <c r="G35" s="1568"/>
      <c r="H35" s="1568"/>
    </row>
    <row r="36" spans="1:8">
      <c r="A36" s="1569" t="s">
        <v>1164</v>
      </c>
      <c r="B36" s="1568"/>
      <c r="C36" s="1568"/>
      <c r="D36" s="1568"/>
      <c r="E36" s="1568"/>
      <c r="F36" s="1568"/>
      <c r="G36" s="1568"/>
      <c r="H36" s="1568"/>
    </row>
    <row r="37" spans="1:8">
      <c r="A37" s="1569" t="s">
        <v>1165</v>
      </c>
      <c r="B37" s="1568"/>
      <c r="C37" s="1568"/>
      <c r="D37" s="1568"/>
      <c r="E37" s="1568"/>
      <c r="F37" s="1568"/>
      <c r="G37" s="1568"/>
      <c r="H37" s="1568"/>
    </row>
    <row r="38" spans="1:8">
      <c r="A38" s="1569" t="s">
        <v>1166</v>
      </c>
      <c r="B38" s="1568"/>
      <c r="C38" s="1568"/>
      <c r="D38" s="1568"/>
      <c r="E38" s="1568"/>
      <c r="F38" s="1568"/>
      <c r="G38" s="1568"/>
      <c r="H38" s="1568"/>
    </row>
    <row r="39" spans="1:8">
      <c r="A39" s="1568"/>
      <c r="B39" s="1568"/>
      <c r="C39" s="1568"/>
      <c r="D39" s="1568"/>
      <c r="E39" s="1568"/>
      <c r="F39" s="1568"/>
      <c r="G39" s="1568"/>
      <c r="H39" s="1568"/>
    </row>
    <row r="40" spans="1:8">
      <c r="A40" s="1569" t="s">
        <v>1157</v>
      </c>
      <c r="B40" s="1568"/>
      <c r="C40" s="1568"/>
      <c r="D40" s="1568"/>
      <c r="E40" s="1568"/>
      <c r="F40" s="1568"/>
      <c r="G40" s="1568"/>
      <c r="H40" s="1568"/>
    </row>
    <row r="41" spans="1:8">
      <c r="A41" s="1569" t="s">
        <v>1158</v>
      </c>
      <c r="B41" s="1568"/>
      <c r="C41" s="1568"/>
      <c r="D41" s="1568"/>
      <c r="E41" s="1568"/>
      <c r="F41" s="1568"/>
      <c r="G41" s="1568"/>
      <c r="H41" s="1568"/>
    </row>
    <row r="42" spans="1:8">
      <c r="A42" s="1569" t="s">
        <v>1159</v>
      </c>
      <c r="B42" s="1568"/>
      <c r="C42" s="1568"/>
      <c r="D42" s="1568"/>
      <c r="E42" s="1568"/>
      <c r="F42" s="1568"/>
      <c r="G42" s="1568"/>
      <c r="H42" s="1568"/>
    </row>
    <row r="43" spans="1:8">
      <c r="A43" s="1569" t="s">
        <v>1160</v>
      </c>
      <c r="B43" s="1568"/>
      <c r="C43" s="1568"/>
      <c r="D43" s="1568"/>
      <c r="E43" s="1568"/>
      <c r="F43" s="1568"/>
      <c r="G43" s="1568"/>
      <c r="H43" s="1568"/>
    </row>
    <row r="44" spans="1:8">
      <c r="A44" s="1569" t="s">
        <v>1161</v>
      </c>
      <c r="B44" s="1568"/>
      <c r="C44" s="1568"/>
      <c r="D44" s="1568"/>
      <c r="E44" s="1568"/>
      <c r="F44" s="1568"/>
      <c r="G44" s="1568"/>
      <c r="H44" s="1568"/>
    </row>
    <row r="45" spans="1:8">
      <c r="A45" s="1569" t="s">
        <v>1162</v>
      </c>
      <c r="B45" s="1568"/>
      <c r="C45" s="1568"/>
      <c r="D45" s="1568"/>
      <c r="E45" s="1568"/>
      <c r="F45" s="1568"/>
      <c r="G45" s="1568"/>
      <c r="H45" s="1568"/>
    </row>
    <row r="46" spans="1:8">
      <c r="A46" s="1568"/>
      <c r="B46" s="1568"/>
      <c r="C46" s="1568"/>
      <c r="D46" s="1568"/>
      <c r="E46" s="1568"/>
      <c r="F46" s="1568"/>
      <c r="G46" s="1568"/>
      <c r="H46" s="1568"/>
    </row>
    <row r="47" spans="1:8" ht="15.75">
      <c r="A47" s="1570" t="s">
        <v>901</v>
      </c>
      <c r="B47" s="1568"/>
      <c r="C47" s="1568"/>
      <c r="D47" s="1568"/>
      <c r="E47" s="1568"/>
      <c r="F47" s="1568"/>
      <c r="G47" s="1568"/>
      <c r="H47" s="1568"/>
    </row>
    <row r="48" spans="1:8">
      <c r="A48" s="1568"/>
      <c r="B48" s="1568"/>
      <c r="C48" s="1568"/>
      <c r="D48" s="1568"/>
      <c r="E48" s="1568"/>
      <c r="F48" s="1568"/>
      <c r="G48" s="1568"/>
      <c r="H48" s="1568"/>
    </row>
    <row r="49" spans="1:8">
      <c r="A49" s="1569" t="s">
        <v>1153</v>
      </c>
      <c r="B49" s="1568"/>
      <c r="C49" s="1568"/>
      <c r="D49" s="1568"/>
      <c r="E49" s="1568"/>
      <c r="F49" s="1568"/>
      <c r="G49" s="1568"/>
      <c r="H49" s="1568"/>
    </row>
    <row r="50" spans="1:8">
      <c r="A50" s="1569" t="s">
        <v>1154</v>
      </c>
      <c r="B50" s="1568"/>
      <c r="C50" s="1568"/>
      <c r="D50" s="1568"/>
      <c r="E50" s="1568"/>
      <c r="F50" s="1568"/>
      <c r="G50" s="1568"/>
      <c r="H50" s="1568"/>
    </row>
    <row r="51" spans="1:8">
      <c r="A51" s="1569" t="s">
        <v>1155</v>
      </c>
      <c r="B51" s="1568"/>
      <c r="C51" s="1568"/>
      <c r="D51" s="1568"/>
      <c r="E51" s="1568"/>
      <c r="F51" s="1568"/>
      <c r="G51" s="1568"/>
      <c r="H51" s="1568"/>
    </row>
    <row r="52" spans="1:8">
      <c r="A52" s="1569" t="s">
        <v>1156</v>
      </c>
      <c r="B52" s="1568"/>
      <c r="C52" s="1568"/>
      <c r="D52" s="1568"/>
      <c r="E52" s="1568"/>
      <c r="F52" s="1568"/>
      <c r="G52" s="1568"/>
      <c r="H52" s="1568"/>
    </row>
    <row r="53" spans="1:8">
      <c r="A53" s="1568"/>
      <c r="B53" s="1568"/>
      <c r="C53" s="1568"/>
      <c r="D53" s="1568"/>
      <c r="E53" s="1568"/>
      <c r="F53" s="1568"/>
      <c r="G53" s="1568"/>
      <c r="H53" s="1568"/>
    </row>
    <row r="54" spans="1:8">
      <c r="A54" s="1569" t="s">
        <v>902</v>
      </c>
      <c r="B54" s="1568"/>
      <c r="C54" s="1568"/>
      <c r="D54" s="1568"/>
      <c r="E54" s="1568"/>
      <c r="F54" s="1568"/>
      <c r="G54" s="1568"/>
      <c r="H54" s="1568"/>
    </row>
    <row r="55" spans="1:8">
      <c r="A55" s="1568"/>
      <c r="B55" s="1568"/>
      <c r="C55" s="1568"/>
      <c r="D55" s="1568"/>
      <c r="E55" s="1568"/>
      <c r="F55" s="1568"/>
      <c r="G55" s="1568"/>
      <c r="H55" s="1568"/>
    </row>
    <row r="56" spans="1:8" ht="15.75">
      <c r="A56" s="1570" t="s">
        <v>903</v>
      </c>
      <c r="B56" s="1568"/>
      <c r="C56" s="1568"/>
      <c r="D56" s="1568"/>
      <c r="E56" s="1568"/>
      <c r="F56" s="1568"/>
      <c r="G56" s="1568"/>
      <c r="H56" s="1568"/>
    </row>
    <row r="57" spans="1:8">
      <c r="A57" s="1568"/>
      <c r="B57" s="1568"/>
      <c r="C57" s="1568"/>
      <c r="D57" s="1568"/>
      <c r="E57" s="1568"/>
      <c r="F57" s="1568"/>
      <c r="G57" s="1568"/>
      <c r="H57" s="1568"/>
    </row>
    <row r="58" spans="1:8">
      <c r="A58" s="1569" t="s">
        <v>1151</v>
      </c>
      <c r="B58" s="1568"/>
      <c r="C58" s="1568"/>
      <c r="D58" s="1568"/>
      <c r="E58" s="1568"/>
      <c r="F58" s="1568"/>
      <c r="G58" s="1568"/>
      <c r="H58" s="1568"/>
    </row>
    <row r="59" spans="1:8">
      <c r="A59" s="1569" t="s">
        <v>1152</v>
      </c>
      <c r="B59" s="1568"/>
      <c r="C59" s="1568"/>
      <c r="D59" s="1568"/>
      <c r="E59" s="1568"/>
      <c r="F59" s="1568"/>
      <c r="G59" s="1568"/>
      <c r="H59" s="1568"/>
    </row>
    <row r="60" spans="1:8">
      <c r="A60" s="1568"/>
      <c r="B60" s="1568"/>
      <c r="C60" s="1568"/>
      <c r="D60" s="1568"/>
      <c r="E60" s="1568"/>
      <c r="F60" s="1568"/>
      <c r="G60" s="1568"/>
      <c r="H60" s="1568"/>
    </row>
    <row r="61" spans="1:8" ht="15.75">
      <c r="A61" s="1570" t="s">
        <v>904</v>
      </c>
      <c r="B61" s="1568"/>
      <c r="C61" s="1568"/>
      <c r="D61" s="1568"/>
      <c r="E61" s="1568"/>
      <c r="F61" s="1568"/>
      <c r="G61" s="1568"/>
      <c r="H61" s="1568"/>
    </row>
    <row r="62" spans="1:8">
      <c r="A62" s="1568"/>
      <c r="B62" s="1568"/>
      <c r="C62" s="1568"/>
      <c r="D62" s="1568"/>
      <c r="E62" s="1568"/>
      <c r="F62" s="1568"/>
      <c r="G62" s="1568"/>
      <c r="H62" s="1568"/>
    </row>
    <row r="63" spans="1:8">
      <c r="A63" s="1569" t="s">
        <v>1149</v>
      </c>
      <c r="B63" s="1568"/>
      <c r="C63" s="1568"/>
      <c r="D63" s="1568"/>
      <c r="E63" s="1568"/>
      <c r="F63" s="1568"/>
      <c r="G63" s="1568"/>
      <c r="H63" s="1568"/>
    </row>
    <row r="64" spans="1:8">
      <c r="A64" s="1569" t="s">
        <v>1150</v>
      </c>
      <c r="B64" s="1568"/>
      <c r="C64" s="1568"/>
      <c r="D64" s="1568"/>
      <c r="E64" s="1568"/>
      <c r="F64" s="1568"/>
      <c r="G64" s="1568"/>
      <c r="H64" s="1568"/>
    </row>
    <row r="65" spans="1:8">
      <c r="A65" s="1568"/>
      <c r="B65" s="1568"/>
      <c r="C65" s="1568"/>
      <c r="D65" s="1568"/>
      <c r="E65" s="1568"/>
      <c r="F65" s="1568"/>
      <c r="G65" s="1568"/>
      <c r="H65" s="1568"/>
    </row>
    <row r="66" spans="1:8">
      <c r="A66" s="1569" t="s">
        <v>1147</v>
      </c>
      <c r="B66" s="1568"/>
      <c r="C66" s="1568"/>
      <c r="D66" s="1568"/>
      <c r="E66" s="1568"/>
      <c r="F66" s="1568"/>
      <c r="G66" s="1568"/>
      <c r="H66" s="1568"/>
    </row>
    <row r="67" spans="1:8">
      <c r="A67" s="1569" t="s">
        <v>1148</v>
      </c>
      <c r="B67" s="1568"/>
      <c r="C67" s="1568"/>
      <c r="D67" s="1568"/>
      <c r="E67" s="1568"/>
      <c r="F67" s="1568"/>
      <c r="G67" s="1568"/>
      <c r="H67" s="1568"/>
    </row>
    <row r="68" spans="1:8">
      <c r="A68" s="1568"/>
      <c r="B68" s="1568"/>
      <c r="C68" s="1568"/>
      <c r="D68" s="1568"/>
      <c r="E68" s="1568"/>
      <c r="F68" s="1568"/>
      <c r="G68" s="1568"/>
      <c r="H68" s="1568"/>
    </row>
    <row r="69" spans="1:8">
      <c r="A69" s="1569" t="s">
        <v>905</v>
      </c>
      <c r="B69" s="1568"/>
      <c r="C69" s="1568"/>
      <c r="D69" s="1568"/>
      <c r="E69" s="1568"/>
      <c r="F69" s="1568"/>
      <c r="G69" s="1568"/>
      <c r="H69" s="1568"/>
    </row>
    <row r="70" spans="1:8">
      <c r="A70" s="1568"/>
      <c r="B70" s="1568"/>
      <c r="C70" s="1568"/>
      <c r="D70" s="1568"/>
      <c r="E70" s="1568"/>
      <c r="F70" s="1568"/>
      <c r="G70" s="1568"/>
      <c r="H70" s="1568"/>
    </row>
    <row r="71" spans="1:8">
      <c r="A71" s="1569" t="s">
        <v>1142</v>
      </c>
      <c r="B71" s="1568"/>
      <c r="C71" s="1568"/>
      <c r="D71" s="1568"/>
      <c r="E71" s="1568"/>
      <c r="F71" s="1568"/>
      <c r="G71" s="1568"/>
      <c r="H71" s="1568"/>
    </row>
    <row r="72" spans="1:8">
      <c r="A72" s="1569" t="s">
        <v>1143</v>
      </c>
      <c r="B72" s="1568"/>
      <c r="C72" s="1568"/>
      <c r="D72" s="1568"/>
      <c r="E72" s="1568"/>
      <c r="F72" s="1568"/>
      <c r="G72" s="1568"/>
      <c r="H72" s="1568"/>
    </row>
    <row r="73" spans="1:8">
      <c r="A73" s="1569" t="s">
        <v>1144</v>
      </c>
      <c r="B73" s="1568"/>
      <c r="C73" s="1568"/>
      <c r="D73" s="1568"/>
      <c r="E73" s="1568"/>
      <c r="F73" s="1568"/>
      <c r="G73" s="1568"/>
      <c r="H73" s="1568"/>
    </row>
    <row r="74" spans="1:8">
      <c r="A74" s="1569" t="s">
        <v>1145</v>
      </c>
      <c r="B74" s="1568"/>
      <c r="C74" s="1568"/>
      <c r="D74" s="1568"/>
      <c r="E74" s="1568"/>
      <c r="F74" s="1568"/>
      <c r="G74" s="1568"/>
      <c r="H74" s="1568"/>
    </row>
    <row r="75" spans="1:8">
      <c r="A75" s="1569" t="s">
        <v>1146</v>
      </c>
      <c r="B75" s="1568"/>
      <c r="C75" s="1568"/>
      <c r="D75" s="1568"/>
      <c r="E75" s="1568"/>
      <c r="F75" s="1568"/>
      <c r="G75" s="1568"/>
      <c r="H75" s="1568"/>
    </row>
    <row r="76" spans="1:8">
      <c r="A76" s="1569" t="s">
        <v>1031</v>
      </c>
      <c r="B76" s="1568"/>
      <c r="C76" s="1568"/>
      <c r="D76" s="1568"/>
      <c r="E76" s="1568"/>
      <c r="F76" s="1568"/>
      <c r="G76" s="1568"/>
      <c r="H76" s="1568"/>
    </row>
    <row r="77" spans="1:8">
      <c r="A77" s="1568"/>
      <c r="B77" s="1568"/>
      <c r="C77" s="1568"/>
      <c r="D77" s="1568"/>
      <c r="E77" s="1568"/>
      <c r="F77" s="1568"/>
      <c r="G77" s="1568"/>
      <c r="H77" s="1568"/>
    </row>
    <row r="78" spans="1:8">
      <c r="A78" s="1569" t="s">
        <v>1135</v>
      </c>
      <c r="B78" s="1568"/>
      <c r="C78" s="1568"/>
      <c r="D78" s="1568"/>
      <c r="E78" s="1568"/>
      <c r="F78" s="1568"/>
      <c r="G78" s="1568"/>
      <c r="H78" s="1568"/>
    </row>
    <row r="79" spans="1:8">
      <c r="A79" s="1569" t="s">
        <v>1136</v>
      </c>
      <c r="B79" s="1568"/>
      <c r="C79" s="1568"/>
      <c r="D79" s="1568"/>
      <c r="E79" s="1568"/>
      <c r="F79" s="1568"/>
      <c r="G79" s="1568"/>
      <c r="H79" s="1568"/>
    </row>
    <row r="80" spans="1:8">
      <c r="A80" s="1569" t="s">
        <v>1137</v>
      </c>
      <c r="B80" s="1568"/>
      <c r="C80" s="1568"/>
      <c r="D80" s="1568"/>
      <c r="E80" s="1568"/>
      <c r="F80" s="1568"/>
      <c r="G80" s="1568"/>
      <c r="H80" s="1568"/>
    </row>
    <row r="81" spans="1:8">
      <c r="A81" s="1569" t="s">
        <v>1138</v>
      </c>
      <c r="B81" s="1568"/>
      <c r="C81" s="1568"/>
      <c r="D81" s="1568"/>
      <c r="E81" s="1568"/>
      <c r="F81" s="1568"/>
      <c r="G81" s="1568"/>
      <c r="H81" s="1568"/>
    </row>
    <row r="82" spans="1:8">
      <c r="A82" s="1569" t="s">
        <v>1139</v>
      </c>
      <c r="B82" s="1568"/>
      <c r="C82" s="1568"/>
      <c r="D82" s="1568"/>
      <c r="E82" s="1568"/>
      <c r="F82" s="1568"/>
      <c r="G82" s="1568"/>
      <c r="H82" s="1568"/>
    </row>
    <row r="83" spans="1:8">
      <c r="A83" s="1569" t="s">
        <v>1140</v>
      </c>
      <c r="B83" s="1568"/>
      <c r="C83" s="1568"/>
      <c r="D83" s="1568"/>
      <c r="E83" s="1568"/>
      <c r="F83" s="1568"/>
      <c r="G83" s="1568"/>
      <c r="H83" s="1568"/>
    </row>
    <row r="84" spans="1:8">
      <c r="A84" s="1569" t="s">
        <v>1141</v>
      </c>
      <c r="B84" s="1568"/>
      <c r="C84" s="1568"/>
      <c r="D84" s="1568"/>
      <c r="E84" s="1568"/>
      <c r="F84" s="1568"/>
      <c r="G84" s="1568"/>
      <c r="H84" s="1568"/>
    </row>
    <row r="85" spans="1:8">
      <c r="A85" s="1568"/>
      <c r="B85" s="1568"/>
      <c r="C85" s="1568"/>
      <c r="D85" s="1568"/>
      <c r="E85" s="1568"/>
      <c r="F85" s="1568"/>
      <c r="G85" s="1568"/>
      <c r="H85" s="1568"/>
    </row>
    <row r="86" spans="1:8">
      <c r="A86" s="1569" t="s">
        <v>1133</v>
      </c>
      <c r="B86" s="1568"/>
      <c r="C86" s="1568"/>
      <c r="D86" s="1568"/>
      <c r="E86" s="1568"/>
      <c r="F86" s="1568"/>
      <c r="G86" s="1568"/>
      <c r="H86" s="1568"/>
    </row>
    <row r="87" spans="1:8">
      <c r="A87" s="1569" t="s">
        <v>1134</v>
      </c>
      <c r="B87" s="1568"/>
      <c r="C87" s="1568"/>
      <c r="D87" s="1568"/>
      <c r="E87" s="1568"/>
      <c r="F87" s="1568"/>
      <c r="G87" s="1568"/>
      <c r="H87" s="1568"/>
    </row>
    <row r="88" spans="1:8">
      <c r="A88" s="1568"/>
      <c r="B88" s="1568"/>
      <c r="C88" s="1568"/>
      <c r="D88" s="1568"/>
      <c r="E88" s="1568"/>
      <c r="F88" s="1568"/>
      <c r="G88" s="1568"/>
      <c r="H88" s="1568"/>
    </row>
    <row r="89" spans="1:8" ht="15.75">
      <c r="A89" s="1570" t="s">
        <v>906</v>
      </c>
      <c r="B89" s="1568"/>
      <c r="C89" s="1568"/>
      <c r="D89" s="1568"/>
      <c r="E89" s="1568"/>
      <c r="F89" s="1568"/>
      <c r="G89" s="1568"/>
      <c r="H89" s="1568"/>
    </row>
    <row r="90" spans="1:8">
      <c r="A90" s="1568"/>
      <c r="B90" s="1568"/>
      <c r="C90" s="1568"/>
      <c r="D90" s="1568"/>
      <c r="E90" s="1568"/>
      <c r="F90" s="1568"/>
      <c r="G90" s="1568"/>
      <c r="H90" s="1568"/>
    </row>
    <row r="91" spans="1:8">
      <c r="A91" s="1569" t="s">
        <v>1124</v>
      </c>
      <c r="B91" s="1568"/>
      <c r="C91" s="1568"/>
      <c r="D91" s="1568"/>
      <c r="E91" s="1568"/>
      <c r="F91" s="1568"/>
      <c r="G91" s="1568"/>
      <c r="H91" s="1568"/>
    </row>
    <row r="92" spans="1:8">
      <c r="A92" s="1569" t="s">
        <v>1125</v>
      </c>
      <c r="B92" s="1568"/>
      <c r="C92" s="1568"/>
      <c r="D92" s="1568"/>
      <c r="E92" s="1568"/>
      <c r="F92" s="1568"/>
      <c r="G92" s="1568"/>
      <c r="H92" s="1568"/>
    </row>
    <row r="93" spans="1:8">
      <c r="A93" s="1569" t="s">
        <v>1126</v>
      </c>
      <c r="B93" s="1568"/>
      <c r="C93" s="1568"/>
      <c r="D93" s="1568"/>
      <c r="E93" s="1568"/>
      <c r="F93" s="1568"/>
      <c r="G93" s="1568"/>
      <c r="H93" s="1568"/>
    </row>
    <row r="94" spans="1:8">
      <c r="A94" s="1569" t="s">
        <v>1127</v>
      </c>
      <c r="B94" s="1568"/>
      <c r="C94" s="1568"/>
      <c r="D94" s="1568"/>
      <c r="E94" s="1568"/>
      <c r="F94" s="1568"/>
      <c r="G94" s="1568"/>
      <c r="H94" s="1568"/>
    </row>
    <row r="95" spans="1:8">
      <c r="A95" s="1569" t="s">
        <v>1128</v>
      </c>
      <c r="B95" s="1568"/>
      <c r="C95" s="1568"/>
      <c r="D95" s="1568"/>
      <c r="E95" s="1568"/>
      <c r="F95" s="1568"/>
      <c r="G95" s="1568"/>
      <c r="H95" s="1568"/>
    </row>
    <row r="96" spans="1:8">
      <c r="A96" s="1569" t="s">
        <v>1129</v>
      </c>
      <c r="B96" s="1568"/>
      <c r="C96" s="1568"/>
      <c r="D96" s="1568"/>
      <c r="E96" s="1568"/>
      <c r="F96" s="1568"/>
      <c r="G96" s="1568"/>
      <c r="H96" s="1568"/>
    </row>
    <row r="97" spans="1:8">
      <c r="A97" s="1569" t="s">
        <v>1130</v>
      </c>
      <c r="B97" s="1568"/>
      <c r="C97" s="1568"/>
      <c r="D97" s="1568"/>
      <c r="E97" s="1568"/>
      <c r="F97" s="1568"/>
      <c r="G97" s="1568"/>
      <c r="H97" s="1568"/>
    </row>
    <row r="98" spans="1:8">
      <c r="A98" s="1569" t="s">
        <v>1131</v>
      </c>
      <c r="B98" s="1568"/>
      <c r="C98" s="1568"/>
      <c r="D98" s="1568"/>
      <c r="E98" s="1568"/>
      <c r="F98" s="1568"/>
      <c r="G98" s="1568"/>
      <c r="H98" s="1568"/>
    </row>
    <row r="99" spans="1:8">
      <c r="A99" s="1569" t="s">
        <v>1132</v>
      </c>
      <c r="B99" s="1568"/>
      <c r="C99" s="1568"/>
      <c r="D99" s="1568"/>
      <c r="E99" s="1568"/>
      <c r="F99" s="1568"/>
      <c r="G99" s="1568"/>
      <c r="H99" s="1568"/>
    </row>
    <row r="100" spans="1:8">
      <c r="A100" s="1568"/>
      <c r="B100" s="1568"/>
      <c r="C100" s="1568"/>
      <c r="D100" s="1568"/>
      <c r="E100" s="1568"/>
      <c r="F100" s="1568"/>
      <c r="G100" s="1568"/>
      <c r="H100" s="1568"/>
    </row>
    <row r="101" spans="1:8" ht="15.75">
      <c r="A101" s="1571" t="s">
        <v>907</v>
      </c>
      <c r="B101" s="1571"/>
      <c r="C101" s="1571"/>
      <c r="D101" s="1571"/>
      <c r="E101" s="1571"/>
      <c r="F101" s="1571"/>
      <c r="G101" s="1571"/>
      <c r="H101" s="1571"/>
    </row>
    <row r="102" spans="1:8">
      <c r="A102" s="1572" t="s">
        <v>908</v>
      </c>
      <c r="B102" s="1572"/>
      <c r="C102" s="1572"/>
      <c r="D102" s="1572"/>
      <c r="E102" s="1572"/>
      <c r="F102" s="1572"/>
      <c r="G102" s="1572"/>
      <c r="H102" s="1572"/>
    </row>
    <row r="103" spans="1:8">
      <c r="A103" s="1573"/>
      <c r="B103" s="1573"/>
      <c r="C103" s="1573"/>
      <c r="D103" s="1573"/>
      <c r="E103" s="1573"/>
      <c r="F103" s="1573"/>
      <c r="G103" s="1573"/>
      <c r="H103" s="1573"/>
    </row>
    <row r="104" spans="1:8">
      <c r="A104" s="1572" t="s">
        <v>1122</v>
      </c>
      <c r="B104" s="1572"/>
      <c r="C104" s="1572"/>
      <c r="D104" s="1572"/>
      <c r="E104" s="1572"/>
      <c r="F104" s="1572"/>
      <c r="G104" s="1572"/>
      <c r="H104" s="1572"/>
    </row>
    <row r="105" spans="1:8">
      <c r="A105" s="1569" t="s">
        <v>1123</v>
      </c>
      <c r="B105" s="1569"/>
      <c r="C105" s="1569"/>
      <c r="D105" s="1569"/>
      <c r="E105" s="1569"/>
      <c r="F105" s="1569"/>
      <c r="G105" s="1569"/>
      <c r="H105" s="1569"/>
    </row>
    <row r="106" spans="1:8">
      <c r="A106" s="1573"/>
      <c r="B106" s="1573"/>
      <c r="C106" s="1573"/>
      <c r="D106" s="1573"/>
      <c r="E106" s="1573"/>
      <c r="F106" s="1573"/>
      <c r="G106" s="1573"/>
      <c r="H106" s="1573"/>
    </row>
    <row r="107" spans="1:8">
      <c r="A107" s="1572" t="s">
        <v>1115</v>
      </c>
      <c r="B107" s="1572"/>
      <c r="C107" s="1572"/>
      <c r="D107" s="1572"/>
      <c r="E107" s="1572"/>
      <c r="F107" s="1572"/>
      <c r="G107" s="1572"/>
      <c r="H107" s="1572"/>
    </row>
    <row r="108" spans="1:8">
      <c r="A108" s="1569" t="s">
        <v>1116</v>
      </c>
      <c r="B108" s="1569"/>
      <c r="C108" s="1569"/>
      <c r="D108" s="1569"/>
      <c r="E108" s="1569"/>
      <c r="F108" s="1569"/>
      <c r="G108" s="1569"/>
      <c r="H108" s="1569"/>
    </row>
    <row r="109" spans="1:8">
      <c r="A109" s="1569" t="s">
        <v>1117</v>
      </c>
      <c r="B109" s="1569"/>
      <c r="C109" s="1569"/>
      <c r="D109" s="1569"/>
      <c r="E109" s="1569"/>
      <c r="F109" s="1569"/>
      <c r="G109" s="1569"/>
      <c r="H109" s="1569"/>
    </row>
    <row r="110" spans="1:8">
      <c r="A110" s="1569" t="s">
        <v>1118</v>
      </c>
      <c r="B110" s="1569"/>
      <c r="C110" s="1569"/>
      <c r="D110" s="1569"/>
      <c r="E110" s="1569"/>
      <c r="F110" s="1569"/>
      <c r="G110" s="1569"/>
      <c r="H110" s="1569"/>
    </row>
    <row r="111" spans="1:8">
      <c r="A111" s="1569" t="s">
        <v>1119</v>
      </c>
      <c r="B111" s="1569"/>
      <c r="C111" s="1569"/>
      <c r="D111" s="1569"/>
      <c r="E111" s="1569"/>
      <c r="F111" s="1569"/>
      <c r="G111" s="1569"/>
      <c r="H111" s="1569"/>
    </row>
    <row r="112" spans="1:8">
      <c r="A112" s="1569" t="s">
        <v>1120</v>
      </c>
      <c r="B112" s="1569"/>
      <c r="C112" s="1569"/>
      <c r="D112" s="1569"/>
      <c r="E112" s="1569"/>
      <c r="F112" s="1569"/>
      <c r="G112" s="1569"/>
      <c r="H112" s="1569"/>
    </row>
    <row r="113" spans="1:8">
      <c r="A113" s="1569" t="s">
        <v>1121</v>
      </c>
      <c r="B113" s="1569"/>
      <c r="C113" s="1569"/>
      <c r="D113" s="1569"/>
      <c r="E113" s="1569"/>
      <c r="F113" s="1569"/>
      <c r="G113" s="1569"/>
      <c r="H113" s="1569"/>
    </row>
    <row r="114" spans="1:8">
      <c r="A114" s="1574"/>
      <c r="B114" s="1574"/>
      <c r="C114" s="1574"/>
      <c r="D114" s="1574"/>
      <c r="E114" s="1574"/>
      <c r="F114" s="1574"/>
      <c r="G114" s="1574"/>
      <c r="H114" s="1574"/>
    </row>
    <row r="115" spans="1:8">
      <c r="A115" s="1575"/>
      <c r="B115" s="1576" t="s">
        <v>909</v>
      </c>
      <c r="C115" s="1577"/>
      <c r="D115" s="1576" t="s">
        <v>910</v>
      </c>
      <c r="E115" s="1578"/>
      <c r="F115" s="1577"/>
      <c r="G115" s="1576" t="s">
        <v>911</v>
      </c>
      <c r="H115" s="1577"/>
    </row>
    <row r="116" spans="1:8">
      <c r="A116" s="1575" t="s">
        <v>912</v>
      </c>
      <c r="B116" s="1575" t="s">
        <v>342</v>
      </c>
      <c r="C116" s="1575" t="s">
        <v>913</v>
      </c>
      <c r="D116" s="1575" t="s">
        <v>342</v>
      </c>
      <c r="E116" s="1575" t="s">
        <v>914</v>
      </c>
      <c r="F116" s="1575" t="s">
        <v>915</v>
      </c>
      <c r="G116" s="1575" t="s">
        <v>342</v>
      </c>
      <c r="H116" s="1575" t="s">
        <v>916</v>
      </c>
    </row>
    <row r="117" spans="1:8">
      <c r="A117" s="1575" t="s">
        <v>917</v>
      </c>
      <c r="B117" s="1575">
        <v>1189</v>
      </c>
      <c r="C117" s="1579">
        <v>0.38</v>
      </c>
      <c r="D117" s="1575">
        <v>315</v>
      </c>
      <c r="E117" s="1579">
        <v>0.41</v>
      </c>
      <c r="F117" s="1579">
        <v>0.26</v>
      </c>
      <c r="G117" s="1575">
        <v>555</v>
      </c>
      <c r="H117" s="1579">
        <v>0.39</v>
      </c>
    </row>
    <row r="118" spans="1:8">
      <c r="A118" s="1575" t="s">
        <v>918</v>
      </c>
      <c r="B118" s="1575">
        <v>1355</v>
      </c>
      <c r="C118" s="1579">
        <v>0.43</v>
      </c>
      <c r="D118" s="1575">
        <v>364</v>
      </c>
      <c r="E118" s="1579">
        <v>0.47</v>
      </c>
      <c r="F118" s="1579">
        <v>0.27</v>
      </c>
      <c r="G118" s="1575">
        <v>644</v>
      </c>
      <c r="H118" s="1579">
        <v>0.45</v>
      </c>
    </row>
    <row r="119" spans="1:8">
      <c r="A119" s="1575" t="s">
        <v>919</v>
      </c>
      <c r="B119" s="1575">
        <v>53</v>
      </c>
      <c r="C119" s="1579">
        <v>0.02</v>
      </c>
      <c r="D119" s="1575">
        <v>4</v>
      </c>
      <c r="E119" s="1579">
        <v>0.01</v>
      </c>
      <c r="F119" s="1579">
        <v>0.08</v>
      </c>
      <c r="G119" s="1575">
        <v>7</v>
      </c>
      <c r="H119" s="1579">
        <v>0</v>
      </c>
    </row>
    <row r="120" spans="1:8">
      <c r="A120" s="1575" t="s">
        <v>920</v>
      </c>
      <c r="B120" s="1575">
        <v>545</v>
      </c>
      <c r="C120" s="1579">
        <v>0.17</v>
      </c>
      <c r="D120" s="1575">
        <v>84</v>
      </c>
      <c r="E120" s="1579">
        <v>0.11</v>
      </c>
      <c r="F120" s="1579">
        <v>0.15</v>
      </c>
      <c r="G120" s="1575">
        <v>214</v>
      </c>
      <c r="H120" s="1579">
        <v>0.15</v>
      </c>
    </row>
    <row r="121" spans="1:8">
      <c r="A121" s="1575" t="s">
        <v>263</v>
      </c>
      <c r="B121" s="1580">
        <v>3142</v>
      </c>
      <c r="C121" s="1575"/>
      <c r="D121" s="1575">
        <v>767</v>
      </c>
      <c r="E121" s="1575"/>
      <c r="F121" s="1575"/>
      <c r="G121" s="1575">
        <v>1420</v>
      </c>
      <c r="H121" s="1575"/>
    </row>
    <row r="122" spans="1:8">
      <c r="A122" s="1581"/>
      <c r="B122" s="1581"/>
      <c r="C122" s="1581"/>
      <c r="D122" s="1581"/>
      <c r="E122" s="1581"/>
      <c r="F122" s="1581"/>
      <c r="G122" s="1581"/>
      <c r="H122" s="1581"/>
    </row>
    <row r="123" spans="1:8">
      <c r="A123" s="1572" t="s">
        <v>1111</v>
      </c>
      <c r="B123" s="1572"/>
      <c r="C123" s="1572"/>
      <c r="D123" s="1572"/>
      <c r="E123" s="1572"/>
      <c r="F123" s="1572"/>
      <c r="G123" s="1572"/>
      <c r="H123" s="1572"/>
    </row>
    <row r="124" spans="1:8">
      <c r="A124" s="1569" t="s">
        <v>1112</v>
      </c>
      <c r="B124" s="1569"/>
      <c r="C124" s="1569"/>
      <c r="D124" s="1569"/>
      <c r="E124" s="1569"/>
      <c r="F124" s="1569"/>
      <c r="G124" s="1569"/>
      <c r="H124" s="1569"/>
    </row>
    <row r="125" spans="1:8">
      <c r="A125" s="1569" t="s">
        <v>1113</v>
      </c>
      <c r="B125" s="1569"/>
      <c r="C125" s="1569"/>
      <c r="D125" s="1569"/>
      <c r="E125" s="1569"/>
      <c r="F125" s="1569"/>
      <c r="G125" s="1569"/>
      <c r="H125" s="1569"/>
    </row>
    <row r="126" spans="1:8">
      <c r="A126" s="1569" t="s">
        <v>1114</v>
      </c>
      <c r="B126" s="1569"/>
      <c r="C126" s="1569"/>
      <c r="D126" s="1569"/>
      <c r="E126" s="1569"/>
      <c r="F126" s="1569"/>
      <c r="G126" s="1569"/>
      <c r="H126" s="1569"/>
    </row>
    <row r="127" spans="1:8">
      <c r="A127" s="1568"/>
      <c r="B127" s="1568"/>
      <c r="C127" s="1568"/>
      <c r="D127" s="1568"/>
      <c r="E127" s="1568"/>
      <c r="F127" s="1568"/>
      <c r="G127" s="1568"/>
      <c r="H127" s="1568"/>
    </row>
    <row r="128" spans="1:8" ht="15.75">
      <c r="A128" s="1570" t="s">
        <v>921</v>
      </c>
      <c r="B128" s="1568"/>
      <c r="C128" s="1568"/>
      <c r="D128" s="1568"/>
      <c r="E128" s="1568"/>
      <c r="F128" s="1568"/>
      <c r="G128" s="1568"/>
      <c r="H128" s="1568"/>
    </row>
    <row r="129" spans="1:8">
      <c r="A129" s="1568"/>
      <c r="B129" s="1568"/>
      <c r="C129" s="1568"/>
      <c r="D129" s="1568"/>
      <c r="E129" s="1568"/>
      <c r="F129" s="1568"/>
      <c r="G129" s="1568"/>
      <c r="H129" s="1568"/>
    </row>
    <row r="130" spans="1:8">
      <c r="A130" s="1569" t="s">
        <v>1109</v>
      </c>
      <c r="B130" s="1568"/>
      <c r="C130" s="1568"/>
      <c r="D130" s="1568"/>
      <c r="E130" s="1568"/>
      <c r="F130" s="1568"/>
      <c r="G130" s="1568"/>
      <c r="H130" s="1568"/>
    </row>
    <row r="131" spans="1:8">
      <c r="A131" s="1569" t="s">
        <v>1110</v>
      </c>
      <c r="B131" s="1568"/>
      <c r="C131" s="1568"/>
      <c r="D131" s="1568"/>
      <c r="E131" s="1568"/>
      <c r="F131" s="1568"/>
      <c r="G131" s="1568"/>
      <c r="H131" s="1568"/>
    </row>
    <row r="132" spans="1:8">
      <c r="A132" s="1568"/>
      <c r="B132" s="1568"/>
      <c r="C132" s="1568"/>
      <c r="D132" s="1568"/>
      <c r="E132" s="1568"/>
      <c r="F132" s="1568"/>
      <c r="G132" s="1568"/>
      <c r="H132" s="1568"/>
    </row>
    <row r="133" spans="1:8">
      <c r="A133" s="1569" t="s">
        <v>1106</v>
      </c>
      <c r="B133" s="1568"/>
      <c r="C133" s="1568"/>
      <c r="D133" s="1568"/>
      <c r="E133" s="1568"/>
      <c r="F133" s="1568"/>
      <c r="G133" s="1568"/>
      <c r="H133" s="1568"/>
    </row>
    <row r="134" spans="1:8">
      <c r="A134" s="1569" t="s">
        <v>1107</v>
      </c>
      <c r="B134" s="1568"/>
      <c r="C134" s="1568"/>
      <c r="D134" s="1568"/>
      <c r="E134" s="1568"/>
      <c r="F134" s="1568"/>
      <c r="G134" s="1568"/>
      <c r="H134" s="1568"/>
    </row>
    <row r="135" spans="1:8">
      <c r="A135" s="1569" t="s">
        <v>1108</v>
      </c>
      <c r="B135" s="1568"/>
      <c r="C135" s="1568"/>
      <c r="D135" s="1568"/>
      <c r="E135" s="1568"/>
      <c r="F135" s="1568"/>
      <c r="G135" s="1568"/>
      <c r="H135" s="1568"/>
    </row>
    <row r="136" spans="1:8">
      <c r="A136" s="1568"/>
      <c r="B136" s="1568"/>
      <c r="C136" s="1568"/>
      <c r="D136" s="1568"/>
      <c r="E136" s="1568"/>
      <c r="F136" s="1568"/>
      <c r="G136" s="1568"/>
      <c r="H136" s="1568"/>
    </row>
    <row r="137" spans="1:8">
      <c r="A137" s="1569" t="s">
        <v>1103</v>
      </c>
      <c r="B137" s="1568"/>
      <c r="C137" s="1568"/>
      <c r="D137" s="1568"/>
      <c r="E137" s="1568"/>
      <c r="F137" s="1568"/>
      <c r="G137" s="1568"/>
      <c r="H137" s="1568"/>
    </row>
    <row r="138" spans="1:8">
      <c r="A138" s="1569" t="s">
        <v>1104</v>
      </c>
      <c r="B138" s="1568"/>
      <c r="C138" s="1568"/>
      <c r="D138" s="1568"/>
      <c r="E138" s="1568"/>
      <c r="F138" s="1568"/>
      <c r="G138" s="1568"/>
      <c r="H138" s="1568"/>
    </row>
    <row r="139" spans="1:8">
      <c r="A139" s="1569" t="s">
        <v>1105</v>
      </c>
      <c r="B139" s="1568"/>
      <c r="C139" s="1568"/>
      <c r="D139" s="1568"/>
      <c r="E139" s="1568"/>
      <c r="F139" s="1568"/>
      <c r="G139" s="1568"/>
      <c r="H139" s="1568"/>
    </row>
    <row r="140" spans="1:8">
      <c r="A140" s="1568"/>
      <c r="B140" s="1568"/>
      <c r="C140" s="1568"/>
      <c r="D140" s="1568"/>
      <c r="E140" s="1568"/>
      <c r="F140" s="1568"/>
      <c r="G140" s="1568"/>
      <c r="H140" s="1568"/>
    </row>
    <row r="141" spans="1:8">
      <c r="A141" s="1569" t="s">
        <v>1100</v>
      </c>
      <c r="B141" s="1568"/>
      <c r="C141" s="1568"/>
      <c r="D141" s="1568"/>
      <c r="E141" s="1568"/>
      <c r="F141" s="1568"/>
      <c r="G141" s="1568"/>
      <c r="H141" s="1568"/>
    </row>
    <row r="142" spans="1:8">
      <c r="A142" s="1569" t="s">
        <v>1101</v>
      </c>
      <c r="B142" s="1568"/>
      <c r="C142" s="1568"/>
      <c r="D142" s="1568"/>
      <c r="E142" s="1568"/>
      <c r="F142" s="1568"/>
      <c r="G142" s="1568"/>
      <c r="H142" s="1568"/>
    </row>
    <row r="143" spans="1:8">
      <c r="A143" s="1569" t="s">
        <v>1102</v>
      </c>
      <c r="B143" s="1568"/>
      <c r="C143" s="1568"/>
      <c r="D143" s="1568"/>
      <c r="E143" s="1568"/>
      <c r="F143" s="1568"/>
      <c r="G143" s="1568"/>
      <c r="H143" s="1568"/>
    </row>
    <row r="144" spans="1:8">
      <c r="A144" s="1568"/>
      <c r="B144" s="1568"/>
      <c r="C144" s="1568"/>
      <c r="D144" s="1568"/>
      <c r="E144" s="1568"/>
      <c r="F144" s="1568"/>
      <c r="G144" s="1568"/>
      <c r="H144" s="1568"/>
    </row>
    <row r="145" spans="1:8">
      <c r="A145" s="1569" t="s">
        <v>1098</v>
      </c>
      <c r="B145" s="1568"/>
      <c r="C145" s="1568"/>
      <c r="D145" s="1568"/>
      <c r="E145" s="1568"/>
      <c r="F145" s="1568"/>
      <c r="G145" s="1568"/>
      <c r="H145" s="1568"/>
    </row>
    <row r="146" spans="1:8">
      <c r="A146" s="1569" t="s">
        <v>1099</v>
      </c>
      <c r="B146" s="1568"/>
      <c r="C146" s="1568"/>
      <c r="D146" s="1568"/>
      <c r="E146" s="1568"/>
      <c r="F146" s="1568"/>
      <c r="G146" s="1568"/>
      <c r="H146" s="1568"/>
    </row>
    <row r="147" spans="1:8">
      <c r="A147" s="1568"/>
      <c r="B147" s="1568"/>
      <c r="C147" s="1568"/>
      <c r="D147" s="1568"/>
      <c r="E147" s="1568"/>
      <c r="F147" s="1568"/>
      <c r="G147" s="1568"/>
      <c r="H147" s="1568"/>
    </row>
    <row r="148" spans="1:8" ht="15.75">
      <c r="A148" s="1570" t="s">
        <v>922</v>
      </c>
      <c r="B148" s="1568"/>
      <c r="C148" s="1568"/>
      <c r="D148" s="1568"/>
      <c r="E148" s="1568"/>
      <c r="F148" s="1568"/>
      <c r="G148" s="1568"/>
      <c r="H148" s="1568"/>
    </row>
    <row r="149" spans="1:8">
      <c r="A149" s="1568"/>
      <c r="B149" s="1568"/>
      <c r="C149" s="1568"/>
      <c r="D149" s="1568"/>
      <c r="E149" s="1568"/>
      <c r="F149" s="1568"/>
      <c r="G149" s="1568"/>
      <c r="H149" s="1568"/>
    </row>
    <row r="150" spans="1:8">
      <c r="A150" s="1569" t="s">
        <v>1096</v>
      </c>
      <c r="B150" s="1568"/>
      <c r="C150" s="1568"/>
      <c r="D150" s="1568"/>
      <c r="E150" s="1568"/>
      <c r="F150" s="1568"/>
      <c r="G150" s="1568"/>
      <c r="H150" s="1568"/>
    </row>
    <row r="151" spans="1:8">
      <c r="A151" s="1569" t="s">
        <v>1097</v>
      </c>
      <c r="B151" s="1568"/>
      <c r="C151" s="1568"/>
      <c r="D151" s="1568"/>
      <c r="E151" s="1568"/>
      <c r="F151" s="1568"/>
      <c r="G151" s="1568"/>
      <c r="H151" s="1568"/>
    </row>
    <row r="152" spans="1:8">
      <c r="A152" s="1568"/>
      <c r="B152" s="1568"/>
      <c r="C152" s="1568"/>
      <c r="D152" s="1568"/>
      <c r="E152" s="1568"/>
      <c r="F152" s="1568"/>
      <c r="G152" s="1568"/>
      <c r="H152" s="1568"/>
    </row>
    <row r="153" spans="1:8">
      <c r="A153" s="1569" t="s">
        <v>1094</v>
      </c>
      <c r="B153" s="1568"/>
      <c r="C153" s="1568"/>
      <c r="D153" s="1568"/>
      <c r="E153" s="1568"/>
      <c r="F153" s="1568"/>
      <c r="G153" s="1568"/>
      <c r="H153" s="1568"/>
    </row>
    <row r="154" spans="1:8">
      <c r="A154" s="1569" t="s">
        <v>1095</v>
      </c>
      <c r="B154" s="1568"/>
      <c r="C154" s="1568"/>
      <c r="D154" s="1568"/>
      <c r="E154" s="1568"/>
      <c r="F154" s="1568"/>
      <c r="G154" s="1568"/>
      <c r="H154" s="1568"/>
    </row>
    <row r="155" spans="1:8">
      <c r="A155" s="1568"/>
      <c r="B155" s="1568"/>
      <c r="C155" s="1568"/>
      <c r="D155" s="1568"/>
      <c r="E155" s="1568"/>
      <c r="F155" s="1568"/>
      <c r="G155" s="1568"/>
      <c r="H155" s="1568"/>
    </row>
    <row r="156" spans="1:8">
      <c r="A156" s="1569" t="s">
        <v>1092</v>
      </c>
      <c r="B156" s="1568"/>
      <c r="C156" s="1568"/>
      <c r="D156" s="1568"/>
      <c r="E156" s="1568"/>
      <c r="F156" s="1568"/>
      <c r="G156" s="1568"/>
      <c r="H156" s="1568"/>
    </row>
    <row r="157" spans="1:8">
      <c r="A157" s="1569" t="s">
        <v>1093</v>
      </c>
      <c r="B157" s="1568"/>
      <c r="C157" s="1568"/>
      <c r="D157" s="1568"/>
      <c r="E157" s="1568"/>
      <c r="F157" s="1568"/>
      <c r="G157" s="1568"/>
      <c r="H157" s="1568"/>
    </row>
    <row r="158" spans="1:8">
      <c r="A158" s="1568"/>
      <c r="B158" s="1568"/>
      <c r="C158" s="1568"/>
      <c r="D158" s="1568"/>
      <c r="E158" s="1568"/>
      <c r="F158" s="1568"/>
      <c r="G158" s="1568"/>
      <c r="H158" s="1568"/>
    </row>
    <row r="159" spans="1:8">
      <c r="A159" s="1569" t="s">
        <v>1089</v>
      </c>
      <c r="B159" s="1568"/>
      <c r="C159" s="1568"/>
      <c r="D159" s="1568"/>
      <c r="E159" s="1568"/>
      <c r="F159" s="1568"/>
      <c r="G159" s="1568"/>
      <c r="H159" s="1568"/>
    </row>
    <row r="160" spans="1:8">
      <c r="A160" s="1569" t="s">
        <v>1090</v>
      </c>
      <c r="B160" s="1568"/>
      <c r="C160" s="1568"/>
      <c r="D160" s="1568"/>
      <c r="E160" s="1568"/>
      <c r="F160" s="1568"/>
      <c r="G160" s="1568"/>
      <c r="H160" s="1568"/>
    </row>
    <row r="161" spans="1:8">
      <c r="A161" s="1569" t="s">
        <v>1091</v>
      </c>
      <c r="B161" s="1568"/>
      <c r="C161" s="1568"/>
      <c r="D161" s="1568"/>
      <c r="E161" s="1568"/>
      <c r="F161" s="1568"/>
      <c r="G161" s="1568"/>
      <c r="H161" s="1568"/>
    </row>
    <row r="162" spans="1:8">
      <c r="A162" s="1568"/>
      <c r="B162" s="1568"/>
      <c r="C162" s="1568"/>
      <c r="D162" s="1568"/>
      <c r="E162" s="1568"/>
      <c r="F162" s="1568"/>
      <c r="G162" s="1568"/>
      <c r="H162" s="1568"/>
    </row>
    <row r="163" spans="1:8">
      <c r="A163" s="1568"/>
      <c r="B163" s="1568"/>
      <c r="C163" s="1568"/>
      <c r="D163" s="1568"/>
      <c r="E163" s="1568"/>
      <c r="F163" s="1568"/>
      <c r="G163" s="1568"/>
      <c r="H163" s="1568"/>
    </row>
    <row r="164" spans="1:8">
      <c r="A164" s="1569" t="s">
        <v>923</v>
      </c>
      <c r="B164" s="1568"/>
      <c r="C164" s="1568"/>
      <c r="D164" s="1568"/>
      <c r="E164" s="1568"/>
      <c r="F164" s="1568"/>
      <c r="G164" s="1568"/>
      <c r="H164" s="1568"/>
    </row>
    <row r="165" spans="1:8">
      <c r="A165" s="1568"/>
      <c r="B165" s="1568"/>
      <c r="C165" s="1568"/>
      <c r="D165" s="1568"/>
      <c r="E165" s="1568"/>
      <c r="F165" s="1568"/>
      <c r="G165" s="1568"/>
      <c r="H165" s="1568"/>
    </row>
    <row r="166" spans="1:8" ht="15.75">
      <c r="A166" s="1570" t="s">
        <v>924</v>
      </c>
      <c r="B166" s="1568"/>
      <c r="C166" s="1568"/>
      <c r="D166" s="1568"/>
      <c r="E166" s="1568"/>
      <c r="F166" s="1568"/>
      <c r="G166" s="1568"/>
      <c r="H166" s="1568"/>
    </row>
    <row r="167" spans="1:8">
      <c r="A167" s="1568"/>
      <c r="B167" s="1568"/>
      <c r="C167" s="1568"/>
      <c r="D167" s="1568"/>
      <c r="E167" s="1568"/>
      <c r="F167" s="1568"/>
      <c r="G167" s="1568"/>
      <c r="H167" s="1568"/>
    </row>
    <row r="168" spans="1:8">
      <c r="A168" s="1568"/>
      <c r="B168" s="1568"/>
      <c r="C168" s="1568"/>
      <c r="D168" s="1568"/>
      <c r="E168" s="1568"/>
      <c r="F168" s="1568"/>
      <c r="G168" s="1568"/>
      <c r="H168" s="1568"/>
    </row>
    <row r="169" spans="1:8">
      <c r="A169" s="1568"/>
      <c r="B169" s="1568"/>
      <c r="C169" s="1568"/>
      <c r="D169" s="1568"/>
      <c r="E169" s="1568"/>
      <c r="F169" s="1568"/>
      <c r="G169" s="1568"/>
      <c r="H169" s="1568"/>
    </row>
    <row r="170" spans="1:8">
      <c r="A170" s="1568"/>
      <c r="B170" s="1568"/>
      <c r="C170" s="1568"/>
      <c r="D170" s="1568"/>
      <c r="E170" s="1568"/>
      <c r="F170" s="1568"/>
      <c r="G170" s="1568"/>
      <c r="H170" s="1568"/>
    </row>
    <row r="171" spans="1:8">
      <c r="A171" s="1568"/>
      <c r="B171" s="1568"/>
      <c r="C171" s="1568"/>
      <c r="D171" s="1568"/>
      <c r="E171" s="1568"/>
      <c r="F171" s="1568"/>
      <c r="G171" s="1568"/>
      <c r="H171" s="1568"/>
    </row>
    <row r="172" spans="1:8">
      <c r="A172" s="1568"/>
      <c r="B172" s="1568"/>
      <c r="C172" s="1568"/>
      <c r="D172" s="1568"/>
      <c r="E172" s="1568"/>
      <c r="F172" s="1568"/>
      <c r="G172" s="1568"/>
      <c r="H172" s="1568"/>
    </row>
    <row r="173" spans="1:8">
      <c r="A173" s="1568"/>
      <c r="B173" s="1568"/>
      <c r="C173" s="1568"/>
      <c r="D173" s="1568"/>
      <c r="E173" s="1568"/>
      <c r="F173" s="1568"/>
      <c r="G173" s="1568"/>
      <c r="H173" s="1568"/>
    </row>
    <row r="174" spans="1:8">
      <c r="A174" s="1568"/>
      <c r="B174" s="1568"/>
      <c r="C174" s="1568"/>
      <c r="D174" s="1568"/>
      <c r="E174" s="1568"/>
      <c r="F174" s="1568"/>
      <c r="G174" s="1568"/>
      <c r="H174" s="1568"/>
    </row>
    <row r="175" spans="1:8">
      <c r="A175" s="1568"/>
      <c r="B175" s="1568"/>
      <c r="C175" s="1568"/>
      <c r="D175" s="1568"/>
      <c r="E175" s="1568"/>
      <c r="F175" s="1568"/>
      <c r="G175" s="1568"/>
      <c r="H175" s="1568"/>
    </row>
    <row r="176" spans="1:8">
      <c r="A176" s="1568"/>
      <c r="B176" s="1568"/>
      <c r="C176" s="1568"/>
      <c r="D176" s="1568"/>
      <c r="E176" s="1568"/>
      <c r="F176" s="1568"/>
      <c r="G176" s="1568"/>
      <c r="H176" s="1568"/>
    </row>
    <row r="177" spans="1:8">
      <c r="A177" s="1568"/>
      <c r="B177" s="1568"/>
      <c r="C177" s="1568"/>
      <c r="D177" s="1568"/>
      <c r="E177" s="1568"/>
      <c r="F177" s="1568"/>
      <c r="G177" s="1568"/>
      <c r="H177" s="1568"/>
    </row>
    <row r="178" spans="1:8">
      <c r="A178" s="1568"/>
      <c r="B178" s="1568"/>
      <c r="C178" s="1568"/>
      <c r="D178" s="1568"/>
      <c r="E178" s="1568"/>
      <c r="F178" s="1568"/>
      <c r="G178" s="1568"/>
      <c r="H178" s="1568"/>
    </row>
    <row r="179" spans="1:8">
      <c r="A179" s="1568"/>
      <c r="B179" s="1568"/>
      <c r="C179" s="1568"/>
      <c r="D179" s="1568"/>
      <c r="E179" s="1568"/>
      <c r="F179" s="1568"/>
      <c r="G179" s="1568"/>
      <c r="H179" s="1568"/>
    </row>
    <row r="180" spans="1:8">
      <c r="A180" s="1568"/>
      <c r="B180" s="1568"/>
      <c r="C180" s="1568"/>
      <c r="D180" s="1568"/>
      <c r="E180" s="1568"/>
      <c r="F180" s="1568"/>
      <c r="G180" s="1568"/>
      <c r="H180" s="1568"/>
    </row>
    <row r="181" spans="1:8">
      <c r="A181" s="1568"/>
      <c r="B181" s="1568"/>
      <c r="C181" s="1568"/>
      <c r="D181" s="1568"/>
      <c r="E181" s="1568"/>
      <c r="F181" s="1568"/>
      <c r="G181" s="1568"/>
      <c r="H181" s="1568"/>
    </row>
    <row r="182" spans="1:8">
      <c r="A182" s="1568"/>
      <c r="B182" s="1568"/>
      <c r="C182" s="1568"/>
      <c r="D182" s="1568"/>
      <c r="E182" s="1568"/>
      <c r="F182" s="1568"/>
      <c r="G182" s="1568"/>
      <c r="H182" s="1568"/>
    </row>
    <row r="183" spans="1:8">
      <c r="A183" s="1568"/>
      <c r="B183" s="1568"/>
      <c r="C183" s="1568"/>
      <c r="D183" s="1568"/>
      <c r="E183" s="1568"/>
      <c r="F183" s="1568"/>
      <c r="G183" s="1568"/>
      <c r="H183" s="1568"/>
    </row>
    <row r="184" spans="1:8">
      <c r="A184" s="1568"/>
      <c r="B184" s="1568"/>
      <c r="C184" s="1568"/>
      <c r="D184" s="1568"/>
      <c r="E184" s="1568"/>
      <c r="F184" s="1568"/>
      <c r="G184" s="1568"/>
      <c r="H184" s="1568"/>
    </row>
    <row r="185" spans="1:8">
      <c r="A185" s="1568"/>
      <c r="B185" s="1568"/>
      <c r="C185" s="1568"/>
      <c r="D185" s="1568"/>
      <c r="E185" s="1568"/>
      <c r="F185" s="1568"/>
      <c r="G185" s="1568"/>
      <c r="H185" s="1568"/>
    </row>
    <row r="186" spans="1:8">
      <c r="A186" s="1568"/>
      <c r="B186" s="1568"/>
      <c r="C186" s="1568"/>
      <c r="D186" s="1568"/>
      <c r="E186" s="1568"/>
      <c r="F186" s="1568"/>
      <c r="G186" s="1568"/>
      <c r="H186" s="1568"/>
    </row>
    <row r="187" spans="1:8">
      <c r="A187" s="1568"/>
      <c r="B187" s="1568"/>
      <c r="C187" s="1568"/>
      <c r="D187" s="1568"/>
      <c r="E187" s="1568"/>
      <c r="F187" s="1568"/>
      <c r="G187" s="1568"/>
      <c r="H187" s="1568"/>
    </row>
    <row r="188" spans="1:8">
      <c r="A188" s="1568"/>
      <c r="B188" s="1568"/>
      <c r="C188" s="1568"/>
      <c r="D188" s="1568"/>
      <c r="E188" s="1568"/>
      <c r="F188" s="1568"/>
      <c r="G188" s="1568"/>
      <c r="H188" s="1568"/>
    </row>
    <row r="189" spans="1:8">
      <c r="A189" s="1568"/>
      <c r="B189" s="1568"/>
      <c r="C189" s="1568"/>
      <c r="D189" s="1568"/>
      <c r="E189" s="1568"/>
      <c r="F189" s="1568"/>
      <c r="G189" s="1568"/>
      <c r="H189" s="1568"/>
    </row>
    <row r="190" spans="1:8">
      <c r="A190" s="1568"/>
      <c r="B190" s="1568"/>
      <c r="C190" s="1568"/>
      <c r="D190" s="1568"/>
      <c r="E190" s="1568"/>
      <c r="F190" s="1568"/>
      <c r="G190" s="1568"/>
      <c r="H190" s="1568"/>
    </row>
    <row r="191" spans="1:8">
      <c r="A191" s="1568"/>
      <c r="B191" s="1568"/>
      <c r="C191" s="1568"/>
      <c r="D191" s="1568"/>
      <c r="E191" s="1568"/>
      <c r="F191" s="1568"/>
      <c r="G191" s="1568"/>
      <c r="H191" s="1568"/>
    </row>
    <row r="192" spans="1:8">
      <c r="A192" s="1568"/>
      <c r="B192" s="1568"/>
      <c r="C192" s="1568"/>
      <c r="D192" s="1568"/>
      <c r="E192" s="1568"/>
      <c r="F192" s="1568"/>
      <c r="G192" s="1568"/>
      <c r="H192" s="1568"/>
    </row>
    <row r="193" spans="1:8" ht="15.75">
      <c r="A193" s="1570" t="s">
        <v>925</v>
      </c>
      <c r="B193" s="1568"/>
      <c r="C193" s="1568"/>
      <c r="D193" s="1568"/>
      <c r="E193" s="1568"/>
      <c r="F193" s="1568"/>
      <c r="G193" s="1568"/>
      <c r="H193" s="1568"/>
    </row>
    <row r="194" spans="1:8">
      <c r="A194" s="1568"/>
      <c r="B194" s="1568"/>
      <c r="C194" s="1568"/>
      <c r="D194" s="1568"/>
      <c r="E194" s="1568"/>
      <c r="F194" s="1568"/>
      <c r="G194" s="1568"/>
      <c r="H194" s="1568"/>
    </row>
    <row r="195" spans="1:8">
      <c r="A195" s="1569" t="s">
        <v>1084</v>
      </c>
      <c r="B195" s="1568"/>
      <c r="C195" s="1568"/>
      <c r="D195" s="1568"/>
      <c r="E195" s="1568"/>
      <c r="F195" s="1568"/>
      <c r="G195" s="1568"/>
      <c r="H195" s="1568"/>
    </row>
    <row r="196" spans="1:8">
      <c r="A196" s="1569" t="s">
        <v>1085</v>
      </c>
      <c r="B196" s="1568"/>
      <c r="C196" s="1568"/>
      <c r="D196" s="1568"/>
      <c r="E196" s="1568"/>
      <c r="F196" s="1568"/>
      <c r="G196" s="1568"/>
      <c r="H196" s="1568"/>
    </row>
    <row r="197" spans="1:8">
      <c r="A197" s="1569" t="s">
        <v>1086</v>
      </c>
      <c r="B197" s="1568"/>
      <c r="C197" s="1568"/>
      <c r="D197" s="1568"/>
      <c r="E197" s="1568"/>
      <c r="F197" s="1568"/>
      <c r="G197" s="1568"/>
      <c r="H197" s="1568"/>
    </row>
    <row r="198" spans="1:8">
      <c r="A198" s="1569" t="s">
        <v>1087</v>
      </c>
      <c r="B198" s="1568"/>
      <c r="C198" s="1568"/>
      <c r="D198" s="1568"/>
      <c r="E198" s="1568"/>
      <c r="F198" s="1568"/>
      <c r="G198" s="1568"/>
      <c r="H198" s="1568"/>
    </row>
    <row r="199" spans="1:8">
      <c r="A199" s="1569" t="s">
        <v>1088</v>
      </c>
      <c r="B199" s="1568"/>
      <c r="C199" s="1568"/>
      <c r="D199" s="1568"/>
      <c r="E199" s="1568"/>
      <c r="F199" s="1568"/>
      <c r="G199" s="1568"/>
      <c r="H199" s="1568"/>
    </row>
    <row r="200" spans="1:8">
      <c r="A200" s="1568"/>
      <c r="B200" s="1568"/>
      <c r="C200" s="1568"/>
      <c r="D200" s="1568"/>
      <c r="E200" s="1568"/>
      <c r="F200" s="1568"/>
      <c r="G200" s="1568"/>
      <c r="H200" s="1568"/>
    </row>
    <row r="201" spans="1:8">
      <c r="A201" s="1569" t="s">
        <v>1081</v>
      </c>
      <c r="B201" s="1568"/>
      <c r="C201" s="1568"/>
      <c r="D201" s="1568"/>
      <c r="E201" s="1568"/>
      <c r="F201" s="1568"/>
      <c r="G201" s="1568"/>
      <c r="H201" s="1568"/>
    </row>
    <row r="202" spans="1:8">
      <c r="A202" s="1569" t="s">
        <v>1082</v>
      </c>
      <c r="B202" s="1568"/>
      <c r="C202" s="1568"/>
      <c r="D202" s="1568"/>
      <c r="E202" s="1568"/>
      <c r="F202" s="1568"/>
      <c r="G202" s="1568"/>
      <c r="H202" s="1568"/>
    </row>
    <row r="203" spans="1:8">
      <c r="A203" s="1569" t="s">
        <v>1083</v>
      </c>
      <c r="B203" s="1568"/>
      <c r="C203" s="1568"/>
      <c r="D203" s="1568"/>
      <c r="E203" s="1568"/>
      <c r="F203" s="1568"/>
      <c r="G203" s="1568"/>
      <c r="H203" s="1568"/>
    </row>
    <row r="204" spans="1:8" ht="15.75">
      <c r="A204" s="1570" t="s">
        <v>926</v>
      </c>
      <c r="B204" s="1568"/>
      <c r="C204" s="1568"/>
      <c r="D204" s="1568"/>
      <c r="E204" s="1568"/>
      <c r="F204" s="1568"/>
      <c r="G204" s="1568"/>
      <c r="H204" s="1568"/>
    </row>
    <row r="205" spans="1:8">
      <c r="A205" s="1568"/>
      <c r="B205" s="1568"/>
      <c r="C205" s="1568"/>
      <c r="D205" s="1568"/>
      <c r="E205" s="1568"/>
      <c r="F205" s="1568"/>
      <c r="G205" s="1568"/>
      <c r="H205" s="1568"/>
    </row>
    <row r="206" spans="1:8">
      <c r="A206" s="1569" t="s">
        <v>1074</v>
      </c>
      <c r="B206" s="1568"/>
      <c r="C206" s="1568"/>
      <c r="D206" s="1568"/>
      <c r="E206" s="1568"/>
      <c r="F206" s="1568"/>
      <c r="G206" s="1568"/>
      <c r="H206" s="1568"/>
    </row>
    <row r="207" spans="1:8">
      <c r="A207" s="1569" t="s">
        <v>1075</v>
      </c>
      <c r="B207" s="1568"/>
      <c r="C207" s="1568"/>
      <c r="D207" s="1568"/>
      <c r="E207" s="1568"/>
      <c r="F207" s="1568"/>
      <c r="G207" s="1568"/>
      <c r="H207" s="1568"/>
    </row>
    <row r="208" spans="1:8">
      <c r="A208" s="1569" t="s">
        <v>1076</v>
      </c>
      <c r="B208" s="1568"/>
      <c r="C208" s="1568"/>
      <c r="D208" s="1568"/>
      <c r="E208" s="1568"/>
      <c r="F208" s="1568"/>
      <c r="G208" s="1568"/>
      <c r="H208" s="1568"/>
    </row>
    <row r="209" spans="1:8">
      <c r="A209" s="1569" t="s">
        <v>1077</v>
      </c>
      <c r="B209" s="1568"/>
      <c r="C209" s="1568"/>
      <c r="D209" s="1568"/>
      <c r="E209" s="1568"/>
      <c r="F209" s="1568"/>
      <c r="G209" s="1568"/>
      <c r="H209" s="1568"/>
    </row>
    <row r="210" spans="1:8">
      <c r="A210" s="1569" t="s">
        <v>1078</v>
      </c>
      <c r="B210" s="1568"/>
      <c r="C210" s="1568"/>
      <c r="D210" s="1568"/>
      <c r="E210" s="1568"/>
      <c r="F210" s="1568"/>
      <c r="G210" s="1568"/>
      <c r="H210" s="1568"/>
    </row>
    <row r="211" spans="1:8">
      <c r="A211" s="1569" t="s">
        <v>1079</v>
      </c>
      <c r="B211" s="1568"/>
      <c r="C211" s="1568"/>
      <c r="D211" s="1568"/>
      <c r="E211" s="1568"/>
      <c r="F211" s="1568"/>
      <c r="G211" s="1568"/>
      <c r="H211" s="1568"/>
    </row>
    <row r="212" spans="1:8">
      <c r="A212" s="1569" t="s">
        <v>1080</v>
      </c>
      <c r="B212" s="1568"/>
      <c r="C212" s="1568"/>
      <c r="D212" s="1568"/>
      <c r="E212" s="1568"/>
      <c r="F212" s="1568"/>
      <c r="G212" s="1568"/>
      <c r="H212" s="1568"/>
    </row>
    <row r="213" spans="1:8">
      <c r="A213" s="1568"/>
      <c r="B213" s="1568"/>
      <c r="C213" s="1568"/>
      <c r="D213" s="1568"/>
      <c r="E213" s="1568"/>
      <c r="F213" s="1568"/>
      <c r="G213" s="1568"/>
      <c r="H213" s="1568"/>
    </row>
    <row r="214" spans="1:8">
      <c r="A214" s="1569" t="s">
        <v>1071</v>
      </c>
      <c r="B214" s="1568"/>
      <c r="C214" s="1568"/>
      <c r="D214" s="1568"/>
      <c r="E214" s="1568"/>
      <c r="F214" s="1568"/>
      <c r="G214" s="1568"/>
      <c r="H214" s="1568"/>
    </row>
    <row r="215" spans="1:8">
      <c r="A215" s="1569" t="s">
        <v>1072</v>
      </c>
      <c r="B215" s="1568"/>
      <c r="C215" s="1568"/>
      <c r="D215" s="1568"/>
      <c r="E215" s="1568"/>
      <c r="F215" s="1568"/>
      <c r="G215" s="1568"/>
      <c r="H215" s="1568"/>
    </row>
    <row r="216" spans="1:8">
      <c r="A216" s="1569" t="s">
        <v>1073</v>
      </c>
      <c r="B216" s="1568"/>
      <c r="C216" s="1568"/>
      <c r="D216" s="1568"/>
      <c r="E216" s="1568"/>
      <c r="F216" s="1568"/>
      <c r="G216" s="1568"/>
      <c r="H216" s="1568"/>
    </row>
    <row r="217" spans="1:8">
      <c r="A217" s="1568"/>
      <c r="B217" s="1568"/>
      <c r="C217" s="1568"/>
      <c r="D217" s="1568"/>
      <c r="E217" s="1568"/>
      <c r="F217" s="1568"/>
      <c r="G217" s="1568"/>
      <c r="H217" s="1568"/>
    </row>
    <row r="218" spans="1:8">
      <c r="A218" s="1569" t="s">
        <v>1066</v>
      </c>
      <c r="B218" s="1568"/>
      <c r="C218" s="1568"/>
      <c r="D218" s="1568"/>
      <c r="E218" s="1568"/>
      <c r="F218" s="1568"/>
      <c r="G218" s="1568"/>
      <c r="H218" s="1568"/>
    </row>
    <row r="219" spans="1:8">
      <c r="A219" s="1569" t="s">
        <v>1067</v>
      </c>
      <c r="B219" s="1568"/>
      <c r="C219" s="1568"/>
      <c r="D219" s="1568"/>
      <c r="E219" s="1568"/>
      <c r="F219" s="1568"/>
      <c r="G219" s="1568"/>
      <c r="H219" s="1568"/>
    </row>
    <row r="220" spans="1:8">
      <c r="A220" s="1569" t="s">
        <v>1068</v>
      </c>
      <c r="B220" s="1568"/>
      <c r="C220" s="1568"/>
      <c r="D220" s="1568"/>
      <c r="E220" s="1568"/>
      <c r="F220" s="1568"/>
      <c r="G220" s="1568"/>
      <c r="H220" s="1568"/>
    </row>
    <row r="221" spans="1:8">
      <c r="A221" s="1569" t="s">
        <v>1069</v>
      </c>
      <c r="B221" s="1568"/>
      <c r="C221" s="1568"/>
      <c r="D221" s="1568"/>
      <c r="E221" s="1568"/>
      <c r="F221" s="1568"/>
      <c r="G221" s="1568"/>
      <c r="H221" s="1568"/>
    </row>
    <row r="222" spans="1:8">
      <c r="A222" s="1569" t="s">
        <v>1070</v>
      </c>
      <c r="B222" s="1568"/>
      <c r="C222" s="1568"/>
      <c r="D222" s="1568"/>
      <c r="E222" s="1568"/>
      <c r="F222" s="1568"/>
      <c r="G222" s="1568"/>
      <c r="H222" s="1568"/>
    </row>
    <row r="223" spans="1:8">
      <c r="A223" s="1568"/>
      <c r="B223" s="1568"/>
      <c r="C223" s="1568"/>
      <c r="D223" s="1568"/>
      <c r="E223" s="1568"/>
      <c r="F223" s="1568"/>
      <c r="G223" s="1568"/>
      <c r="H223" s="1568"/>
    </row>
    <row r="224" spans="1:8">
      <c r="A224" s="1569" t="s">
        <v>1060</v>
      </c>
      <c r="B224" s="1568"/>
      <c r="C224" s="1568"/>
      <c r="D224" s="1568"/>
      <c r="E224" s="1568"/>
      <c r="F224" s="1568"/>
      <c r="G224" s="1568"/>
      <c r="H224" s="1568"/>
    </row>
    <row r="225" spans="1:8">
      <c r="A225" s="1569" t="s">
        <v>1061</v>
      </c>
      <c r="B225" s="1568"/>
      <c r="C225" s="1568"/>
      <c r="D225" s="1568"/>
      <c r="E225" s="1568"/>
      <c r="F225" s="1568"/>
      <c r="G225" s="1568"/>
      <c r="H225" s="1568"/>
    </row>
    <row r="226" spans="1:8">
      <c r="A226" s="1569" t="s">
        <v>1062</v>
      </c>
      <c r="B226" s="1568"/>
      <c r="C226" s="1568"/>
      <c r="D226" s="1568"/>
      <c r="E226" s="1568"/>
      <c r="F226" s="1568"/>
      <c r="G226" s="1568"/>
      <c r="H226" s="1568"/>
    </row>
    <row r="227" spans="1:8">
      <c r="A227" s="1569" t="s">
        <v>1063</v>
      </c>
      <c r="B227" s="1568"/>
      <c r="C227" s="1568"/>
      <c r="D227" s="1568"/>
      <c r="E227" s="1568"/>
      <c r="F227" s="1568"/>
      <c r="G227" s="1568"/>
      <c r="H227" s="1568"/>
    </row>
    <row r="228" spans="1:8">
      <c r="A228" s="1569" t="s">
        <v>1064</v>
      </c>
      <c r="B228" s="1568"/>
      <c r="C228" s="1568"/>
      <c r="D228" s="1568"/>
      <c r="E228" s="1568"/>
      <c r="F228" s="1568"/>
      <c r="G228" s="1568"/>
      <c r="H228" s="1568"/>
    </row>
    <row r="229" spans="1:8">
      <c r="A229" s="1569" t="s">
        <v>1065</v>
      </c>
      <c r="B229" s="1568"/>
      <c r="C229" s="1568"/>
      <c r="D229" s="1568"/>
      <c r="E229" s="1568"/>
      <c r="F229" s="1568"/>
      <c r="G229" s="1568"/>
      <c r="H229" s="1568"/>
    </row>
    <row r="230" spans="1:8">
      <c r="A230" s="1568"/>
      <c r="B230" s="1568"/>
      <c r="C230" s="1568"/>
      <c r="D230" s="1568"/>
      <c r="E230" s="1568"/>
      <c r="F230" s="1568"/>
      <c r="G230" s="1568"/>
      <c r="H230" s="1568"/>
    </row>
    <row r="231" spans="1:8">
      <c r="A231" s="1569" t="s">
        <v>1050</v>
      </c>
      <c r="B231" s="1568"/>
      <c r="C231" s="1568"/>
      <c r="D231" s="1568"/>
      <c r="E231" s="1568"/>
      <c r="F231" s="1568"/>
      <c r="G231" s="1568"/>
      <c r="H231" s="1568"/>
    </row>
    <row r="232" spans="1:8">
      <c r="A232" s="1569" t="s">
        <v>1051</v>
      </c>
      <c r="B232" s="1568"/>
      <c r="C232" s="1568"/>
      <c r="D232" s="1568"/>
      <c r="E232" s="1568"/>
      <c r="F232" s="1568"/>
      <c r="G232" s="1568"/>
      <c r="H232" s="1568"/>
    </row>
    <row r="233" spans="1:8">
      <c r="A233" s="1569" t="s">
        <v>1052</v>
      </c>
      <c r="B233" s="1568"/>
      <c r="C233" s="1568"/>
      <c r="D233" s="1568"/>
      <c r="E233" s="1568"/>
      <c r="F233" s="1568"/>
      <c r="G233" s="1568"/>
      <c r="H233" s="1568"/>
    </row>
    <row r="234" spans="1:8">
      <c r="A234" s="1569" t="s">
        <v>1053</v>
      </c>
      <c r="B234" s="1568"/>
      <c r="C234" s="1568"/>
      <c r="D234" s="1568"/>
      <c r="E234" s="1568"/>
      <c r="F234" s="1568"/>
      <c r="G234" s="1568"/>
      <c r="H234" s="1568"/>
    </row>
    <row r="235" spans="1:8">
      <c r="A235" s="1569" t="s">
        <v>1054</v>
      </c>
      <c r="B235" s="1568"/>
      <c r="C235" s="1568"/>
      <c r="D235" s="1568"/>
      <c r="E235" s="1568"/>
      <c r="F235" s="1568"/>
      <c r="G235" s="1568"/>
      <c r="H235" s="1568"/>
    </row>
    <row r="236" spans="1:8">
      <c r="A236" s="1569" t="s">
        <v>1055</v>
      </c>
      <c r="B236" s="1568"/>
      <c r="C236" s="1568"/>
      <c r="D236" s="1568"/>
      <c r="E236" s="1568"/>
      <c r="F236" s="1568"/>
      <c r="G236" s="1568"/>
      <c r="H236" s="1568"/>
    </row>
    <row r="237" spans="1:8">
      <c r="A237" s="1569" t="s">
        <v>1056</v>
      </c>
      <c r="B237" s="1568"/>
      <c r="C237" s="1568"/>
      <c r="D237" s="1568"/>
      <c r="E237" s="1568"/>
      <c r="F237" s="1568"/>
      <c r="G237" s="1568"/>
      <c r="H237" s="1568"/>
    </row>
    <row r="238" spans="1:8">
      <c r="A238" s="1569" t="s">
        <v>1057</v>
      </c>
      <c r="B238" s="1568"/>
      <c r="C238" s="1568"/>
      <c r="D238" s="1568"/>
      <c r="E238" s="1568"/>
      <c r="F238" s="1568"/>
      <c r="G238" s="1568"/>
      <c r="H238" s="1568"/>
    </row>
    <row r="239" spans="1:8">
      <c r="A239" s="1569" t="s">
        <v>1058</v>
      </c>
      <c r="B239" s="1568"/>
      <c r="C239" s="1568"/>
      <c r="D239" s="1568"/>
      <c r="E239" s="1568"/>
      <c r="F239" s="1568"/>
      <c r="G239" s="1568"/>
      <c r="H239" s="1568"/>
    </row>
    <row r="240" spans="1:8">
      <c r="A240" s="1569" t="s">
        <v>1059</v>
      </c>
      <c r="B240" s="1568"/>
      <c r="C240" s="1568"/>
      <c r="D240" s="1568"/>
      <c r="E240" s="1568"/>
      <c r="F240" s="1568"/>
      <c r="G240" s="1568"/>
      <c r="H240" s="1568"/>
    </row>
    <row r="241" spans="1:8">
      <c r="A241" s="1568"/>
      <c r="B241" s="1568"/>
      <c r="C241" s="1568"/>
      <c r="D241" s="1568"/>
      <c r="E241" s="1568"/>
      <c r="F241" s="1568"/>
      <c r="G241" s="1568"/>
      <c r="H241" s="1568"/>
    </row>
    <row r="242" spans="1:8">
      <c r="A242" s="1569" t="s">
        <v>1048</v>
      </c>
      <c r="B242" s="1568"/>
      <c r="C242" s="1568"/>
      <c r="D242" s="1568"/>
      <c r="E242" s="1568"/>
      <c r="F242" s="1568"/>
      <c r="G242" s="1568"/>
      <c r="H242" s="1568"/>
    </row>
    <row r="243" spans="1:8">
      <c r="A243" s="1569" t="s">
        <v>1049</v>
      </c>
      <c r="B243" s="1568"/>
      <c r="C243" s="1568"/>
      <c r="D243" s="1568"/>
      <c r="E243" s="1568"/>
      <c r="F243" s="1568"/>
      <c r="G243" s="1568"/>
      <c r="H243" s="1568"/>
    </row>
    <row r="244" spans="1:8">
      <c r="A244" s="1568"/>
      <c r="B244" s="1568"/>
      <c r="C244" s="1568"/>
      <c r="D244" s="1568"/>
      <c r="E244" s="1568"/>
      <c r="F244" s="1568"/>
      <c r="G244" s="1568"/>
      <c r="H244" s="1568"/>
    </row>
    <row r="245" spans="1:8">
      <c r="A245" s="1569" t="s">
        <v>1032</v>
      </c>
      <c r="B245" s="1568"/>
      <c r="C245" s="1568"/>
      <c r="D245" s="1568"/>
      <c r="E245" s="1568"/>
      <c r="F245" s="1568"/>
      <c r="G245" s="1568"/>
      <c r="H245" s="1568"/>
    </row>
    <row r="246" spans="1:8">
      <c r="A246" s="1569" t="s">
        <v>1033</v>
      </c>
      <c r="B246" s="1568"/>
      <c r="C246" s="1568"/>
      <c r="D246" s="1568"/>
      <c r="E246" s="1568"/>
      <c r="F246" s="1568"/>
      <c r="G246" s="1568"/>
      <c r="H246" s="1568"/>
    </row>
    <row r="247" spans="1:8">
      <c r="A247" s="1569" t="s">
        <v>1034</v>
      </c>
      <c r="B247" s="1568"/>
      <c r="C247" s="1568"/>
      <c r="D247" s="1568"/>
      <c r="E247" s="1568"/>
      <c r="F247" s="1568"/>
      <c r="G247" s="1568"/>
      <c r="H247" s="1568"/>
    </row>
    <row r="248" spans="1:8">
      <c r="A248" s="1569" t="s">
        <v>1035</v>
      </c>
      <c r="B248" s="1568"/>
      <c r="C248" s="1568"/>
      <c r="D248" s="1568"/>
      <c r="E248" s="1568"/>
      <c r="F248" s="1568"/>
      <c r="G248" s="1568"/>
      <c r="H248" s="1568"/>
    </row>
    <row r="249" spans="1:8">
      <c r="A249" s="1569" t="s">
        <v>1036</v>
      </c>
      <c r="B249" s="1568"/>
      <c r="C249" s="1568"/>
      <c r="D249" s="1568"/>
      <c r="E249" s="1568"/>
      <c r="F249" s="1568"/>
      <c r="G249" s="1568"/>
      <c r="H249" s="1568"/>
    </row>
    <row r="250" spans="1:8">
      <c r="A250" s="1569" t="s">
        <v>1037</v>
      </c>
      <c r="B250" s="1568"/>
      <c r="C250" s="1568"/>
      <c r="D250" s="1568"/>
      <c r="E250" s="1568"/>
      <c r="F250" s="1568"/>
      <c r="G250" s="1568"/>
      <c r="H250" s="1568"/>
    </row>
    <row r="251" spans="1:8">
      <c r="A251" s="1569" t="s">
        <v>1038</v>
      </c>
      <c r="B251" s="1568"/>
      <c r="C251" s="1568"/>
      <c r="D251" s="1568"/>
      <c r="E251" s="1568"/>
      <c r="F251" s="1568"/>
      <c r="G251" s="1568"/>
      <c r="H251" s="1568"/>
    </row>
    <row r="252" spans="1:8">
      <c r="A252" s="1569" t="s">
        <v>1039</v>
      </c>
      <c r="B252" s="1568"/>
      <c r="C252" s="1568"/>
      <c r="D252" s="1568"/>
      <c r="E252" s="1568"/>
      <c r="F252" s="1568"/>
      <c r="G252" s="1568"/>
      <c r="H252" s="1568"/>
    </row>
    <row r="253" spans="1:8">
      <c r="A253" s="1569" t="s">
        <v>1040</v>
      </c>
      <c r="B253" s="1568"/>
      <c r="C253" s="1568"/>
      <c r="D253" s="1568"/>
      <c r="E253" s="1568"/>
      <c r="F253" s="1568"/>
      <c r="G253" s="1568"/>
      <c r="H253" s="1568"/>
    </row>
    <row r="254" spans="1:8">
      <c r="A254" s="1569" t="s">
        <v>1041</v>
      </c>
      <c r="B254" s="1568"/>
      <c r="C254" s="1568"/>
      <c r="D254" s="1568"/>
      <c r="E254" s="1568"/>
      <c r="F254" s="1568"/>
      <c r="G254" s="1568"/>
      <c r="H254" s="1568"/>
    </row>
    <row r="255" spans="1:8">
      <c r="A255" s="1569" t="s">
        <v>1042</v>
      </c>
      <c r="B255" s="1568"/>
      <c r="C255" s="1568"/>
      <c r="D255" s="1568"/>
      <c r="E255" s="1568"/>
      <c r="F255" s="1568"/>
      <c r="G255" s="1568"/>
      <c r="H255" s="1568"/>
    </row>
    <row r="256" spans="1:8">
      <c r="A256" s="1569" t="s">
        <v>1043</v>
      </c>
      <c r="B256" s="1568"/>
      <c r="C256" s="1568"/>
      <c r="D256" s="1568"/>
      <c r="E256" s="1568"/>
      <c r="F256" s="1568"/>
      <c r="G256" s="1568"/>
      <c r="H256" s="1568"/>
    </row>
    <row r="257" spans="1:8">
      <c r="A257" s="1569" t="s">
        <v>1044</v>
      </c>
      <c r="B257" s="1568"/>
      <c r="C257" s="1568"/>
      <c r="D257" s="1568"/>
      <c r="E257" s="1568"/>
      <c r="F257" s="1568"/>
      <c r="G257" s="1568"/>
      <c r="H257" s="1568"/>
    </row>
    <row r="258" spans="1:8">
      <c r="A258" s="1569" t="s">
        <v>1045</v>
      </c>
      <c r="B258" s="1568"/>
      <c r="C258" s="1568"/>
      <c r="D258" s="1568"/>
      <c r="E258" s="1568"/>
      <c r="F258" s="1568"/>
      <c r="G258" s="1568"/>
      <c r="H258" s="1568"/>
    </row>
    <row r="259" spans="1:8">
      <c r="A259" s="1569" t="s">
        <v>1046</v>
      </c>
      <c r="B259" s="1568"/>
      <c r="C259" s="1568"/>
      <c r="D259" s="1568"/>
      <c r="E259" s="1568"/>
      <c r="F259" s="1568"/>
      <c r="G259" s="1568"/>
      <c r="H259" s="1568"/>
    </row>
    <row r="260" spans="1:8">
      <c r="A260" s="1569" t="s">
        <v>1047</v>
      </c>
      <c r="B260" s="1568"/>
      <c r="C260" s="1568"/>
      <c r="D260" s="1568"/>
      <c r="E260" s="1568"/>
      <c r="F260" s="1568"/>
      <c r="G260" s="1568"/>
      <c r="H260" s="1568"/>
    </row>
    <row r="261" spans="1:8">
      <c r="A261" s="1568"/>
      <c r="B261" s="1568"/>
      <c r="C261" s="1568"/>
      <c r="D261" s="1568"/>
      <c r="E261" s="1568"/>
      <c r="F261" s="1568"/>
      <c r="G261" s="1568"/>
      <c r="H261" s="1568"/>
    </row>
    <row r="262" spans="1:8">
      <c r="A262" s="1569" t="s">
        <v>1025</v>
      </c>
      <c r="B262" s="1568"/>
      <c r="C262" s="1568"/>
      <c r="D262" s="1568"/>
      <c r="E262" s="1568"/>
      <c r="F262" s="1568"/>
      <c r="G262" s="1568"/>
      <c r="H262" s="1568"/>
    </row>
    <row r="263" spans="1:8">
      <c r="A263" s="1569" t="s">
        <v>1026</v>
      </c>
      <c r="B263" s="1568"/>
      <c r="C263" s="1568"/>
      <c r="D263" s="1568"/>
      <c r="E263" s="1568"/>
      <c r="F263" s="1568"/>
      <c r="G263" s="1568"/>
      <c r="H263" s="1568"/>
    </row>
    <row r="264" spans="1:8">
      <c r="A264" s="1569" t="s">
        <v>1027</v>
      </c>
      <c r="B264" s="1568"/>
      <c r="C264" s="1568"/>
      <c r="D264" s="1568"/>
      <c r="E264" s="1568"/>
      <c r="F264" s="1568"/>
      <c r="G264" s="1568"/>
      <c r="H264" s="1568"/>
    </row>
    <row r="265" spans="1:8">
      <c r="A265" s="1569" t="s">
        <v>1028</v>
      </c>
      <c r="B265" s="1568"/>
      <c r="C265" s="1568"/>
      <c r="D265" s="1568"/>
      <c r="E265" s="1568"/>
      <c r="F265" s="1568"/>
      <c r="G265" s="1568"/>
      <c r="H265" s="1568"/>
    </row>
    <row r="266" spans="1:8">
      <c r="A266" s="1569" t="s">
        <v>1029</v>
      </c>
      <c r="B266" s="1568"/>
      <c r="C266" s="1568"/>
      <c r="D266" s="1568"/>
      <c r="E266" s="1568"/>
      <c r="F266" s="1568"/>
      <c r="G266" s="1568"/>
      <c r="H266" s="1568"/>
    </row>
    <row r="267" spans="1:8">
      <c r="A267" s="1569" t="s">
        <v>1030</v>
      </c>
      <c r="B267" s="1568"/>
      <c r="C267" s="1568"/>
      <c r="D267" s="1568"/>
      <c r="E267" s="1568"/>
      <c r="F267" s="1568"/>
      <c r="G267" s="1568"/>
      <c r="H267" s="1568"/>
    </row>
    <row r="268" spans="1:8">
      <c r="A268" s="1569" t="s">
        <v>1031</v>
      </c>
      <c r="B268" s="1568"/>
      <c r="C268" s="1568"/>
      <c r="D268" s="1568"/>
      <c r="E268" s="1568"/>
      <c r="F268" s="1568"/>
      <c r="G268" s="1568"/>
      <c r="H268" s="1568"/>
    </row>
    <row r="269" spans="1:8">
      <c r="A269" s="1568"/>
      <c r="B269" s="1568"/>
      <c r="C269" s="1568"/>
      <c r="D269" s="1568"/>
      <c r="E269" s="1568"/>
      <c r="F269" s="1568"/>
      <c r="G269" s="1568"/>
      <c r="H269" s="1568"/>
    </row>
    <row r="270" spans="1:8">
      <c r="A270" s="1569" t="s">
        <v>1016</v>
      </c>
      <c r="B270" s="1568"/>
      <c r="C270" s="1568"/>
      <c r="D270" s="1568"/>
      <c r="E270" s="1568"/>
      <c r="F270" s="1568"/>
      <c r="G270" s="1568"/>
      <c r="H270" s="1568"/>
    </row>
    <row r="271" spans="1:8">
      <c r="A271" s="1569" t="s">
        <v>1017</v>
      </c>
      <c r="B271" s="1568"/>
      <c r="C271" s="1568"/>
      <c r="D271" s="1568"/>
      <c r="E271" s="1568"/>
      <c r="F271" s="1568"/>
      <c r="G271" s="1568"/>
      <c r="H271" s="1568"/>
    </row>
    <row r="272" spans="1:8">
      <c r="A272" s="1569" t="s">
        <v>1018</v>
      </c>
      <c r="B272" s="1568"/>
      <c r="C272" s="1568"/>
      <c r="D272" s="1568"/>
      <c r="E272" s="1568"/>
      <c r="F272" s="1568"/>
      <c r="G272" s="1568"/>
      <c r="H272" s="1568"/>
    </row>
    <row r="273" spans="1:8">
      <c r="A273" s="1569" t="s">
        <v>1019</v>
      </c>
      <c r="B273" s="1568"/>
      <c r="C273" s="1568"/>
      <c r="D273" s="1568"/>
      <c r="E273" s="1568"/>
      <c r="F273" s="1568"/>
      <c r="G273" s="1568"/>
      <c r="H273" s="1568"/>
    </row>
    <row r="274" spans="1:8">
      <c r="A274" s="1569" t="s">
        <v>1020</v>
      </c>
      <c r="B274" s="1568"/>
      <c r="C274" s="1568"/>
      <c r="D274" s="1568"/>
      <c r="E274" s="1568"/>
      <c r="F274" s="1568"/>
      <c r="G274" s="1568"/>
      <c r="H274" s="1568"/>
    </row>
    <row r="275" spans="1:8">
      <c r="A275" s="1569" t="s">
        <v>1021</v>
      </c>
      <c r="B275" s="1568"/>
      <c r="C275" s="1568"/>
      <c r="D275" s="1568"/>
      <c r="E275" s="1568"/>
      <c r="F275" s="1568"/>
      <c r="G275" s="1568"/>
      <c r="H275" s="1568"/>
    </row>
    <row r="276" spans="1:8">
      <c r="A276" s="1569" t="s">
        <v>1022</v>
      </c>
      <c r="B276" s="1568"/>
      <c r="C276" s="1568"/>
      <c r="D276" s="1568"/>
      <c r="E276" s="1568"/>
      <c r="F276" s="1568"/>
      <c r="G276" s="1568"/>
      <c r="H276" s="1568"/>
    </row>
    <row r="277" spans="1:8">
      <c r="A277" s="1569" t="s">
        <v>1023</v>
      </c>
      <c r="B277" s="1568"/>
      <c r="C277" s="1568"/>
      <c r="D277" s="1568"/>
      <c r="E277" s="1568"/>
      <c r="F277" s="1568"/>
      <c r="G277" s="1568"/>
      <c r="H277" s="1568"/>
    </row>
    <row r="278" spans="1:8">
      <c r="A278" s="1569" t="s">
        <v>1024</v>
      </c>
      <c r="B278" s="1568"/>
      <c r="C278" s="1568"/>
      <c r="D278" s="1568"/>
      <c r="E278" s="1568"/>
      <c r="F278" s="1568"/>
      <c r="G278" s="1568"/>
      <c r="H278" s="1568"/>
    </row>
    <row r="279" spans="1:8">
      <c r="A279" s="1568"/>
      <c r="B279" s="1568"/>
      <c r="C279" s="1568"/>
      <c r="D279" s="1568"/>
      <c r="E279" s="1568"/>
      <c r="F279" s="1568"/>
      <c r="G279" s="1568"/>
      <c r="H279" s="1568"/>
    </row>
    <row r="280" spans="1:8">
      <c r="A280" s="1569" t="s">
        <v>1009</v>
      </c>
      <c r="B280" s="1568"/>
      <c r="C280" s="1568"/>
      <c r="D280" s="1568"/>
      <c r="E280" s="1568"/>
      <c r="F280" s="1568"/>
      <c r="G280" s="1568"/>
      <c r="H280" s="1568"/>
    </row>
    <row r="281" spans="1:8">
      <c r="A281" s="1569" t="s">
        <v>1010</v>
      </c>
      <c r="B281" s="1568"/>
      <c r="C281" s="1568"/>
      <c r="D281" s="1568"/>
      <c r="E281" s="1568"/>
      <c r="F281" s="1568"/>
      <c r="G281" s="1568"/>
      <c r="H281" s="1568"/>
    </row>
    <row r="282" spans="1:8">
      <c r="A282" s="1569" t="s">
        <v>1011</v>
      </c>
      <c r="B282" s="1568"/>
      <c r="C282" s="1568"/>
      <c r="D282" s="1568"/>
      <c r="E282" s="1568"/>
      <c r="F282" s="1568"/>
      <c r="G282" s="1568"/>
      <c r="H282" s="1568"/>
    </row>
    <row r="283" spans="1:8">
      <c r="A283" s="1569" t="s">
        <v>1012</v>
      </c>
      <c r="B283" s="1568"/>
      <c r="C283" s="1568"/>
      <c r="D283" s="1568"/>
      <c r="E283" s="1568"/>
      <c r="F283" s="1568"/>
      <c r="G283" s="1568"/>
      <c r="H283" s="1568"/>
    </row>
    <row r="284" spans="1:8">
      <c r="A284" s="1569" t="s">
        <v>1013</v>
      </c>
      <c r="B284" s="1568"/>
      <c r="C284" s="1568"/>
      <c r="D284" s="1568"/>
      <c r="E284" s="1568"/>
      <c r="F284" s="1568"/>
      <c r="G284" s="1568"/>
      <c r="H284" s="1568"/>
    </row>
    <row r="285" spans="1:8">
      <c r="A285" s="1569" t="s">
        <v>1014</v>
      </c>
      <c r="B285" s="1568"/>
      <c r="C285" s="1568"/>
      <c r="D285" s="1568"/>
      <c r="E285" s="1568"/>
      <c r="F285" s="1568"/>
      <c r="G285" s="1568"/>
      <c r="H285" s="1568"/>
    </row>
    <row r="286" spans="1:8">
      <c r="A286" s="1569" t="s">
        <v>1015</v>
      </c>
      <c r="B286" s="1568"/>
      <c r="C286" s="1568"/>
      <c r="D286" s="1568"/>
      <c r="E286" s="1568"/>
      <c r="F286" s="1568"/>
      <c r="G286" s="1568"/>
      <c r="H286" s="1568"/>
    </row>
    <row r="287" spans="1:8">
      <c r="A287" s="1568"/>
      <c r="B287" s="1568"/>
      <c r="C287" s="1568"/>
      <c r="D287" s="1568"/>
      <c r="E287" s="1568"/>
      <c r="F287" s="1568"/>
      <c r="G287" s="1568"/>
      <c r="H287" s="1568"/>
    </row>
    <row r="288" spans="1:8">
      <c r="A288" s="1569" t="s">
        <v>1006</v>
      </c>
      <c r="B288" s="1568"/>
      <c r="C288" s="1568"/>
      <c r="D288" s="1568"/>
      <c r="E288" s="1568"/>
      <c r="F288" s="1568"/>
      <c r="G288" s="1568"/>
      <c r="H288" s="1568"/>
    </row>
    <row r="289" spans="1:8">
      <c r="A289" s="1569" t="s">
        <v>1007</v>
      </c>
      <c r="B289" s="1568"/>
      <c r="C289" s="1568"/>
      <c r="D289" s="1568"/>
      <c r="E289" s="1568"/>
      <c r="F289" s="1568"/>
      <c r="G289" s="1568"/>
      <c r="H289" s="1568"/>
    </row>
    <row r="290" spans="1:8">
      <c r="A290" s="1569" t="s">
        <v>1008</v>
      </c>
      <c r="B290" s="1568"/>
      <c r="C290" s="1568"/>
      <c r="D290" s="1568"/>
      <c r="E290" s="1568"/>
      <c r="F290" s="1568"/>
      <c r="G290" s="1568"/>
      <c r="H290" s="1568"/>
    </row>
    <row r="291" spans="1:8">
      <c r="A291" s="1568"/>
      <c r="B291" s="1568"/>
      <c r="C291" s="1568"/>
      <c r="D291" s="1568"/>
      <c r="E291" s="1568"/>
      <c r="F291" s="1568"/>
      <c r="G291" s="1568"/>
      <c r="H291" s="1568"/>
    </row>
    <row r="292" spans="1:8">
      <c r="A292" s="1569" t="s">
        <v>1004</v>
      </c>
      <c r="B292" s="1568"/>
      <c r="C292" s="1568"/>
      <c r="D292" s="1568"/>
      <c r="E292" s="1568"/>
      <c r="F292" s="1568"/>
      <c r="G292" s="1568"/>
      <c r="H292" s="1568"/>
    </row>
    <row r="293" spans="1:8">
      <c r="A293" s="1569" t="s">
        <v>1005</v>
      </c>
      <c r="B293" s="1568"/>
      <c r="C293" s="1568"/>
      <c r="D293" s="1568"/>
      <c r="E293" s="1568"/>
      <c r="F293" s="1568"/>
      <c r="G293" s="1568"/>
      <c r="H293" s="1568"/>
    </row>
    <row r="294" spans="1:8">
      <c r="A294" s="1568"/>
      <c r="B294" s="1568"/>
      <c r="C294" s="1568"/>
      <c r="D294" s="1568"/>
      <c r="E294" s="1568"/>
      <c r="F294" s="1568"/>
      <c r="G294" s="1568"/>
      <c r="H294" s="1568"/>
    </row>
    <row r="295" spans="1:8">
      <c r="A295" s="1569" t="s">
        <v>991</v>
      </c>
      <c r="B295" s="1568"/>
      <c r="C295" s="1568"/>
      <c r="D295" s="1568"/>
      <c r="E295" s="1568"/>
      <c r="F295" s="1568"/>
      <c r="G295" s="1568"/>
      <c r="H295" s="1568"/>
    </row>
    <row r="296" spans="1:8">
      <c r="A296" s="1569" t="s">
        <v>992</v>
      </c>
      <c r="B296" s="1568"/>
      <c r="C296" s="1568"/>
      <c r="D296" s="1568"/>
      <c r="E296" s="1568"/>
      <c r="F296" s="1568"/>
      <c r="G296" s="1568"/>
      <c r="H296" s="1568"/>
    </row>
    <row r="297" spans="1:8">
      <c r="A297" s="1569" t="s">
        <v>993</v>
      </c>
      <c r="B297" s="1568"/>
      <c r="C297" s="1568"/>
      <c r="D297" s="1568"/>
      <c r="E297" s="1568"/>
      <c r="F297" s="1568"/>
      <c r="G297" s="1568"/>
      <c r="H297" s="1568"/>
    </row>
    <row r="298" spans="1:8">
      <c r="A298" s="1569" t="s">
        <v>994</v>
      </c>
      <c r="B298" s="1568"/>
      <c r="C298" s="1568"/>
      <c r="D298" s="1568"/>
      <c r="E298" s="1568"/>
      <c r="F298" s="1568"/>
      <c r="G298" s="1568"/>
      <c r="H298" s="1568"/>
    </row>
    <row r="299" spans="1:8">
      <c r="A299" s="1569" t="s">
        <v>995</v>
      </c>
      <c r="B299" s="1568"/>
      <c r="C299" s="1568"/>
      <c r="D299" s="1568"/>
      <c r="E299" s="1568"/>
      <c r="F299" s="1568"/>
      <c r="G299" s="1568"/>
      <c r="H299" s="1568"/>
    </row>
    <row r="300" spans="1:8">
      <c r="A300" s="1569" t="s">
        <v>996</v>
      </c>
      <c r="B300" s="1568"/>
      <c r="C300" s="1568"/>
      <c r="D300" s="1568"/>
      <c r="E300" s="1568"/>
      <c r="F300" s="1568"/>
      <c r="G300" s="1568"/>
      <c r="H300" s="1568"/>
    </row>
    <row r="301" spans="1:8">
      <c r="A301" s="1569" t="s">
        <v>997</v>
      </c>
      <c r="B301" s="1568"/>
      <c r="C301" s="1568"/>
      <c r="D301" s="1568"/>
      <c r="E301" s="1568"/>
      <c r="F301" s="1568"/>
      <c r="G301" s="1568"/>
      <c r="H301" s="1568"/>
    </row>
    <row r="302" spans="1:8">
      <c r="A302" s="1569" t="s">
        <v>998</v>
      </c>
      <c r="B302" s="1568"/>
      <c r="C302" s="1568"/>
      <c r="D302" s="1568"/>
      <c r="E302" s="1568"/>
      <c r="F302" s="1568"/>
      <c r="G302" s="1568"/>
      <c r="H302" s="1568"/>
    </row>
    <row r="303" spans="1:8">
      <c r="A303" s="1569" t="s">
        <v>999</v>
      </c>
      <c r="B303" s="1568"/>
      <c r="C303" s="1568"/>
      <c r="D303" s="1568"/>
      <c r="E303" s="1568"/>
      <c r="F303" s="1568"/>
      <c r="G303" s="1568"/>
      <c r="H303" s="1568"/>
    </row>
    <row r="304" spans="1:8">
      <c r="A304" s="1569" t="s">
        <v>1000</v>
      </c>
      <c r="B304" s="1568"/>
      <c r="C304" s="1568"/>
      <c r="D304" s="1568"/>
      <c r="E304" s="1568"/>
      <c r="F304" s="1568"/>
      <c r="G304" s="1568"/>
      <c r="H304" s="1568"/>
    </row>
    <row r="305" spans="1:8">
      <c r="A305" s="1569" t="s">
        <v>1001</v>
      </c>
      <c r="B305" s="1568"/>
      <c r="C305" s="1568"/>
      <c r="D305" s="1568"/>
      <c r="E305" s="1568"/>
      <c r="F305" s="1568"/>
      <c r="G305" s="1568"/>
      <c r="H305" s="1568"/>
    </row>
    <row r="306" spans="1:8">
      <c r="A306" s="1569" t="s">
        <v>1002</v>
      </c>
      <c r="B306" s="1568"/>
      <c r="C306" s="1568"/>
      <c r="D306" s="1568"/>
      <c r="E306" s="1568"/>
      <c r="F306" s="1568"/>
      <c r="G306" s="1568"/>
      <c r="H306" s="1568"/>
    </row>
    <row r="307" spans="1:8">
      <c r="A307" s="1569" t="s">
        <v>1003</v>
      </c>
      <c r="B307" s="1568"/>
      <c r="C307" s="1568"/>
      <c r="D307" s="1568"/>
      <c r="E307" s="1568"/>
      <c r="F307" s="1568"/>
      <c r="G307" s="1568"/>
      <c r="H307" s="1568"/>
    </row>
    <row r="308" spans="1:8">
      <c r="A308" s="1568"/>
      <c r="B308" s="1568"/>
      <c r="C308" s="1568"/>
      <c r="D308" s="1568"/>
      <c r="E308" s="1568"/>
      <c r="F308" s="1568"/>
      <c r="G308" s="1568"/>
      <c r="H308" s="1568"/>
    </row>
    <row r="309" spans="1:8">
      <c r="A309" s="1569" t="s">
        <v>983</v>
      </c>
      <c r="B309" s="1568"/>
      <c r="C309" s="1568"/>
      <c r="D309" s="1568"/>
      <c r="E309" s="1568"/>
      <c r="F309" s="1568"/>
      <c r="G309" s="1568"/>
      <c r="H309" s="1568"/>
    </row>
    <row r="310" spans="1:8">
      <c r="A310" s="1569" t="s">
        <v>984</v>
      </c>
      <c r="B310" s="1568"/>
      <c r="C310" s="1568"/>
      <c r="D310" s="1568"/>
      <c r="E310" s="1568"/>
      <c r="F310" s="1568"/>
      <c r="G310" s="1568"/>
      <c r="H310" s="1568"/>
    </row>
    <row r="311" spans="1:8">
      <c r="A311" s="1569" t="s">
        <v>985</v>
      </c>
      <c r="B311" s="1568"/>
      <c r="C311" s="1568"/>
      <c r="D311" s="1568"/>
      <c r="E311" s="1568"/>
      <c r="F311" s="1568"/>
      <c r="G311" s="1568"/>
      <c r="H311" s="1568"/>
    </row>
    <row r="312" spans="1:8">
      <c r="A312" s="1569" t="s">
        <v>986</v>
      </c>
      <c r="B312" s="1568"/>
      <c r="C312" s="1568"/>
      <c r="D312" s="1568"/>
      <c r="E312" s="1568"/>
      <c r="F312" s="1568"/>
      <c r="G312" s="1568"/>
      <c r="H312" s="1568"/>
    </row>
    <row r="313" spans="1:8">
      <c r="A313" s="1569" t="s">
        <v>987</v>
      </c>
      <c r="B313" s="1568"/>
      <c r="C313" s="1568"/>
      <c r="D313" s="1568"/>
      <c r="E313" s="1568"/>
      <c r="F313" s="1568"/>
      <c r="G313" s="1568"/>
      <c r="H313" s="1568"/>
    </row>
    <row r="314" spans="1:8">
      <c r="A314" s="1569" t="s">
        <v>988</v>
      </c>
      <c r="B314" s="1568"/>
      <c r="C314" s="1568"/>
      <c r="D314" s="1568"/>
      <c r="E314" s="1568"/>
      <c r="F314" s="1568"/>
      <c r="G314" s="1568"/>
      <c r="H314" s="1568"/>
    </row>
    <row r="315" spans="1:8">
      <c r="A315" s="1569" t="s">
        <v>989</v>
      </c>
      <c r="B315" s="1568"/>
      <c r="C315" s="1568"/>
      <c r="D315" s="1568"/>
      <c r="E315" s="1568"/>
      <c r="F315" s="1568"/>
      <c r="G315" s="1568"/>
      <c r="H315" s="1568"/>
    </row>
    <row r="316" spans="1:8">
      <c r="A316" s="1569" t="s">
        <v>990</v>
      </c>
      <c r="B316" s="1568"/>
      <c r="C316" s="1568"/>
      <c r="D316" s="1568"/>
      <c r="E316" s="1568"/>
      <c r="F316" s="1568"/>
      <c r="G316" s="1568"/>
      <c r="H316" s="1568"/>
    </row>
    <row r="317" spans="1:8">
      <c r="A317" s="1568"/>
      <c r="B317" s="1568"/>
      <c r="C317" s="1568"/>
      <c r="D317" s="1568"/>
      <c r="E317" s="1568"/>
      <c r="F317" s="1568"/>
      <c r="G317" s="1568"/>
      <c r="H317" s="1568"/>
    </row>
    <row r="318" spans="1:8">
      <c r="A318" s="1569" t="s">
        <v>948</v>
      </c>
      <c r="B318" s="1568"/>
      <c r="C318" s="1568"/>
      <c r="D318" s="1568"/>
      <c r="E318" s="1568"/>
      <c r="F318" s="1568"/>
      <c r="G318" s="1568"/>
      <c r="H318" s="1568"/>
    </row>
    <row r="319" spans="1:8">
      <c r="A319" s="1569" t="s">
        <v>949</v>
      </c>
      <c r="B319" s="1568"/>
      <c r="C319" s="1568"/>
      <c r="D319" s="1568"/>
      <c r="E319" s="1568"/>
      <c r="F319" s="1568"/>
      <c r="G319" s="1568"/>
      <c r="H319" s="1568"/>
    </row>
    <row r="320" spans="1:8">
      <c r="A320" s="1569" t="s">
        <v>950</v>
      </c>
      <c r="B320" s="1568"/>
      <c r="C320" s="1568"/>
      <c r="D320" s="1568"/>
      <c r="E320" s="1568"/>
      <c r="F320" s="1568"/>
      <c r="G320" s="1568"/>
      <c r="H320" s="1568"/>
    </row>
    <row r="321" spans="1:8">
      <c r="A321" s="1569" t="s">
        <v>951</v>
      </c>
      <c r="B321" s="1568"/>
      <c r="C321" s="1568"/>
      <c r="D321" s="1568"/>
      <c r="E321" s="1568"/>
      <c r="F321" s="1568"/>
      <c r="G321" s="1568"/>
      <c r="H321" s="1568"/>
    </row>
    <row r="322" spans="1:8">
      <c r="A322" s="1569" t="s">
        <v>952</v>
      </c>
      <c r="B322" s="1568"/>
      <c r="C322" s="1568"/>
      <c r="D322" s="1568"/>
      <c r="E322" s="1568"/>
      <c r="F322" s="1568"/>
      <c r="G322" s="1568"/>
      <c r="H322" s="1568"/>
    </row>
    <row r="323" spans="1:8">
      <c r="A323" s="1569" t="s">
        <v>953</v>
      </c>
      <c r="B323" s="1568"/>
      <c r="C323" s="1568"/>
      <c r="D323" s="1568"/>
      <c r="E323" s="1568"/>
      <c r="F323" s="1568"/>
      <c r="G323" s="1568"/>
      <c r="H323" s="1568"/>
    </row>
    <row r="324" spans="1:8">
      <c r="A324" s="1569" t="s">
        <v>954</v>
      </c>
      <c r="B324" s="1568"/>
      <c r="C324" s="1568"/>
      <c r="D324" s="1568"/>
      <c r="E324" s="1568"/>
      <c r="F324" s="1568"/>
      <c r="G324" s="1568"/>
      <c r="H324" s="1568"/>
    </row>
    <row r="325" spans="1:8">
      <c r="A325" s="1569" t="s">
        <v>955</v>
      </c>
      <c r="B325" s="1568"/>
      <c r="C325" s="1568"/>
      <c r="D325" s="1568"/>
      <c r="E325" s="1568"/>
      <c r="F325" s="1568"/>
      <c r="G325" s="1568"/>
      <c r="H325" s="1568"/>
    </row>
    <row r="326" spans="1:8">
      <c r="A326" s="1569" t="s">
        <v>956</v>
      </c>
      <c r="B326" s="1568"/>
      <c r="C326" s="1568"/>
      <c r="D326" s="1568"/>
      <c r="E326" s="1568"/>
      <c r="F326" s="1568"/>
      <c r="G326" s="1568"/>
      <c r="H326" s="1568"/>
    </row>
    <row r="327" spans="1:8">
      <c r="A327" s="1569" t="s">
        <v>957</v>
      </c>
      <c r="B327" s="1568"/>
      <c r="C327" s="1568"/>
      <c r="D327" s="1568"/>
      <c r="E327" s="1568"/>
      <c r="F327" s="1568"/>
      <c r="G327" s="1568"/>
      <c r="H327" s="1568"/>
    </row>
    <row r="328" spans="1:8">
      <c r="A328" s="1569" t="s">
        <v>958</v>
      </c>
      <c r="B328" s="1568"/>
      <c r="C328" s="1568"/>
      <c r="D328" s="1568"/>
      <c r="E328" s="1568"/>
      <c r="F328" s="1568"/>
      <c r="G328" s="1568"/>
      <c r="H328" s="1568"/>
    </row>
    <row r="329" spans="1:8">
      <c r="A329" s="1569" t="s">
        <v>959</v>
      </c>
      <c r="B329" s="1568"/>
      <c r="C329" s="1568"/>
      <c r="D329" s="1568"/>
      <c r="E329" s="1568"/>
      <c r="F329" s="1568"/>
      <c r="G329" s="1568"/>
      <c r="H329" s="1568"/>
    </row>
    <row r="330" spans="1:8">
      <c r="A330" s="1569" t="s">
        <v>960</v>
      </c>
      <c r="B330" s="1568"/>
      <c r="C330" s="1568"/>
      <c r="D330" s="1568"/>
      <c r="E330" s="1568"/>
      <c r="F330" s="1568"/>
      <c r="G330" s="1568"/>
      <c r="H330" s="1568"/>
    </row>
    <row r="331" spans="1:8">
      <c r="A331" s="1569" t="s">
        <v>961</v>
      </c>
      <c r="B331" s="1568"/>
      <c r="C331" s="1568"/>
      <c r="D331" s="1568"/>
      <c r="E331" s="1568"/>
      <c r="F331" s="1568"/>
      <c r="G331" s="1568"/>
      <c r="H331" s="1568"/>
    </row>
    <row r="332" spans="1:8">
      <c r="A332" s="1569" t="s">
        <v>962</v>
      </c>
      <c r="B332" s="1568"/>
      <c r="C332" s="1568"/>
      <c r="D332" s="1568"/>
      <c r="E332" s="1568"/>
      <c r="F332" s="1568"/>
      <c r="G332" s="1568"/>
      <c r="H332" s="1568"/>
    </row>
    <row r="333" spans="1:8">
      <c r="A333" s="1569" t="s">
        <v>963</v>
      </c>
      <c r="B333" s="1568"/>
      <c r="C333" s="1568"/>
      <c r="D333" s="1568"/>
      <c r="E333" s="1568"/>
      <c r="F333" s="1568"/>
      <c r="G333" s="1568"/>
      <c r="H333" s="1568"/>
    </row>
    <row r="334" spans="1:8">
      <c r="A334" s="1569" t="s">
        <v>964</v>
      </c>
      <c r="B334" s="1568"/>
      <c r="C334" s="1568"/>
      <c r="D334" s="1568"/>
      <c r="E334" s="1568"/>
      <c r="F334" s="1568"/>
      <c r="G334" s="1568"/>
      <c r="H334" s="1568"/>
    </row>
    <row r="335" spans="1:8">
      <c r="A335" s="1569" t="s">
        <v>965</v>
      </c>
      <c r="B335" s="1568"/>
      <c r="C335" s="1568"/>
      <c r="D335" s="1568"/>
      <c r="E335" s="1568"/>
      <c r="F335" s="1568"/>
      <c r="G335" s="1568"/>
      <c r="H335" s="1568"/>
    </row>
    <row r="336" spans="1:8">
      <c r="A336" s="1569" t="s">
        <v>966</v>
      </c>
      <c r="B336" s="1568"/>
      <c r="C336" s="1568"/>
      <c r="D336" s="1568"/>
      <c r="E336" s="1568"/>
      <c r="F336" s="1568"/>
      <c r="G336" s="1568"/>
      <c r="H336" s="1568"/>
    </row>
    <row r="337" spans="1:8">
      <c r="A337" s="1569" t="s">
        <v>967</v>
      </c>
      <c r="B337" s="1568"/>
      <c r="C337" s="1568"/>
      <c r="D337" s="1568"/>
      <c r="E337" s="1568"/>
      <c r="F337" s="1568"/>
      <c r="G337" s="1568"/>
      <c r="H337" s="1568"/>
    </row>
    <row r="338" spans="1:8">
      <c r="A338" s="1569" t="s">
        <v>968</v>
      </c>
      <c r="B338" s="1568"/>
      <c r="C338" s="1568"/>
      <c r="D338" s="1568"/>
      <c r="E338" s="1568"/>
      <c r="F338" s="1568"/>
      <c r="G338" s="1568"/>
      <c r="H338" s="1568"/>
    </row>
    <row r="339" spans="1:8">
      <c r="A339" s="1569" t="s">
        <v>969</v>
      </c>
      <c r="B339" s="1568"/>
      <c r="C339" s="1568"/>
      <c r="D339" s="1568"/>
      <c r="E339" s="1568"/>
      <c r="F339" s="1568"/>
      <c r="G339" s="1568"/>
      <c r="H339" s="1568"/>
    </row>
    <row r="340" spans="1:8">
      <c r="A340" s="1569" t="s">
        <v>970</v>
      </c>
      <c r="B340" s="1568"/>
      <c r="C340" s="1568"/>
      <c r="D340" s="1568"/>
      <c r="E340" s="1568"/>
      <c r="F340" s="1568"/>
      <c r="G340" s="1568"/>
      <c r="H340" s="1568"/>
    </row>
    <row r="341" spans="1:8">
      <c r="A341" s="1569" t="s">
        <v>971</v>
      </c>
      <c r="B341" s="1568"/>
      <c r="C341" s="1568"/>
      <c r="D341" s="1568"/>
      <c r="E341" s="1568"/>
      <c r="F341" s="1568"/>
      <c r="G341" s="1568"/>
      <c r="H341" s="1568"/>
    </row>
    <row r="342" spans="1:8">
      <c r="A342" s="1569" t="s">
        <v>972</v>
      </c>
      <c r="B342" s="1568"/>
      <c r="C342" s="1568"/>
      <c r="D342" s="1568"/>
      <c r="E342" s="1568"/>
      <c r="F342" s="1568"/>
      <c r="G342" s="1568"/>
      <c r="H342" s="1568"/>
    </row>
    <row r="343" spans="1:8">
      <c r="A343" s="1569" t="s">
        <v>973</v>
      </c>
      <c r="B343" s="1568"/>
      <c r="C343" s="1568"/>
      <c r="D343" s="1568"/>
      <c r="E343" s="1568"/>
      <c r="F343" s="1568"/>
      <c r="G343" s="1568"/>
      <c r="H343" s="1568"/>
    </row>
    <row r="344" spans="1:8">
      <c r="A344" s="1569" t="s">
        <v>974</v>
      </c>
      <c r="B344" s="1568"/>
      <c r="C344" s="1568"/>
      <c r="D344" s="1568"/>
      <c r="E344" s="1568"/>
      <c r="F344" s="1568"/>
      <c r="G344" s="1568"/>
      <c r="H344" s="1568"/>
    </row>
    <row r="345" spans="1:8">
      <c r="A345" s="1569" t="s">
        <v>975</v>
      </c>
      <c r="B345" s="1568"/>
      <c r="C345" s="1568"/>
      <c r="D345" s="1568"/>
      <c r="E345" s="1568"/>
      <c r="F345" s="1568"/>
      <c r="G345" s="1568"/>
      <c r="H345" s="1568"/>
    </row>
    <row r="346" spans="1:8">
      <c r="A346" s="1569" t="s">
        <v>976</v>
      </c>
      <c r="B346" s="1568"/>
      <c r="C346" s="1568"/>
      <c r="D346" s="1568"/>
      <c r="E346" s="1568"/>
      <c r="F346" s="1568"/>
      <c r="G346" s="1568"/>
      <c r="H346" s="1568"/>
    </row>
    <row r="347" spans="1:8">
      <c r="A347" s="1569" t="s">
        <v>977</v>
      </c>
      <c r="B347" s="1568"/>
      <c r="C347" s="1568"/>
      <c r="D347" s="1568"/>
      <c r="E347" s="1568"/>
      <c r="F347" s="1568"/>
      <c r="G347" s="1568"/>
      <c r="H347" s="1568"/>
    </row>
    <row r="348" spans="1:8">
      <c r="A348" s="1569" t="s">
        <v>978</v>
      </c>
      <c r="B348" s="1568"/>
      <c r="C348" s="1568"/>
      <c r="D348" s="1568"/>
      <c r="E348" s="1568"/>
      <c r="F348" s="1568"/>
      <c r="G348" s="1568"/>
      <c r="H348" s="1568"/>
    </row>
    <row r="349" spans="1:8">
      <c r="A349" s="1569" t="s">
        <v>979</v>
      </c>
      <c r="B349" s="1568"/>
      <c r="C349" s="1568"/>
      <c r="D349" s="1568"/>
      <c r="E349" s="1568"/>
      <c r="F349" s="1568"/>
      <c r="G349" s="1568"/>
      <c r="H349" s="1568"/>
    </row>
    <row r="350" spans="1:8">
      <c r="A350" s="1569" t="s">
        <v>980</v>
      </c>
      <c r="B350" s="1568"/>
      <c r="C350" s="1568"/>
      <c r="D350" s="1568"/>
      <c r="E350" s="1568"/>
      <c r="F350" s="1568"/>
      <c r="G350" s="1568"/>
      <c r="H350" s="1568"/>
    </row>
    <row r="351" spans="1:8">
      <c r="A351" s="1569" t="s">
        <v>981</v>
      </c>
      <c r="B351" s="1568"/>
      <c r="C351" s="1568"/>
      <c r="D351" s="1568"/>
      <c r="E351" s="1568"/>
      <c r="F351" s="1568"/>
      <c r="G351" s="1568"/>
      <c r="H351" s="1568"/>
    </row>
    <row r="352" spans="1:8">
      <c r="A352" s="1569" t="s">
        <v>982</v>
      </c>
      <c r="B352" s="1568"/>
      <c r="C352" s="1568"/>
      <c r="D352" s="1568"/>
      <c r="E352" s="1568"/>
      <c r="F352" s="1568"/>
      <c r="G352" s="1568"/>
      <c r="H352" s="1568"/>
    </row>
    <row r="353" spans="1:8">
      <c r="A353" s="1568"/>
      <c r="B353" s="1568"/>
      <c r="C353" s="1568"/>
      <c r="D353" s="1568"/>
      <c r="E353" s="1568"/>
      <c r="F353" s="1568"/>
      <c r="G353" s="1568"/>
      <c r="H353" s="1568"/>
    </row>
    <row r="354" spans="1:8">
      <c r="A354" s="1569" t="s">
        <v>940</v>
      </c>
      <c r="B354" s="1568"/>
      <c r="C354" s="1568"/>
      <c r="D354" s="1568"/>
      <c r="E354" s="1568"/>
      <c r="F354" s="1568"/>
      <c r="G354" s="1568"/>
      <c r="H354" s="1568"/>
    </row>
    <row r="355" spans="1:8">
      <c r="A355" s="1569" t="s">
        <v>944</v>
      </c>
      <c r="B355" s="1568"/>
      <c r="C355" s="1568"/>
      <c r="D355" s="1568"/>
      <c r="E355" s="1568"/>
      <c r="F355" s="1568"/>
      <c r="G355" s="1568"/>
      <c r="H355" s="1568"/>
    </row>
    <row r="356" spans="1:8">
      <c r="A356" s="1569" t="s">
        <v>945</v>
      </c>
      <c r="B356" s="1568"/>
      <c r="C356" s="1568"/>
      <c r="D356" s="1568"/>
      <c r="E356" s="1568"/>
      <c r="F356" s="1568"/>
      <c r="G356" s="1568"/>
      <c r="H356" s="1568"/>
    </row>
    <row r="357" spans="1:8">
      <c r="A357" s="1569" t="s">
        <v>946</v>
      </c>
      <c r="B357" s="1568"/>
      <c r="C357" s="1568"/>
      <c r="D357" s="1568"/>
      <c r="E357" s="1568"/>
      <c r="F357" s="1568"/>
      <c r="G357" s="1568"/>
      <c r="H357" s="1568"/>
    </row>
    <row r="358" spans="1:8">
      <c r="A358" s="1569" t="s">
        <v>947</v>
      </c>
      <c r="B358" s="1568"/>
      <c r="C358" s="1568"/>
      <c r="D358" s="1568"/>
      <c r="E358" s="1568"/>
      <c r="F358" s="1568"/>
      <c r="G358" s="1568"/>
      <c r="H358" s="1568"/>
    </row>
    <row r="359" spans="1:8">
      <c r="A359" s="1568"/>
      <c r="B359" s="1568"/>
      <c r="C359" s="1568"/>
      <c r="D359" s="1568"/>
      <c r="E359" s="1568"/>
      <c r="F359" s="1568"/>
      <c r="G359" s="1568"/>
      <c r="H359" s="1568"/>
    </row>
    <row r="360" spans="1:8">
      <c r="A360" s="1569" t="s">
        <v>940</v>
      </c>
      <c r="B360" s="1568"/>
      <c r="C360" s="1568"/>
      <c r="D360" s="1568"/>
      <c r="E360" s="1568"/>
      <c r="F360" s="1568"/>
      <c r="G360" s="1568"/>
      <c r="H360" s="1568"/>
    </row>
    <row r="361" spans="1:8">
      <c r="A361" s="1569" t="s">
        <v>941</v>
      </c>
      <c r="B361" s="1568"/>
      <c r="C361" s="1568"/>
      <c r="D361" s="1568"/>
      <c r="E361" s="1568"/>
      <c r="F361" s="1568"/>
      <c r="G361" s="1568"/>
      <c r="H361" s="1568"/>
    </row>
    <row r="362" spans="1:8">
      <c r="A362" s="1569" t="s">
        <v>942</v>
      </c>
      <c r="B362" s="1568"/>
      <c r="C362" s="1568"/>
      <c r="D362" s="1568"/>
      <c r="E362" s="1568"/>
      <c r="F362" s="1568"/>
      <c r="G362" s="1568"/>
      <c r="H362" s="1568"/>
    </row>
    <row r="363" spans="1:8">
      <c r="A363" s="1569" t="s">
        <v>943</v>
      </c>
      <c r="B363" s="1568"/>
      <c r="C363" s="1568"/>
      <c r="D363" s="1568"/>
      <c r="E363" s="1568"/>
      <c r="F363" s="1568"/>
      <c r="G363" s="1568"/>
      <c r="H363" s="1568"/>
    </row>
    <row r="364" spans="1:8">
      <c r="A364" s="1568"/>
      <c r="B364" s="1568"/>
      <c r="C364" s="1568"/>
      <c r="D364" s="1568"/>
      <c r="E364" s="1568"/>
      <c r="F364" s="1568"/>
      <c r="G364" s="1568"/>
      <c r="H364" s="1568"/>
    </row>
    <row r="365" spans="1:8">
      <c r="A365" s="1569" t="s">
        <v>934</v>
      </c>
      <c r="B365" s="1568"/>
      <c r="C365" s="1568"/>
      <c r="D365" s="1568"/>
      <c r="E365" s="1568"/>
      <c r="F365" s="1568"/>
      <c r="G365" s="1568"/>
      <c r="H365" s="1568"/>
    </row>
    <row r="366" spans="1:8">
      <c r="A366" s="1569" t="s">
        <v>935</v>
      </c>
      <c r="B366" s="1568"/>
      <c r="C366" s="1568"/>
      <c r="D366" s="1568"/>
      <c r="E366" s="1568"/>
      <c r="F366" s="1568"/>
      <c r="G366" s="1568"/>
      <c r="H366" s="1568"/>
    </row>
    <row r="367" spans="1:8">
      <c r="A367" s="1569" t="s">
        <v>936</v>
      </c>
      <c r="B367" s="1568"/>
      <c r="C367" s="1568"/>
      <c r="D367" s="1568"/>
      <c r="E367" s="1568"/>
      <c r="F367" s="1568"/>
      <c r="G367" s="1568"/>
      <c r="H367" s="1568"/>
    </row>
    <row r="368" spans="1:8">
      <c r="A368" s="1569" t="s">
        <v>937</v>
      </c>
      <c r="B368" s="1568"/>
      <c r="C368" s="1568"/>
      <c r="D368" s="1568"/>
      <c r="E368" s="1568"/>
      <c r="F368" s="1568"/>
      <c r="G368" s="1568"/>
      <c r="H368" s="1568"/>
    </row>
    <row r="369" spans="1:8">
      <c r="A369" s="1569" t="s">
        <v>938</v>
      </c>
      <c r="B369" s="1568"/>
      <c r="C369" s="1568"/>
      <c r="D369" s="1568"/>
      <c r="E369" s="1568"/>
      <c r="F369" s="1568"/>
      <c r="G369" s="1568"/>
      <c r="H369" s="1568"/>
    </row>
    <row r="370" spans="1:8">
      <c r="A370" s="1569" t="s">
        <v>939</v>
      </c>
      <c r="B370" s="1568"/>
      <c r="C370" s="1568"/>
      <c r="D370" s="1568"/>
      <c r="E370" s="1568"/>
      <c r="F370" s="1568"/>
      <c r="G370" s="1568"/>
      <c r="H370" s="1568"/>
    </row>
    <row r="371" spans="1:8">
      <c r="A371" s="1568"/>
      <c r="B371" s="1568"/>
      <c r="C371" s="1568"/>
      <c r="D371" s="1568"/>
      <c r="E371" s="1568"/>
      <c r="F371" s="1568"/>
      <c r="G371" s="1568"/>
      <c r="H371" s="1568"/>
    </row>
    <row r="372" spans="1:8">
      <c r="A372" s="1569" t="s">
        <v>929</v>
      </c>
      <c r="B372" s="1568"/>
      <c r="C372" s="1568"/>
      <c r="D372" s="1568"/>
      <c r="E372" s="1568"/>
      <c r="F372" s="1568"/>
      <c r="G372" s="1568"/>
      <c r="H372" s="1568"/>
    </row>
    <row r="373" spans="1:8">
      <c r="A373" s="1569" t="s">
        <v>930</v>
      </c>
      <c r="B373" s="1568"/>
      <c r="C373" s="1568"/>
      <c r="D373" s="1568"/>
      <c r="E373" s="1568"/>
      <c r="F373" s="1568"/>
      <c r="G373" s="1568"/>
      <c r="H373" s="1568"/>
    </row>
    <row r="374" spans="1:8">
      <c r="A374" s="1569" t="s">
        <v>931</v>
      </c>
      <c r="B374" s="1568"/>
      <c r="C374" s="1568"/>
      <c r="D374" s="1568"/>
      <c r="E374" s="1568"/>
      <c r="F374" s="1568"/>
      <c r="G374" s="1568"/>
      <c r="H374" s="1568"/>
    </row>
    <row r="375" spans="1:8">
      <c r="A375" s="1569" t="s">
        <v>932</v>
      </c>
      <c r="B375" s="1568"/>
      <c r="C375" s="1568"/>
      <c r="D375" s="1568"/>
      <c r="E375" s="1568"/>
      <c r="F375" s="1568"/>
      <c r="G375" s="1568"/>
      <c r="H375" s="1568"/>
    </row>
    <row r="376" spans="1:8">
      <c r="A376" s="1569" t="s">
        <v>933</v>
      </c>
      <c r="B376" s="1568"/>
      <c r="C376" s="1568"/>
      <c r="D376" s="1568"/>
      <c r="E376" s="1568"/>
      <c r="F376" s="1568"/>
      <c r="G376" s="1568"/>
      <c r="H376" s="1568"/>
    </row>
    <row r="377" spans="1:8">
      <c r="A377" s="1568"/>
      <c r="B377" s="1568"/>
      <c r="C377" s="1568"/>
      <c r="D377" s="1568"/>
      <c r="E377" s="1568"/>
      <c r="F377" s="1568"/>
      <c r="G377" s="1568"/>
      <c r="H377" s="1568"/>
    </row>
    <row r="378" spans="1:8">
      <c r="A378" s="1569" t="s">
        <v>927</v>
      </c>
      <c r="B378" s="1568"/>
      <c r="C378" s="1568"/>
      <c r="D378" s="1568"/>
      <c r="E378" s="1568"/>
      <c r="F378" s="1568"/>
      <c r="G378" s="1568"/>
      <c r="H378" s="1568"/>
    </row>
    <row r="379" spans="1:8">
      <c r="A379" s="1569" t="s">
        <v>928</v>
      </c>
      <c r="B379" s="1568"/>
      <c r="C379" s="1568"/>
      <c r="D379" s="1568"/>
      <c r="E379" s="1568"/>
      <c r="F379" s="1568"/>
      <c r="G379" s="1568"/>
      <c r="H379" s="1568"/>
    </row>
    <row r="381" spans="1:8">
      <c r="A381" s="1564" t="s">
        <v>1176</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BN298"/>
  <sheetViews>
    <sheetView showGridLines="0" zoomScale="90" zoomScaleNormal="90" zoomScaleSheetLayoutView="55" workbookViewId="0"/>
  </sheetViews>
  <sheetFormatPr defaultRowHeight="14.25" customHeight="1" outlineLevelRow="2" outlineLevelCol="2"/>
  <cols>
    <col min="1" max="1" width="2.140625" customWidth="1"/>
    <col min="2" max="2" width="36.42578125" customWidth="1"/>
    <col min="3" max="3" width="10.7109375" hidden="1" customWidth="1" outlineLevel="2"/>
    <col min="4" max="5" width="10.5703125" hidden="1" customWidth="1" outlineLevel="2"/>
    <col min="6" max="6" width="11.42578125" hidden="1" customWidth="1" outlineLevel="1" collapsed="1"/>
    <col min="7" max="7" width="9.85546875" hidden="1" customWidth="1" outlineLevel="1" collapsed="1"/>
    <col min="8" max="8" width="8.7109375" hidden="1" customWidth="1" outlineLevel="1" collapsed="1"/>
    <col min="9" max="9" width="10" hidden="1" customWidth="1" outlineLevel="1"/>
    <col min="10" max="10" width="7.85546875" hidden="1" customWidth="1" outlineLevel="1"/>
    <col min="11" max="11" width="8.140625" customWidth="1" collapsed="1"/>
    <col min="12" max="12" width="8.85546875" customWidth="1"/>
    <col min="13" max="16" width="8.85546875" hidden="1" customWidth="1" outlineLevel="1"/>
    <col min="17" max="17" width="10.7109375" bestFit="1" customWidth="1" collapsed="1"/>
    <col min="18" max="21" width="10.7109375" hidden="1" customWidth="1" outlineLevel="1"/>
    <col min="22" max="22" width="10.7109375" bestFit="1" customWidth="1" collapsed="1"/>
    <col min="23" max="26" width="10.7109375" hidden="1" customWidth="1" outlineLevel="1"/>
    <col min="27" max="27" width="9.5703125" bestFit="1" customWidth="1" collapsed="1"/>
    <col min="28" max="31" width="9.5703125" customWidth="1" outlineLevel="1"/>
    <col min="32" max="32" width="8.7109375" bestFit="1" customWidth="1"/>
    <col min="33" max="33" width="9.42578125" bestFit="1" customWidth="1"/>
    <col min="34" max="34" width="10.28515625" bestFit="1" customWidth="1"/>
    <col min="35" max="36" width="10.28515625" customWidth="1"/>
    <col min="37" max="39" width="10.5703125" customWidth="1"/>
    <col min="40" max="40" width="11.42578125" hidden="1" customWidth="1" outlineLevel="1"/>
    <col min="41" max="44" width="10.5703125" hidden="1" customWidth="1" outlineLevel="1"/>
    <col min="45" max="45" width="9" customWidth="1" collapsed="1"/>
    <col min="46" max="46" width="21.5703125" bestFit="1" customWidth="1"/>
    <col min="47" max="47" width="13.85546875" bestFit="1" customWidth="1"/>
    <col min="48" max="48" width="10.5703125" bestFit="1" customWidth="1"/>
    <col min="49" max="55" width="11.28515625" customWidth="1"/>
    <col min="56" max="56" width="6.140625" bestFit="1" customWidth="1"/>
    <col min="57" max="57" width="35.7109375" hidden="1" customWidth="1" outlineLevel="1"/>
    <col min="58" max="58" width="7.28515625" hidden="1" customWidth="1" outlineLevel="1"/>
    <col min="59" max="59" width="16.140625" hidden="1" customWidth="1" outlineLevel="1"/>
    <col min="60" max="60" width="11.28515625" hidden="1" customWidth="1" outlineLevel="1"/>
    <col min="61" max="61" width="17.5703125" hidden="1" customWidth="1" outlineLevel="1"/>
    <col min="62" max="62" width="10.28515625" hidden="1" customWidth="1" outlineLevel="1"/>
    <col min="63" max="63" width="6.85546875" hidden="1" customWidth="1" outlineLevel="1"/>
    <col min="64" max="64" width="9.140625" collapsed="1"/>
  </cols>
  <sheetData>
    <row r="1" spans="2:63" ht="7.5" customHeight="1"/>
    <row r="2" spans="2:63" s="93" customFormat="1" ht="16.5">
      <c r="B2" s="1470" t="s">
        <v>769</v>
      </c>
      <c r="C2" s="86"/>
      <c r="D2" s="86"/>
      <c r="E2" s="86"/>
      <c r="F2" s="86"/>
      <c r="G2" s="86"/>
      <c r="H2" s="266"/>
      <c r="I2" s="86"/>
      <c r="J2" s="86"/>
      <c r="K2" s="615"/>
      <c r="L2" s="465"/>
      <c r="M2" s="465"/>
      <c r="N2" s="465"/>
      <c r="O2" s="465"/>
      <c r="P2" s="465"/>
      <c r="Q2" s="465"/>
      <c r="R2" s="465"/>
      <c r="S2" s="465"/>
      <c r="T2" s="465"/>
      <c r="U2" s="1534"/>
      <c r="V2" s="465"/>
      <c r="W2" s="1550"/>
      <c r="X2" s="465"/>
      <c r="Y2" s="1534"/>
      <c r="Z2" s="1534"/>
      <c r="AA2" s="1542"/>
      <c r="AB2" s="1542"/>
      <c r="AC2" s="1542"/>
      <c r="AD2" s="1542"/>
      <c r="AE2" s="1542"/>
      <c r="AF2" s="1542"/>
      <c r="AG2" s="1542"/>
      <c r="AH2" s="1542"/>
      <c r="AI2" s="1542"/>
      <c r="AJ2" s="1542"/>
      <c r="AK2" s="1542"/>
      <c r="AL2" s="1542"/>
      <c r="AM2" s="43"/>
      <c r="AS2" s="86"/>
      <c r="AT2" s="86"/>
      <c r="AU2" s="86"/>
      <c r="AV2" s="86"/>
      <c r="AW2" s="86"/>
      <c r="AX2" s="86"/>
      <c r="AY2" s="86"/>
      <c r="AZ2" s="86"/>
      <c r="BA2" s="86"/>
      <c r="BB2" s="86"/>
      <c r="BC2" s="86"/>
      <c r="BD2" s="86"/>
      <c r="BE2"/>
      <c r="BF2"/>
      <c r="BG2"/>
      <c r="BH2"/>
      <c r="BI2"/>
      <c r="BJ2"/>
      <c r="BK2" s="86"/>
    </row>
    <row r="3" spans="2:63" ht="4.5" customHeight="1">
      <c r="B3" s="67"/>
      <c r="C3" s="25"/>
      <c r="D3" s="4"/>
      <c r="E3" s="4"/>
      <c r="F3" s="4"/>
      <c r="G3" s="4"/>
      <c r="H3" s="83"/>
      <c r="I3" s="83"/>
      <c r="J3" s="497"/>
      <c r="K3" s="497"/>
      <c r="L3" s="497"/>
      <c r="M3" s="497"/>
      <c r="N3" s="497"/>
      <c r="O3" s="497"/>
      <c r="P3" s="497"/>
      <c r="Q3" s="54"/>
      <c r="R3" s="54"/>
      <c r="S3" s="54"/>
      <c r="T3" s="54"/>
      <c r="U3" s="54"/>
      <c r="V3" s="54"/>
      <c r="W3" s="54"/>
      <c r="X3" s="54"/>
      <c r="Y3" s="54"/>
      <c r="Z3" s="54"/>
      <c r="AA3" s="54"/>
      <c r="AB3" s="54"/>
      <c r="AC3" s="54"/>
      <c r="AD3" s="54"/>
      <c r="AE3" s="54"/>
      <c r="AF3" s="54"/>
      <c r="AG3" s="54"/>
      <c r="AH3" s="54"/>
      <c r="AI3" s="54"/>
      <c r="AJ3" s="54"/>
      <c r="AK3" s="54"/>
      <c r="AL3" s="54"/>
      <c r="AM3" s="54"/>
      <c r="AN3" s="497"/>
      <c r="AO3" s="497"/>
      <c r="AP3" s="497"/>
      <c r="AQ3" s="497"/>
      <c r="AR3" s="497"/>
      <c r="AS3" s="27"/>
      <c r="AT3" s="27"/>
      <c r="AU3" s="27"/>
      <c r="AV3" s="27"/>
      <c r="AW3" s="27"/>
      <c r="AX3" s="27"/>
      <c r="AY3" s="27"/>
      <c r="AZ3" s="27"/>
      <c r="BA3" s="27"/>
      <c r="BB3" s="27"/>
      <c r="BC3" s="27"/>
      <c r="BD3" s="27"/>
      <c r="BK3" s="24"/>
    </row>
    <row r="4" spans="2:63" ht="14.25" hidden="1" customHeight="1" outlineLevel="1"/>
    <row r="5" spans="2:63" ht="14.25" customHeight="1" collapsed="1">
      <c r="B5" s="802" t="s">
        <v>322</v>
      </c>
      <c r="C5" s="803"/>
      <c r="D5" s="804">
        <v>2006</v>
      </c>
      <c r="E5" s="804">
        <f t="shared" ref="E5:L5" si="0">D5+1</f>
        <v>2007</v>
      </c>
      <c r="F5" s="804">
        <f t="shared" si="0"/>
        <v>2008</v>
      </c>
      <c r="G5" s="804">
        <f t="shared" si="0"/>
        <v>2009</v>
      </c>
      <c r="H5" s="804">
        <f t="shared" si="0"/>
        <v>2010</v>
      </c>
      <c r="I5" s="804">
        <f t="shared" si="0"/>
        <v>2011</v>
      </c>
      <c r="J5" s="804">
        <f t="shared" si="0"/>
        <v>2012</v>
      </c>
      <c r="K5" s="804">
        <f t="shared" si="0"/>
        <v>2013</v>
      </c>
      <c r="L5" s="804">
        <f t="shared" si="0"/>
        <v>2014</v>
      </c>
      <c r="M5" s="1428" t="s">
        <v>375</v>
      </c>
      <c r="N5" s="1428" t="s">
        <v>376</v>
      </c>
      <c r="O5" s="1428" t="s">
        <v>410</v>
      </c>
      <c r="P5" s="1428" t="s">
        <v>421</v>
      </c>
      <c r="Q5" s="804">
        <f>L5+1</f>
        <v>2015</v>
      </c>
      <c r="R5" s="1428" t="s">
        <v>784</v>
      </c>
      <c r="S5" s="1428" t="s">
        <v>798</v>
      </c>
      <c r="T5" s="1428" t="s">
        <v>806</v>
      </c>
      <c r="U5" s="1428" t="s">
        <v>839</v>
      </c>
      <c r="V5" s="804">
        <f>Q5+1</f>
        <v>2016</v>
      </c>
      <c r="W5" s="1428" t="s">
        <v>869</v>
      </c>
      <c r="X5" s="1428" t="s">
        <v>872</v>
      </c>
      <c r="Y5" s="1428" t="s">
        <v>874</v>
      </c>
      <c r="Z5" s="1428" t="s">
        <v>879</v>
      </c>
      <c r="AA5" s="804">
        <f>V5+1</f>
        <v>2017</v>
      </c>
      <c r="AB5" s="1428" t="s">
        <v>875</v>
      </c>
      <c r="AC5" s="1428" t="s">
        <v>876</v>
      </c>
      <c r="AD5" s="1428" t="s">
        <v>877</v>
      </c>
      <c r="AE5" s="1428" t="s">
        <v>878</v>
      </c>
      <c r="AF5" s="805">
        <f>AA5+1</f>
        <v>2018</v>
      </c>
      <c r="AG5" s="805">
        <f t="shared" ref="AG5:AI5" si="1">AF5+1</f>
        <v>2019</v>
      </c>
      <c r="AH5" s="805">
        <f t="shared" si="1"/>
        <v>2020</v>
      </c>
      <c r="AI5" s="805">
        <f t="shared" si="1"/>
        <v>2021</v>
      </c>
      <c r="AJ5" s="805" t="s">
        <v>392</v>
      </c>
      <c r="AK5" s="805" t="s">
        <v>393</v>
      </c>
      <c r="AL5" s="805" t="s">
        <v>394</v>
      </c>
      <c r="AM5" s="805" t="s">
        <v>395</v>
      </c>
      <c r="AN5" s="805" t="s">
        <v>396</v>
      </c>
      <c r="AO5" s="805" t="s">
        <v>397</v>
      </c>
      <c r="AP5" s="805" t="s">
        <v>398</v>
      </c>
      <c r="AQ5" s="805" t="s">
        <v>399</v>
      </c>
      <c r="AR5" s="805" t="s">
        <v>400</v>
      </c>
      <c r="AS5" s="26"/>
      <c r="AT5" s="26"/>
      <c r="AU5" s="26"/>
      <c r="AV5" s="26"/>
      <c r="AW5" s="26"/>
      <c r="AX5" s="26"/>
      <c r="AY5" s="26"/>
      <c r="AZ5" s="26"/>
      <c r="BA5" s="26"/>
      <c r="BB5" s="26"/>
      <c r="BC5" s="26"/>
      <c r="BD5" s="26"/>
      <c r="BK5" s="24"/>
    </row>
    <row r="6" spans="2:63" ht="15" customHeight="1">
      <c r="B6" s="68" t="s">
        <v>329</v>
      </c>
      <c r="C6" s="35"/>
      <c r="D6" s="150"/>
      <c r="E6" s="150"/>
      <c r="F6" s="150"/>
      <c r="G6" s="150"/>
      <c r="H6" s="239"/>
      <c r="I6" s="499">
        <v>2.012</v>
      </c>
      <c r="J6" s="499">
        <v>136.00200000000001</v>
      </c>
      <c r="K6" s="499">
        <v>235.44299999999998</v>
      </c>
      <c r="L6" s="499">
        <v>357.56200000000001</v>
      </c>
      <c r="M6" s="1429">
        <v>115.33</v>
      </c>
      <c r="N6" s="1429">
        <v>142.40600000000001</v>
      </c>
      <c r="O6" s="1429">
        <v>161.25899999999999</v>
      </c>
      <c r="P6" s="1429">
        <v>182.02099999999999</v>
      </c>
      <c r="Q6" s="499">
        <v>601.01599999999996</v>
      </c>
      <c r="R6" s="1429">
        <v>183.267</v>
      </c>
      <c r="S6" s="1429">
        <v>208.126</v>
      </c>
      <c r="T6" s="1429">
        <v>223.892</v>
      </c>
      <c r="U6" s="1429">
        <v>237.53100000000001</v>
      </c>
      <c r="V6" s="499">
        <f>SUM(R6:U6)</f>
        <v>852.81600000000003</v>
      </c>
      <c r="W6" s="1429">
        <v>251.077</v>
      </c>
      <c r="X6" s="1429">
        <v>276.03800000000001</v>
      </c>
      <c r="Y6" s="1429">
        <v>303.92899999999997</v>
      </c>
      <c r="Z6" s="1429">
        <v>302.34800000000001</v>
      </c>
      <c r="AA6" s="499">
        <v>1133.3920000000001</v>
      </c>
      <c r="AB6" s="1429">
        <v>315</v>
      </c>
      <c r="AC6" s="1429">
        <v>335</v>
      </c>
      <c r="AD6" s="1429">
        <v>360</v>
      </c>
      <c r="AE6" s="1429">
        <v>375</v>
      </c>
      <c r="AF6" s="499">
        <v>1385</v>
      </c>
      <c r="AG6" s="499">
        <f>+'Jakafi - Summary'!M9</f>
        <v>1583.6441698820931</v>
      </c>
      <c r="AH6" s="499">
        <f>+'Jakafi - Summary'!N9</f>
        <v>1785.5074684280949</v>
      </c>
      <c r="AI6" s="499">
        <f>+'Jakafi - Summary'!O9</f>
        <v>1999.138789612045</v>
      </c>
      <c r="AJ6" s="499">
        <f>+'Jakafi - Summary'!P9</f>
        <v>2214.710454838465</v>
      </c>
      <c r="AK6" s="499">
        <f>+'Jakafi - Summary'!Q9</f>
        <v>2406.8585330246624</v>
      </c>
      <c r="AL6" s="499">
        <f>+'Jakafi - Summary'!R9</f>
        <v>2550.1582973259574</v>
      </c>
      <c r="AM6" s="499">
        <f>+'Jakafi - Summary'!S9</f>
        <v>2635.770193637597</v>
      </c>
      <c r="AN6" s="499">
        <f>+'Jakafi - Summary'!T9</f>
        <v>2130.0519107038381</v>
      </c>
      <c r="AO6" s="499">
        <f>+'Jakafi - Summary'!U9</f>
        <v>399.13583866335932</v>
      </c>
      <c r="AP6" s="499">
        <f>+'Jakafi - Summary'!V9</f>
        <v>132.8723552194881</v>
      </c>
      <c r="AQ6" s="499">
        <f>+'Jakafi - Summary'!W9</f>
        <v>26.419882873963786</v>
      </c>
      <c r="AR6" s="499">
        <f>+'Jakafi - Summary'!X9</f>
        <v>15.758809188589465</v>
      </c>
      <c r="AS6" s="32"/>
      <c r="AT6" s="32"/>
      <c r="AU6" s="32"/>
      <c r="AV6" s="32"/>
      <c r="AW6" s="32"/>
      <c r="AX6" s="32"/>
      <c r="AY6" s="32"/>
      <c r="AZ6" s="32"/>
      <c r="BA6" s="32"/>
      <c r="BB6" s="32"/>
      <c r="BC6" s="32"/>
      <c r="BD6" s="32"/>
      <c r="BK6" s="36"/>
    </row>
    <row r="7" spans="2:63" ht="15" customHeight="1">
      <c r="B7" s="448" t="s">
        <v>356</v>
      </c>
      <c r="C7" s="524"/>
      <c r="D7" s="525"/>
      <c r="E7" s="525"/>
      <c r="F7" s="526"/>
      <c r="G7" s="526"/>
      <c r="H7" s="441"/>
      <c r="I7" s="763">
        <v>0</v>
      </c>
      <c r="J7" s="763">
        <v>31</v>
      </c>
      <c r="K7" s="763">
        <v>163</v>
      </c>
      <c r="L7" s="763">
        <v>279</v>
      </c>
      <c r="M7" s="1430">
        <v>90</v>
      </c>
      <c r="N7" s="1430">
        <v>98</v>
      </c>
      <c r="O7" s="1430">
        <v>103</v>
      </c>
      <c r="P7" s="1430">
        <v>119</v>
      </c>
      <c r="Q7" s="763">
        <v>410</v>
      </c>
      <c r="R7" s="1430">
        <v>124</v>
      </c>
      <c r="S7" s="1430">
        <v>146</v>
      </c>
      <c r="T7" s="1430">
        <v>149</v>
      </c>
      <c r="U7" s="1430">
        <v>162</v>
      </c>
      <c r="V7" s="763">
        <f>SUM(R7:U7)</f>
        <v>581</v>
      </c>
      <c r="W7" s="1430">
        <v>162</v>
      </c>
      <c r="X7" s="1430">
        <v>186</v>
      </c>
      <c r="Y7" s="1430">
        <v>201</v>
      </c>
      <c r="Z7" s="1430">
        <v>228</v>
      </c>
      <c r="AA7" s="763">
        <v>777</v>
      </c>
      <c r="AB7" s="1430">
        <v>235</v>
      </c>
      <c r="AC7" s="1430">
        <v>240</v>
      </c>
      <c r="AD7" s="1430">
        <v>246</v>
      </c>
      <c r="AE7" s="1430">
        <v>252</v>
      </c>
      <c r="AF7" s="763">
        <v>973</v>
      </c>
      <c r="AG7" s="763">
        <f>+'Jakafi - Summary'!M14</f>
        <v>1015.8589873346464</v>
      </c>
      <c r="AH7" s="763">
        <f>+'Jakafi - Summary'!N14</f>
        <v>1083.6284097927974</v>
      </c>
      <c r="AI7" s="763">
        <f>+'Jakafi - Summary'!O14</f>
        <v>1122.2416070269201</v>
      </c>
      <c r="AJ7" s="763">
        <f>+'Jakafi - Summary'!P14</f>
        <v>1134.1920842371283</v>
      </c>
      <c r="AK7" s="763">
        <f>+'Jakafi - Summary'!Q14</f>
        <v>1122.2558840700863</v>
      </c>
      <c r="AL7" s="763">
        <f>+'Jakafi - Summary'!R14</f>
        <v>1093.6013664695017</v>
      </c>
      <c r="AM7" s="763">
        <f>+'Jakafi - Summary'!S14</f>
        <v>1058.9957063876157</v>
      </c>
      <c r="AN7" s="763">
        <f>+'Jakafi - Summary'!T14</f>
        <v>511.45646343678345</v>
      </c>
      <c r="AO7" s="763">
        <f>+'Jakafi - Summary'!U14</f>
        <v>9.9013146471934554</v>
      </c>
      <c r="AP7" s="763">
        <f>+'Jakafi - Summary'!V14</f>
        <v>0</v>
      </c>
      <c r="AQ7" s="763">
        <f>+'Jakafi - Summary'!W14</f>
        <v>0</v>
      </c>
      <c r="AR7" s="763">
        <f>+'Jakafi - Summary'!X14</f>
        <v>0</v>
      </c>
      <c r="AS7" s="32"/>
      <c r="AT7" s="32"/>
      <c r="AU7" s="32"/>
      <c r="AV7" s="32"/>
      <c r="AW7" s="32"/>
      <c r="AX7" s="32"/>
      <c r="AY7" s="32"/>
      <c r="AZ7" s="32"/>
      <c r="BA7" s="32"/>
      <c r="BB7" s="32"/>
      <c r="BC7" s="32"/>
      <c r="BD7" s="32"/>
      <c r="BK7" s="36"/>
    </row>
    <row r="8" spans="2:63" ht="15" customHeight="1">
      <c r="B8" s="149" t="s">
        <v>357</v>
      </c>
      <c r="C8" s="30"/>
      <c r="D8" s="147"/>
      <c r="E8" s="147"/>
      <c r="F8" s="147"/>
      <c r="G8" s="147"/>
      <c r="H8" s="239"/>
      <c r="I8" s="374">
        <f t="shared" ref="I8:AM8" si="2">+I6+I7</f>
        <v>2.012</v>
      </c>
      <c r="J8" s="374">
        <f t="shared" si="2"/>
        <v>167.00200000000001</v>
      </c>
      <c r="K8" s="374">
        <f t="shared" si="2"/>
        <v>398.44299999999998</v>
      </c>
      <c r="L8" s="374">
        <f t="shared" si="2"/>
        <v>636.56200000000001</v>
      </c>
      <c r="M8" s="1431">
        <v>205.32999999999998</v>
      </c>
      <c r="N8" s="1431">
        <v>240.40600000000001</v>
      </c>
      <c r="O8" s="1431">
        <v>264.25900000000001</v>
      </c>
      <c r="P8" s="1431">
        <v>301.02099999999996</v>
      </c>
      <c r="Q8" s="374">
        <f t="shared" si="2"/>
        <v>1011.016</v>
      </c>
      <c r="R8" s="1431">
        <v>307.267</v>
      </c>
      <c r="S8" s="1431">
        <v>354.12599999999998</v>
      </c>
      <c r="T8" s="1431">
        <v>372.892</v>
      </c>
      <c r="U8" s="1431">
        <v>399.53100000000001</v>
      </c>
      <c r="V8" s="374">
        <f t="shared" si="2"/>
        <v>1433.816</v>
      </c>
      <c r="W8" s="1431">
        <v>413.077</v>
      </c>
      <c r="X8" s="1431">
        <v>462.03800000000001</v>
      </c>
      <c r="Y8" s="1431">
        <v>504.92899999999997</v>
      </c>
      <c r="Z8" s="1431">
        <v>530.34799999999996</v>
      </c>
      <c r="AA8" s="374">
        <v>1910.3919999999998</v>
      </c>
      <c r="AB8" s="1431">
        <f t="shared" si="2"/>
        <v>550</v>
      </c>
      <c r="AC8" s="1431">
        <f t="shared" si="2"/>
        <v>575</v>
      </c>
      <c r="AD8" s="1431">
        <f t="shared" si="2"/>
        <v>606</v>
      </c>
      <c r="AE8" s="1431">
        <f t="shared" si="2"/>
        <v>627</v>
      </c>
      <c r="AF8" s="374">
        <f t="shared" ref="AF8" si="3">+AF6+AF7</f>
        <v>2358</v>
      </c>
      <c r="AG8" s="374">
        <f t="shared" si="2"/>
        <v>2599.5031572167395</v>
      </c>
      <c r="AH8" s="374">
        <f t="shared" si="2"/>
        <v>2869.1358782208922</v>
      </c>
      <c r="AI8" s="374">
        <f t="shared" si="2"/>
        <v>3121.3803966389651</v>
      </c>
      <c r="AJ8" s="374">
        <f t="shared" si="2"/>
        <v>3348.9025390755933</v>
      </c>
      <c r="AK8" s="374">
        <f t="shared" si="2"/>
        <v>3529.1144170947487</v>
      </c>
      <c r="AL8" s="374">
        <f t="shared" si="2"/>
        <v>3643.7596637954593</v>
      </c>
      <c r="AM8" s="374">
        <f t="shared" si="2"/>
        <v>3694.7659000252124</v>
      </c>
      <c r="AN8" s="374">
        <f>+AN6+AN7</f>
        <v>2641.5083741406215</v>
      </c>
      <c r="AO8" s="374">
        <f>+AO6+AO7</f>
        <v>409.03715331055275</v>
      </c>
      <c r="AP8" s="374">
        <f>+AP6+AP7</f>
        <v>132.8723552194881</v>
      </c>
      <c r="AQ8" s="374">
        <f>+AQ6+AQ7</f>
        <v>26.419882873963786</v>
      </c>
      <c r="AR8" s="374">
        <f>+AR6+AR7</f>
        <v>15.758809188589465</v>
      </c>
      <c r="AS8" s="34"/>
      <c r="AT8" s="465"/>
      <c r="AU8" s="34"/>
      <c r="AV8" s="34"/>
      <c r="AW8" s="34"/>
      <c r="AX8" s="34"/>
      <c r="AY8" s="34"/>
      <c r="AZ8" s="34"/>
      <c r="BA8" s="34"/>
      <c r="BB8" s="34"/>
      <c r="BC8" s="34"/>
      <c r="BD8" s="32"/>
      <c r="BK8" s="24"/>
    </row>
    <row r="9" spans="2:63" ht="7.5" customHeight="1">
      <c r="B9" s="68"/>
      <c r="C9" s="30"/>
      <c r="D9" s="147"/>
      <c r="E9" s="147"/>
      <c r="F9" s="147"/>
      <c r="G9" s="147"/>
      <c r="H9" s="260"/>
      <c r="I9" s="239"/>
      <c r="J9" s="375"/>
      <c r="K9" s="375"/>
      <c r="L9" s="375"/>
      <c r="M9" s="1432"/>
      <c r="N9" s="1432"/>
      <c r="O9" s="1432"/>
      <c r="P9" s="1432"/>
      <c r="Q9" s="375"/>
      <c r="R9" s="1432"/>
      <c r="S9" s="1432"/>
      <c r="T9" s="1432"/>
      <c r="U9" s="1432"/>
      <c r="V9" s="375"/>
      <c r="W9" s="1432"/>
      <c r="X9" s="1432"/>
      <c r="Y9" s="1432"/>
      <c r="Z9" s="1432"/>
      <c r="AA9" s="375"/>
      <c r="AB9" s="1432"/>
      <c r="AC9" s="1432"/>
      <c r="AD9" s="1432"/>
      <c r="AE9" s="1432"/>
      <c r="AF9" s="375"/>
      <c r="AG9" s="375"/>
      <c r="AH9" s="375"/>
      <c r="AI9" s="375"/>
      <c r="AJ9" s="375"/>
      <c r="AK9" s="375"/>
      <c r="AL9" s="375"/>
      <c r="AM9" s="375"/>
      <c r="AN9" s="375"/>
      <c r="AO9" s="375"/>
      <c r="AP9" s="375"/>
      <c r="AQ9" s="375"/>
      <c r="AR9" s="375"/>
      <c r="AS9" s="34"/>
      <c r="AT9" s="34"/>
      <c r="AU9" s="34"/>
      <c r="AV9" s="34"/>
      <c r="AW9" s="34"/>
      <c r="AX9" s="34"/>
      <c r="AY9" s="34"/>
      <c r="AZ9" s="34"/>
      <c r="BA9" s="34"/>
      <c r="BB9" s="34"/>
      <c r="BC9" s="34"/>
      <c r="BD9" s="32"/>
      <c r="BK9" s="24"/>
    </row>
    <row r="10" spans="2:63" ht="15" customHeight="1">
      <c r="B10" s="68" t="s">
        <v>329</v>
      </c>
      <c r="C10" s="35"/>
      <c r="D10" s="150"/>
      <c r="E10" s="150"/>
      <c r="F10" s="150"/>
      <c r="G10" s="150"/>
      <c r="H10" s="239"/>
      <c r="I10" s="88">
        <v>2.012</v>
      </c>
      <c r="J10" s="88">
        <v>136.00200000000001</v>
      </c>
      <c r="K10" s="88">
        <f t="shared" ref="K10:AM10" si="4">+K6</f>
        <v>235.44299999999998</v>
      </c>
      <c r="L10" s="88">
        <f t="shared" si="4"/>
        <v>357.56200000000001</v>
      </c>
      <c r="M10" s="1433">
        <v>115.33</v>
      </c>
      <c r="N10" s="1433">
        <v>142.40600000000001</v>
      </c>
      <c r="O10" s="1433">
        <v>161.25899999999999</v>
      </c>
      <c r="P10" s="1433">
        <v>182.02099999999999</v>
      </c>
      <c r="Q10" s="88">
        <f t="shared" si="4"/>
        <v>601.01599999999996</v>
      </c>
      <c r="R10" s="1433">
        <v>183.267</v>
      </c>
      <c r="S10" s="1433">
        <v>208.126</v>
      </c>
      <c r="T10" s="1433">
        <v>223.892</v>
      </c>
      <c r="U10" s="1433">
        <v>237.53100000000001</v>
      </c>
      <c r="V10" s="88">
        <f>SUM(R10:U10)</f>
        <v>852.81600000000003</v>
      </c>
      <c r="W10" s="1433">
        <v>251.077</v>
      </c>
      <c r="X10" s="1433">
        <v>276.03800000000001</v>
      </c>
      <c r="Y10" s="1433">
        <v>303.92899999999997</v>
      </c>
      <c r="Z10" s="1433">
        <v>302.34800000000001</v>
      </c>
      <c r="AA10" s="88">
        <v>1133.3920000000001</v>
      </c>
      <c r="AB10" s="1433">
        <v>315</v>
      </c>
      <c r="AC10" s="1433">
        <v>335</v>
      </c>
      <c r="AD10" s="1433">
        <v>360</v>
      </c>
      <c r="AE10" s="1433">
        <v>375</v>
      </c>
      <c r="AF10" s="88">
        <v>1385</v>
      </c>
      <c r="AG10" s="88">
        <f t="shared" si="4"/>
        <v>1583.6441698820931</v>
      </c>
      <c r="AH10" s="88">
        <f t="shared" si="4"/>
        <v>1785.5074684280949</v>
      </c>
      <c r="AI10" s="88">
        <f t="shared" si="4"/>
        <v>1999.138789612045</v>
      </c>
      <c r="AJ10" s="88">
        <f t="shared" si="4"/>
        <v>2214.710454838465</v>
      </c>
      <c r="AK10" s="88">
        <f t="shared" si="4"/>
        <v>2406.8585330246624</v>
      </c>
      <c r="AL10" s="88">
        <f t="shared" si="4"/>
        <v>2550.1582973259574</v>
      </c>
      <c r="AM10" s="88">
        <f t="shared" si="4"/>
        <v>2635.770193637597</v>
      </c>
      <c r="AN10" s="88">
        <f>+AN6</f>
        <v>2130.0519107038381</v>
      </c>
      <c r="AO10" s="88">
        <f>+AO6</f>
        <v>399.13583866335932</v>
      </c>
      <c r="AP10" s="88">
        <f>+AP6</f>
        <v>132.8723552194881</v>
      </c>
      <c r="AQ10" s="88">
        <f>+AQ6</f>
        <v>26.419882873963786</v>
      </c>
      <c r="AR10" s="88">
        <f>+AR6</f>
        <v>15.758809188589465</v>
      </c>
      <c r="AS10" s="32"/>
      <c r="AT10" s="32"/>
      <c r="AU10" s="32"/>
      <c r="AV10" s="32"/>
      <c r="AW10" s="32"/>
      <c r="AX10" s="32"/>
      <c r="AY10" s="32"/>
      <c r="AZ10" s="32"/>
      <c r="BA10" s="32"/>
      <c r="BB10" s="32"/>
      <c r="BC10" s="32"/>
      <c r="BD10" s="32"/>
      <c r="BK10" s="36"/>
    </row>
    <row r="11" spans="2:63" ht="15" customHeight="1">
      <c r="B11" s="70" t="s">
        <v>81</v>
      </c>
      <c r="C11" s="35"/>
      <c r="D11" s="151"/>
      <c r="E11" s="151"/>
      <c r="F11" s="33"/>
      <c r="G11" s="33"/>
      <c r="H11" s="239"/>
      <c r="I11" s="499">
        <v>0</v>
      </c>
      <c r="J11" s="499">
        <v>3.7120000000000002</v>
      </c>
      <c r="K11" s="499">
        <v>28.251000000000001</v>
      </c>
      <c r="L11" s="499">
        <v>48.966000000000001</v>
      </c>
      <c r="M11" s="1429">
        <v>15.673</v>
      </c>
      <c r="N11" s="1429">
        <v>17.364000000000001</v>
      </c>
      <c r="O11" s="1429">
        <v>18.138000000000002</v>
      </c>
      <c r="P11" s="1429">
        <v>23.646000000000001</v>
      </c>
      <c r="Q11" s="499">
        <v>74.820999999999998</v>
      </c>
      <c r="R11" s="1429">
        <v>21.902999999999999</v>
      </c>
      <c r="S11" s="1429">
        <v>25.957999999999998</v>
      </c>
      <c r="T11" s="1429">
        <v>29.626000000000001</v>
      </c>
      <c r="U11" s="1429">
        <v>33.225000000000001</v>
      </c>
      <c r="V11" s="499">
        <f>SUM(R11:U11)</f>
        <v>110.71199999999999</v>
      </c>
      <c r="W11" s="1429">
        <v>28.821000000000002</v>
      </c>
      <c r="X11" s="1429">
        <v>33.869</v>
      </c>
      <c r="Y11" s="1429">
        <v>41.3</v>
      </c>
      <c r="Z11" s="1429">
        <v>47.713999999999999</v>
      </c>
      <c r="AA11" s="499">
        <v>151.70400000000001</v>
      </c>
      <c r="AB11" s="1429">
        <v>41.83</v>
      </c>
      <c r="AC11" s="1429">
        <v>43.92</v>
      </c>
      <c r="AD11" s="1429">
        <v>50.675999999999995</v>
      </c>
      <c r="AE11" s="1429">
        <v>52.919999999999995</v>
      </c>
      <c r="AF11" s="499">
        <v>189.34599999999998</v>
      </c>
      <c r="AG11" s="499">
        <f>+'Jakafi - Summary'!M24</f>
        <v>213.33038734027573</v>
      </c>
      <c r="AH11" s="499">
        <f>+'Jakafi - Summary'!N24</f>
        <v>238.39825015441542</v>
      </c>
      <c r="AI11" s="499">
        <f>+'Jakafi - Summary'!O24</f>
        <v>246.89315354592242</v>
      </c>
      <c r="AJ11" s="499">
        <f>+'Jakafi - Summary'!P24</f>
        <v>249.52225853216822</v>
      </c>
      <c r="AK11" s="499">
        <f>+'Jakafi - Summary'!Q24</f>
        <v>246.89629449541897</v>
      </c>
      <c r="AL11" s="499">
        <f>+'Jakafi - Summary'!R24</f>
        <v>240.59230062329038</v>
      </c>
      <c r="AM11" s="499">
        <f>+'Jakafi - Summary'!S24</f>
        <v>232.97905540527543</v>
      </c>
      <c r="AN11" s="499">
        <f>+'Jakafi - Summary'!T24</f>
        <v>112.52042195609236</v>
      </c>
      <c r="AO11" s="499">
        <f>+'Jakafi - Summary'!U24</f>
        <v>1.7822366364948219</v>
      </c>
      <c r="AP11" s="499">
        <f>+'Jakafi - Summary'!V24</f>
        <v>0</v>
      </c>
      <c r="AQ11" s="499">
        <f>+'Jakafi - Summary'!W24</f>
        <v>0</v>
      </c>
      <c r="AR11" s="499">
        <f>+'Jakafi - Summary'!X24</f>
        <v>0</v>
      </c>
      <c r="AS11" s="32"/>
      <c r="AT11" s="32"/>
      <c r="AU11" s="32"/>
      <c r="AV11" s="32"/>
      <c r="AW11" s="32"/>
      <c r="AX11" s="32"/>
      <c r="AY11" s="32"/>
      <c r="AZ11" s="32"/>
      <c r="BA11" s="32"/>
      <c r="BB11" s="32"/>
      <c r="BC11" s="32"/>
      <c r="BD11" s="32"/>
      <c r="BK11" s="36"/>
    </row>
    <row r="12" spans="2:63" ht="15" customHeight="1">
      <c r="B12" s="448" t="s">
        <v>97</v>
      </c>
      <c r="C12" s="524"/>
      <c r="D12" s="525"/>
      <c r="E12" s="525"/>
      <c r="F12" s="526"/>
      <c r="G12" s="526"/>
      <c r="H12" s="441"/>
      <c r="I12" s="764"/>
      <c r="J12" s="765">
        <f>J11/J7</f>
        <v>0.11974193548387098</v>
      </c>
      <c r="K12" s="765">
        <f>K11/K7</f>
        <v>0.17331901840490799</v>
      </c>
      <c r="L12" s="765">
        <f>L11/L7</f>
        <v>0.17550537634408603</v>
      </c>
      <c r="M12" s="1434">
        <v>0.17414444444444444</v>
      </c>
      <c r="N12" s="1434">
        <v>0.17718367346938776</v>
      </c>
      <c r="O12" s="1434">
        <v>0.1760970873786408</v>
      </c>
      <c r="P12" s="1434">
        <v>0.19870588235294118</v>
      </c>
      <c r="Q12" s="765">
        <f>Q11/Q7</f>
        <v>0.18249024390243901</v>
      </c>
      <c r="R12" s="1434">
        <v>0.17663709677419354</v>
      </c>
      <c r="S12" s="1434">
        <v>0.1777945205479452</v>
      </c>
      <c r="T12" s="1434">
        <v>0.19883221476510068</v>
      </c>
      <c r="U12" s="1434">
        <v>0.2050925925925926</v>
      </c>
      <c r="V12" s="765">
        <v>0.19055421686746987</v>
      </c>
      <c r="W12" s="1434">
        <v>0.1779074074074074</v>
      </c>
      <c r="X12" s="1434">
        <v>0.18209139784946238</v>
      </c>
      <c r="Y12" s="1434">
        <v>0.20547263681592037</v>
      </c>
      <c r="Z12" s="1434">
        <v>0.20927192982456139</v>
      </c>
      <c r="AA12" s="765">
        <v>0.19524324324324324</v>
      </c>
      <c r="AB12" s="1434">
        <v>0.17799999999999999</v>
      </c>
      <c r="AC12" s="1434">
        <v>0.183</v>
      </c>
      <c r="AD12" s="1434">
        <v>0.20599999999999999</v>
      </c>
      <c r="AE12" s="1434">
        <v>0.21</v>
      </c>
      <c r="AF12" s="765">
        <v>0.19460020554984581</v>
      </c>
      <c r="AG12" s="765">
        <f>'Jakafi - Summary'!M25</f>
        <v>0.21</v>
      </c>
      <c r="AH12" s="765">
        <f>'Jakafi - Summary'!N25</f>
        <v>0.22</v>
      </c>
      <c r="AI12" s="765">
        <f>'Jakafi - Summary'!O25</f>
        <v>0.22</v>
      </c>
      <c r="AJ12" s="765">
        <f>'Jakafi - Summary'!P25</f>
        <v>0.22</v>
      </c>
      <c r="AK12" s="765">
        <f>'Jakafi - Summary'!Q25</f>
        <v>0.22</v>
      </c>
      <c r="AL12" s="765">
        <f>'Jakafi - Summary'!R25</f>
        <v>0.22</v>
      </c>
      <c r="AM12" s="765">
        <f>'Jakafi - Summary'!S25</f>
        <v>0.22</v>
      </c>
      <c r="AN12" s="764">
        <f>'Jakafi - Summary'!T25</f>
        <v>0.22</v>
      </c>
      <c r="AO12" s="764">
        <f>'Jakafi - Summary'!U25</f>
        <v>0.18</v>
      </c>
      <c r="AP12" s="764">
        <f>'Jakafi - Summary'!V25</f>
        <v>0.18</v>
      </c>
      <c r="AQ12" s="764">
        <f>'Jakafi - Summary'!W25</f>
        <v>0.18</v>
      </c>
      <c r="AR12" s="764">
        <f>'Jakafi - Summary'!X25</f>
        <v>0.18</v>
      </c>
      <c r="AS12" s="32"/>
      <c r="AT12" s="32"/>
      <c r="AU12" s="32"/>
      <c r="AV12" s="32"/>
      <c r="AW12" s="32"/>
      <c r="AX12" s="32"/>
      <c r="AY12" s="32"/>
      <c r="AZ12" s="32"/>
      <c r="BA12" s="32"/>
      <c r="BB12" s="32"/>
      <c r="BC12" s="32"/>
      <c r="BD12" s="32"/>
      <c r="BK12" s="36"/>
    </row>
    <row r="13" spans="2:63" ht="15" customHeight="1">
      <c r="B13" s="28" t="s">
        <v>358</v>
      </c>
      <c r="C13" s="35"/>
      <c r="D13" s="151"/>
      <c r="E13" s="151"/>
      <c r="F13" s="33"/>
      <c r="G13" s="33"/>
      <c r="H13" s="239"/>
      <c r="I13" s="375">
        <f t="shared" ref="I13:V13" si="5">SUM(I10:I11)</f>
        <v>2.012</v>
      </c>
      <c r="J13" s="375">
        <f t="shared" si="5"/>
        <v>139.714</v>
      </c>
      <c r="K13" s="375">
        <f t="shared" si="5"/>
        <v>263.69399999999996</v>
      </c>
      <c r="L13" s="375">
        <f t="shared" si="5"/>
        <v>406.52800000000002</v>
      </c>
      <c r="M13" s="1432">
        <v>131.00299999999999</v>
      </c>
      <c r="N13" s="1432">
        <v>159.77000000000001</v>
      </c>
      <c r="O13" s="1432">
        <v>179.39699999999999</v>
      </c>
      <c r="P13" s="1432">
        <v>205.66699999999997</v>
      </c>
      <c r="Q13" s="375">
        <f t="shared" si="5"/>
        <v>675.83699999999999</v>
      </c>
      <c r="R13" s="1432">
        <v>205.17</v>
      </c>
      <c r="S13" s="1432">
        <v>234.084</v>
      </c>
      <c r="T13" s="1432">
        <v>253.518</v>
      </c>
      <c r="U13" s="1432">
        <v>270.75600000000003</v>
      </c>
      <c r="V13" s="375">
        <f t="shared" si="5"/>
        <v>963.52800000000002</v>
      </c>
      <c r="W13" s="1432">
        <v>279.89800000000002</v>
      </c>
      <c r="X13" s="1432">
        <v>309.90700000000004</v>
      </c>
      <c r="Y13" s="1432">
        <v>345.22899999999998</v>
      </c>
      <c r="Z13" s="1432">
        <v>350.06200000000001</v>
      </c>
      <c r="AA13" s="375">
        <v>1285.096</v>
      </c>
      <c r="AB13" s="1432">
        <f t="shared" ref="AB13:AE13" si="6">SUM(AB10:AB11)</f>
        <v>356.83</v>
      </c>
      <c r="AC13" s="1432">
        <f t="shared" si="6"/>
        <v>378.92</v>
      </c>
      <c r="AD13" s="1432">
        <f t="shared" si="6"/>
        <v>410.67599999999999</v>
      </c>
      <c r="AE13" s="1432">
        <f t="shared" si="6"/>
        <v>427.92</v>
      </c>
      <c r="AF13" s="375">
        <f t="shared" ref="AF13" si="7">SUM(AF10:AF11)</f>
        <v>1574.346</v>
      </c>
      <c r="AG13" s="375">
        <f t="shared" ref="AG13:AM13" si="8">SUM(AG10:AG11)</f>
        <v>1796.974557222369</v>
      </c>
      <c r="AH13" s="375">
        <f t="shared" si="8"/>
        <v>2023.9057185825102</v>
      </c>
      <c r="AI13" s="375">
        <f t="shared" si="8"/>
        <v>2246.0319431579674</v>
      </c>
      <c r="AJ13" s="375">
        <f t="shared" si="8"/>
        <v>2464.2327133706331</v>
      </c>
      <c r="AK13" s="375">
        <f t="shared" si="8"/>
        <v>2653.7548275200816</v>
      </c>
      <c r="AL13" s="375">
        <f t="shared" si="8"/>
        <v>2790.750597949248</v>
      </c>
      <c r="AM13" s="375">
        <f t="shared" si="8"/>
        <v>2868.7492490428726</v>
      </c>
      <c r="AN13" s="375">
        <f>SUM(AN10:AN11)</f>
        <v>2242.5723326599305</v>
      </c>
      <c r="AO13" s="375">
        <f>SUM(AO10:AO11)</f>
        <v>400.91807529985414</v>
      </c>
      <c r="AP13" s="375">
        <f>SUM(AP10:AP11)</f>
        <v>132.8723552194881</v>
      </c>
      <c r="AQ13" s="375">
        <f>SUM(AQ10:AQ11)</f>
        <v>26.419882873963786</v>
      </c>
      <c r="AR13" s="375">
        <f>SUM(AR10:AR11)</f>
        <v>15.758809188589465</v>
      </c>
      <c r="AS13" s="32"/>
      <c r="AT13" s="32"/>
      <c r="AU13" s="32"/>
      <c r="AV13" s="32"/>
      <c r="AW13" s="32"/>
      <c r="AX13" s="32"/>
      <c r="AY13" s="32"/>
      <c r="AZ13" s="32"/>
      <c r="BA13" s="32"/>
      <c r="BB13" s="32"/>
      <c r="BC13" s="32"/>
      <c r="BD13" s="32"/>
      <c r="BK13" s="36"/>
    </row>
    <row r="14" spans="2:63" ht="15" customHeight="1">
      <c r="B14" s="70"/>
      <c r="C14" s="35"/>
      <c r="D14" s="151"/>
      <c r="E14" s="151"/>
      <c r="F14" s="33"/>
      <c r="G14" s="33"/>
      <c r="H14" s="239"/>
      <c r="I14" s="239"/>
      <c r="J14" s="239"/>
      <c r="K14" s="239"/>
      <c r="L14" s="612"/>
      <c r="M14" s="1435"/>
      <c r="N14" s="1435"/>
      <c r="O14" s="1435"/>
      <c r="P14" s="1435"/>
      <c r="Q14" s="612"/>
      <c r="R14" s="1435"/>
      <c r="S14" s="1435"/>
      <c r="T14" s="1435"/>
      <c r="U14" s="1435"/>
      <c r="V14" s="612"/>
      <c r="W14" s="1435"/>
      <c r="X14" s="1435"/>
      <c r="Y14" s="1435"/>
      <c r="Z14" s="1435"/>
      <c r="AA14" s="612"/>
      <c r="AB14" s="1435"/>
      <c r="AC14" s="1435"/>
      <c r="AD14" s="1435"/>
      <c r="AE14" s="1435"/>
      <c r="AF14" s="612"/>
      <c r="AG14" s="612"/>
      <c r="AH14" s="612"/>
      <c r="AI14" s="612"/>
      <c r="AJ14" s="612"/>
      <c r="AK14" s="612"/>
      <c r="AL14" s="612"/>
      <c r="AM14" s="612"/>
      <c r="AN14" s="612"/>
      <c r="AO14" s="612"/>
      <c r="AP14" s="612"/>
      <c r="AQ14" s="612"/>
      <c r="AR14" s="612"/>
      <c r="AS14" s="32"/>
      <c r="AT14" s="32"/>
      <c r="AU14" s="32"/>
      <c r="AV14" s="32"/>
      <c r="AW14" s="32"/>
      <c r="AX14" s="32"/>
      <c r="AY14" s="32"/>
      <c r="AZ14" s="32"/>
      <c r="BA14" s="32"/>
      <c r="BB14" s="32"/>
      <c r="BC14" s="32"/>
      <c r="BD14" s="32"/>
      <c r="BK14" s="36"/>
    </row>
    <row r="15" spans="2:63" ht="15" customHeight="1">
      <c r="B15" s="28" t="s">
        <v>785</v>
      </c>
      <c r="C15" s="35"/>
      <c r="D15" s="151"/>
      <c r="E15" s="151"/>
      <c r="F15" s="33"/>
      <c r="G15" s="33"/>
      <c r="H15" s="239"/>
      <c r="I15" s="239"/>
      <c r="J15" s="239"/>
      <c r="K15" s="239"/>
      <c r="L15" s="612"/>
      <c r="M15" s="1435"/>
      <c r="N15" s="1435"/>
      <c r="O15" s="1435"/>
      <c r="P15" s="1435"/>
      <c r="Q15" s="612"/>
      <c r="R15" s="1432">
        <v>0</v>
      </c>
      <c r="S15" s="1432">
        <v>3.99</v>
      </c>
      <c r="T15" s="1432">
        <v>12.731</v>
      </c>
      <c r="U15" s="1432">
        <v>12.867000000000001</v>
      </c>
      <c r="V15" s="375">
        <f>SUM(R15:U15)</f>
        <v>29.588000000000001</v>
      </c>
      <c r="W15" s="1432">
        <v>13.73</v>
      </c>
      <c r="X15" s="1432">
        <v>15.629</v>
      </c>
      <c r="Y15" s="1432">
        <v>18.100000000000001</v>
      </c>
      <c r="Z15" s="1432">
        <v>19.460999999999999</v>
      </c>
      <c r="AA15" s="375">
        <v>66.92</v>
      </c>
      <c r="AB15" s="1432">
        <v>19.5</v>
      </c>
      <c r="AC15" s="1432">
        <v>20.5</v>
      </c>
      <c r="AD15" s="1432">
        <v>21.5</v>
      </c>
      <c r="AE15" s="1432">
        <v>22.5</v>
      </c>
      <c r="AF15" s="375">
        <v>84</v>
      </c>
      <c r="AG15" s="375">
        <f>Iclusig!T5</f>
        <v>100.8</v>
      </c>
      <c r="AH15" s="375">
        <f>Iclusig!U5</f>
        <v>115.91999999999999</v>
      </c>
      <c r="AI15" s="375">
        <f>Iclusig!V5</f>
        <v>127.512</v>
      </c>
      <c r="AJ15" s="375">
        <f>Iclusig!W5</f>
        <v>136.43783999999999</v>
      </c>
      <c r="AK15" s="375">
        <f>Iclusig!X5</f>
        <v>143.25973200000001</v>
      </c>
      <c r="AL15" s="375">
        <f>Iclusig!Y5</f>
        <v>150.42271860000002</v>
      </c>
      <c r="AM15" s="375">
        <f>Iclusig!Z5</f>
        <v>157.94385453000004</v>
      </c>
      <c r="AN15" s="375">
        <f>Iclusig!AA5</f>
        <v>165.84104725650005</v>
      </c>
      <c r="AO15" s="375">
        <f>Iclusig!AB5</f>
        <v>33.168209451300001</v>
      </c>
      <c r="AP15" s="375">
        <f>Iclusig!AC5</f>
        <v>6.633641890259999</v>
      </c>
      <c r="AQ15" s="375">
        <f>Iclusig!AD5</f>
        <v>1.3267283780519994</v>
      </c>
      <c r="AR15" s="375">
        <f>Iclusig!AE5</f>
        <v>0.26534567561039984</v>
      </c>
      <c r="AS15" s="32"/>
      <c r="AT15" s="32"/>
      <c r="AU15" s="32"/>
      <c r="AV15" s="32"/>
      <c r="AW15" s="32"/>
      <c r="AX15" s="32"/>
      <c r="AY15" s="32"/>
      <c r="AZ15" s="32"/>
      <c r="BA15" s="32"/>
      <c r="BB15" s="32"/>
      <c r="BC15" s="32"/>
      <c r="BD15" s="32"/>
      <c r="BK15" s="36"/>
    </row>
    <row r="16" spans="2:63" ht="15" customHeight="1">
      <c r="B16" s="70"/>
      <c r="C16" s="35"/>
      <c r="D16" s="151"/>
      <c r="E16" s="151"/>
      <c r="F16" s="33"/>
      <c r="G16" s="33"/>
      <c r="H16" s="239"/>
      <c r="I16" s="239"/>
      <c r="J16" s="239"/>
      <c r="K16" s="239"/>
      <c r="L16" s="612"/>
      <c r="M16" s="1435"/>
      <c r="N16" s="1435"/>
      <c r="O16" s="1435"/>
      <c r="P16" s="1435"/>
      <c r="Q16" s="612"/>
      <c r="R16" s="1435"/>
      <c r="S16" s="1435"/>
      <c r="T16" s="1435"/>
      <c r="U16" s="1435"/>
      <c r="V16" s="612"/>
      <c r="W16" s="1435"/>
      <c r="X16" s="1435"/>
      <c r="Y16" s="1435"/>
      <c r="Z16" s="1435"/>
      <c r="AA16" s="612"/>
      <c r="AB16" s="1435"/>
      <c r="AC16" s="1435"/>
      <c r="AD16" s="1435"/>
      <c r="AE16" s="1435"/>
      <c r="AF16" s="612"/>
      <c r="AG16" s="612"/>
      <c r="AH16" s="612"/>
      <c r="AI16" s="612"/>
      <c r="AJ16" s="612"/>
      <c r="AK16" s="612"/>
      <c r="AL16" s="612"/>
      <c r="AM16" s="612"/>
      <c r="AN16" s="612"/>
      <c r="AO16" s="612"/>
      <c r="AP16" s="612"/>
      <c r="AQ16" s="612"/>
      <c r="AR16" s="612"/>
      <c r="AS16" s="32"/>
      <c r="AT16" s="32"/>
      <c r="AU16" s="32"/>
      <c r="AV16" s="32"/>
      <c r="AW16" s="32"/>
      <c r="AX16" s="32"/>
      <c r="AY16" s="32"/>
      <c r="AZ16" s="32"/>
      <c r="BA16" s="32"/>
      <c r="BB16" s="32"/>
      <c r="BC16" s="32"/>
      <c r="BD16" s="32"/>
      <c r="BK16" s="36"/>
    </row>
    <row r="17" spans="2:66" ht="15" customHeight="1">
      <c r="B17" s="68" t="s">
        <v>359</v>
      </c>
      <c r="C17" s="35"/>
      <c r="D17" s="39"/>
      <c r="E17" s="39"/>
      <c r="F17" s="39"/>
      <c r="G17" s="39"/>
      <c r="H17" s="239"/>
      <c r="I17" s="144"/>
      <c r="J17" s="144"/>
      <c r="K17" s="144"/>
      <c r="L17" s="88">
        <v>0</v>
      </c>
      <c r="M17" s="1433">
        <v>0</v>
      </c>
      <c r="N17" s="1433">
        <v>0</v>
      </c>
      <c r="O17" s="1433">
        <v>0</v>
      </c>
      <c r="P17" s="1433">
        <v>0</v>
      </c>
      <c r="Q17" s="88">
        <f>'Bari Summary'!F6</f>
        <v>0</v>
      </c>
      <c r="R17" s="1433">
        <v>0</v>
      </c>
      <c r="S17" s="1433">
        <v>0</v>
      </c>
      <c r="T17" s="1433">
        <v>0</v>
      </c>
      <c r="U17" s="1433">
        <v>0</v>
      </c>
      <c r="V17" s="88">
        <f>'Bari Summary'!G6</f>
        <v>0</v>
      </c>
      <c r="W17" s="1433">
        <v>0</v>
      </c>
      <c r="X17" s="1433">
        <v>0</v>
      </c>
      <c r="Y17" s="1433">
        <v>0</v>
      </c>
      <c r="Z17" s="1433">
        <v>0</v>
      </c>
      <c r="AA17" s="88">
        <v>0</v>
      </c>
      <c r="AB17" s="1433">
        <v>0</v>
      </c>
      <c r="AC17" s="1433">
        <v>0</v>
      </c>
      <c r="AD17" s="1433">
        <v>0</v>
      </c>
      <c r="AE17" s="1433">
        <v>0</v>
      </c>
      <c r="AF17" s="88">
        <v>0</v>
      </c>
      <c r="AG17" s="88">
        <f>'Bari Summary'!J6</f>
        <v>156.28664282645258</v>
      </c>
      <c r="AH17" s="88">
        <f>'Bari Summary'!K6</f>
        <v>414.29349763833704</v>
      </c>
      <c r="AI17" s="88">
        <f>'Bari Summary'!L6</f>
        <v>651.69538032447099</v>
      </c>
      <c r="AJ17" s="88">
        <f>'Bari Summary'!M6</f>
        <v>1005.7187739547599</v>
      </c>
      <c r="AK17" s="88">
        <f>'Bari Summary'!N6</f>
        <v>1307.5071607188954</v>
      </c>
      <c r="AL17" s="88">
        <f>'Bari Summary'!O6</f>
        <v>1409.3457129007829</v>
      </c>
      <c r="AM17" s="88">
        <f>'Bari Summary'!P6</f>
        <v>1382.2140906819823</v>
      </c>
      <c r="AN17" s="88">
        <f>'Bari Summary'!Q6</f>
        <v>1404.5817080292197</v>
      </c>
      <c r="AO17" s="88">
        <f>'Bari Summary'!R6</f>
        <v>1370.3755774875538</v>
      </c>
      <c r="AP17" s="88">
        <f>'Bari Summary'!S6</f>
        <v>1360.7936457537269</v>
      </c>
      <c r="AQ17" s="88">
        <f>'Bari Summary'!T6</f>
        <v>1188.7872952517148</v>
      </c>
      <c r="AR17" s="88">
        <f>'Bari Summary'!U6</f>
        <v>271.93520455081557</v>
      </c>
      <c r="AS17" s="32"/>
      <c r="AT17" s="32"/>
      <c r="AU17" s="32"/>
      <c r="AV17" s="32"/>
      <c r="AW17" s="32"/>
      <c r="AX17" s="32"/>
      <c r="AY17" s="32"/>
      <c r="AZ17" s="32"/>
      <c r="BA17" s="32"/>
      <c r="BB17" s="32"/>
      <c r="BC17" s="32"/>
      <c r="BD17" s="32"/>
      <c r="BK17" s="24"/>
    </row>
    <row r="18" spans="2:66" ht="15" customHeight="1">
      <c r="B18" s="70" t="s">
        <v>360</v>
      </c>
      <c r="C18" s="30"/>
      <c r="D18" s="39"/>
      <c r="E18" s="39"/>
      <c r="F18" s="31"/>
      <c r="G18" s="31"/>
      <c r="H18" s="144"/>
      <c r="I18" s="144"/>
      <c r="J18" s="144"/>
      <c r="K18" s="144"/>
      <c r="L18" s="88">
        <v>0</v>
      </c>
      <c r="M18" s="1433">
        <v>0</v>
      </c>
      <c r="N18" s="1433">
        <v>0</v>
      </c>
      <c r="O18" s="1433">
        <v>0</v>
      </c>
      <c r="P18" s="1433">
        <v>0</v>
      </c>
      <c r="Q18" s="88">
        <f>'Bari Summary'!F7</f>
        <v>0</v>
      </c>
      <c r="R18" s="1433">
        <v>0</v>
      </c>
      <c r="S18" s="1433">
        <v>0</v>
      </c>
      <c r="T18" s="1433">
        <v>0</v>
      </c>
      <c r="U18" s="1433">
        <v>0</v>
      </c>
      <c r="V18" s="88">
        <f>'Bari Summary'!G7</f>
        <v>0</v>
      </c>
      <c r="W18" s="1433">
        <v>1.9</v>
      </c>
      <c r="X18" s="1433">
        <v>4.8</v>
      </c>
      <c r="Y18" s="1433">
        <v>16.2</v>
      </c>
      <c r="Z18" s="1433">
        <v>23</v>
      </c>
      <c r="AA18" s="88">
        <v>45.9</v>
      </c>
      <c r="AB18" s="1433">
        <v>26</v>
      </c>
      <c r="AC18" s="1433">
        <v>30</v>
      </c>
      <c r="AD18" s="1433">
        <v>34</v>
      </c>
      <c r="AE18" s="1433">
        <v>38</v>
      </c>
      <c r="AF18" s="88">
        <v>128</v>
      </c>
      <c r="AG18" s="88">
        <f>'Bari Summary'!J7</f>
        <v>235.52664452869951</v>
      </c>
      <c r="AH18" s="88">
        <f>'Bari Summary'!K7</f>
        <v>296.87450295397178</v>
      </c>
      <c r="AI18" s="88">
        <f>'Bari Summary'!L7</f>
        <v>322.75655132198204</v>
      </c>
      <c r="AJ18" s="88">
        <f>'Bari Summary'!M7</f>
        <v>362.07167587010798</v>
      </c>
      <c r="AK18" s="88">
        <f>'Bari Summary'!N7</f>
        <v>390.00625714037989</v>
      </c>
      <c r="AL18" s="88">
        <f>'Bari Summary'!O7</f>
        <v>406.03661650015698</v>
      </c>
      <c r="AM18" s="88">
        <f>'Bari Summary'!P7</f>
        <v>409.85796099908299</v>
      </c>
      <c r="AN18" s="88">
        <f>'Bari Summary'!Q7</f>
        <v>407.51060213135514</v>
      </c>
      <c r="AO18" s="88">
        <f>'Bari Summary'!R7</f>
        <v>377.33630330142319</v>
      </c>
      <c r="AP18" s="88">
        <f>'Bari Summary'!S7</f>
        <v>354.31763809427815</v>
      </c>
      <c r="AQ18" s="88">
        <f>'Bari Summary'!T7</f>
        <v>330.91704111400259</v>
      </c>
      <c r="AR18" s="88">
        <f>'Bari Summary'!U7</f>
        <v>63.98970855868513</v>
      </c>
      <c r="AS18" s="32"/>
      <c r="AT18" s="32"/>
      <c r="AU18" s="32"/>
      <c r="AV18" s="32"/>
      <c r="AW18" s="32"/>
      <c r="AX18" s="32"/>
      <c r="AY18" s="32"/>
      <c r="AZ18" s="32"/>
      <c r="BA18" s="32"/>
      <c r="BB18" s="32"/>
      <c r="BC18" s="32"/>
      <c r="BD18" s="32"/>
      <c r="BK18" s="36"/>
    </row>
    <row r="19" spans="2:66" ht="15" customHeight="1">
      <c r="B19" s="766" t="s">
        <v>361</v>
      </c>
      <c r="C19" s="767"/>
      <c r="D19" s="768"/>
      <c r="E19" s="768"/>
      <c r="F19" s="768"/>
      <c r="G19" s="768"/>
      <c r="H19" s="769"/>
      <c r="I19" s="769"/>
      <c r="J19" s="769"/>
      <c r="K19" s="769"/>
      <c r="L19" s="770">
        <f t="shared" ref="L19:AR19" si="9">SUM(L17:L18)</f>
        <v>0</v>
      </c>
      <c r="M19" s="1436">
        <v>0</v>
      </c>
      <c r="N19" s="1436">
        <v>0</v>
      </c>
      <c r="O19" s="1436">
        <v>0</v>
      </c>
      <c r="P19" s="1436">
        <v>0</v>
      </c>
      <c r="Q19" s="770">
        <f t="shared" si="9"/>
        <v>0</v>
      </c>
      <c r="R19" s="1436">
        <f t="shared" si="9"/>
        <v>0</v>
      </c>
      <c r="S19" s="1436">
        <f t="shared" si="9"/>
        <v>0</v>
      </c>
      <c r="T19" s="1436">
        <f t="shared" si="9"/>
        <v>0</v>
      </c>
      <c r="U19" s="1436">
        <f t="shared" si="9"/>
        <v>0</v>
      </c>
      <c r="V19" s="770">
        <f t="shared" si="9"/>
        <v>0</v>
      </c>
      <c r="W19" s="1436">
        <v>1.9</v>
      </c>
      <c r="X19" s="1436">
        <v>4.8</v>
      </c>
      <c r="Y19" s="1436">
        <v>16.2</v>
      </c>
      <c r="Z19" s="1436">
        <v>23</v>
      </c>
      <c r="AA19" s="770">
        <v>45.9</v>
      </c>
      <c r="AB19" s="1436">
        <v>26</v>
      </c>
      <c r="AC19" s="1436">
        <v>30</v>
      </c>
      <c r="AD19" s="1436">
        <v>34</v>
      </c>
      <c r="AE19" s="1436">
        <v>38</v>
      </c>
      <c r="AF19" s="770">
        <v>128</v>
      </c>
      <c r="AG19" s="770">
        <f t="shared" si="9"/>
        <v>391.81328735515206</v>
      </c>
      <c r="AH19" s="770">
        <f t="shared" si="9"/>
        <v>711.16800059230877</v>
      </c>
      <c r="AI19" s="770">
        <f t="shared" si="9"/>
        <v>974.45193164645298</v>
      </c>
      <c r="AJ19" s="770">
        <f t="shared" si="9"/>
        <v>1367.7904498248679</v>
      </c>
      <c r="AK19" s="770">
        <f t="shared" si="9"/>
        <v>1697.5134178592753</v>
      </c>
      <c r="AL19" s="770">
        <f t="shared" si="9"/>
        <v>1815.3823294009399</v>
      </c>
      <c r="AM19" s="770">
        <f t="shared" si="9"/>
        <v>1792.0720516810652</v>
      </c>
      <c r="AN19" s="770">
        <f t="shared" si="9"/>
        <v>1812.0923101605749</v>
      </c>
      <c r="AO19" s="770">
        <f t="shared" si="9"/>
        <v>1747.7118807889769</v>
      </c>
      <c r="AP19" s="770">
        <f t="shared" si="9"/>
        <v>1715.1112838480051</v>
      </c>
      <c r="AQ19" s="770">
        <f t="shared" si="9"/>
        <v>1519.7043363657174</v>
      </c>
      <c r="AR19" s="770">
        <f t="shared" si="9"/>
        <v>335.92491310950072</v>
      </c>
      <c r="AS19" s="32"/>
      <c r="AT19" s="32"/>
      <c r="AU19" s="32"/>
      <c r="AV19" s="32"/>
      <c r="AW19" s="32"/>
      <c r="AX19" s="32"/>
      <c r="AY19" s="32"/>
      <c r="AZ19" s="32"/>
      <c r="BA19" s="32"/>
      <c r="BB19" s="32"/>
      <c r="BC19" s="32"/>
      <c r="BD19" s="32"/>
      <c r="BK19" s="36"/>
    </row>
    <row r="20" spans="2:66" ht="9.9499999999999993" customHeight="1">
      <c r="B20" s="68"/>
      <c r="C20" s="30"/>
      <c r="D20" s="39"/>
      <c r="E20" s="39"/>
      <c r="F20" s="39"/>
      <c r="G20" s="39"/>
      <c r="H20" s="144"/>
      <c r="I20" s="144"/>
      <c r="J20" s="144"/>
      <c r="K20" s="144"/>
      <c r="L20" s="88"/>
      <c r="M20" s="1433"/>
      <c r="N20" s="1433"/>
      <c r="O20" s="1433"/>
      <c r="P20" s="1433"/>
      <c r="Q20" s="88"/>
      <c r="R20" s="1433"/>
      <c r="S20" s="1433"/>
      <c r="T20" s="1433"/>
      <c r="U20" s="1433"/>
      <c r="V20" s="88"/>
      <c r="W20" s="1433"/>
      <c r="X20" s="1433"/>
      <c r="Y20" s="1433"/>
      <c r="Z20" s="1433"/>
      <c r="AA20" s="88"/>
      <c r="AB20" s="1433"/>
      <c r="AC20" s="1433"/>
      <c r="AD20" s="1433"/>
      <c r="AE20" s="1433"/>
      <c r="AF20" s="88"/>
      <c r="AG20" s="88"/>
      <c r="AH20" s="88"/>
      <c r="AI20" s="88"/>
      <c r="AJ20" s="88"/>
      <c r="AK20" s="88"/>
      <c r="AL20" s="88"/>
      <c r="AM20" s="88"/>
      <c r="AN20" s="88"/>
      <c r="AO20" s="88"/>
      <c r="AP20" s="88"/>
      <c r="AQ20" s="88"/>
      <c r="AR20" s="88"/>
      <c r="AS20" s="32"/>
      <c r="AT20" s="32"/>
      <c r="AU20" s="32"/>
      <c r="AV20" s="32"/>
      <c r="AW20" s="32"/>
      <c r="AX20" s="32"/>
      <c r="AY20" s="32"/>
      <c r="AZ20" s="32"/>
      <c r="BA20" s="32"/>
      <c r="BB20" s="32"/>
      <c r="BC20" s="32"/>
      <c r="BD20" s="32"/>
      <c r="BK20" s="36"/>
    </row>
    <row r="21" spans="2:66" ht="15" customHeight="1">
      <c r="B21" s="28" t="s">
        <v>362</v>
      </c>
      <c r="C21" s="35"/>
      <c r="D21" s="151"/>
      <c r="E21" s="151"/>
      <c r="F21" s="33"/>
      <c r="G21" s="33"/>
      <c r="H21" s="239"/>
      <c r="I21" s="316"/>
      <c r="J21" s="316"/>
      <c r="K21" s="317"/>
      <c r="L21" s="604">
        <v>0</v>
      </c>
      <c r="M21" s="1437">
        <v>0</v>
      </c>
      <c r="N21" s="1437">
        <v>0</v>
      </c>
      <c r="O21" s="1437">
        <v>0</v>
      </c>
      <c r="P21" s="1437">
        <v>0</v>
      </c>
      <c r="Q21" s="604">
        <v>0</v>
      </c>
      <c r="R21" s="1437">
        <v>0</v>
      </c>
      <c r="S21" s="1437">
        <v>0</v>
      </c>
      <c r="T21" s="1437">
        <v>0</v>
      </c>
      <c r="U21" s="1437">
        <v>0</v>
      </c>
      <c r="V21" s="604">
        <v>0</v>
      </c>
      <c r="W21" s="1437">
        <v>0.4</v>
      </c>
      <c r="X21" s="1437">
        <v>0.9</v>
      </c>
      <c r="Y21" s="1437">
        <v>3.1870000000000047</v>
      </c>
      <c r="Z21" s="1437">
        <v>4.6000000000000005</v>
      </c>
      <c r="AA21" s="604">
        <v>9.0870000000000051</v>
      </c>
      <c r="AB21" s="1432">
        <v>5.2</v>
      </c>
      <c r="AC21" s="1437">
        <v>6</v>
      </c>
      <c r="AD21" s="1437">
        <v>6.8000000000000007</v>
      </c>
      <c r="AE21" s="1437">
        <v>7.6000000000000005</v>
      </c>
      <c r="AF21" s="604">
        <v>25.6</v>
      </c>
      <c r="AG21" s="604">
        <f>'Bari Summary'!J15</f>
        <v>78.362657471030431</v>
      </c>
      <c r="AH21" s="604">
        <f>'Bari Summary'!K15</f>
        <v>146.45696013030792</v>
      </c>
      <c r="AI21" s="604">
        <f>'Bari Summary'!L15</f>
        <v>204.37942496221964</v>
      </c>
      <c r="AJ21" s="604">
        <f>'Bari Summary'!M15</f>
        <v>298.26970795796825</v>
      </c>
      <c r="AK21" s="604">
        <f>'Bari Summary'!N15</f>
        <v>381.35348864341159</v>
      </c>
      <c r="AL21" s="604">
        <f>'Bari Summary'!O15</f>
        <v>411.99940564424435</v>
      </c>
      <c r="AM21" s="604">
        <f>'Bari Summary'!P15</f>
        <v>405.93873343707696</v>
      </c>
      <c r="AN21" s="604">
        <f>'Bari Summary'!Q15</f>
        <v>411.14400064174953</v>
      </c>
      <c r="AO21" s="604">
        <f>'Bari Summary'!R15</f>
        <v>394.40508900513407</v>
      </c>
      <c r="AP21" s="604">
        <f>'Bari Summary'!S15</f>
        <v>385.92893380048133</v>
      </c>
      <c r="AQ21" s="604">
        <f>'Bari Summary'!T15</f>
        <v>335.12312745508655</v>
      </c>
      <c r="AR21" s="604">
        <f>'Bari Summary'!U15</f>
        <v>67.184982621900147</v>
      </c>
      <c r="AS21" s="250"/>
      <c r="AT21" s="234"/>
      <c r="AU21" s="234"/>
      <c r="AV21" s="234"/>
      <c r="AW21" s="234"/>
      <c r="AX21" s="234"/>
      <c r="AY21" s="234"/>
      <c r="AZ21" s="234"/>
      <c r="BA21" s="234"/>
      <c r="BB21" s="234"/>
      <c r="BC21" s="234"/>
      <c r="BD21" s="234"/>
      <c r="BK21" s="236"/>
      <c r="BL21" s="223"/>
      <c r="BM21" s="223"/>
      <c r="BN21" s="223"/>
    </row>
    <row r="22" spans="2:66" ht="15" customHeight="1">
      <c r="B22" s="28"/>
      <c r="C22" s="35"/>
      <c r="D22" s="151"/>
      <c r="E22" s="151"/>
      <c r="F22" s="33"/>
      <c r="G22" s="33"/>
      <c r="H22" s="239"/>
      <c r="I22" s="316"/>
      <c r="J22" s="316"/>
      <c r="K22" s="317"/>
      <c r="L22" s="604"/>
      <c r="M22" s="1437"/>
      <c r="N22" s="1437"/>
      <c r="O22" s="1437"/>
      <c r="P22" s="1437"/>
      <c r="Q22" s="604"/>
      <c r="R22" s="1437"/>
      <c r="S22" s="1437"/>
      <c r="T22" s="1437"/>
      <c r="U22" s="1437"/>
      <c r="V22" s="604"/>
      <c r="W22" s="1437"/>
      <c r="X22" s="1437"/>
      <c r="Y22" s="1437"/>
      <c r="Z22" s="1437"/>
      <c r="AA22" s="604"/>
      <c r="AB22" s="1437"/>
      <c r="AC22" s="1437"/>
      <c r="AD22" s="1437"/>
      <c r="AE22" s="1437"/>
      <c r="AF22" s="604"/>
      <c r="AG22" s="604"/>
      <c r="AH22" s="604"/>
      <c r="AI22" s="604"/>
      <c r="AJ22" s="604"/>
      <c r="AK22" s="604"/>
      <c r="AL22" s="604"/>
      <c r="AM22" s="604"/>
      <c r="AN22" s="604"/>
      <c r="AO22" s="604"/>
      <c r="AP22" s="604"/>
      <c r="AQ22" s="604"/>
      <c r="AR22" s="604"/>
      <c r="AS22" s="250"/>
      <c r="AT22" s="234"/>
      <c r="AU22" s="234"/>
      <c r="AV22" s="234"/>
      <c r="AW22" s="234"/>
      <c r="AX22" s="234"/>
      <c r="AY22" s="234"/>
      <c r="AZ22" s="234"/>
      <c r="BA22" s="234"/>
      <c r="BB22" s="234"/>
      <c r="BC22" s="234"/>
      <c r="BD22" s="234"/>
      <c r="BK22" s="236"/>
      <c r="BL22" s="223"/>
      <c r="BM22" s="223"/>
      <c r="BN22" s="223"/>
    </row>
    <row r="23" spans="2:66" ht="15" customHeight="1">
      <c r="B23" s="68" t="s">
        <v>756</v>
      </c>
      <c r="C23" s="35"/>
      <c r="D23" s="39"/>
      <c r="E23" s="39"/>
      <c r="F23" s="39"/>
      <c r="G23" s="39"/>
      <c r="H23" s="239"/>
      <c r="I23" s="144"/>
      <c r="J23" s="144"/>
      <c r="K23" s="144"/>
      <c r="L23" s="88">
        <f>Epacadostat!E14</f>
        <v>0</v>
      </c>
      <c r="M23" s="1433">
        <v>0</v>
      </c>
      <c r="N23" s="1433">
        <v>0</v>
      </c>
      <c r="O23" s="1433">
        <v>0</v>
      </c>
      <c r="P23" s="1433">
        <v>0</v>
      </c>
      <c r="Q23" s="88">
        <f>Epacadostat!F14</f>
        <v>0</v>
      </c>
      <c r="R23" s="1433">
        <v>0</v>
      </c>
      <c r="S23" s="1433">
        <v>0</v>
      </c>
      <c r="T23" s="1433">
        <v>0</v>
      </c>
      <c r="U23" s="1433">
        <v>0</v>
      </c>
      <c r="V23" s="88">
        <f>Epacadostat!G14</f>
        <v>0</v>
      </c>
      <c r="W23" s="1433">
        <v>0</v>
      </c>
      <c r="X23" s="1433">
        <v>0</v>
      </c>
      <c r="Y23" s="1433">
        <v>0</v>
      </c>
      <c r="Z23" s="1433">
        <v>0</v>
      </c>
      <c r="AA23" s="88">
        <f>Epacadostat!H14</f>
        <v>0</v>
      </c>
      <c r="AB23" s="1433">
        <v>0</v>
      </c>
      <c r="AC23" s="1433">
        <v>0</v>
      </c>
      <c r="AD23" s="1433">
        <v>0</v>
      </c>
      <c r="AE23" s="1433">
        <v>0</v>
      </c>
      <c r="AF23" s="88">
        <v>0</v>
      </c>
      <c r="AG23" s="88">
        <f>Epacadostat!J14</f>
        <v>0</v>
      </c>
      <c r="AH23" s="88">
        <f>Epacadostat!K14</f>
        <v>0</v>
      </c>
      <c r="AI23" s="88">
        <f>Epacadostat!L14</f>
        <v>0</v>
      </c>
      <c r="AJ23" s="88">
        <f>Epacadostat!M14</f>
        <v>0</v>
      </c>
      <c r="AK23" s="88">
        <f>Epacadostat!N14</f>
        <v>0</v>
      </c>
      <c r="AL23" s="88">
        <f>Epacadostat!O14</f>
        <v>0</v>
      </c>
      <c r="AM23" s="88">
        <f>Epacadostat!P14</f>
        <v>0</v>
      </c>
      <c r="AN23" s="88">
        <f>Epacadostat!Q14</f>
        <v>0</v>
      </c>
      <c r="AO23" s="88">
        <f>Epacadostat!R14</f>
        <v>0</v>
      </c>
      <c r="AP23" s="88">
        <f>Epacadostat!S14</f>
        <v>0</v>
      </c>
      <c r="AQ23" s="88">
        <f>Epacadostat!T14</f>
        <v>0</v>
      </c>
      <c r="AR23" s="88">
        <f>Epacadostat!U14</f>
        <v>0</v>
      </c>
      <c r="AS23" s="250"/>
      <c r="AT23" s="234"/>
      <c r="AU23" s="234"/>
      <c r="AV23" s="234"/>
      <c r="AW23" s="234"/>
      <c r="AX23" s="234"/>
      <c r="AY23" s="234"/>
      <c r="AZ23" s="234"/>
      <c r="BA23" s="234"/>
      <c r="BB23" s="234"/>
      <c r="BC23" s="234"/>
      <c r="BD23" s="234"/>
      <c r="BK23" s="236"/>
      <c r="BL23" s="223"/>
      <c r="BM23" s="223"/>
      <c r="BN23" s="223"/>
    </row>
    <row r="24" spans="2:66" ht="15" customHeight="1">
      <c r="B24" s="70" t="s">
        <v>757</v>
      </c>
      <c r="C24" s="30"/>
      <c r="D24" s="39"/>
      <c r="E24" s="39"/>
      <c r="F24" s="31"/>
      <c r="G24" s="31"/>
      <c r="H24" s="144"/>
      <c r="I24" s="144"/>
      <c r="J24" s="144"/>
      <c r="K24" s="144"/>
      <c r="L24" s="88">
        <f>Epacadostat!E16</f>
        <v>0</v>
      </c>
      <c r="M24" s="1433">
        <v>0</v>
      </c>
      <c r="N24" s="1433">
        <v>0</v>
      </c>
      <c r="O24" s="1433">
        <v>0</v>
      </c>
      <c r="P24" s="1433">
        <v>0</v>
      </c>
      <c r="Q24" s="88">
        <f>Epacadostat!F16</f>
        <v>0</v>
      </c>
      <c r="R24" s="1433">
        <v>0</v>
      </c>
      <c r="S24" s="1433">
        <v>0</v>
      </c>
      <c r="T24" s="1433">
        <v>0</v>
      </c>
      <c r="U24" s="1433">
        <v>0</v>
      </c>
      <c r="V24" s="88">
        <f>Epacadostat!G16</f>
        <v>0</v>
      </c>
      <c r="W24" s="1433">
        <v>0</v>
      </c>
      <c r="X24" s="1433">
        <v>0</v>
      </c>
      <c r="Y24" s="1433">
        <v>0</v>
      </c>
      <c r="Z24" s="1433">
        <v>0</v>
      </c>
      <c r="AA24" s="88">
        <f>Epacadostat!H16</f>
        <v>0</v>
      </c>
      <c r="AB24" s="1433">
        <v>0</v>
      </c>
      <c r="AC24" s="1433">
        <v>0</v>
      </c>
      <c r="AD24" s="1433">
        <v>0</v>
      </c>
      <c r="AE24" s="1433">
        <v>0</v>
      </c>
      <c r="AF24" s="88">
        <v>0</v>
      </c>
      <c r="AG24" s="88">
        <f>Epacadostat!J16</f>
        <v>0</v>
      </c>
      <c r="AH24" s="88">
        <f>Epacadostat!K16</f>
        <v>0</v>
      </c>
      <c r="AI24" s="88">
        <f>Epacadostat!L16</f>
        <v>0</v>
      </c>
      <c r="AJ24" s="88">
        <f>Epacadostat!M16</f>
        <v>0</v>
      </c>
      <c r="AK24" s="88">
        <f>Epacadostat!N16</f>
        <v>0</v>
      </c>
      <c r="AL24" s="88">
        <f>Epacadostat!O16</f>
        <v>0</v>
      </c>
      <c r="AM24" s="88">
        <f>Epacadostat!P16</f>
        <v>0</v>
      </c>
      <c r="AN24" s="88">
        <f>Epacadostat!Q16</f>
        <v>0</v>
      </c>
      <c r="AO24" s="88">
        <f>Epacadostat!R16</f>
        <v>0</v>
      </c>
      <c r="AP24" s="88">
        <f>Epacadostat!S16</f>
        <v>0</v>
      </c>
      <c r="AQ24" s="88">
        <f>Epacadostat!T16</f>
        <v>0</v>
      </c>
      <c r="AR24" s="88">
        <f>Epacadostat!U16</f>
        <v>0</v>
      </c>
      <c r="AS24" s="250"/>
      <c r="AT24" s="234"/>
      <c r="AU24" s="234"/>
      <c r="AV24" s="234"/>
      <c r="AW24" s="234"/>
      <c r="AX24" s="234"/>
      <c r="AY24" s="234"/>
      <c r="AZ24" s="234"/>
      <c r="BA24" s="234"/>
      <c r="BB24" s="234"/>
      <c r="BC24" s="234"/>
      <c r="BD24" s="234"/>
      <c r="BK24" s="236"/>
      <c r="BL24" s="223"/>
      <c r="BM24" s="223"/>
      <c r="BN24" s="223"/>
    </row>
    <row r="25" spans="2:66" ht="15" customHeight="1">
      <c r="B25" s="766" t="s">
        <v>758</v>
      </c>
      <c r="C25" s="767"/>
      <c r="D25" s="768"/>
      <c r="E25" s="768"/>
      <c r="F25" s="768"/>
      <c r="G25" s="768"/>
      <c r="H25" s="769"/>
      <c r="I25" s="769"/>
      <c r="J25" s="769"/>
      <c r="K25" s="769"/>
      <c r="L25" s="770">
        <f t="shared" ref="L25:AR25" si="10">SUM(L23:L24)</f>
        <v>0</v>
      </c>
      <c r="M25" s="1436">
        <v>0</v>
      </c>
      <c r="N25" s="1436">
        <v>0</v>
      </c>
      <c r="O25" s="1436">
        <v>0</v>
      </c>
      <c r="P25" s="1436">
        <v>0</v>
      </c>
      <c r="Q25" s="770">
        <f t="shared" si="10"/>
        <v>0</v>
      </c>
      <c r="R25" s="1436">
        <f t="shared" si="10"/>
        <v>0</v>
      </c>
      <c r="S25" s="1436">
        <f t="shared" si="10"/>
        <v>0</v>
      </c>
      <c r="T25" s="1436">
        <f t="shared" si="10"/>
        <v>0</v>
      </c>
      <c r="U25" s="1436">
        <f t="shared" si="10"/>
        <v>0</v>
      </c>
      <c r="V25" s="770">
        <f t="shared" si="10"/>
        <v>0</v>
      </c>
      <c r="W25" s="1436">
        <v>0</v>
      </c>
      <c r="X25" s="1436">
        <v>0</v>
      </c>
      <c r="Y25" s="1436">
        <v>0</v>
      </c>
      <c r="Z25" s="1436">
        <v>0</v>
      </c>
      <c r="AA25" s="770">
        <f t="shared" si="10"/>
        <v>0</v>
      </c>
      <c r="AB25" s="1436">
        <v>0</v>
      </c>
      <c r="AC25" s="1436">
        <v>0</v>
      </c>
      <c r="AD25" s="1436">
        <v>0</v>
      </c>
      <c r="AE25" s="1436">
        <v>0</v>
      </c>
      <c r="AF25" s="770">
        <v>0</v>
      </c>
      <c r="AG25" s="770">
        <f t="shared" si="10"/>
        <v>0</v>
      </c>
      <c r="AH25" s="770">
        <f t="shared" si="10"/>
        <v>0</v>
      </c>
      <c r="AI25" s="770">
        <f t="shared" si="10"/>
        <v>0</v>
      </c>
      <c r="AJ25" s="770">
        <f t="shared" si="10"/>
        <v>0</v>
      </c>
      <c r="AK25" s="770">
        <f t="shared" si="10"/>
        <v>0</v>
      </c>
      <c r="AL25" s="770">
        <f t="shared" si="10"/>
        <v>0</v>
      </c>
      <c r="AM25" s="770">
        <f t="shared" si="10"/>
        <v>0</v>
      </c>
      <c r="AN25" s="770">
        <f t="shared" si="10"/>
        <v>0</v>
      </c>
      <c r="AO25" s="770">
        <f t="shared" si="10"/>
        <v>0</v>
      </c>
      <c r="AP25" s="770">
        <f t="shared" si="10"/>
        <v>0</v>
      </c>
      <c r="AQ25" s="770">
        <f t="shared" si="10"/>
        <v>0</v>
      </c>
      <c r="AR25" s="770">
        <f t="shared" si="10"/>
        <v>0</v>
      </c>
      <c r="AS25" s="250"/>
      <c r="AT25" s="234"/>
      <c r="AU25" s="234"/>
      <c r="AV25" s="234"/>
      <c r="AW25" s="234"/>
      <c r="AX25" s="234"/>
      <c r="AY25" s="234"/>
      <c r="AZ25" s="234"/>
      <c r="BA25" s="234"/>
      <c r="BB25" s="234"/>
      <c r="BC25" s="234"/>
      <c r="BD25" s="234"/>
      <c r="BK25" s="236"/>
      <c r="BL25" s="223"/>
      <c r="BM25" s="223"/>
      <c r="BN25" s="223"/>
    </row>
    <row r="26" spans="2:66" ht="15" hidden="1" customHeight="1">
      <c r="B26" s="28"/>
      <c r="C26" s="35"/>
      <c r="D26" s="151"/>
      <c r="E26" s="151"/>
      <c r="F26" s="33"/>
      <c r="G26" s="33"/>
      <c r="H26" s="239"/>
      <c r="I26" s="316"/>
      <c r="J26" s="316"/>
      <c r="K26" s="317"/>
      <c r="L26" s="604"/>
      <c r="M26" s="1437"/>
      <c r="N26" s="1437"/>
      <c r="O26" s="1437"/>
      <c r="P26" s="1437"/>
      <c r="Q26" s="604"/>
      <c r="R26" s="1437"/>
      <c r="S26" s="1437"/>
      <c r="T26" s="1437"/>
      <c r="U26" s="1437"/>
      <c r="V26" s="604"/>
      <c r="W26" s="1437"/>
      <c r="X26" s="1437"/>
      <c r="Y26" s="1437"/>
      <c r="Z26" s="1437"/>
      <c r="AA26" s="604"/>
      <c r="AB26" s="1437"/>
      <c r="AC26" s="1437"/>
      <c r="AD26" s="1437"/>
      <c r="AE26" s="1437"/>
      <c r="AF26" s="604"/>
      <c r="AG26" s="604"/>
      <c r="AH26" s="604"/>
      <c r="AI26" s="604"/>
      <c r="AJ26" s="604"/>
      <c r="AK26" s="604"/>
      <c r="AL26" s="604"/>
      <c r="AM26" s="604"/>
      <c r="AN26" s="604"/>
      <c r="AO26" s="604"/>
      <c r="AP26" s="604"/>
      <c r="AQ26" s="604"/>
      <c r="AR26" s="604"/>
      <c r="AS26" s="250"/>
      <c r="AT26" s="234"/>
      <c r="AU26" s="234"/>
      <c r="AV26" s="234"/>
      <c r="AW26" s="234"/>
      <c r="AX26" s="234"/>
      <c r="AY26" s="234"/>
      <c r="AZ26" s="234"/>
      <c r="BA26" s="234"/>
      <c r="BB26" s="234"/>
      <c r="BC26" s="234"/>
      <c r="BD26" s="234"/>
      <c r="BK26" s="236"/>
      <c r="BL26" s="223"/>
      <c r="BM26" s="223"/>
      <c r="BN26" s="223"/>
    </row>
    <row r="27" spans="2:66" ht="15" customHeight="1">
      <c r="B27" s="70"/>
      <c r="C27" s="35"/>
      <c r="D27" s="151"/>
      <c r="E27" s="151"/>
      <c r="F27" s="33"/>
      <c r="G27" s="33"/>
      <c r="H27" s="239"/>
      <c r="I27" s="316"/>
      <c r="J27" s="316"/>
      <c r="K27" s="317"/>
      <c r="L27" s="240"/>
      <c r="M27" s="1438"/>
      <c r="N27" s="1438"/>
      <c r="O27" s="1438"/>
      <c r="P27" s="1438"/>
      <c r="Q27" s="240"/>
      <c r="R27" s="1438"/>
      <c r="S27" s="1438"/>
      <c r="T27" s="1438"/>
      <c r="U27" s="1438"/>
      <c r="V27" s="240"/>
      <c r="W27" s="1438"/>
      <c r="X27" s="1438"/>
      <c r="Y27" s="1438"/>
      <c r="Z27" s="1438"/>
      <c r="AA27" s="240"/>
      <c r="AB27" s="1438"/>
      <c r="AC27" s="1438"/>
      <c r="AD27" s="1438"/>
      <c r="AE27" s="1438"/>
      <c r="AF27" s="240"/>
      <c r="AG27" s="240"/>
      <c r="AH27" s="240"/>
      <c r="AI27" s="240"/>
      <c r="AJ27" s="240"/>
      <c r="AK27" s="240"/>
      <c r="AL27" s="240"/>
      <c r="AM27" s="240"/>
      <c r="AN27" s="240"/>
      <c r="AO27" s="240"/>
      <c r="AP27" s="240"/>
      <c r="AQ27" s="240"/>
      <c r="AR27" s="240"/>
      <c r="AS27" s="250"/>
      <c r="AT27" s="234"/>
      <c r="AU27" s="234"/>
      <c r="AV27" s="234"/>
      <c r="AW27" s="234"/>
      <c r="AX27" s="234"/>
      <c r="AY27" s="234"/>
      <c r="AZ27" s="234"/>
      <c r="BA27" s="234"/>
      <c r="BB27" s="234"/>
      <c r="BC27" s="234"/>
      <c r="BD27" s="234"/>
      <c r="BK27" s="236"/>
      <c r="BL27" s="223"/>
      <c r="BM27" s="223"/>
      <c r="BN27" s="223"/>
    </row>
    <row r="28" spans="2:66" ht="15" customHeight="1">
      <c r="B28" s="70" t="s">
        <v>95</v>
      </c>
      <c r="C28" s="35"/>
      <c r="D28" s="176">
        <v>24.225999999999999</v>
      </c>
      <c r="E28" s="176">
        <v>29.852</v>
      </c>
      <c r="F28" s="239">
        <v>0.65900000000000003</v>
      </c>
      <c r="G28" s="499">
        <v>0</v>
      </c>
      <c r="H28" s="499">
        <v>168.94799999999998</v>
      </c>
      <c r="I28" s="499">
        <v>91.948999999999984</v>
      </c>
      <c r="J28" s="499">
        <v>156.94799999999998</v>
      </c>
      <c r="K28" s="499">
        <v>91.046999999999997</v>
      </c>
      <c r="L28" s="499">
        <v>104.85599999999999</v>
      </c>
      <c r="M28" s="1429">
        <v>28.213999999999999</v>
      </c>
      <c r="N28" s="1429">
        <v>3.214</v>
      </c>
      <c r="O28" s="1429">
        <v>8.2140000000000004</v>
      </c>
      <c r="P28" s="1429">
        <v>38.213999999999999</v>
      </c>
      <c r="Q28" s="499">
        <v>77.855999999999995</v>
      </c>
      <c r="R28" s="1429">
        <v>58.213999999999999</v>
      </c>
      <c r="S28" s="1429">
        <v>8.2140000000000004</v>
      </c>
      <c r="T28" s="1429">
        <v>3.214</v>
      </c>
      <c r="U28" s="1429">
        <v>42.869</v>
      </c>
      <c r="V28" s="499">
        <v>112.511</v>
      </c>
      <c r="W28" s="1429">
        <v>90</v>
      </c>
      <c r="X28" s="1429">
        <v>0</v>
      </c>
      <c r="Y28" s="1429">
        <v>15</v>
      </c>
      <c r="Z28" s="1429">
        <v>70</v>
      </c>
      <c r="AA28" s="499">
        <f>SUM(W28:Z28)</f>
        <v>175</v>
      </c>
      <c r="AB28" s="1429">
        <v>0</v>
      </c>
      <c r="AC28" s="1429">
        <v>0</v>
      </c>
      <c r="AD28" s="1429">
        <v>0</v>
      </c>
      <c r="AE28" s="1429">
        <v>0</v>
      </c>
      <c r="AF28" s="499">
        <v>0</v>
      </c>
      <c r="AG28" s="500">
        <v>0</v>
      </c>
      <c r="AH28" s="500">
        <v>0</v>
      </c>
      <c r="AI28" s="500">
        <v>0</v>
      </c>
      <c r="AJ28" s="500">
        <v>0</v>
      </c>
      <c r="AK28" s="500">
        <v>0</v>
      </c>
      <c r="AL28" s="500">
        <v>0</v>
      </c>
      <c r="AM28" s="500">
        <v>0</v>
      </c>
      <c r="AN28" s="500">
        <v>0</v>
      </c>
      <c r="AO28" s="500">
        <v>0</v>
      </c>
      <c r="AP28" s="500">
        <v>0</v>
      </c>
      <c r="AQ28" s="500">
        <v>0</v>
      </c>
      <c r="AR28" s="500">
        <v>0</v>
      </c>
      <c r="AS28" s="237"/>
      <c r="AT28" s="237"/>
      <c r="AU28" s="237"/>
      <c r="AV28" s="237"/>
      <c r="AW28" s="237"/>
      <c r="AX28" s="237"/>
      <c r="AY28" s="237"/>
      <c r="AZ28" s="237"/>
      <c r="BA28" s="237"/>
      <c r="BB28" s="237"/>
      <c r="BC28" s="237"/>
      <c r="BD28" s="235"/>
      <c r="BK28" s="238"/>
      <c r="BL28" s="223"/>
      <c r="BM28" s="223"/>
      <c r="BN28" s="223"/>
    </row>
    <row r="29" spans="2:66" ht="15" customHeight="1">
      <c r="B29" s="70" t="s">
        <v>292</v>
      </c>
      <c r="C29" s="30"/>
      <c r="D29" s="160">
        <v>3.4169999999999998</v>
      </c>
      <c r="E29" s="160">
        <v>4.5880000000000001</v>
      </c>
      <c r="F29" s="249">
        <v>3.2600000000000007</v>
      </c>
      <c r="G29" s="501">
        <v>9.2650000000000006</v>
      </c>
      <c r="H29" s="499">
        <v>0.93</v>
      </c>
      <c r="I29" s="499">
        <v>0.49399999999999999</v>
      </c>
      <c r="J29" s="499">
        <v>0.39600000000000002</v>
      </c>
      <c r="K29" s="499">
        <v>0.20599999999999999</v>
      </c>
      <c r="L29" s="499">
        <v>0.11000000000000001</v>
      </c>
      <c r="M29" s="1429">
        <v>5.8000000000000003E-2</v>
      </c>
      <c r="N29" s="1429">
        <v>0</v>
      </c>
      <c r="O29" s="1429">
        <v>0</v>
      </c>
      <c r="P29" s="1429">
        <v>0</v>
      </c>
      <c r="Q29" s="499">
        <v>5.8000000000000003E-2</v>
      </c>
      <c r="R29" s="1429">
        <v>0.08</v>
      </c>
      <c r="S29" s="1429">
        <v>0</v>
      </c>
      <c r="T29" s="1429">
        <v>6.0000000000000001E-3</v>
      </c>
      <c r="U29" s="1429">
        <v>6.0000000000000001E-3</v>
      </c>
      <c r="V29" s="499">
        <f>SUM(R29:U29)</f>
        <v>9.2000000000000012E-2</v>
      </c>
      <c r="W29" s="1429">
        <v>5.3999999999999999E-2</v>
      </c>
      <c r="X29" s="1429">
        <v>8.0000000000000002E-3</v>
      </c>
      <c r="Y29" s="1429">
        <v>1.7999999999999999E-2</v>
      </c>
      <c r="Z29" s="1429">
        <v>3.3000000000000002E-2</v>
      </c>
      <c r="AA29" s="499">
        <f>SUM(W29:Z29)</f>
        <v>0.113</v>
      </c>
      <c r="AB29" s="1429">
        <v>0.1</v>
      </c>
      <c r="AC29" s="1429">
        <v>0.1</v>
      </c>
      <c r="AD29" s="1429">
        <v>0.1</v>
      </c>
      <c r="AE29" s="1429">
        <v>0.1</v>
      </c>
      <c r="AF29" s="499">
        <v>0.4</v>
      </c>
      <c r="AG29" s="500">
        <v>0</v>
      </c>
      <c r="AH29" s="500">
        <v>0</v>
      </c>
      <c r="AI29" s="500">
        <v>0</v>
      </c>
      <c r="AJ29" s="500">
        <v>0</v>
      </c>
      <c r="AK29" s="500">
        <v>0</v>
      </c>
      <c r="AL29" s="500">
        <v>0</v>
      </c>
      <c r="AM29" s="500">
        <v>0</v>
      </c>
      <c r="AN29" s="500">
        <v>0</v>
      </c>
      <c r="AO29" s="500">
        <v>0</v>
      </c>
      <c r="AP29" s="500">
        <v>0</v>
      </c>
      <c r="AQ29" s="500">
        <v>0</v>
      </c>
      <c r="AR29" s="500">
        <v>0</v>
      </c>
      <c r="AS29" s="234"/>
      <c r="AT29" s="234"/>
      <c r="AU29" s="234"/>
      <c r="AV29" s="234"/>
      <c r="AW29" s="234"/>
      <c r="AX29" s="234"/>
      <c r="AY29" s="234"/>
      <c r="AZ29" s="234"/>
      <c r="BA29" s="234"/>
      <c r="BB29" s="234"/>
      <c r="BC29" s="234"/>
      <c r="BD29" s="235"/>
      <c r="BK29" s="238"/>
      <c r="BL29" s="223"/>
      <c r="BM29" s="223"/>
      <c r="BN29" s="223"/>
    </row>
    <row r="30" spans="2:66" ht="15" customHeight="1">
      <c r="B30" s="806" t="s">
        <v>180</v>
      </c>
      <c r="C30" s="807"/>
      <c r="D30" s="808">
        <f>SUM(D28:D29)</f>
        <v>27.643000000000001</v>
      </c>
      <c r="E30" s="808">
        <f>SUM(E28:E29)</f>
        <v>34.44</v>
      </c>
      <c r="F30" s="808">
        <f>SUM(F28:F29)</f>
        <v>3.9190000000000005</v>
      </c>
      <c r="G30" s="809">
        <f>SUM(G28:G29)</f>
        <v>9.2650000000000006</v>
      </c>
      <c r="H30" s="810">
        <f>SUM(H28,H29,H21,H13)</f>
        <v>169.87799999999999</v>
      </c>
      <c r="I30" s="810">
        <f>SUM(I25,I28,I21,I13,I29)</f>
        <v>94.454999999999984</v>
      </c>
      <c r="J30" s="810">
        <f>SUM(J25,J28,J21,J13,J29)</f>
        <v>297.05799999999999</v>
      </c>
      <c r="K30" s="810">
        <f>SUM(K25,K28,K21,K13,K29)</f>
        <v>354.947</v>
      </c>
      <c r="L30" s="810">
        <f>SUM(L25,L28,L21,L13,L29)</f>
        <v>511.49400000000003</v>
      </c>
      <c r="M30" s="1439">
        <v>159.27499999999998</v>
      </c>
      <c r="N30" s="1439">
        <v>162.98400000000001</v>
      </c>
      <c r="O30" s="1439">
        <v>187.61099999999999</v>
      </c>
      <c r="P30" s="1439">
        <v>243.88099999999997</v>
      </c>
      <c r="Q30" s="810">
        <f t="shared" ref="Q30" si="11">SUM(Q25,Q28,Q21,Q13,Q29)</f>
        <v>753.75099999999998</v>
      </c>
      <c r="R30" s="1439">
        <f>SUM(R25,R28,R21,R13,R29,R15)</f>
        <v>263.464</v>
      </c>
      <c r="S30" s="1439">
        <f t="shared" ref="S30:AR30" si="12">SUM(S25,S28,S21,S13,S29,S15)</f>
        <v>246.28800000000001</v>
      </c>
      <c r="T30" s="1439">
        <f t="shared" si="12"/>
        <v>269.46899999999999</v>
      </c>
      <c r="U30" s="1439">
        <f t="shared" si="12"/>
        <v>326.49799999999999</v>
      </c>
      <c r="V30" s="810">
        <f t="shared" si="12"/>
        <v>1105.7190000000001</v>
      </c>
      <c r="W30" s="1439">
        <v>384.08199999999999</v>
      </c>
      <c r="X30" s="1439">
        <v>326.44400000000002</v>
      </c>
      <c r="Y30" s="1439">
        <v>381.53399999999999</v>
      </c>
      <c r="Z30" s="1439">
        <v>444.15600000000006</v>
      </c>
      <c r="AA30" s="810">
        <f t="shared" si="12"/>
        <v>1536.2160000000001</v>
      </c>
      <c r="AB30" s="1439">
        <v>381.63</v>
      </c>
      <c r="AC30" s="1439">
        <v>405.52000000000004</v>
      </c>
      <c r="AD30" s="1439">
        <v>439.07600000000002</v>
      </c>
      <c r="AE30" s="1439">
        <v>458.12000000000006</v>
      </c>
      <c r="AF30" s="810">
        <v>1684.346</v>
      </c>
      <c r="AG30" s="810">
        <f t="shared" si="12"/>
        <v>1976.1372146933993</v>
      </c>
      <c r="AH30" s="810">
        <f t="shared" si="12"/>
        <v>2286.2826787128183</v>
      </c>
      <c r="AI30" s="810">
        <f t="shared" si="12"/>
        <v>2577.9233681201872</v>
      </c>
      <c r="AJ30" s="810">
        <f t="shared" si="12"/>
        <v>2898.9402613286015</v>
      </c>
      <c r="AK30" s="810">
        <f t="shared" si="12"/>
        <v>3178.3680481634933</v>
      </c>
      <c r="AL30" s="810">
        <f t="shared" si="12"/>
        <v>3353.1727221934921</v>
      </c>
      <c r="AM30" s="810">
        <f t="shared" si="12"/>
        <v>3432.6318370099498</v>
      </c>
      <c r="AN30" s="810">
        <f t="shared" si="12"/>
        <v>2819.5573805581803</v>
      </c>
      <c r="AO30" s="810">
        <f t="shared" si="12"/>
        <v>828.49137375628823</v>
      </c>
      <c r="AP30" s="810">
        <f t="shared" si="12"/>
        <v>525.43493091022947</v>
      </c>
      <c r="AQ30" s="810">
        <f t="shared" si="12"/>
        <v>362.86973870710233</v>
      </c>
      <c r="AR30" s="810">
        <f t="shared" si="12"/>
        <v>83.209137486100019</v>
      </c>
      <c r="AT30" s="616"/>
      <c r="AU30" s="617"/>
      <c r="AV30" s="617"/>
      <c r="AW30" s="234"/>
      <c r="AX30" s="234"/>
      <c r="AY30" s="234"/>
      <c r="AZ30" s="234"/>
      <c r="BA30" s="234"/>
      <c r="BB30" s="234"/>
      <c r="BC30" s="234"/>
      <c r="BD30" s="235"/>
      <c r="BK30" s="236"/>
      <c r="BL30" s="223"/>
      <c r="BM30" s="223"/>
      <c r="BN30" s="223"/>
    </row>
    <row r="31" spans="2:66" ht="15" customHeight="1">
      <c r="B31" s="65" t="s">
        <v>54</v>
      </c>
      <c r="C31" s="38"/>
      <c r="D31" s="169"/>
      <c r="E31" s="169">
        <f>+E30/D30-1</f>
        <v>0.24588503418586982</v>
      </c>
      <c r="F31" s="169">
        <f t="shared" ref="F31:L31" si="13">+F30/E30-1</f>
        <v>-0.88620789779326359</v>
      </c>
      <c r="G31" s="478">
        <f t="shared" si="13"/>
        <v>1.364123500893085</v>
      </c>
      <c r="H31" s="547">
        <f t="shared" si="13"/>
        <v>17.335456017269291</v>
      </c>
      <c r="I31" s="547">
        <f t="shared" si="13"/>
        <v>-0.44398332921272921</v>
      </c>
      <c r="J31" s="547">
        <f t="shared" si="13"/>
        <v>2.1449685035201953</v>
      </c>
      <c r="K31" s="547">
        <f t="shared" si="13"/>
        <v>0.19487440163200453</v>
      </c>
      <c r="L31" s="547">
        <f t="shared" si="13"/>
        <v>0.4410433106914553</v>
      </c>
      <c r="M31" s="1440"/>
      <c r="N31" s="1440"/>
      <c r="O31" s="1440"/>
      <c r="P31" s="1440"/>
      <c r="Q31" s="547">
        <f>+Q30/L30-1</f>
        <v>0.47362627909613786</v>
      </c>
      <c r="R31" s="1440"/>
      <c r="S31" s="1440"/>
      <c r="T31" s="1440"/>
      <c r="U31" s="1440"/>
      <c r="V31" s="547">
        <f>+V30/Q30-1</f>
        <v>0.46695526772103801</v>
      </c>
      <c r="W31" s="1440"/>
      <c r="X31" s="1440"/>
      <c r="Y31" s="1440"/>
      <c r="Z31" s="1440"/>
      <c r="AA31" s="547">
        <f>+AA30/V30-1</f>
        <v>0.38933671213029708</v>
      </c>
      <c r="AB31" s="1440"/>
      <c r="AC31" s="1440"/>
      <c r="AD31" s="1440"/>
      <c r="AE31" s="1440"/>
      <c r="AF31" s="547">
        <f>+AF30/AA30-1</f>
        <v>9.6425242283637136E-2</v>
      </c>
      <c r="AG31" s="547">
        <f t="shared" ref="AG31:AI31" si="14">+AG30/AF30-1</f>
        <v>0.17323709896505779</v>
      </c>
      <c r="AH31" s="547">
        <f t="shared" si="14"/>
        <v>0.1569453081058132</v>
      </c>
      <c r="AI31" s="547">
        <f t="shared" si="14"/>
        <v>0.12756108075470496</v>
      </c>
      <c r="AJ31" s="547">
        <f t="shared" ref="AJ31:AR31" si="15">+AJ30/AI30-1</f>
        <v>0.1245253823981971</v>
      </c>
      <c r="AK31" s="547">
        <f t="shared" si="15"/>
        <v>9.6389632640042189E-2</v>
      </c>
      <c r="AL31" s="547">
        <f t="shared" si="15"/>
        <v>5.4998247962819491E-2</v>
      </c>
      <c r="AM31" s="547">
        <f t="shared" si="15"/>
        <v>2.3696696054618771E-2</v>
      </c>
      <c r="AN31" s="547">
        <f t="shared" si="15"/>
        <v>-0.17860186747722939</v>
      </c>
      <c r="AO31" s="547">
        <f t="shared" si="15"/>
        <v>-0.70616261280262571</v>
      </c>
      <c r="AP31" s="547">
        <f t="shared" si="15"/>
        <v>-0.36579311800439684</v>
      </c>
      <c r="AQ31" s="547">
        <f t="shared" si="15"/>
        <v>-0.3093916727643321</v>
      </c>
      <c r="AR31" s="547">
        <f t="shared" si="15"/>
        <v>-0.77069143935073636</v>
      </c>
      <c r="AS31" s="32"/>
      <c r="AT31" s="32"/>
      <c r="AU31" s="32"/>
      <c r="AV31" s="32"/>
      <c r="AW31" s="32"/>
      <c r="AX31" s="32"/>
      <c r="AY31" s="32"/>
      <c r="AZ31" s="32"/>
      <c r="BA31" s="32"/>
      <c r="BB31" s="32"/>
      <c r="BC31" s="32"/>
      <c r="BD31" s="230"/>
      <c r="BK31" s="24"/>
    </row>
    <row r="32" spans="2:66" ht="13.5" customHeight="1">
      <c r="B32" s="65"/>
      <c r="C32" s="38"/>
      <c r="D32" s="169"/>
      <c r="E32" s="169"/>
      <c r="F32" s="169"/>
      <c r="G32" s="169"/>
      <c r="H32" s="169"/>
      <c r="I32" s="169"/>
      <c r="J32" s="169"/>
      <c r="K32" s="169"/>
      <c r="L32" s="169"/>
      <c r="M32" s="1441"/>
      <c r="N32" s="1441"/>
      <c r="O32" s="1441"/>
      <c r="P32" s="1441"/>
      <c r="Q32" s="169"/>
      <c r="R32" s="1441"/>
      <c r="S32" s="1441"/>
      <c r="T32" s="1441"/>
      <c r="U32" s="1441"/>
      <c r="V32" s="169"/>
      <c r="W32" s="1441"/>
      <c r="X32" s="1441"/>
      <c r="Y32" s="1441"/>
      <c r="Z32" s="1441"/>
      <c r="AA32" s="169"/>
      <c r="AB32" s="1441"/>
      <c r="AC32" s="1441"/>
      <c r="AD32" s="1441"/>
      <c r="AE32" s="1441"/>
      <c r="AF32" s="169"/>
      <c r="AG32" s="169"/>
      <c r="AH32" s="169"/>
      <c r="AI32" s="169"/>
      <c r="AJ32" s="169"/>
      <c r="AK32" s="169"/>
      <c r="AL32" s="169"/>
      <c r="AM32" s="169"/>
      <c r="AN32" s="169"/>
      <c r="AO32" s="169"/>
      <c r="AP32" s="169"/>
      <c r="AQ32" s="169"/>
      <c r="AR32" s="169"/>
      <c r="AS32" s="32"/>
      <c r="AT32" s="32"/>
      <c r="AU32" s="32"/>
      <c r="AV32" s="32"/>
      <c r="AW32" s="32"/>
      <c r="AX32" s="32"/>
      <c r="AY32" s="32"/>
      <c r="AZ32" s="32"/>
      <c r="BA32" s="32"/>
      <c r="BB32" s="32"/>
      <c r="BC32" s="32"/>
      <c r="BD32" s="230"/>
      <c r="BK32" s="24"/>
    </row>
    <row r="33" spans="2:66" ht="15" customHeight="1">
      <c r="B33" s="5" t="s">
        <v>135</v>
      </c>
      <c r="C33" s="31"/>
      <c r="D33" s="249">
        <v>0</v>
      </c>
      <c r="E33" s="249">
        <v>0</v>
      </c>
      <c r="F33" s="249">
        <v>0</v>
      </c>
      <c r="G33" s="249">
        <v>0</v>
      </c>
      <c r="H33" s="144">
        <v>0</v>
      </c>
      <c r="I33" s="88">
        <v>0</v>
      </c>
      <c r="J33" s="88">
        <v>0.157</v>
      </c>
      <c r="K33" s="88">
        <v>0.629</v>
      </c>
      <c r="L33" s="88">
        <v>3.004</v>
      </c>
      <c r="M33" s="1433">
        <v>2.9740000000000002</v>
      </c>
      <c r="N33" s="1433">
        <v>6.2539999999999996</v>
      </c>
      <c r="O33" s="1433">
        <v>8.0399999999999991</v>
      </c>
      <c r="P33" s="1433">
        <v>9.7040000000000006</v>
      </c>
      <c r="Q33" s="88">
        <v>26.972000000000001</v>
      </c>
      <c r="R33" s="1433">
        <v>6.0049999999999999</v>
      </c>
      <c r="S33" s="1433">
        <v>12.367000000000001</v>
      </c>
      <c r="T33" s="1433">
        <v>20.204999999999998</v>
      </c>
      <c r="U33" s="1433">
        <v>19.61</v>
      </c>
      <c r="V33" s="88">
        <v>58.186999999999998</v>
      </c>
      <c r="W33" s="1433">
        <v>14.824</v>
      </c>
      <c r="X33" s="1433">
        <v>20.260000000000002</v>
      </c>
      <c r="Y33" s="1433">
        <v>22.036000000000001</v>
      </c>
      <c r="Z33" s="1433">
        <v>22.359000000000002</v>
      </c>
      <c r="AA33" s="88">
        <f>SUM(W33:Z33)</f>
        <v>79.479000000000013</v>
      </c>
      <c r="AB33" s="1433">
        <v>16.827000000000002</v>
      </c>
      <c r="AC33" s="1433">
        <v>18.213000000000001</v>
      </c>
      <c r="AD33" s="1433">
        <v>19.929000000000002</v>
      </c>
      <c r="AE33" s="1433">
        <v>20.985000000000003</v>
      </c>
      <c r="AF33" s="88">
        <f>SUM(AB33:AE33)</f>
        <v>75.954000000000008</v>
      </c>
      <c r="AG33" s="88">
        <f>(AG34*SUM(AG6))+(AG34*AG23)+20</f>
        <v>101.88162646645644</v>
      </c>
      <c r="AH33" s="88">
        <f t="shared" ref="AH33:AO33" si="16">(AH34*SUM(AH6))+(AH34*AH23)+20</f>
        <v>112.31887968481112</v>
      </c>
      <c r="AI33" s="88">
        <f t="shared" si="16"/>
        <v>123.3645933466258</v>
      </c>
      <c r="AJ33" s="88">
        <f t="shared" si="16"/>
        <v>141.80907501611557</v>
      </c>
      <c r="AK33" s="88">
        <f t="shared" si="16"/>
        <v>152.37721931635645</v>
      </c>
      <c r="AL33" s="88">
        <f t="shared" si="16"/>
        <v>160.25870635292765</v>
      </c>
      <c r="AM33" s="88">
        <f t="shared" si="16"/>
        <v>164.96736065006783</v>
      </c>
      <c r="AN33" s="88">
        <f t="shared" si="16"/>
        <v>137.15285508871108</v>
      </c>
      <c r="AO33" s="88">
        <f t="shared" si="16"/>
        <v>41.952471126484767</v>
      </c>
      <c r="AP33" s="88">
        <f>(AP34*SUM(AP6))+(AP34*AP23)+10</f>
        <v>17.307979537071844</v>
      </c>
      <c r="AQ33" s="88">
        <f>(AQ34*SUM(AQ6))+(AQ34*AQ23)</f>
        <v>1.4530935580680082</v>
      </c>
      <c r="AR33" s="88">
        <f>(AR34*SUM(AR6))+(AR34*AR23)</f>
        <v>0.86673450537242058</v>
      </c>
      <c r="AS33" s="234"/>
      <c r="AT33" s="234"/>
      <c r="AU33" s="234"/>
      <c r="AV33" s="234"/>
      <c r="AW33" s="234"/>
      <c r="AX33" s="234"/>
      <c r="AY33" s="234"/>
      <c r="AZ33" s="234"/>
      <c r="BA33" s="234"/>
      <c r="BB33" s="234"/>
      <c r="BC33" s="234"/>
      <c r="BD33" s="235"/>
      <c r="BK33" s="238"/>
      <c r="BL33" s="223"/>
      <c r="BM33" s="223"/>
      <c r="BN33" s="223"/>
    </row>
    <row r="34" spans="2:66" ht="15" customHeight="1">
      <c r="B34" s="65" t="s">
        <v>50</v>
      </c>
      <c r="C34" s="38"/>
      <c r="D34" s="37">
        <f>D33/D$30</f>
        <v>0</v>
      </c>
      <c r="E34" s="37">
        <f>E33/E$30</f>
        <v>0</v>
      </c>
      <c r="F34" s="37">
        <f>F33/F$30</f>
        <v>0</v>
      </c>
      <c r="G34" s="37">
        <f>G33/G$30</f>
        <v>0</v>
      </c>
      <c r="H34" s="37">
        <f>H33/H$30</f>
        <v>0</v>
      </c>
      <c r="I34" s="37">
        <f t="shared" ref="I34:V34" si="17">I33/I$6</f>
        <v>0</v>
      </c>
      <c r="J34" s="37">
        <f t="shared" si="17"/>
        <v>1.1543947883119366E-3</v>
      </c>
      <c r="K34" s="37">
        <f t="shared" si="17"/>
        <v>2.6715595706816512E-3</v>
      </c>
      <c r="L34" s="37">
        <f t="shared" si="17"/>
        <v>8.4013401871563531E-3</v>
      </c>
      <c r="M34" s="1441">
        <v>2.578687245296107E-2</v>
      </c>
      <c r="N34" s="1441">
        <v>4.3916688903557433E-2</v>
      </c>
      <c r="O34" s="1441">
        <v>4.9857682361914686E-2</v>
      </c>
      <c r="P34" s="1441">
        <v>5.3312529872926756E-2</v>
      </c>
      <c r="Q34" s="37">
        <f t="shared" si="17"/>
        <v>4.4877341035845973E-2</v>
      </c>
      <c r="R34" s="1441">
        <v>3.2766400934156177E-2</v>
      </c>
      <c r="S34" s="1441">
        <v>5.8303004016670122E-2</v>
      </c>
      <c r="T34" s="1441">
        <v>8.5388994307400379E-2</v>
      </c>
      <c r="U34" s="1441">
        <v>7.8315322007364269E-2</v>
      </c>
      <c r="V34" s="37">
        <f t="shared" si="17"/>
        <v>6.8229254610607679E-2</v>
      </c>
      <c r="W34" s="1441">
        <v>5.5980393267549569E-2</v>
      </c>
      <c r="X34" s="1441">
        <v>6.9462777756825425E-2</v>
      </c>
      <c r="Y34" s="1441">
        <v>6.8428619782690381E-2</v>
      </c>
      <c r="Z34" s="1441">
        <v>6.9479100957400203E-2</v>
      </c>
      <c r="AA34" s="582">
        <v>6.6215284026153204E-2</v>
      </c>
      <c r="AB34" s="1441">
        <v>6.6000000000000003E-2</v>
      </c>
      <c r="AC34" s="1441">
        <v>6.6000000000000003E-2</v>
      </c>
      <c r="AD34" s="1441">
        <v>6.6000000000000003E-2</v>
      </c>
      <c r="AE34" s="1441">
        <v>6.6000000000000003E-2</v>
      </c>
      <c r="AF34" s="582">
        <v>5.1704560925799871E-2</v>
      </c>
      <c r="AG34" s="582">
        <f>AF34</f>
        <v>5.1704560925799871E-2</v>
      </c>
      <c r="AH34" s="582">
        <f>AG34</f>
        <v>5.1704560925799871E-2</v>
      </c>
      <c r="AI34" s="582">
        <f>AH34</f>
        <v>5.1704560925799871E-2</v>
      </c>
      <c r="AJ34" s="582">
        <v>5.5E-2</v>
      </c>
      <c r="AK34" s="582">
        <v>5.5E-2</v>
      </c>
      <c r="AL34" s="582">
        <v>5.5E-2</v>
      </c>
      <c r="AM34" s="582">
        <v>5.5E-2</v>
      </c>
      <c r="AN34" s="582">
        <v>5.5E-2</v>
      </c>
      <c r="AO34" s="582">
        <v>5.5E-2</v>
      </c>
      <c r="AP34" s="582">
        <v>5.5E-2</v>
      </c>
      <c r="AQ34" s="582">
        <v>5.5E-2</v>
      </c>
      <c r="AR34" s="582">
        <v>5.5E-2</v>
      </c>
      <c r="AS34" s="581"/>
      <c r="AT34" s="32"/>
      <c r="AU34" s="32"/>
      <c r="AV34" s="32"/>
      <c r="AW34" s="32"/>
      <c r="AX34" s="32"/>
      <c r="AY34" s="32"/>
      <c r="AZ34" s="32"/>
      <c r="BA34" s="32"/>
      <c r="BB34" s="32"/>
      <c r="BC34" s="32"/>
      <c r="BD34" s="230"/>
      <c r="BK34" s="24"/>
    </row>
    <row r="35" spans="2:66" ht="15" customHeight="1">
      <c r="B35" s="65" t="s">
        <v>88</v>
      </c>
      <c r="C35" s="38"/>
      <c r="D35" s="37"/>
      <c r="E35" s="37"/>
      <c r="F35" s="37"/>
      <c r="G35" s="37"/>
      <c r="H35" s="169"/>
      <c r="I35" s="169"/>
      <c r="J35" s="169"/>
      <c r="K35" s="169"/>
      <c r="L35" s="578">
        <f t="shared" ref="L35:AI35" si="18">L33/K33-1</f>
        <v>3.7758346581875992</v>
      </c>
      <c r="M35" s="1442"/>
      <c r="N35" s="1442"/>
      <c r="O35" s="1442"/>
      <c r="P35" s="1442"/>
      <c r="Q35" s="578">
        <f>Q33/L33-1</f>
        <v>7.9786950732356861</v>
      </c>
      <c r="R35" s="1442"/>
      <c r="S35" s="1442"/>
      <c r="T35" s="1442"/>
      <c r="U35" s="1442"/>
      <c r="V35" s="578">
        <f>V33/Q33-1</f>
        <v>1.1573112857778436</v>
      </c>
      <c r="W35" s="1442"/>
      <c r="X35" s="1442"/>
      <c r="Y35" s="1442"/>
      <c r="Z35" s="1442"/>
      <c r="AA35" s="578">
        <f>AA33/V33-1</f>
        <v>0.3659236599240383</v>
      </c>
      <c r="AB35" s="1442"/>
      <c r="AC35" s="1442"/>
      <c r="AD35" s="1442"/>
      <c r="AE35" s="1442"/>
      <c r="AF35" s="578">
        <f>AF33/AA33-1</f>
        <v>-4.4351338089306691E-2</v>
      </c>
      <c r="AG35" s="578">
        <f t="shared" si="18"/>
        <v>0.34135959220655177</v>
      </c>
      <c r="AH35" s="578">
        <f t="shared" si="18"/>
        <v>0.10244490179778443</v>
      </c>
      <c r="AI35" s="578">
        <f t="shared" si="18"/>
        <v>9.8342448685484696E-2</v>
      </c>
      <c r="AJ35" s="578">
        <f t="shared" ref="AJ35:AR35" si="19">AJ33/AI33-1</f>
        <v>0.14951195613854185</v>
      </c>
      <c r="AK35" s="578">
        <f t="shared" si="19"/>
        <v>7.4523751734787647E-2</v>
      </c>
      <c r="AL35" s="578">
        <f t="shared" si="19"/>
        <v>5.1723525812661819E-2</v>
      </c>
      <c r="AM35" s="578">
        <f t="shared" si="19"/>
        <v>2.9381581845360882E-2</v>
      </c>
      <c r="AN35" s="578">
        <f t="shared" si="19"/>
        <v>-0.16860611366849387</v>
      </c>
      <c r="AO35" s="578">
        <f t="shared" si="19"/>
        <v>-0.69411886395401889</v>
      </c>
      <c r="AP35" s="578">
        <f t="shared" si="19"/>
        <v>-0.58743837794705622</v>
      </c>
      <c r="AQ35" s="578">
        <f t="shared" si="19"/>
        <v>-0.91604487658679989</v>
      </c>
      <c r="AR35" s="578">
        <f t="shared" si="19"/>
        <v>-0.4035246384790212</v>
      </c>
      <c r="AS35" s="32"/>
      <c r="AT35" s="32"/>
      <c r="AU35" s="32"/>
      <c r="AV35" s="32"/>
      <c r="AW35" s="32"/>
      <c r="AX35" s="32"/>
      <c r="AY35" s="32"/>
      <c r="AZ35" s="32"/>
      <c r="BA35" s="32"/>
      <c r="BB35" s="32"/>
      <c r="BC35" s="32"/>
      <c r="BD35" s="230"/>
      <c r="BK35" s="24"/>
    </row>
    <row r="36" spans="2:66" ht="15" customHeight="1">
      <c r="B36" s="65"/>
      <c r="C36" s="38"/>
      <c r="D36" s="37"/>
      <c r="E36" s="37"/>
      <c r="F36" s="37"/>
      <c r="G36" s="37"/>
      <c r="H36" s="169"/>
      <c r="I36" s="169"/>
      <c r="J36" s="169"/>
      <c r="K36" s="169"/>
      <c r="L36" s="169"/>
      <c r="M36" s="1441"/>
      <c r="N36" s="1441"/>
      <c r="O36" s="1441"/>
      <c r="P36" s="1441"/>
      <c r="Q36" s="169"/>
      <c r="R36" s="1441"/>
      <c r="S36" s="1441"/>
      <c r="T36" s="1441"/>
      <c r="U36" s="1441"/>
      <c r="V36" s="169"/>
      <c r="W36" s="1441"/>
      <c r="X36" s="1441"/>
      <c r="Y36" s="1441"/>
      <c r="Z36" s="1441"/>
      <c r="AA36" s="169"/>
      <c r="AB36" s="1441"/>
      <c r="AC36" s="1441"/>
      <c r="AD36" s="1441"/>
      <c r="AE36" s="1441"/>
      <c r="AF36" s="169"/>
      <c r="AG36" s="169"/>
      <c r="AH36" s="169"/>
      <c r="AI36" s="169"/>
      <c r="AJ36" s="169"/>
      <c r="AK36" s="169"/>
      <c r="AL36" s="169"/>
      <c r="AM36" s="169"/>
      <c r="AN36" s="169"/>
      <c r="AO36" s="169"/>
      <c r="AP36" s="169"/>
      <c r="AQ36" s="169"/>
      <c r="AR36" s="169"/>
      <c r="AS36" s="32"/>
      <c r="AT36" s="32"/>
      <c r="AU36" s="32"/>
      <c r="AV36" s="32"/>
      <c r="AW36" s="32"/>
      <c r="AX36" s="32"/>
      <c r="AY36" s="32"/>
      <c r="AZ36" s="32"/>
      <c r="BA36" s="32"/>
      <c r="BB36" s="32"/>
      <c r="BC36" s="32"/>
      <c r="BD36" s="230"/>
      <c r="BK36" s="24"/>
    </row>
    <row r="37" spans="2:66" ht="15" customHeight="1">
      <c r="B37" s="5" t="s">
        <v>248</v>
      </c>
      <c r="C37" s="30"/>
      <c r="D37" s="31">
        <f>87.596-5.7</f>
        <v>81.896000000000001</v>
      </c>
      <c r="E37" s="31">
        <f>104.889-6.9</f>
        <v>97.98899999999999</v>
      </c>
      <c r="F37" s="31">
        <f>146.362-10.7</f>
        <v>135.66200000000001</v>
      </c>
      <c r="G37" s="249">
        <v>113.123</v>
      </c>
      <c r="H37" s="88">
        <v>113.905</v>
      </c>
      <c r="I37" s="88">
        <v>160.01</v>
      </c>
      <c r="J37" s="88">
        <v>184.72900000000001</v>
      </c>
      <c r="K37" s="88">
        <v>234.137</v>
      </c>
      <c r="L37" s="88">
        <v>313.322</v>
      </c>
      <c r="M37" s="1433">
        <v>108.065</v>
      </c>
      <c r="N37" s="1433">
        <v>102.24499999999999</v>
      </c>
      <c r="O37" s="1433">
        <v>122.07300000000001</v>
      </c>
      <c r="P37" s="1433">
        <v>106.63</v>
      </c>
      <c r="Q37" s="88">
        <v>439.01300000000003</v>
      </c>
      <c r="R37" s="1433">
        <v>143.82400000000001</v>
      </c>
      <c r="S37" s="1433">
        <v>106.26900000000001</v>
      </c>
      <c r="T37" s="1433">
        <v>127.184</v>
      </c>
      <c r="U37" s="1433">
        <v>144.58500000000001</v>
      </c>
      <c r="V37" s="31">
        <v>521.86200000000008</v>
      </c>
      <c r="W37" s="1433">
        <v>385.97199999999998</v>
      </c>
      <c r="X37" s="1433">
        <v>178.839</v>
      </c>
      <c r="Y37" s="1433">
        <v>246.61200000000002</v>
      </c>
      <c r="Z37" s="1433">
        <v>423.93799999999999</v>
      </c>
      <c r="AA37" s="31">
        <v>1235.3609999999999</v>
      </c>
      <c r="AB37" s="1433">
        <v>280</v>
      </c>
      <c r="AC37" s="1433">
        <v>290</v>
      </c>
      <c r="AD37" s="1433">
        <v>300</v>
      </c>
      <c r="AE37" s="1433">
        <v>310</v>
      </c>
      <c r="AF37" s="31">
        <f>SUM(AB37:AE37)</f>
        <v>1180</v>
      </c>
      <c r="AG37" s="88">
        <v>1250</v>
      </c>
      <c r="AH37" s="88">
        <f t="shared" ref="AH37:AR37" si="20">+AG37*(1+AH39)</f>
        <v>1300</v>
      </c>
      <c r="AI37" s="88">
        <f t="shared" si="20"/>
        <v>1339</v>
      </c>
      <c r="AJ37" s="88">
        <f t="shared" si="20"/>
        <v>1365.78</v>
      </c>
      <c r="AK37" s="88">
        <f t="shared" si="20"/>
        <v>1393.0956000000001</v>
      </c>
      <c r="AL37" s="88">
        <f t="shared" si="20"/>
        <v>1420.9575120000002</v>
      </c>
      <c r="AM37" s="88">
        <f t="shared" si="20"/>
        <v>1449.3766622400003</v>
      </c>
      <c r="AN37" s="88">
        <f t="shared" si="20"/>
        <v>1478.3641954848003</v>
      </c>
      <c r="AO37" s="88">
        <f t="shared" si="20"/>
        <v>1478.3641954848003</v>
      </c>
      <c r="AP37" s="88">
        <f t="shared" si="20"/>
        <v>1478.3641954848003</v>
      </c>
      <c r="AQ37" s="88">
        <f t="shared" si="20"/>
        <v>1478.3641954848003</v>
      </c>
      <c r="AR37" s="88">
        <f t="shared" si="20"/>
        <v>1478.3641954848003</v>
      </c>
      <c r="AS37" s="32"/>
      <c r="AT37" s="32"/>
      <c r="AU37" s="32"/>
      <c r="AV37" s="32"/>
      <c r="AW37" s="32"/>
      <c r="AX37" s="32"/>
      <c r="AY37" s="32"/>
      <c r="AZ37" s="32"/>
      <c r="BA37" s="32"/>
      <c r="BB37" s="32"/>
      <c r="BC37" s="32"/>
      <c r="BD37" s="230"/>
      <c r="BK37" s="24"/>
    </row>
    <row r="38" spans="2:66" ht="15" customHeight="1">
      <c r="B38" s="65" t="s">
        <v>233</v>
      </c>
      <c r="C38" s="38"/>
      <c r="D38" s="37"/>
      <c r="E38" s="37"/>
      <c r="F38" s="37"/>
      <c r="G38" s="37"/>
      <c r="H38" s="169"/>
      <c r="I38" s="578">
        <f t="shared" ref="I38:AI38" si="21">+I37/I$30</f>
        <v>1.6940341961780745</v>
      </c>
      <c r="J38" s="578">
        <f t="shared" si="21"/>
        <v>0.62186172397309625</v>
      </c>
      <c r="K38" s="578">
        <f t="shared" si="21"/>
        <v>0.65963932643465084</v>
      </c>
      <c r="L38" s="578">
        <f t="shared" si="21"/>
        <v>0.61256241519939625</v>
      </c>
      <c r="M38" s="1442">
        <v>0.67848061528802395</v>
      </c>
      <c r="N38" s="1442">
        <v>0.6273315172041426</v>
      </c>
      <c r="O38" s="1442">
        <v>0.65067080288469237</v>
      </c>
      <c r="P38" s="1442">
        <v>0.43722143176385209</v>
      </c>
      <c r="Q38" s="578">
        <f t="shared" si="21"/>
        <v>0.5824377015751887</v>
      </c>
      <c r="R38" s="1442">
        <v>0.54589621352442841</v>
      </c>
      <c r="S38" s="1442">
        <v>0.43148265445332296</v>
      </c>
      <c r="T38" s="1442">
        <v>0.47198007934122294</v>
      </c>
      <c r="U38" s="1442">
        <v>0.44283579072459855</v>
      </c>
      <c r="V38" s="578">
        <f t="shared" si="21"/>
        <v>0.47196620479525092</v>
      </c>
      <c r="W38" s="1442">
        <v>1.0049208241989991</v>
      </c>
      <c r="X38" s="1442">
        <v>0.54783975199421642</v>
      </c>
      <c r="Y38" s="1442">
        <v>0.64636965512903177</v>
      </c>
      <c r="Z38" s="1442">
        <v>0.95447995749241243</v>
      </c>
      <c r="AA38" s="578">
        <f t="shared" si="21"/>
        <v>0.80415839960005608</v>
      </c>
      <c r="AB38" s="1441">
        <v>0.73369494012525227</v>
      </c>
      <c r="AC38" s="1441">
        <v>0.71513118958374422</v>
      </c>
      <c r="AD38" s="1441">
        <v>0.6832530131457879</v>
      </c>
      <c r="AE38" s="1441">
        <v>0.67667859949358233</v>
      </c>
      <c r="AF38" s="578">
        <f t="shared" si="21"/>
        <v>0.70056864800937579</v>
      </c>
      <c r="AG38" s="578">
        <f t="shared" si="21"/>
        <v>0.63254716864078664</v>
      </c>
      <c r="AH38" s="578">
        <f t="shared" si="21"/>
        <v>0.56860860299737848</v>
      </c>
      <c r="AI38" s="578">
        <f t="shared" si="21"/>
        <v>0.5194103193906785</v>
      </c>
      <c r="AJ38" s="578">
        <f t="shared" ref="AJ38:AR38" si="22">+AJ37/AJ$30</f>
        <v>0.4711307846592378</v>
      </c>
      <c r="AK38" s="578">
        <f t="shared" si="22"/>
        <v>0.43830531231427106</v>
      </c>
      <c r="AL38" s="578">
        <f t="shared" si="22"/>
        <v>0.42376508152865888</v>
      </c>
      <c r="AM38" s="578">
        <f t="shared" si="22"/>
        <v>0.42223481312883926</v>
      </c>
      <c r="AN38" s="578">
        <f t="shared" si="22"/>
        <v>0.52432491910915913</v>
      </c>
      <c r="AO38" s="578">
        <f t="shared" si="22"/>
        <v>1.7844050551571353</v>
      </c>
      <c r="AP38" s="578">
        <f t="shared" si="22"/>
        <v>2.8136009018733832</v>
      </c>
      <c r="AQ38" s="578">
        <f t="shared" si="22"/>
        <v>4.0740906110059845</v>
      </c>
      <c r="AR38" s="578">
        <f t="shared" si="22"/>
        <v>17.766849172445266</v>
      </c>
      <c r="AS38" s="281"/>
      <c r="AT38" s="32"/>
      <c r="AU38" s="32"/>
      <c r="AV38" s="32"/>
      <c r="AW38" s="32"/>
      <c r="AX38" s="32"/>
      <c r="AY38" s="32"/>
      <c r="AZ38" s="32"/>
      <c r="BA38" s="32"/>
      <c r="BB38" s="32"/>
      <c r="BC38" s="32"/>
      <c r="BD38" s="230"/>
      <c r="BK38" s="24"/>
    </row>
    <row r="39" spans="2:66" ht="15" customHeight="1">
      <c r="B39" s="65" t="s">
        <v>88</v>
      </c>
      <c r="C39" s="38"/>
      <c r="D39" s="37"/>
      <c r="E39" s="169">
        <f t="shared" ref="E39:L39" si="23">E37/D37-1</f>
        <v>0.19650532382533936</v>
      </c>
      <c r="F39" s="169">
        <f t="shared" si="23"/>
        <v>0.3844615211911544</v>
      </c>
      <c r="G39" s="169">
        <f t="shared" si="23"/>
        <v>-0.16614085005381019</v>
      </c>
      <c r="H39" s="578">
        <f t="shared" si="23"/>
        <v>6.9128293980886824E-3</v>
      </c>
      <c r="I39" s="578">
        <f t="shared" si="23"/>
        <v>0.40476713050348967</v>
      </c>
      <c r="J39" s="578">
        <f t="shared" si="23"/>
        <v>0.15448409474407865</v>
      </c>
      <c r="K39" s="578">
        <f t="shared" si="23"/>
        <v>0.26746206605351608</v>
      </c>
      <c r="L39" s="578">
        <f t="shared" si="23"/>
        <v>0.33819943024810262</v>
      </c>
      <c r="M39" s="1442"/>
      <c r="N39" s="1442"/>
      <c r="O39" s="1442"/>
      <c r="P39" s="1442"/>
      <c r="Q39" s="578">
        <f>Q37/L37-1</f>
        <v>0.4011559992595477</v>
      </c>
      <c r="R39" s="1442"/>
      <c r="S39" s="1442"/>
      <c r="T39" s="1442"/>
      <c r="U39" s="1442"/>
      <c r="V39" s="578">
        <f>V37/Q37-1</f>
        <v>0.18871650725604949</v>
      </c>
      <c r="W39" s="1442"/>
      <c r="X39" s="1442"/>
      <c r="Y39" s="1442"/>
      <c r="Z39" s="1442"/>
      <c r="AA39" s="578">
        <f>AA37/V37-1</f>
        <v>1.3672177702151136</v>
      </c>
      <c r="AB39" s="1442"/>
      <c r="AC39" s="1442"/>
      <c r="AD39" s="1442"/>
      <c r="AE39" s="1442"/>
      <c r="AF39" s="578">
        <f>AF37/AA37-1</f>
        <v>-4.4813621281552418E-2</v>
      </c>
      <c r="AG39" s="578">
        <f>AG37/AF37-1</f>
        <v>5.9322033898305149E-2</v>
      </c>
      <c r="AH39" s="579">
        <v>0.04</v>
      </c>
      <c r="AI39" s="579">
        <v>0.03</v>
      </c>
      <c r="AJ39" s="579">
        <v>0.02</v>
      </c>
      <c r="AK39" s="579">
        <v>0.02</v>
      </c>
      <c r="AL39" s="579">
        <v>0.02</v>
      </c>
      <c r="AM39" s="579">
        <v>0.02</v>
      </c>
      <c r="AN39" s="579">
        <v>0.02</v>
      </c>
      <c r="AO39" s="579">
        <v>0</v>
      </c>
      <c r="AP39" s="579">
        <v>0</v>
      </c>
      <c r="AQ39" s="579">
        <v>0</v>
      </c>
      <c r="AR39" s="579">
        <v>0</v>
      </c>
      <c r="AS39" s="32"/>
      <c r="AT39" s="32"/>
      <c r="AU39" s="32"/>
      <c r="AV39" s="32"/>
      <c r="AW39" s="32"/>
      <c r="AX39" s="32"/>
      <c r="AY39" s="32"/>
      <c r="AZ39" s="32"/>
      <c r="BA39" s="32"/>
      <c r="BB39" s="32"/>
      <c r="BC39" s="32"/>
      <c r="BD39" s="230"/>
      <c r="BK39" s="24"/>
    </row>
    <row r="40" spans="2:66" ht="14.25" customHeight="1">
      <c r="B40" s="65"/>
      <c r="C40" s="38"/>
      <c r="D40" s="37"/>
      <c r="E40" s="169"/>
      <c r="F40" s="169"/>
      <c r="G40" s="169"/>
      <c r="H40" s="169"/>
      <c r="I40" s="169"/>
      <c r="J40" s="233"/>
      <c r="K40" s="233"/>
      <c r="L40" s="233"/>
      <c r="M40" s="1443"/>
      <c r="N40" s="1443"/>
      <c r="O40" s="1443"/>
      <c r="P40" s="1443"/>
      <c r="Q40" s="233"/>
      <c r="R40" s="1443"/>
      <c r="S40" s="1443"/>
      <c r="T40" s="1443"/>
      <c r="U40" s="1443"/>
      <c r="V40" s="233"/>
      <c r="W40" s="1443"/>
      <c r="X40" s="1443"/>
      <c r="Y40" s="1443"/>
      <c r="Z40" s="1443"/>
      <c r="AA40" s="233"/>
      <c r="AB40" s="1443"/>
      <c r="AC40" s="1443"/>
      <c r="AD40" s="1443"/>
      <c r="AE40" s="1443"/>
      <c r="AF40" s="233"/>
      <c r="AG40" s="233"/>
      <c r="AH40" s="233"/>
      <c r="AI40" s="233"/>
      <c r="AJ40" s="233"/>
      <c r="AK40" s="233"/>
      <c r="AL40" s="233"/>
      <c r="AM40" s="233"/>
      <c r="AN40" s="233"/>
      <c r="AO40" s="233"/>
      <c r="AP40" s="233"/>
      <c r="AQ40" s="233"/>
      <c r="AR40" s="233"/>
      <c r="AS40" s="32"/>
      <c r="AT40" s="32"/>
      <c r="AU40" s="32"/>
      <c r="AV40" s="32"/>
      <c r="AW40" s="32"/>
      <c r="AX40" s="32"/>
      <c r="AY40" s="32"/>
      <c r="AZ40" s="32"/>
      <c r="BA40" s="32"/>
      <c r="BB40" s="32"/>
      <c r="BC40" s="32"/>
      <c r="BD40" s="230"/>
      <c r="BK40" s="24"/>
    </row>
    <row r="41" spans="2:66" ht="15" customHeight="1">
      <c r="B41" s="5" t="s">
        <v>31</v>
      </c>
      <c r="C41" s="30"/>
      <c r="D41" s="249">
        <f>14.027-3.2</f>
        <v>10.826999999999998</v>
      </c>
      <c r="E41" s="249">
        <f>15.238-3.2</f>
        <v>12.038</v>
      </c>
      <c r="F41" s="249">
        <f>17.073-4.3</f>
        <v>12.773</v>
      </c>
      <c r="G41" s="249">
        <v>23.9</v>
      </c>
      <c r="H41" s="88">
        <v>27.402999999999999</v>
      </c>
      <c r="I41" s="88">
        <v>48.017000000000003</v>
      </c>
      <c r="J41" s="88">
        <v>72.532000000000011</v>
      </c>
      <c r="K41" s="88">
        <v>97.884999999999991</v>
      </c>
      <c r="L41" s="88">
        <v>137.67099999999999</v>
      </c>
      <c r="M41" s="1433">
        <v>37.571000000000005</v>
      </c>
      <c r="N41" s="1433">
        <v>44.279000000000003</v>
      </c>
      <c r="O41" s="1433">
        <v>39.998999999999995</v>
      </c>
      <c r="P41" s="1433">
        <v>44.466999999999999</v>
      </c>
      <c r="Q41" s="88">
        <v>166.316</v>
      </c>
      <c r="R41" s="1433">
        <v>56.596000000000004</v>
      </c>
      <c r="S41" s="1433">
        <v>58.792000000000002</v>
      </c>
      <c r="T41" s="1433">
        <v>65.775999999999996</v>
      </c>
      <c r="U41" s="1433">
        <v>86.084999999999994</v>
      </c>
      <c r="V41" s="31">
        <v>267.24899999999997</v>
      </c>
      <c r="W41" s="1433">
        <v>78.233999999999995</v>
      </c>
      <c r="X41" s="1433">
        <v>79.072000000000003</v>
      </c>
      <c r="Y41" s="1433">
        <v>79.271000000000001</v>
      </c>
      <c r="Z41" s="1433">
        <v>86.828999999999994</v>
      </c>
      <c r="AA41" s="31">
        <v>323.40600000000001</v>
      </c>
      <c r="AB41" s="1433">
        <v>95</v>
      </c>
      <c r="AC41" s="1433">
        <v>105</v>
      </c>
      <c r="AD41" s="1433">
        <v>125</v>
      </c>
      <c r="AE41" s="1433">
        <v>145</v>
      </c>
      <c r="AF41" s="31">
        <f>SUM(AB41:AE41)</f>
        <v>470</v>
      </c>
      <c r="AG41" s="88">
        <f t="shared" ref="AG41:AR41" si="24">+AF41*(1+AG43)</f>
        <v>540.5</v>
      </c>
      <c r="AH41" s="88">
        <f t="shared" si="24"/>
        <v>583.74</v>
      </c>
      <c r="AI41" s="88">
        <f t="shared" si="24"/>
        <v>607.08960000000002</v>
      </c>
      <c r="AJ41" s="88">
        <f t="shared" si="24"/>
        <v>625.30228800000009</v>
      </c>
      <c r="AK41" s="88">
        <f t="shared" si="24"/>
        <v>644.0613566400001</v>
      </c>
      <c r="AL41" s="88">
        <f t="shared" si="24"/>
        <v>663.38319733920014</v>
      </c>
      <c r="AM41" s="88">
        <f t="shared" si="24"/>
        <v>683.28469325937613</v>
      </c>
      <c r="AN41" s="88">
        <f t="shared" si="24"/>
        <v>703.78323405715742</v>
      </c>
      <c r="AO41" s="88">
        <f t="shared" si="24"/>
        <v>724.89673107887211</v>
      </c>
      <c r="AP41" s="88">
        <f t="shared" si="24"/>
        <v>746.64363301123831</v>
      </c>
      <c r="AQ41" s="88">
        <f t="shared" si="24"/>
        <v>769.04294200157551</v>
      </c>
      <c r="AR41" s="88">
        <f t="shared" si="24"/>
        <v>792.11423026162277</v>
      </c>
      <c r="AS41" s="32"/>
      <c r="AT41" s="32"/>
      <c r="AU41" s="32"/>
      <c r="AV41" s="32"/>
      <c r="AW41" s="32"/>
      <c r="AX41" s="32"/>
      <c r="AY41" s="32"/>
      <c r="AZ41" s="32"/>
      <c r="BA41" s="32"/>
      <c r="BB41" s="32"/>
      <c r="BC41" s="32"/>
      <c r="BD41" s="230"/>
      <c r="BK41" s="24"/>
    </row>
    <row r="42" spans="2:66" ht="15" customHeight="1">
      <c r="B42" s="65" t="s">
        <v>233</v>
      </c>
      <c r="C42" s="38"/>
      <c r="D42" s="37">
        <f>D41/D$30</f>
        <v>0.39167239445790969</v>
      </c>
      <c r="E42" s="37">
        <f>E41/E$30</f>
        <v>0.34953542392566783</v>
      </c>
      <c r="F42" s="37">
        <f>F41/F$30</f>
        <v>3.2592498086246486</v>
      </c>
      <c r="G42" s="37">
        <f>G41/G$30</f>
        <v>2.5796006475984887</v>
      </c>
      <c r="H42" s="169">
        <f t="shared" ref="H42:AI42" si="25">+H41/H$30</f>
        <v>0.16130988120886755</v>
      </c>
      <c r="I42" s="169">
        <f t="shared" si="25"/>
        <v>0.50835847758191743</v>
      </c>
      <c r="J42" s="578">
        <f t="shared" si="25"/>
        <v>0.24416780561371856</v>
      </c>
      <c r="K42" s="578">
        <f t="shared" si="25"/>
        <v>0.27577356619438953</v>
      </c>
      <c r="L42" s="578">
        <f t="shared" si="25"/>
        <v>0.26915467239107393</v>
      </c>
      <c r="M42" s="1442">
        <v>0.23588761575890763</v>
      </c>
      <c r="N42" s="1442">
        <v>0.27167697442693761</v>
      </c>
      <c r="O42" s="1442">
        <v>0.21320178454355021</v>
      </c>
      <c r="P42" s="1442">
        <v>0.18233072687089197</v>
      </c>
      <c r="Q42" s="578">
        <f t="shared" si="25"/>
        <v>0.22065111688077363</v>
      </c>
      <c r="R42" s="1442">
        <v>0.21481492727659188</v>
      </c>
      <c r="S42" s="1442">
        <v>0.23871240174105113</v>
      </c>
      <c r="T42" s="1442">
        <v>0.2440948680553236</v>
      </c>
      <c r="U42" s="1442">
        <v>0.2636616457068649</v>
      </c>
      <c r="V42" s="578">
        <f t="shared" si="25"/>
        <v>0.24169703152428415</v>
      </c>
      <c r="W42" s="1442">
        <v>0.20369087851031809</v>
      </c>
      <c r="X42" s="1442">
        <v>0.24222224945166704</v>
      </c>
      <c r="Y42" s="1442">
        <v>0.20776916342973367</v>
      </c>
      <c r="Z42" s="1442">
        <v>0.19549212438872823</v>
      </c>
      <c r="AA42" s="578">
        <f t="shared" si="25"/>
        <v>0.21052117670952522</v>
      </c>
      <c r="AB42" s="1442">
        <v>0.24893221182821057</v>
      </c>
      <c r="AC42" s="1442">
        <v>0.25892681002170048</v>
      </c>
      <c r="AD42" s="1442">
        <v>0.28468875547741163</v>
      </c>
      <c r="AE42" s="1442">
        <v>0.31651095782764338</v>
      </c>
      <c r="AF42" s="578">
        <f t="shared" si="25"/>
        <v>0.27904005471559884</v>
      </c>
      <c r="AG42" s="578">
        <f t="shared" si="25"/>
        <v>0.27351339572027611</v>
      </c>
      <c r="AH42" s="578">
        <f t="shared" si="25"/>
        <v>0.25532275839514595</v>
      </c>
      <c r="AI42" s="578">
        <f t="shared" si="25"/>
        <v>0.23549559599309877</v>
      </c>
      <c r="AJ42" s="578">
        <f t="shared" ref="AJ42:AR42" si="26">+AJ41/AJ$30</f>
        <v>0.21570030136234003</v>
      </c>
      <c r="AK42" s="578">
        <f t="shared" si="26"/>
        <v>0.20263901061179745</v>
      </c>
      <c r="AL42" s="578">
        <f t="shared" si="26"/>
        <v>0.19783746687085216</v>
      </c>
      <c r="AM42" s="578">
        <f t="shared" si="26"/>
        <v>0.19905563011224719</v>
      </c>
      <c r="AN42" s="578">
        <f t="shared" si="26"/>
        <v>0.24960770045326452</v>
      </c>
      <c r="AO42" s="578">
        <f t="shared" si="26"/>
        <v>0.87495990186629291</v>
      </c>
      <c r="AP42" s="578">
        <f t="shared" si="26"/>
        <v>1.4210011346558198</v>
      </c>
      <c r="AQ42" s="578">
        <f t="shared" si="26"/>
        <v>2.119336114225618</v>
      </c>
      <c r="AR42" s="578">
        <f t="shared" si="26"/>
        <v>9.5195582383478552</v>
      </c>
      <c r="AS42" s="40"/>
      <c r="AT42" s="40"/>
      <c r="AU42" s="40"/>
      <c r="AV42" s="40"/>
      <c r="AW42" s="40"/>
      <c r="AX42" s="40"/>
      <c r="AY42" s="40"/>
      <c r="AZ42" s="40"/>
      <c r="BA42" s="40"/>
      <c r="BB42" s="40"/>
      <c r="BC42" s="40"/>
      <c r="BD42" s="230"/>
      <c r="BK42" s="41"/>
    </row>
    <row r="43" spans="2:66" ht="15" customHeight="1">
      <c r="B43" s="65" t="s">
        <v>88</v>
      </c>
      <c r="C43" s="38"/>
      <c r="D43" s="37"/>
      <c r="E43" s="169">
        <f t="shared" ref="E43:L43" si="27">E41/D41-1</f>
        <v>0.11185000461808459</v>
      </c>
      <c r="F43" s="169">
        <f t="shared" si="27"/>
        <v>6.1056653929224103E-2</v>
      </c>
      <c r="G43" s="169">
        <f t="shared" si="27"/>
        <v>0.87113442417599618</v>
      </c>
      <c r="H43" s="578">
        <f t="shared" si="27"/>
        <v>0.14656903765690377</v>
      </c>
      <c r="I43" s="578">
        <f t="shared" si="27"/>
        <v>0.7522534029120902</v>
      </c>
      <c r="J43" s="578">
        <f t="shared" si="27"/>
        <v>0.51054834746027455</v>
      </c>
      <c r="K43" s="578">
        <f t="shared" si="27"/>
        <v>0.34954227099762836</v>
      </c>
      <c r="L43" s="578">
        <f t="shared" si="27"/>
        <v>0.40645655616284415</v>
      </c>
      <c r="M43" s="1442"/>
      <c r="N43" s="1442"/>
      <c r="O43" s="1442"/>
      <c r="P43" s="1442"/>
      <c r="Q43" s="578">
        <f>Q41/L41-1</f>
        <v>0.20806851116066571</v>
      </c>
      <c r="R43" s="1442"/>
      <c r="S43" s="1442"/>
      <c r="T43" s="1442"/>
      <c r="U43" s="1442"/>
      <c r="V43" s="578">
        <f>V41/Q41-1</f>
        <v>0.60687486471536101</v>
      </c>
      <c r="W43" s="1442"/>
      <c r="X43" s="1442"/>
      <c r="Y43" s="1442"/>
      <c r="Z43" s="1442"/>
      <c r="AA43" s="578">
        <f>AA41/V41-1</f>
        <v>0.21012987887700252</v>
      </c>
      <c r="AB43" s="1442"/>
      <c r="AC43" s="1442"/>
      <c r="AD43" s="1442"/>
      <c r="AE43" s="1442"/>
      <c r="AF43" s="578">
        <f>AF41/AA41-1</f>
        <v>0.45328163361223961</v>
      </c>
      <c r="AG43" s="580">
        <v>0.15</v>
      </c>
      <c r="AH43" s="580">
        <v>0.08</v>
      </c>
      <c r="AI43" s="580">
        <v>0.04</v>
      </c>
      <c r="AJ43" s="580">
        <v>0.03</v>
      </c>
      <c r="AK43" s="580">
        <v>0.03</v>
      </c>
      <c r="AL43" s="580">
        <v>0.03</v>
      </c>
      <c r="AM43" s="580">
        <v>0.03</v>
      </c>
      <c r="AN43" s="580">
        <v>0.03</v>
      </c>
      <c r="AO43" s="580">
        <v>0.03</v>
      </c>
      <c r="AP43" s="580">
        <v>0.03</v>
      </c>
      <c r="AQ43" s="580">
        <v>0.03</v>
      </c>
      <c r="AR43" s="580">
        <v>0.03</v>
      </c>
      <c r="AS43" s="581"/>
      <c r="AT43" s="262"/>
      <c r="AU43" s="32"/>
      <c r="AV43" s="32"/>
      <c r="AW43" s="32"/>
      <c r="AX43" s="32"/>
      <c r="AY43" s="32"/>
      <c r="AZ43" s="32"/>
      <c r="BA43" s="32"/>
      <c r="BB43" s="32"/>
      <c r="BC43" s="32"/>
      <c r="BD43" s="230"/>
      <c r="BK43" s="24"/>
    </row>
    <row r="44" spans="2:66" ht="18" customHeight="1">
      <c r="B44" s="65"/>
      <c r="C44" s="38"/>
      <c r="D44" s="37"/>
      <c r="E44" s="169"/>
      <c r="F44" s="169"/>
      <c r="G44" s="169"/>
      <c r="H44" s="169"/>
      <c r="I44" s="233"/>
      <c r="J44" s="233"/>
      <c r="K44" s="233"/>
      <c r="L44" s="233"/>
      <c r="M44" s="1443"/>
      <c r="N44" s="1443"/>
      <c r="O44" s="1443"/>
      <c r="P44" s="1443"/>
      <c r="Q44" s="233"/>
      <c r="R44" s="1443"/>
      <c r="S44" s="1443"/>
      <c r="T44" s="1443"/>
      <c r="U44" s="1443"/>
      <c r="V44" s="233"/>
      <c r="W44" s="1443"/>
      <c r="X44" s="1443"/>
      <c r="Y44" s="1443"/>
      <c r="Z44" s="1443"/>
      <c r="AA44" s="233"/>
      <c r="AB44" s="1443"/>
      <c r="AC44" s="1443"/>
      <c r="AD44" s="1443"/>
      <c r="AE44" s="1443"/>
      <c r="AF44" s="233"/>
      <c r="AG44" s="233"/>
      <c r="AH44" s="233"/>
      <c r="AI44" s="233"/>
      <c r="AJ44" s="233"/>
      <c r="AK44" s="233"/>
      <c r="AL44" s="233"/>
      <c r="AM44" s="233"/>
      <c r="AN44" s="233"/>
      <c r="AO44" s="233"/>
      <c r="AP44" s="233"/>
      <c r="AQ44" s="233"/>
      <c r="AR44" s="233"/>
      <c r="AS44" s="32"/>
      <c r="AT44" s="32"/>
      <c r="AU44" s="32"/>
      <c r="AV44" s="32"/>
      <c r="AW44" s="32"/>
      <c r="AX44" s="32"/>
      <c r="AY44" s="32"/>
      <c r="AZ44" s="32"/>
      <c r="BA44" s="32"/>
      <c r="BB44" s="32"/>
      <c r="BC44" s="32"/>
      <c r="BD44" s="230"/>
      <c r="BK44" s="24"/>
    </row>
    <row r="45" spans="2:66" ht="15" customHeight="1">
      <c r="B45" s="253" t="s">
        <v>63</v>
      </c>
      <c r="C45" s="30"/>
      <c r="D45" s="147">
        <v>2.8839999999999999</v>
      </c>
      <c r="E45" s="147">
        <v>-0.40699999999999997</v>
      </c>
      <c r="F45" s="315">
        <v>-0.22699999999999998</v>
      </c>
      <c r="G45" s="315">
        <v>2.012</v>
      </c>
      <c r="H45" s="315">
        <v>-0.379</v>
      </c>
      <c r="I45" s="144">
        <v>0.71099999999999997</v>
      </c>
      <c r="J45" s="144">
        <v>0</v>
      </c>
      <c r="K45" s="144">
        <v>0</v>
      </c>
      <c r="L45" s="144">
        <v>0</v>
      </c>
      <c r="M45" s="1433">
        <v>0</v>
      </c>
      <c r="N45" s="1433">
        <v>0</v>
      </c>
      <c r="O45" s="1433">
        <v>0</v>
      </c>
      <c r="P45" s="1433">
        <v>0</v>
      </c>
      <c r="Q45" s="144">
        <v>0</v>
      </c>
      <c r="R45" s="1433">
        <v>0</v>
      </c>
      <c r="S45" s="1433">
        <v>2.2709999999999999</v>
      </c>
      <c r="T45" s="1433">
        <v>8.0120000000000005</v>
      </c>
      <c r="U45" s="1433">
        <v>7.1390000000000002</v>
      </c>
      <c r="V45" s="88">
        <f>SUM(R45:U45)</f>
        <v>17.422000000000001</v>
      </c>
      <c r="W45" s="1433">
        <v>7.3559999999999999</v>
      </c>
      <c r="X45" s="1433">
        <v>7.0730000000000004</v>
      </c>
      <c r="Y45" s="1433">
        <v>-16.343</v>
      </c>
      <c r="Z45" s="1433">
        <v>9.6180000000000003</v>
      </c>
      <c r="AA45" s="88">
        <f>SUM(W45:Z45)</f>
        <v>7.7040000000000006</v>
      </c>
      <c r="AB45" s="1433">
        <v>0</v>
      </c>
      <c r="AC45" s="1433">
        <v>0</v>
      </c>
      <c r="AD45" s="1433">
        <v>0</v>
      </c>
      <c r="AE45" s="1433">
        <v>0</v>
      </c>
      <c r="AF45" s="88">
        <f>SUM(AB45:AE45)</f>
        <v>0</v>
      </c>
      <c r="AG45" s="88">
        <v>26</v>
      </c>
      <c r="AH45" s="88">
        <v>24</v>
      </c>
      <c r="AI45" s="88">
        <v>22</v>
      </c>
      <c r="AJ45" s="88">
        <v>20</v>
      </c>
      <c r="AK45" s="88">
        <v>18</v>
      </c>
      <c r="AL45" s="88">
        <v>16</v>
      </c>
      <c r="AM45" s="88">
        <v>14</v>
      </c>
      <c r="AN45" s="88">
        <v>12</v>
      </c>
      <c r="AO45" s="88">
        <v>10</v>
      </c>
      <c r="AP45" s="88">
        <v>0</v>
      </c>
      <c r="AQ45" s="88">
        <v>0</v>
      </c>
      <c r="AR45" s="88">
        <v>0</v>
      </c>
      <c r="AS45" s="32"/>
      <c r="AT45" s="32"/>
      <c r="AU45" s="32"/>
      <c r="AV45" s="32"/>
      <c r="AW45" s="32"/>
      <c r="AX45" s="32"/>
      <c r="AY45" s="32"/>
      <c r="AZ45" s="32"/>
      <c r="BA45" s="32"/>
      <c r="BB45" s="32"/>
      <c r="BC45" s="32"/>
      <c r="BD45" s="230"/>
      <c r="BK45" s="24"/>
    </row>
    <row r="46" spans="2:66" ht="15" customHeight="1">
      <c r="B46" s="806" t="s">
        <v>182</v>
      </c>
      <c r="C46" s="807"/>
      <c r="D46" s="808">
        <f t="shared" ref="D46:AR46" si="28">D33+D41+D37+D45</f>
        <v>95.606999999999999</v>
      </c>
      <c r="E46" s="808">
        <f t="shared" si="28"/>
        <v>109.61999999999999</v>
      </c>
      <c r="F46" s="808">
        <f t="shared" si="28"/>
        <v>148.208</v>
      </c>
      <c r="G46" s="809">
        <f t="shared" si="28"/>
        <v>139.035</v>
      </c>
      <c r="H46" s="810">
        <f t="shared" si="28"/>
        <v>140.929</v>
      </c>
      <c r="I46" s="810">
        <f t="shared" si="28"/>
        <v>208.738</v>
      </c>
      <c r="J46" s="810">
        <f t="shared" si="28"/>
        <v>257.41800000000001</v>
      </c>
      <c r="K46" s="810">
        <f t="shared" si="28"/>
        <v>332.65100000000001</v>
      </c>
      <c r="L46" s="810">
        <f t="shared" si="28"/>
        <v>453.99699999999996</v>
      </c>
      <c r="M46" s="1439">
        <v>148.61000000000001</v>
      </c>
      <c r="N46" s="1439">
        <v>152.77799999999999</v>
      </c>
      <c r="O46" s="1439">
        <v>170.11199999999999</v>
      </c>
      <c r="P46" s="1439">
        <v>160.80099999999999</v>
      </c>
      <c r="Q46" s="810">
        <f t="shared" si="28"/>
        <v>632.30100000000004</v>
      </c>
      <c r="R46" s="1439">
        <f t="shared" si="28"/>
        <v>206.42500000000001</v>
      </c>
      <c r="S46" s="1439">
        <f t="shared" si="28"/>
        <v>179.69899999999998</v>
      </c>
      <c r="T46" s="1439">
        <f t="shared" si="28"/>
        <v>221.17699999999999</v>
      </c>
      <c r="U46" s="1439">
        <f t="shared" si="28"/>
        <v>257.41899999999998</v>
      </c>
      <c r="V46" s="810">
        <f t="shared" si="28"/>
        <v>864.72</v>
      </c>
      <c r="W46" s="1439">
        <f t="shared" si="28"/>
        <v>486.38599999999997</v>
      </c>
      <c r="X46" s="1439">
        <f t="shared" si="28"/>
        <v>285.24399999999997</v>
      </c>
      <c r="Y46" s="1439">
        <f t="shared" si="28"/>
        <v>331.57600000000002</v>
      </c>
      <c r="Z46" s="1439">
        <f t="shared" si="28"/>
        <v>542.74400000000003</v>
      </c>
      <c r="AA46" s="810">
        <f t="shared" si="28"/>
        <v>1645.9499999999998</v>
      </c>
      <c r="AB46" s="1439">
        <f t="shared" si="28"/>
        <v>391.827</v>
      </c>
      <c r="AC46" s="1439">
        <f t="shared" si="28"/>
        <v>413.21299999999997</v>
      </c>
      <c r="AD46" s="1439">
        <f t="shared" si="28"/>
        <v>444.92899999999997</v>
      </c>
      <c r="AE46" s="1439">
        <f t="shared" si="28"/>
        <v>475.98500000000001</v>
      </c>
      <c r="AF46" s="810">
        <f t="shared" si="28"/>
        <v>1725.954</v>
      </c>
      <c r="AG46" s="810">
        <f t="shared" si="28"/>
        <v>1918.3816264664565</v>
      </c>
      <c r="AH46" s="810">
        <f t="shared" si="28"/>
        <v>2020.058879684811</v>
      </c>
      <c r="AI46" s="810">
        <f t="shared" si="28"/>
        <v>2091.4541933466257</v>
      </c>
      <c r="AJ46" s="810">
        <f t="shared" si="28"/>
        <v>2152.8913630161155</v>
      </c>
      <c r="AK46" s="810">
        <f t="shared" si="28"/>
        <v>2207.5341759563566</v>
      </c>
      <c r="AL46" s="810">
        <f t="shared" si="28"/>
        <v>2260.5994156921279</v>
      </c>
      <c r="AM46" s="810">
        <f t="shared" si="28"/>
        <v>2311.6287161494442</v>
      </c>
      <c r="AN46" s="810">
        <f t="shared" si="28"/>
        <v>2331.300284630669</v>
      </c>
      <c r="AO46" s="810">
        <f t="shared" si="28"/>
        <v>2255.2133976901573</v>
      </c>
      <c r="AP46" s="810">
        <f t="shared" si="28"/>
        <v>2242.3158080331104</v>
      </c>
      <c r="AQ46" s="810">
        <f t="shared" si="28"/>
        <v>2248.8602310444439</v>
      </c>
      <c r="AR46" s="810">
        <f t="shared" si="28"/>
        <v>2271.3451602517953</v>
      </c>
      <c r="AS46" s="32"/>
      <c r="AT46" s="32"/>
      <c r="AU46" s="32"/>
      <c r="AV46" s="32"/>
      <c r="AW46" s="32"/>
      <c r="AX46" s="32"/>
      <c r="AY46" s="32"/>
      <c r="AZ46" s="32"/>
      <c r="BA46" s="32"/>
      <c r="BB46" s="32"/>
      <c r="BC46" s="32"/>
      <c r="BD46" s="230"/>
      <c r="BK46" s="36"/>
    </row>
    <row r="47" spans="2:66" ht="15" customHeight="1">
      <c r="B47" s="368" t="s">
        <v>183</v>
      </c>
      <c r="C47" s="369"/>
      <c r="D47" s="370">
        <f t="shared" ref="D47:AR47" si="29">D30-D46</f>
        <v>-67.963999999999999</v>
      </c>
      <c r="E47" s="370">
        <f t="shared" si="29"/>
        <v>-75.179999999999993</v>
      </c>
      <c r="F47" s="370">
        <f t="shared" si="29"/>
        <v>-144.28899999999999</v>
      </c>
      <c r="G47" s="477">
        <f t="shared" si="29"/>
        <v>-129.76999999999998</v>
      </c>
      <c r="H47" s="583">
        <f t="shared" si="29"/>
        <v>28.948999999999984</v>
      </c>
      <c r="I47" s="583">
        <f t="shared" si="29"/>
        <v>-114.28300000000002</v>
      </c>
      <c r="J47" s="583">
        <f t="shared" si="29"/>
        <v>39.639999999999986</v>
      </c>
      <c r="K47" s="583">
        <f t="shared" si="29"/>
        <v>22.295999999999992</v>
      </c>
      <c r="L47" s="583">
        <f t="shared" si="29"/>
        <v>57.497000000000071</v>
      </c>
      <c r="M47" s="1444">
        <f t="shared" si="29"/>
        <v>10.664999999999964</v>
      </c>
      <c r="N47" s="1444">
        <f t="shared" si="29"/>
        <v>10.206000000000017</v>
      </c>
      <c r="O47" s="1444">
        <f t="shared" si="29"/>
        <v>17.498999999999995</v>
      </c>
      <c r="P47" s="1444">
        <f t="shared" si="29"/>
        <v>83.079999999999984</v>
      </c>
      <c r="Q47" s="583">
        <f t="shared" si="29"/>
        <v>121.44999999999993</v>
      </c>
      <c r="R47" s="1444">
        <f t="shared" si="29"/>
        <v>57.038999999999987</v>
      </c>
      <c r="S47" s="1444">
        <f t="shared" si="29"/>
        <v>66.589000000000027</v>
      </c>
      <c r="T47" s="1444">
        <f t="shared" si="29"/>
        <v>48.292000000000002</v>
      </c>
      <c r="U47" s="1444">
        <f t="shared" si="29"/>
        <v>69.079000000000008</v>
      </c>
      <c r="V47" s="583">
        <f t="shared" si="29"/>
        <v>240.99900000000002</v>
      </c>
      <c r="W47" s="1444">
        <f t="shared" si="29"/>
        <v>-102.30399999999997</v>
      </c>
      <c r="X47" s="1444">
        <f t="shared" si="29"/>
        <v>41.200000000000045</v>
      </c>
      <c r="Y47" s="1444">
        <f t="shared" si="29"/>
        <v>49.95799999999997</v>
      </c>
      <c r="Z47" s="1444">
        <f t="shared" si="29"/>
        <v>-98.587999999999965</v>
      </c>
      <c r="AA47" s="583">
        <f t="shared" si="29"/>
        <v>-109.7339999999997</v>
      </c>
      <c r="AB47" s="1444">
        <f t="shared" si="29"/>
        <v>-10.197000000000003</v>
      </c>
      <c r="AC47" s="1444">
        <f t="shared" si="29"/>
        <v>-7.6929999999999268</v>
      </c>
      <c r="AD47" s="1444">
        <f t="shared" si="29"/>
        <v>-5.8529999999999518</v>
      </c>
      <c r="AE47" s="1444">
        <f t="shared" si="29"/>
        <v>-17.864999999999952</v>
      </c>
      <c r="AF47" s="583">
        <f t="shared" si="29"/>
        <v>-41.607999999999947</v>
      </c>
      <c r="AG47" s="583">
        <f t="shared" si="29"/>
        <v>57.755588226942791</v>
      </c>
      <c r="AH47" s="583">
        <f t="shared" si="29"/>
        <v>266.22379902800731</v>
      </c>
      <c r="AI47" s="583">
        <f t="shared" si="29"/>
        <v>486.46917477356146</v>
      </c>
      <c r="AJ47" s="583">
        <f t="shared" si="29"/>
        <v>746.04889831248602</v>
      </c>
      <c r="AK47" s="583">
        <f t="shared" si="29"/>
        <v>970.83387220713666</v>
      </c>
      <c r="AL47" s="583">
        <f t="shared" si="29"/>
        <v>1092.5733065013642</v>
      </c>
      <c r="AM47" s="583">
        <f t="shared" si="29"/>
        <v>1121.0031208605055</v>
      </c>
      <c r="AN47" s="583">
        <f t="shared" si="29"/>
        <v>488.25709592751127</v>
      </c>
      <c r="AO47" s="583">
        <f t="shared" si="29"/>
        <v>-1426.722023933869</v>
      </c>
      <c r="AP47" s="583">
        <f t="shared" si="29"/>
        <v>-1716.880877122881</v>
      </c>
      <c r="AQ47" s="583">
        <f t="shared" si="29"/>
        <v>-1885.9904923373415</v>
      </c>
      <c r="AR47" s="583">
        <f t="shared" si="29"/>
        <v>-2188.1360227656951</v>
      </c>
      <c r="AS47" s="32"/>
      <c r="AT47" s="32"/>
      <c r="AU47" s="32"/>
      <c r="AV47" s="32"/>
      <c r="AW47" s="32"/>
      <c r="AX47" s="32"/>
      <c r="AY47" s="32"/>
      <c r="AZ47" s="32"/>
      <c r="BA47" s="32"/>
      <c r="BB47" s="32"/>
      <c r="BC47" s="32"/>
      <c r="BD47" s="230"/>
      <c r="BK47" s="36"/>
    </row>
    <row r="48" spans="2:66" ht="15" hidden="1" customHeight="1" outlineLevel="1">
      <c r="B48" s="69" t="s">
        <v>255</v>
      </c>
      <c r="C48" s="38"/>
      <c r="D48" s="37" t="str">
        <f t="shared" ref="D48:AI48" si="30">IF(D47&lt;0,"NM",D47/D30)</f>
        <v>NM</v>
      </c>
      <c r="E48" s="37" t="str">
        <f t="shared" si="30"/>
        <v>NM</v>
      </c>
      <c r="F48" s="37" t="str">
        <f t="shared" si="30"/>
        <v>NM</v>
      </c>
      <c r="G48" s="37" t="str">
        <f t="shared" si="30"/>
        <v>NM</v>
      </c>
      <c r="H48" s="37">
        <f t="shared" si="30"/>
        <v>0.17041052990969982</v>
      </c>
      <c r="I48" s="37" t="str">
        <f t="shared" si="30"/>
        <v>NM</v>
      </c>
      <c r="J48" s="37">
        <f t="shared" si="30"/>
        <v>0.13344195409650636</v>
      </c>
      <c r="K48" s="37">
        <f t="shared" si="30"/>
        <v>6.2815011818665861E-2</v>
      </c>
      <c r="L48" s="37">
        <f t="shared" si="30"/>
        <v>0.11240992074198342</v>
      </c>
      <c r="M48" s="1441"/>
      <c r="N48" s="1441"/>
      <c r="O48" s="1441"/>
      <c r="P48" s="1441"/>
      <c r="Q48" s="37">
        <f t="shared" si="30"/>
        <v>0.16112748109123562</v>
      </c>
      <c r="R48" s="1441"/>
      <c r="S48" s="1441"/>
      <c r="T48" s="1441"/>
      <c r="U48" s="1441"/>
      <c r="V48" s="37">
        <f t="shared" si="30"/>
        <v>0.21795682266470959</v>
      </c>
      <c r="W48" s="1441"/>
      <c r="X48" s="1441"/>
      <c r="Y48" s="1441"/>
      <c r="Z48" s="1441"/>
      <c r="AA48" s="37" t="str">
        <f t="shared" si="30"/>
        <v>NM</v>
      </c>
      <c r="AB48" s="1441"/>
      <c r="AC48" s="1441"/>
      <c r="AD48" s="1441"/>
      <c r="AE48" s="1441"/>
      <c r="AF48" s="37" t="str">
        <f t="shared" si="30"/>
        <v>NM</v>
      </c>
      <c r="AG48" s="37">
        <f t="shared" si="30"/>
        <v>2.9226507044908649E-2</v>
      </c>
      <c r="AH48" s="37">
        <f t="shared" si="30"/>
        <v>0.11644395573074623</v>
      </c>
      <c r="AI48" s="37">
        <f t="shared" si="30"/>
        <v>0.18870583229488824</v>
      </c>
      <c r="AJ48" s="37"/>
      <c r="AK48" s="37"/>
      <c r="AL48" s="37"/>
      <c r="AM48" s="37"/>
      <c r="AN48" s="37"/>
      <c r="AO48" s="37"/>
      <c r="AP48" s="37"/>
      <c r="AQ48" s="37"/>
      <c r="AR48" s="37"/>
      <c r="AS48" s="32"/>
      <c r="AT48" s="32"/>
      <c r="AU48" s="32"/>
      <c r="AV48" s="32"/>
      <c r="AW48" s="32"/>
      <c r="AX48" s="32"/>
      <c r="AY48" s="32"/>
      <c r="AZ48" s="32"/>
      <c r="BA48" s="32"/>
      <c r="BB48" s="32"/>
      <c r="BC48" s="32"/>
      <c r="BD48" s="230"/>
      <c r="BK48" s="24"/>
    </row>
    <row r="49" spans="2:63" ht="15" customHeight="1" collapsed="1">
      <c r="B49" s="70" t="s">
        <v>184</v>
      </c>
      <c r="C49" s="30"/>
      <c r="D49" s="160">
        <v>20.678999999999998</v>
      </c>
      <c r="E49" s="160">
        <v>22.431000000000001</v>
      </c>
      <c r="F49" s="249">
        <v>5.306</v>
      </c>
      <c r="G49" s="249">
        <v>5.099999999999999E-2</v>
      </c>
      <c r="H49" s="499">
        <v>1.4159999999999999</v>
      </c>
      <c r="I49" s="499">
        <v>0.46199999999999997</v>
      </c>
      <c r="J49" s="499">
        <v>0.76500000000000001</v>
      </c>
      <c r="K49" s="499">
        <v>1.3260000000000001</v>
      </c>
      <c r="L49" s="499">
        <v>3.35</v>
      </c>
      <c r="M49" s="1429">
        <v>1.63</v>
      </c>
      <c r="N49" s="1429">
        <v>1.1439999999999999</v>
      </c>
      <c r="O49" s="1429">
        <v>3.0259999999999998</v>
      </c>
      <c r="P49" s="1429">
        <v>1.2889999999999999</v>
      </c>
      <c r="Q49" s="499">
        <v>7.0889999999999995</v>
      </c>
      <c r="R49" s="1429">
        <v>1.492</v>
      </c>
      <c r="S49" s="1429">
        <v>1.137</v>
      </c>
      <c r="T49" s="1429">
        <v>1.1879999999999999</v>
      </c>
      <c r="U49" s="1429">
        <v>0.59399999999999997</v>
      </c>
      <c r="V49" s="500">
        <f>SUM(R49:U49)</f>
        <v>4.4110000000000005</v>
      </c>
      <c r="W49" s="1429">
        <v>1.204</v>
      </c>
      <c r="X49" s="1429">
        <v>4.125</v>
      </c>
      <c r="Y49" s="1429">
        <v>5.5549999999999997</v>
      </c>
      <c r="Z49" s="1429">
        <v>6.6159999999999997</v>
      </c>
      <c r="AA49" s="500">
        <f>SUM(W49:Z49)</f>
        <v>17.5</v>
      </c>
      <c r="AB49" s="1429">
        <v>6.5</v>
      </c>
      <c r="AC49" s="1429">
        <v>6.5</v>
      </c>
      <c r="AD49" s="1429">
        <v>6.5</v>
      </c>
      <c r="AE49" s="1429">
        <v>6.5</v>
      </c>
      <c r="AF49" s="500">
        <f>SUM(AB49:AE49)</f>
        <v>26</v>
      </c>
      <c r="AG49" s="500">
        <v>9</v>
      </c>
      <c r="AH49" s="500">
        <v>10</v>
      </c>
      <c r="AI49" s="500">
        <v>10</v>
      </c>
      <c r="AJ49" s="500">
        <v>10</v>
      </c>
      <c r="AK49" s="500">
        <v>10</v>
      </c>
      <c r="AL49" s="500">
        <v>10</v>
      </c>
      <c r="AM49" s="500">
        <v>10</v>
      </c>
      <c r="AN49" s="500">
        <v>10</v>
      </c>
      <c r="AO49" s="500">
        <v>10</v>
      </c>
      <c r="AP49" s="500">
        <v>10</v>
      </c>
      <c r="AQ49" s="500">
        <v>10</v>
      </c>
      <c r="AR49" s="500">
        <v>10</v>
      </c>
      <c r="AS49" s="307"/>
      <c r="AT49" s="184"/>
      <c r="AU49" s="184"/>
      <c r="AV49" s="184"/>
      <c r="AW49" s="184"/>
      <c r="AX49" s="184"/>
      <c r="AY49" s="184"/>
      <c r="AZ49" s="184"/>
      <c r="BA49" s="32"/>
      <c r="BB49" s="32"/>
      <c r="BC49" s="32"/>
      <c r="BD49" s="230"/>
      <c r="BK49" s="24"/>
    </row>
    <row r="50" spans="2:63" ht="15" customHeight="1">
      <c r="B50" s="70" t="s">
        <v>185</v>
      </c>
      <c r="C50" s="30"/>
      <c r="D50" s="160">
        <v>-17.911000000000001</v>
      </c>
      <c r="E50" s="160">
        <v>-24.032</v>
      </c>
      <c r="F50" s="249">
        <v>-24.937000000000001</v>
      </c>
      <c r="G50" s="501">
        <v>-32.125</v>
      </c>
      <c r="H50" s="499">
        <v>-43.323</v>
      </c>
      <c r="I50" s="499">
        <v>-43.818999999999996</v>
      </c>
      <c r="J50" s="499">
        <v>-46.058</v>
      </c>
      <c r="K50" s="499">
        <v>-50.134999999999998</v>
      </c>
      <c r="L50" s="499">
        <v>-47.092999999999996</v>
      </c>
      <c r="M50" s="1429">
        <v>-12.686999999999999</v>
      </c>
      <c r="N50" s="1429">
        <v>-11.494</v>
      </c>
      <c r="O50" s="1429">
        <v>-11.209</v>
      </c>
      <c r="P50" s="1429">
        <v>-10.212999999999999</v>
      </c>
      <c r="Q50" s="499">
        <v>-45.603000000000002</v>
      </c>
      <c r="R50" s="1429">
        <v>-10.134</v>
      </c>
      <c r="S50" s="1429">
        <v>-9.6620000000000008</v>
      </c>
      <c r="T50" s="1429">
        <v>-9.4789999999999992</v>
      </c>
      <c r="U50" s="1429">
        <v>-9.4700000000000006</v>
      </c>
      <c r="V50" s="499">
        <f>SUM(R50:U50)</f>
        <v>-38.744999999999997</v>
      </c>
      <c r="W50" s="1429">
        <v>-60.069000000000003</v>
      </c>
      <c r="X50" s="1429">
        <v>-1.135</v>
      </c>
      <c r="Y50" s="1429">
        <v>-0.20399999999999999</v>
      </c>
      <c r="Z50" s="1429">
        <v>-0.373</v>
      </c>
      <c r="AA50" s="499">
        <f>SUM(W50:Z50)</f>
        <v>-61.780999999999999</v>
      </c>
      <c r="AB50" s="1429">
        <v>-0.5</v>
      </c>
      <c r="AC50" s="1429">
        <v>-0.5</v>
      </c>
      <c r="AD50" s="1429">
        <v>-0.5</v>
      </c>
      <c r="AE50" s="1429">
        <v>-0.5</v>
      </c>
      <c r="AF50" s="499">
        <f>SUM(AB50:AE50)</f>
        <v>-2</v>
      </c>
      <c r="AG50" s="499">
        <f t="shared" ref="AG50:AR50" si="31">-(AG242+AG243)</f>
        <v>-1.3017857142857143</v>
      </c>
      <c r="AH50" s="499">
        <f t="shared" si="31"/>
        <v>-0.2985576923076923</v>
      </c>
      <c r="AI50" s="499">
        <f t="shared" si="31"/>
        <v>0</v>
      </c>
      <c r="AJ50" s="499">
        <f t="shared" si="31"/>
        <v>0</v>
      </c>
      <c r="AK50" s="499">
        <f t="shared" si="31"/>
        <v>0</v>
      </c>
      <c r="AL50" s="499">
        <f t="shared" si="31"/>
        <v>0</v>
      </c>
      <c r="AM50" s="499">
        <f t="shared" si="31"/>
        <v>0</v>
      </c>
      <c r="AN50" s="499">
        <f t="shared" si="31"/>
        <v>0</v>
      </c>
      <c r="AO50" s="499">
        <f t="shared" si="31"/>
        <v>0</v>
      </c>
      <c r="AP50" s="499">
        <f t="shared" si="31"/>
        <v>0</v>
      </c>
      <c r="AQ50" s="499">
        <f t="shared" si="31"/>
        <v>0</v>
      </c>
      <c r="AR50" s="499">
        <f t="shared" si="31"/>
        <v>0</v>
      </c>
      <c r="AS50" s="306"/>
      <c r="AT50" s="32"/>
      <c r="AU50" s="32"/>
      <c r="AV50" s="32"/>
      <c r="AW50" s="32"/>
      <c r="AX50" s="32"/>
      <c r="AY50" s="32"/>
      <c r="AZ50" s="32"/>
      <c r="BA50" s="32"/>
      <c r="BB50" s="32"/>
      <c r="BC50" s="32"/>
      <c r="BD50" s="230"/>
      <c r="BK50" s="24"/>
    </row>
    <row r="51" spans="2:63" ht="15" customHeight="1">
      <c r="B51" s="806" t="s">
        <v>186</v>
      </c>
      <c r="C51" s="807"/>
      <c r="D51" s="808">
        <f t="shared" ref="D51:K51" si="32">D47+SUM(D49:D50)</f>
        <v>-65.195999999999998</v>
      </c>
      <c r="E51" s="808">
        <f t="shared" si="32"/>
        <v>-76.780999999999992</v>
      </c>
      <c r="F51" s="808">
        <f t="shared" si="32"/>
        <v>-163.92</v>
      </c>
      <c r="G51" s="809">
        <f t="shared" si="32"/>
        <v>-161.84399999999999</v>
      </c>
      <c r="H51" s="810">
        <f t="shared" si="32"/>
        <v>-12.95800000000002</v>
      </c>
      <c r="I51" s="810">
        <f t="shared" si="32"/>
        <v>-157.64000000000001</v>
      </c>
      <c r="J51" s="810">
        <f t="shared" si="32"/>
        <v>-5.6530000000000129</v>
      </c>
      <c r="K51" s="810">
        <f t="shared" si="32"/>
        <v>-26.513000000000005</v>
      </c>
      <c r="L51" s="810">
        <f t="shared" ref="L51:AR51" si="33">L47+SUM(L49:L50)</f>
        <v>13.754000000000076</v>
      </c>
      <c r="M51" s="1439">
        <f t="shared" si="33"/>
        <v>-0.39200000000003499</v>
      </c>
      <c r="N51" s="1439">
        <f t="shared" si="33"/>
        <v>-0.14399999999998236</v>
      </c>
      <c r="O51" s="1439">
        <f t="shared" si="33"/>
        <v>9.3159999999999954</v>
      </c>
      <c r="P51" s="1439">
        <f t="shared" si="33"/>
        <v>74.155999999999977</v>
      </c>
      <c r="Q51" s="810">
        <f t="shared" si="33"/>
        <v>82.935999999999922</v>
      </c>
      <c r="R51" s="1439">
        <f t="shared" si="33"/>
        <v>48.396999999999991</v>
      </c>
      <c r="S51" s="1439">
        <f t="shared" si="33"/>
        <v>58.064000000000028</v>
      </c>
      <c r="T51" s="1439">
        <f t="shared" si="33"/>
        <v>40.001000000000005</v>
      </c>
      <c r="U51" s="1439">
        <f t="shared" si="33"/>
        <v>60.203000000000003</v>
      </c>
      <c r="V51" s="810">
        <f t="shared" si="33"/>
        <v>206.66500000000002</v>
      </c>
      <c r="W51" s="1439">
        <f t="shared" si="33"/>
        <v>-161.16899999999998</v>
      </c>
      <c r="X51" s="1439">
        <f t="shared" si="33"/>
        <v>44.190000000000047</v>
      </c>
      <c r="Y51" s="1439">
        <f t="shared" si="33"/>
        <v>55.308999999999969</v>
      </c>
      <c r="Z51" s="1439">
        <f t="shared" si="33"/>
        <v>-92.34499999999997</v>
      </c>
      <c r="AA51" s="810">
        <f t="shared" si="33"/>
        <v>-154.0149999999997</v>
      </c>
      <c r="AB51" s="1439">
        <f t="shared" si="33"/>
        <v>-4.1970000000000027</v>
      </c>
      <c r="AC51" s="1439">
        <f t="shared" si="33"/>
        <v>-1.6929999999999268</v>
      </c>
      <c r="AD51" s="1439">
        <f t="shared" si="33"/>
        <v>0.1470000000000482</v>
      </c>
      <c r="AE51" s="1439">
        <f t="shared" si="33"/>
        <v>-11.864999999999952</v>
      </c>
      <c r="AF51" s="810">
        <f t="shared" si="33"/>
        <v>-17.607999999999947</v>
      </c>
      <c r="AG51" s="810">
        <f t="shared" si="33"/>
        <v>65.453802512657077</v>
      </c>
      <c r="AH51" s="810">
        <f t="shared" si="33"/>
        <v>275.92524133569964</v>
      </c>
      <c r="AI51" s="810">
        <f t="shared" si="33"/>
        <v>496.46917477356146</v>
      </c>
      <c r="AJ51" s="810">
        <f t="shared" si="33"/>
        <v>756.04889831248602</v>
      </c>
      <c r="AK51" s="810">
        <f t="shared" si="33"/>
        <v>980.83387220713666</v>
      </c>
      <c r="AL51" s="810">
        <f t="shared" si="33"/>
        <v>1102.5733065013642</v>
      </c>
      <c r="AM51" s="810">
        <f t="shared" si="33"/>
        <v>1131.0031208605055</v>
      </c>
      <c r="AN51" s="810">
        <f t="shared" si="33"/>
        <v>498.25709592751127</v>
      </c>
      <c r="AO51" s="810">
        <f t="shared" si="33"/>
        <v>-1416.722023933869</v>
      </c>
      <c r="AP51" s="810">
        <f t="shared" si="33"/>
        <v>-1706.880877122881</v>
      </c>
      <c r="AQ51" s="810">
        <f t="shared" si="33"/>
        <v>-1875.9904923373415</v>
      </c>
      <c r="AR51" s="810">
        <f t="shared" si="33"/>
        <v>-2178.1360227656951</v>
      </c>
      <c r="AS51" s="26"/>
      <c r="AT51" s="26"/>
      <c r="AU51" s="26"/>
      <c r="AV51" s="26"/>
      <c r="AW51" s="26"/>
      <c r="AX51" s="26"/>
      <c r="AY51" s="26"/>
      <c r="AZ51" s="26"/>
      <c r="BA51" s="26"/>
      <c r="BB51" s="26"/>
      <c r="BC51" s="26"/>
      <c r="BD51" s="73"/>
      <c r="BK51" s="36"/>
    </row>
    <row r="52" spans="2:63" ht="15" customHeight="1">
      <c r="B52" s="71" t="s">
        <v>187</v>
      </c>
      <c r="C52" s="29"/>
      <c r="D52" s="147">
        <v>0</v>
      </c>
      <c r="E52" s="147">
        <v>0</v>
      </c>
      <c r="F52" s="249">
        <f>F114</f>
        <v>0</v>
      </c>
      <c r="G52" s="479">
        <f>G114</f>
        <v>0</v>
      </c>
      <c r="H52" s="591">
        <v>0</v>
      </c>
      <c r="I52" s="591">
        <v>0</v>
      </c>
      <c r="J52" s="591">
        <v>0.17399999999999999</v>
      </c>
      <c r="K52" s="591">
        <v>0.3</v>
      </c>
      <c r="L52" s="591">
        <v>-6.5000000000000002E-2</v>
      </c>
      <c r="M52" s="1445">
        <v>0.36699999999999999</v>
      </c>
      <c r="N52" s="1445">
        <v>0.13600000000000001</v>
      </c>
      <c r="O52" s="1445">
        <v>8.9999999999999993E-3</v>
      </c>
      <c r="P52" s="1445">
        <v>0.51200000000000001</v>
      </c>
      <c r="Q52" s="591">
        <v>1.024</v>
      </c>
      <c r="R52" s="1445">
        <v>0.4</v>
      </c>
      <c r="S52" s="1445">
        <v>0.78500000000000003</v>
      </c>
      <c r="T52" s="1445">
        <v>1.425</v>
      </c>
      <c r="U52" s="1445">
        <v>0.57199999999999995</v>
      </c>
      <c r="V52" s="591">
        <f>SUM(R52:U52)</f>
        <v>3.1820000000000004</v>
      </c>
      <c r="W52" s="1445">
        <v>-10.9</v>
      </c>
      <c r="X52" s="1445">
        <v>3.1</v>
      </c>
      <c r="Y52" s="1445">
        <v>7.3</v>
      </c>
      <c r="Z52" s="1445">
        <v>1.3520000000000001</v>
      </c>
      <c r="AA52" s="591">
        <f>SUM(W52:Z52)</f>
        <v>0.8519999999999992</v>
      </c>
      <c r="AB52" s="1445">
        <v>1.5</v>
      </c>
      <c r="AC52" s="1445">
        <v>1.5</v>
      </c>
      <c r="AD52" s="1445">
        <v>1.5</v>
      </c>
      <c r="AE52" s="1445">
        <v>1.5</v>
      </c>
      <c r="AF52" s="591">
        <f>SUM(AB52:AE52)</f>
        <v>6</v>
      </c>
      <c r="AG52" s="591">
        <f t="shared" ref="AG52:AR52" si="34">AG114</f>
        <v>0</v>
      </c>
      <c r="AH52" s="591">
        <f t="shared" si="34"/>
        <v>0</v>
      </c>
      <c r="AI52" s="591">
        <f t="shared" si="34"/>
        <v>0</v>
      </c>
      <c r="AJ52" s="591">
        <f t="shared" si="34"/>
        <v>4.3408675401606951</v>
      </c>
      <c r="AK52" s="591">
        <f t="shared" si="34"/>
        <v>147.12508083107051</v>
      </c>
      <c r="AL52" s="591">
        <f t="shared" si="34"/>
        <v>165.38599597520462</v>
      </c>
      <c r="AM52" s="591">
        <f t="shared" si="34"/>
        <v>169.65046812907582</v>
      </c>
      <c r="AN52" s="591">
        <f t="shared" si="34"/>
        <v>74.738564389126694</v>
      </c>
      <c r="AO52" s="591">
        <f t="shared" si="34"/>
        <v>0</v>
      </c>
      <c r="AP52" s="591">
        <f t="shared" si="34"/>
        <v>0</v>
      </c>
      <c r="AQ52" s="591">
        <f t="shared" si="34"/>
        <v>0</v>
      </c>
      <c r="AR52" s="591">
        <f t="shared" si="34"/>
        <v>0</v>
      </c>
      <c r="AS52" s="44"/>
      <c r="AT52" s="26"/>
      <c r="AU52" s="26"/>
      <c r="AV52" s="26"/>
      <c r="AW52" s="26"/>
      <c r="AX52" s="26"/>
      <c r="AY52" s="26"/>
      <c r="AZ52" s="26"/>
      <c r="BA52" s="26"/>
      <c r="BB52" s="26"/>
      <c r="BC52" s="26"/>
      <c r="BD52" s="73"/>
      <c r="BK52" s="36"/>
    </row>
    <row r="53" spans="2:63" ht="15" customHeight="1">
      <c r="B53" s="72" t="s">
        <v>110</v>
      </c>
      <c r="C53" s="37"/>
      <c r="D53" s="43">
        <v>0</v>
      </c>
      <c r="E53" s="43">
        <v>0</v>
      </c>
      <c r="F53" s="43">
        <f t="shared" ref="F53:AR53" si="35">IF(F52/F51&lt;0,0,F52/F51)</f>
        <v>0</v>
      </c>
      <c r="G53" s="43">
        <f t="shared" si="35"/>
        <v>0</v>
      </c>
      <c r="H53" s="43">
        <f t="shared" si="35"/>
        <v>0</v>
      </c>
      <c r="I53" s="43">
        <f t="shared" si="35"/>
        <v>0</v>
      </c>
      <c r="J53" s="43">
        <f t="shared" si="35"/>
        <v>0</v>
      </c>
      <c r="K53" s="43">
        <f t="shared" si="35"/>
        <v>0</v>
      </c>
      <c r="L53" s="43">
        <f t="shared" si="35"/>
        <v>0</v>
      </c>
      <c r="M53" s="1454">
        <v>0</v>
      </c>
      <c r="N53" s="1454">
        <v>0</v>
      </c>
      <c r="O53" s="1454">
        <f>O52/O51</f>
        <v>9.6607986260197553E-4</v>
      </c>
      <c r="P53" s="1454">
        <f>P52/P51</f>
        <v>6.9043637736663274E-3</v>
      </c>
      <c r="Q53" s="43">
        <f t="shared" si="35"/>
        <v>1.2346869875566715E-2</v>
      </c>
      <c r="R53" s="1454">
        <v>0</v>
      </c>
      <c r="S53" s="1454">
        <v>0</v>
      </c>
      <c r="T53" s="1454">
        <v>0</v>
      </c>
      <c r="U53" s="1454">
        <v>0</v>
      </c>
      <c r="V53" s="43">
        <f t="shared" si="35"/>
        <v>1.5396898362083565E-2</v>
      </c>
      <c r="W53" s="1454">
        <v>0</v>
      </c>
      <c r="X53" s="1454">
        <v>0</v>
      </c>
      <c r="Y53" s="1454">
        <v>0</v>
      </c>
      <c r="Z53" s="1454">
        <v>0</v>
      </c>
      <c r="AA53" s="43">
        <f t="shared" si="35"/>
        <v>0</v>
      </c>
      <c r="AB53" s="1454">
        <v>-0.35739814152966382</v>
      </c>
      <c r="AC53" s="1454">
        <v>-0.88600118133491701</v>
      </c>
      <c r="AD53" s="1454">
        <v>10.204081632649714</v>
      </c>
      <c r="AE53" s="1454">
        <v>-0.12642225031605614</v>
      </c>
      <c r="AF53" s="43">
        <f t="shared" si="35"/>
        <v>0</v>
      </c>
      <c r="AG53" s="43">
        <f t="shared" si="35"/>
        <v>0</v>
      </c>
      <c r="AH53" s="43">
        <f t="shared" si="35"/>
        <v>0</v>
      </c>
      <c r="AI53" s="43">
        <f t="shared" si="35"/>
        <v>0</v>
      </c>
      <c r="AJ53" s="43">
        <f t="shared" si="35"/>
        <v>5.7415169175559742E-3</v>
      </c>
      <c r="AK53" s="43">
        <f t="shared" si="35"/>
        <v>0.15</v>
      </c>
      <c r="AL53" s="43">
        <f t="shared" si="35"/>
        <v>0.15</v>
      </c>
      <c r="AM53" s="43">
        <f t="shared" si="35"/>
        <v>0.15</v>
      </c>
      <c r="AN53" s="43">
        <f t="shared" si="35"/>
        <v>0.15</v>
      </c>
      <c r="AO53" s="43">
        <f t="shared" si="35"/>
        <v>0</v>
      </c>
      <c r="AP53" s="43">
        <f t="shared" si="35"/>
        <v>0</v>
      </c>
      <c r="AQ53" s="43">
        <f t="shared" si="35"/>
        <v>0</v>
      </c>
      <c r="AR53" s="43">
        <f t="shared" si="35"/>
        <v>0</v>
      </c>
      <c r="AS53" s="42"/>
      <c r="AT53" s="42"/>
      <c r="AU53" s="42"/>
      <c r="AV53" s="42"/>
      <c r="AW53" s="42"/>
      <c r="AX53" s="42"/>
      <c r="AY53" s="42"/>
      <c r="AZ53" s="42"/>
      <c r="BA53" s="42"/>
      <c r="BB53" s="42"/>
      <c r="BC53" s="42"/>
      <c r="BD53" s="73"/>
      <c r="BK53" s="36"/>
    </row>
    <row r="54" spans="2:63" ht="15" customHeight="1">
      <c r="B54" s="806" t="s">
        <v>162</v>
      </c>
      <c r="C54" s="807"/>
      <c r="D54" s="808">
        <f t="shared" ref="D54:K54" si="36">D51-D52</f>
        <v>-65.195999999999998</v>
      </c>
      <c r="E54" s="808">
        <f t="shared" si="36"/>
        <v>-76.780999999999992</v>
      </c>
      <c r="F54" s="808">
        <f t="shared" si="36"/>
        <v>-163.92</v>
      </c>
      <c r="G54" s="809">
        <f t="shared" si="36"/>
        <v>-161.84399999999999</v>
      </c>
      <c r="H54" s="810">
        <f t="shared" si="36"/>
        <v>-12.95800000000002</v>
      </c>
      <c r="I54" s="810">
        <f t="shared" si="36"/>
        <v>-157.64000000000001</v>
      </c>
      <c r="J54" s="810">
        <f t="shared" si="36"/>
        <v>-5.8270000000000133</v>
      </c>
      <c r="K54" s="810">
        <f t="shared" si="36"/>
        <v>-26.813000000000006</v>
      </c>
      <c r="L54" s="810">
        <f t="shared" ref="L54:AR54" si="37">L51-L52</f>
        <v>13.819000000000075</v>
      </c>
      <c r="M54" s="1439">
        <v>-0.75900000000003676</v>
      </c>
      <c r="N54" s="1439">
        <v>-0.27999999999998237</v>
      </c>
      <c r="O54" s="1439">
        <v>9.3069999999999951</v>
      </c>
      <c r="P54" s="1439">
        <v>73.643999999999991</v>
      </c>
      <c r="Q54" s="810">
        <f t="shared" si="37"/>
        <v>81.911999999999921</v>
      </c>
      <c r="R54" s="1439">
        <f t="shared" si="37"/>
        <v>47.996999999999993</v>
      </c>
      <c r="S54" s="1439">
        <f t="shared" si="37"/>
        <v>57.279000000000032</v>
      </c>
      <c r="T54" s="1439">
        <f t="shared" si="37"/>
        <v>38.576000000000008</v>
      </c>
      <c r="U54" s="1439">
        <f t="shared" si="37"/>
        <v>59.631</v>
      </c>
      <c r="V54" s="810">
        <f t="shared" si="37"/>
        <v>203.48300000000003</v>
      </c>
      <c r="W54" s="1439">
        <f t="shared" si="37"/>
        <v>-150.26899999999998</v>
      </c>
      <c r="X54" s="1439">
        <f t="shared" si="37"/>
        <v>41.090000000000046</v>
      </c>
      <c r="Y54" s="1439">
        <f t="shared" si="37"/>
        <v>48.008999999999972</v>
      </c>
      <c r="Z54" s="1439">
        <f t="shared" si="37"/>
        <v>-93.696999999999974</v>
      </c>
      <c r="AA54" s="810">
        <f t="shared" si="37"/>
        <v>-154.86699999999971</v>
      </c>
      <c r="AB54" s="1439">
        <f t="shared" si="37"/>
        <v>-5.6970000000000027</v>
      </c>
      <c r="AC54" s="1439">
        <f t="shared" si="37"/>
        <v>-3.1929999999999268</v>
      </c>
      <c r="AD54" s="1439">
        <f t="shared" si="37"/>
        <v>-1.3529999999999518</v>
      </c>
      <c r="AE54" s="1439">
        <f t="shared" si="37"/>
        <v>-13.364999999999952</v>
      </c>
      <c r="AF54" s="810">
        <f t="shared" si="37"/>
        <v>-23.607999999999947</v>
      </c>
      <c r="AG54" s="810">
        <f t="shared" si="37"/>
        <v>65.453802512657077</v>
      </c>
      <c r="AH54" s="810">
        <f t="shared" si="37"/>
        <v>275.92524133569964</v>
      </c>
      <c r="AI54" s="810">
        <f t="shared" si="37"/>
        <v>496.46917477356146</v>
      </c>
      <c r="AJ54" s="810">
        <f t="shared" si="37"/>
        <v>751.70803077232529</v>
      </c>
      <c r="AK54" s="810">
        <f t="shared" si="37"/>
        <v>833.70879137606619</v>
      </c>
      <c r="AL54" s="810">
        <f t="shared" si="37"/>
        <v>937.18731052615954</v>
      </c>
      <c r="AM54" s="810">
        <f t="shared" si="37"/>
        <v>961.35265273142977</v>
      </c>
      <c r="AN54" s="810">
        <f t="shared" si="37"/>
        <v>423.51853153838459</v>
      </c>
      <c r="AO54" s="810">
        <f t="shared" si="37"/>
        <v>-1416.722023933869</v>
      </c>
      <c r="AP54" s="810">
        <f t="shared" si="37"/>
        <v>-1706.880877122881</v>
      </c>
      <c r="AQ54" s="810">
        <f t="shared" si="37"/>
        <v>-1875.9904923373415</v>
      </c>
      <c r="AR54" s="810">
        <f t="shared" si="37"/>
        <v>-2178.1360227656951</v>
      </c>
      <c r="AS54" s="26"/>
      <c r="AT54" s="26"/>
      <c r="AU54" s="26"/>
      <c r="AV54" s="26"/>
      <c r="AW54" s="26"/>
      <c r="AX54" s="26"/>
      <c r="AY54" s="26"/>
      <c r="AZ54" s="26"/>
      <c r="BA54" s="26"/>
      <c r="BB54" s="26"/>
      <c r="BC54" s="26"/>
      <c r="BD54" s="26"/>
      <c r="BK54" s="36"/>
    </row>
    <row r="55" spans="2:63" ht="12.75" customHeight="1">
      <c r="B55" s="7"/>
      <c r="C55" s="35"/>
      <c r="D55" s="44"/>
      <c r="E55" s="44"/>
      <c r="F55" s="44"/>
      <c r="G55" s="44"/>
      <c r="H55" s="44"/>
      <c r="I55" s="44"/>
      <c r="J55" s="44"/>
      <c r="K55" s="44"/>
      <c r="L55" s="44"/>
      <c r="M55" s="1444"/>
      <c r="N55" s="1444"/>
      <c r="O55" s="1444"/>
      <c r="P55" s="1444"/>
      <c r="Q55" s="44"/>
      <c r="R55" s="1444"/>
      <c r="S55" s="1444"/>
      <c r="T55" s="1444"/>
      <c r="U55" s="1444"/>
      <c r="V55" s="44"/>
      <c r="W55" s="1444"/>
      <c r="X55" s="1444"/>
      <c r="Y55" s="1444"/>
      <c r="Z55" s="1444"/>
      <c r="AA55" s="44"/>
      <c r="AB55" s="1444"/>
      <c r="AC55" s="1444"/>
      <c r="AD55" s="1444"/>
      <c r="AE55" s="1444"/>
      <c r="AF55" s="44"/>
      <c r="AG55" s="44"/>
      <c r="AH55" s="44"/>
      <c r="AI55" s="44"/>
      <c r="AJ55" s="44"/>
      <c r="AK55" s="44"/>
      <c r="AL55" s="44"/>
      <c r="AM55" s="44"/>
      <c r="AN55" s="44"/>
      <c r="AO55" s="44"/>
      <c r="AP55" s="44"/>
      <c r="AQ55" s="44"/>
      <c r="AR55" s="44"/>
      <c r="AS55" s="26"/>
      <c r="AT55" s="26"/>
      <c r="AU55" s="26"/>
      <c r="AV55" s="26"/>
      <c r="AW55" s="26"/>
      <c r="AX55" s="26"/>
      <c r="AY55" s="26"/>
      <c r="AZ55" s="26"/>
      <c r="BA55" s="26"/>
      <c r="BB55" s="26"/>
      <c r="BC55" s="26"/>
      <c r="BD55" s="26"/>
      <c r="BK55" s="36"/>
    </row>
    <row r="56" spans="2:63" ht="15" customHeight="1">
      <c r="B56" s="811" t="s">
        <v>115</v>
      </c>
      <c r="C56" s="812"/>
      <c r="D56" s="813">
        <f t="shared" ref="D56:K56" si="38">+D54/D67</f>
        <v>-0.77800451079368482</v>
      </c>
      <c r="E56" s="813">
        <f t="shared" si="38"/>
        <v>-0.91205084041099949</v>
      </c>
      <c r="F56" s="813">
        <f t="shared" si="38"/>
        <v>-1.8256896316488507</v>
      </c>
      <c r="G56" s="813">
        <f t="shared" si="38"/>
        <v>-1.5721710072564428</v>
      </c>
      <c r="H56" s="813">
        <f t="shared" si="38"/>
        <v>-0.10653796823099961</v>
      </c>
      <c r="I56" s="813">
        <f t="shared" si="38"/>
        <v>-1.2574858658477002</v>
      </c>
      <c r="J56" s="813">
        <f t="shared" si="38"/>
        <v>-4.4910479625733253E-2</v>
      </c>
      <c r="K56" s="813">
        <f t="shared" si="38"/>
        <v>-0.18067694049311678</v>
      </c>
      <c r="L56" s="813">
        <f t="shared" ref="L56:AI56" si="39">+L54/L67</f>
        <v>8.2281910364579755E-2</v>
      </c>
      <c r="M56" s="1446">
        <v>-4.410995525077217E-3</v>
      </c>
      <c r="N56" s="1446">
        <v>-1.5670823165953032E-3</v>
      </c>
      <c r="O56" s="1446">
        <v>5.1310182096842634E-2</v>
      </c>
      <c r="P56" s="1446">
        <v>0.39536369444190922</v>
      </c>
      <c r="Q56" s="813">
        <f t="shared" si="39"/>
        <v>0.45607763876593072</v>
      </c>
      <c r="R56" s="1446">
        <v>0.25641614667920326</v>
      </c>
      <c r="S56" s="1446">
        <v>0.3051917605311113</v>
      </c>
      <c r="T56" s="1446">
        <v>0.2051598423647415</v>
      </c>
      <c r="U56" s="1446">
        <v>0.3161804473006079</v>
      </c>
      <c r="V56" s="813">
        <f t="shared" si="39"/>
        <v>1.083086602270414</v>
      </c>
      <c r="W56" s="1446">
        <v>-0.76958414421796573</v>
      </c>
      <c r="X56" s="1446">
        <v>0.20030125620914419</v>
      </c>
      <c r="Y56" s="1446">
        <v>0.23215632797539593</v>
      </c>
      <c r="Z56" s="1446">
        <v>-0.44379869745411477</v>
      </c>
      <c r="AA56" s="813">
        <f t="shared" si="39"/>
        <v>-0.75699785658945851</v>
      </c>
      <c r="AB56" s="1446">
        <v>-2.6910722720831379E-2</v>
      </c>
      <c r="AC56" s="1446">
        <v>-1.5068428504011248E-2</v>
      </c>
      <c r="AD56" s="1446">
        <v>-6.3760603204521763E-3</v>
      </c>
      <c r="AE56" s="1446">
        <v>-6.2894117647058601E-2</v>
      </c>
      <c r="AF56" s="813">
        <f t="shared" si="39"/>
        <v>-0.11117890266509481</v>
      </c>
      <c r="AG56" s="813">
        <f t="shared" si="39"/>
        <v>0.30497174527727644</v>
      </c>
      <c r="AH56" s="813">
        <f t="shared" si="39"/>
        <v>1.2732330909805982</v>
      </c>
      <c r="AI56" s="813">
        <f t="shared" si="39"/>
        <v>2.2675807811655337</v>
      </c>
      <c r="AJ56" s="813">
        <f t="shared" ref="AJ56:AR56" si="40">+AJ54/AJ67</f>
        <v>3.4008512468110705</v>
      </c>
      <c r="AK56" s="813">
        <f t="shared" si="40"/>
        <v>3.7337298723466739</v>
      </c>
      <c r="AL56" s="813">
        <f t="shared" si="40"/>
        <v>4.1519439739998596</v>
      </c>
      <c r="AM56" s="813">
        <f t="shared" si="40"/>
        <v>4.2101235323348787</v>
      </c>
      <c r="AN56" s="813">
        <f t="shared" si="40"/>
        <v>1.8320846789685412</v>
      </c>
      <c r="AO56" s="813">
        <f t="shared" si="40"/>
        <v>-6.0488936726814551</v>
      </c>
      <c r="AP56" s="813">
        <f t="shared" si="40"/>
        <v>-7.1870843287795854</v>
      </c>
      <c r="AQ56" s="813">
        <f t="shared" si="40"/>
        <v>-7.7832516588839917</v>
      </c>
      <c r="AR56" s="813">
        <f t="shared" si="40"/>
        <v>-8.8961385191116964</v>
      </c>
      <c r="AS56" s="26"/>
      <c r="AT56" s="26"/>
      <c r="AU56" s="26"/>
      <c r="AV56" s="26"/>
      <c r="AW56" s="26"/>
      <c r="AX56" s="26"/>
      <c r="AY56" s="26"/>
      <c r="AZ56" s="26"/>
      <c r="BA56" s="26"/>
      <c r="BB56" s="26"/>
      <c r="BC56" s="26"/>
      <c r="BD56" s="26"/>
      <c r="BK56" s="36"/>
    </row>
    <row r="57" spans="2:63" ht="15" customHeight="1">
      <c r="B57" s="814" t="s">
        <v>211</v>
      </c>
      <c r="C57" s="815"/>
      <c r="D57" s="816">
        <f t="shared" ref="D57:K57" si="41">+D54/D68</f>
        <v>-0.77800451079368482</v>
      </c>
      <c r="E57" s="816">
        <f t="shared" si="41"/>
        <v>-0.91205084041099949</v>
      </c>
      <c r="F57" s="816">
        <f t="shared" si="41"/>
        <v>-1.8256896316488507</v>
      </c>
      <c r="G57" s="816">
        <f t="shared" si="41"/>
        <v>-1.5721710072564428</v>
      </c>
      <c r="H57" s="816">
        <f t="shared" si="41"/>
        <v>-0.10653796823099961</v>
      </c>
      <c r="I57" s="816">
        <f t="shared" si="41"/>
        <v>-1.2574858658477002</v>
      </c>
      <c r="J57" s="816">
        <f t="shared" si="41"/>
        <v>-4.4910479625733253E-2</v>
      </c>
      <c r="K57" s="816">
        <f t="shared" si="41"/>
        <v>-0.18067694049311678</v>
      </c>
      <c r="L57" s="816">
        <f t="shared" ref="L57:AI57" si="42">+L54/L68</f>
        <v>8.2281910364579755E-2</v>
      </c>
      <c r="M57" s="1447">
        <v>-4.410995525077217E-3</v>
      </c>
      <c r="N57" s="1447">
        <v>-1.5013968352698621E-3</v>
      </c>
      <c r="O57" s="1447">
        <v>5.1310182096842634E-2</v>
      </c>
      <c r="P57" s="1447">
        <v>0.38085092078793176</v>
      </c>
      <c r="Q57" s="816">
        <f t="shared" si="42"/>
        <v>0.4373258160617608</v>
      </c>
      <c r="R57" s="1447">
        <v>0.24917326411421148</v>
      </c>
      <c r="S57" s="1447">
        <v>0.2967593192238947</v>
      </c>
      <c r="T57" s="1447">
        <v>0.19857411268113134</v>
      </c>
      <c r="U57" s="1447">
        <v>0.30550702659500917</v>
      </c>
      <c r="V57" s="816">
        <f t="shared" si="42"/>
        <v>0.97739084490129224</v>
      </c>
      <c r="W57" s="1447">
        <v>-0.76958414421796573</v>
      </c>
      <c r="X57" s="1447">
        <v>0.19414952679301292</v>
      </c>
      <c r="Y57" s="1447">
        <v>0.22580781712995612</v>
      </c>
      <c r="Z57" s="1447">
        <v>-0.44379869745411477</v>
      </c>
      <c r="AA57" s="816">
        <f t="shared" si="42"/>
        <v>-0.74577552622327814</v>
      </c>
      <c r="AB57" s="1447">
        <v>-2.6910722720831379E-2</v>
      </c>
      <c r="AC57" s="1447">
        <v>-1.5068428504011248E-2</v>
      </c>
      <c r="AD57" s="1447">
        <v>-6.3760603204521763E-3</v>
      </c>
      <c r="AE57" s="1447">
        <v>-6.2894117647058601E-2</v>
      </c>
      <c r="AF57" s="816">
        <f t="shared" si="42"/>
        <v>-0.11117890266509481</v>
      </c>
      <c r="AG57" s="816">
        <f t="shared" si="42"/>
        <v>0.30497174527727644</v>
      </c>
      <c r="AH57" s="816">
        <f t="shared" si="42"/>
        <v>1.2462350001328915</v>
      </c>
      <c r="AI57" s="816">
        <f t="shared" si="42"/>
        <v>2.216918076684848</v>
      </c>
      <c r="AJ57" s="816">
        <f t="shared" ref="AJ57:AR57" si="43">+AJ54/AJ68</f>
        <v>3.3618365768471028</v>
      </c>
      <c r="AK57" s="816">
        <f t="shared" si="43"/>
        <v>3.6886128880310078</v>
      </c>
      <c r="AL57" s="816">
        <f t="shared" si="43"/>
        <v>4.0991627977468186</v>
      </c>
      <c r="AM57" s="816">
        <f t="shared" si="43"/>
        <v>4.1538896142939272</v>
      </c>
      <c r="AN57" s="816">
        <f t="shared" si="43"/>
        <v>1.8064078614591883</v>
      </c>
      <c r="AO57" s="816">
        <f t="shared" si="43"/>
        <v>-6.0488936726814551</v>
      </c>
      <c r="AP57" s="816">
        <f t="shared" si="43"/>
        <v>-7.1870843287795854</v>
      </c>
      <c r="AQ57" s="816">
        <f t="shared" si="43"/>
        <v>-7.7832516588839917</v>
      </c>
      <c r="AR57" s="816">
        <f t="shared" si="43"/>
        <v>-8.8961385191116964</v>
      </c>
      <c r="AS57" s="26"/>
      <c r="AT57" s="26"/>
      <c r="AU57" s="26"/>
      <c r="AV57" s="26"/>
      <c r="AW57" s="26"/>
      <c r="AX57" s="26"/>
      <c r="AY57" s="26"/>
      <c r="AZ57" s="26"/>
      <c r="BA57" s="26"/>
      <c r="BB57" s="26"/>
      <c r="BC57" s="26"/>
      <c r="BD57" s="26"/>
      <c r="BK57" s="36"/>
    </row>
    <row r="58" spans="2:63" ht="14.25" customHeight="1">
      <c r="B58" s="73"/>
      <c r="C58" s="35"/>
      <c r="D58" s="44"/>
      <c r="E58" s="44"/>
      <c r="F58" s="44"/>
      <c r="G58" s="44"/>
      <c r="H58" s="44"/>
      <c r="I58" s="44"/>
      <c r="J58" s="44"/>
      <c r="K58" s="44"/>
      <c r="L58" s="44"/>
      <c r="M58" s="1444"/>
      <c r="N58" s="1444"/>
      <c r="O58" s="1444"/>
      <c r="P58" s="1444"/>
      <c r="Q58" s="44"/>
      <c r="R58" s="1444"/>
      <c r="S58" s="1444"/>
      <c r="T58" s="1444"/>
      <c r="U58" s="1444"/>
      <c r="V58" s="44"/>
      <c r="W58" s="1444"/>
      <c r="X58" s="1444"/>
      <c r="Y58" s="1444"/>
      <c r="Z58" s="1444"/>
      <c r="AA58" s="44"/>
      <c r="AB58" s="1444"/>
      <c r="AC58" s="1444"/>
      <c r="AD58" s="1444"/>
      <c r="AE58" s="1444"/>
      <c r="AF58" s="44"/>
      <c r="AG58" s="44"/>
      <c r="AH58" s="44"/>
      <c r="AI58" s="44"/>
      <c r="AJ58" s="44"/>
      <c r="AK58" s="44"/>
      <c r="AL58" s="44"/>
      <c r="AM58" s="44"/>
      <c r="AN58" s="44"/>
      <c r="AO58" s="44"/>
      <c r="AP58" s="44"/>
      <c r="AQ58" s="44"/>
      <c r="AR58" s="44"/>
      <c r="AS58" s="26"/>
      <c r="AT58" s="26"/>
      <c r="AU58" s="26"/>
      <c r="AV58" s="26"/>
      <c r="AW58" s="26"/>
      <c r="AX58" s="26"/>
      <c r="AY58" s="26"/>
      <c r="AZ58" s="26"/>
      <c r="BA58" s="26"/>
      <c r="BB58" s="26"/>
      <c r="BC58" s="26"/>
      <c r="BD58" s="26"/>
      <c r="BK58" s="36"/>
    </row>
    <row r="59" spans="2:63" ht="15" customHeight="1">
      <c r="B59" s="702" t="s">
        <v>32</v>
      </c>
      <c r="C59" s="369"/>
      <c r="D59" s="703">
        <f t="shared" ref="D59:I59" si="44">+D75</f>
        <v>8.9</v>
      </c>
      <c r="E59" s="703">
        <f t="shared" si="44"/>
        <v>10.100000000000001</v>
      </c>
      <c r="F59" s="703">
        <f t="shared" si="44"/>
        <v>15</v>
      </c>
      <c r="G59" s="704">
        <f t="shared" si="44"/>
        <v>10</v>
      </c>
      <c r="H59" s="704">
        <f t="shared" si="44"/>
        <v>14.9</v>
      </c>
      <c r="I59" s="704">
        <f t="shared" si="44"/>
        <v>28.9</v>
      </c>
      <c r="J59" s="704">
        <f t="shared" ref="J59:AF59" si="45">+J75</f>
        <v>38.493000000000002</v>
      </c>
      <c r="K59" s="704">
        <f t="shared" si="45"/>
        <v>38.400000000000006</v>
      </c>
      <c r="L59" s="704">
        <f t="shared" si="45"/>
        <v>62.3</v>
      </c>
      <c r="M59" s="1448">
        <v>17.600000000000001</v>
      </c>
      <c r="N59" s="1448">
        <v>17.600000000000001</v>
      </c>
      <c r="O59" s="1448">
        <v>17.600000000000001</v>
      </c>
      <c r="P59" s="1448">
        <v>18</v>
      </c>
      <c r="Q59" s="704">
        <f t="shared" si="45"/>
        <v>70.800000000000011</v>
      </c>
      <c r="R59" s="1448">
        <v>21</v>
      </c>
      <c r="S59" s="1448">
        <v>22</v>
      </c>
      <c r="T59" s="1448">
        <v>26</v>
      </c>
      <c r="U59" s="1448">
        <v>27</v>
      </c>
      <c r="V59" s="704">
        <f t="shared" si="45"/>
        <v>96</v>
      </c>
      <c r="W59" s="1448">
        <v>31</v>
      </c>
      <c r="X59" s="1448">
        <v>34</v>
      </c>
      <c r="Y59" s="1448">
        <v>35</v>
      </c>
      <c r="Z59" s="1448">
        <v>34</v>
      </c>
      <c r="AA59" s="704">
        <v>134</v>
      </c>
      <c r="AB59" s="1448">
        <v>34</v>
      </c>
      <c r="AC59" s="1448">
        <v>36</v>
      </c>
      <c r="AD59" s="1448">
        <v>42</v>
      </c>
      <c r="AE59" s="1448">
        <v>48</v>
      </c>
      <c r="AF59" s="704">
        <f t="shared" si="45"/>
        <v>160</v>
      </c>
      <c r="AG59" s="704">
        <f>+AG75</f>
        <v>239.79770330830706</v>
      </c>
      <c r="AH59" s="704">
        <f>+AH75</f>
        <v>252.50735996060138</v>
      </c>
      <c r="AI59" s="704">
        <f>+AI75</f>
        <v>261.43177416832822</v>
      </c>
      <c r="AJ59" s="704">
        <f t="shared" ref="AJ59:AR59" si="46">+AJ75</f>
        <v>269.11142037701444</v>
      </c>
      <c r="AK59" s="704">
        <f t="shared" si="46"/>
        <v>275.94177199454458</v>
      </c>
      <c r="AL59" s="704">
        <f t="shared" si="46"/>
        <v>282.57492696151598</v>
      </c>
      <c r="AM59" s="704">
        <f t="shared" si="46"/>
        <v>288.95358951868053</v>
      </c>
      <c r="AN59" s="704">
        <f t="shared" si="46"/>
        <v>291.41253557883363</v>
      </c>
      <c r="AO59" s="704">
        <f t="shared" si="46"/>
        <v>281.90167471126966</v>
      </c>
      <c r="AP59" s="704">
        <f t="shared" si="46"/>
        <v>280.28947600413881</v>
      </c>
      <c r="AQ59" s="704">
        <f t="shared" si="46"/>
        <v>281.10752888055549</v>
      </c>
      <c r="AR59" s="704">
        <f t="shared" si="46"/>
        <v>283.91814503147441</v>
      </c>
      <c r="AS59" s="26"/>
      <c r="AT59" s="26"/>
      <c r="AU59" s="26"/>
      <c r="AV59" s="26"/>
      <c r="AW59" s="26"/>
      <c r="AX59" s="26"/>
      <c r="AY59" s="26"/>
      <c r="AZ59" s="26"/>
      <c r="BA59" s="26"/>
      <c r="BB59" s="26"/>
      <c r="BC59" s="26"/>
      <c r="BD59" s="26"/>
      <c r="BK59" s="36"/>
    </row>
    <row r="60" spans="2:63" ht="15" customHeight="1">
      <c r="B60" s="702"/>
      <c r="C60" s="369"/>
      <c r="D60" s="703"/>
      <c r="E60" s="703"/>
      <c r="F60" s="703"/>
      <c r="G60" s="704"/>
      <c r="H60" s="704"/>
      <c r="I60" s="704"/>
      <c r="J60" s="704"/>
      <c r="K60" s="704"/>
      <c r="L60" s="704"/>
      <c r="M60" s="1448"/>
      <c r="N60" s="1448"/>
      <c r="O60" s="1448"/>
      <c r="P60" s="1448"/>
      <c r="Q60" s="704"/>
      <c r="R60" s="1448"/>
      <c r="S60" s="1448"/>
      <c r="T60" s="1448"/>
      <c r="U60" s="1448"/>
      <c r="V60" s="704"/>
      <c r="W60" s="1448"/>
      <c r="X60" s="1448"/>
      <c r="Y60" s="1448"/>
      <c r="Z60" s="1448"/>
      <c r="AA60" s="704"/>
      <c r="AB60" s="1448"/>
      <c r="AC60" s="1448"/>
      <c r="AD60" s="1448"/>
      <c r="AE60" s="1448"/>
      <c r="AF60" s="704"/>
      <c r="AG60" s="704"/>
      <c r="AH60" s="704"/>
      <c r="AI60" s="704"/>
      <c r="AJ60" s="704"/>
      <c r="AK60" s="704"/>
      <c r="AL60" s="704"/>
      <c r="AM60" s="704"/>
      <c r="AN60" s="704"/>
      <c r="AO60" s="704"/>
      <c r="AP60" s="704"/>
      <c r="AQ60" s="704"/>
      <c r="AR60" s="704"/>
      <c r="AS60" s="26"/>
      <c r="AT60" s="26"/>
      <c r="AU60" s="26"/>
      <c r="AV60" s="26"/>
      <c r="AW60" s="26"/>
      <c r="AX60" s="26"/>
      <c r="AY60" s="26"/>
      <c r="AZ60" s="26"/>
      <c r="BA60" s="26"/>
      <c r="BB60" s="26"/>
      <c r="BC60" s="26"/>
      <c r="BD60" s="26"/>
      <c r="BK60" s="36"/>
    </row>
    <row r="61" spans="2:63" s="509" customFormat="1" ht="28.5" hidden="1" customHeight="1" outlineLevel="1">
      <c r="B61" s="705" t="s">
        <v>163</v>
      </c>
      <c r="C61" s="699"/>
      <c r="D61" s="700">
        <f t="shared" ref="D61:K61" si="47">+(D59-D62)/D68</f>
        <v>0.10620651797754149</v>
      </c>
      <c r="E61" s="700">
        <f t="shared" si="47"/>
        <v>0.11997386707845817</v>
      </c>
      <c r="F61" s="700">
        <f t="shared" si="47"/>
        <v>0.16706530304253761</v>
      </c>
      <c r="G61" s="701">
        <f t="shared" si="47"/>
        <v>9.7141136357013103E-2</v>
      </c>
      <c r="H61" s="701">
        <f t="shared" si="47"/>
        <v>0.12250468642088994</v>
      </c>
      <c r="I61" s="701">
        <f t="shared" si="47"/>
        <v>0.2305337574409955</v>
      </c>
      <c r="J61" s="701">
        <f t="shared" si="47"/>
        <v>0.29667737982381093</v>
      </c>
      <c r="K61" s="701">
        <f t="shared" si="47"/>
        <v>0.25875487692297333</v>
      </c>
      <c r="L61" s="701">
        <f t="shared" ref="L61:AI61" si="48">+(L59-L62)/L68</f>
        <v>0.3709503593395535</v>
      </c>
      <c r="M61" s="1449"/>
      <c r="N61" s="1449"/>
      <c r="O61" s="1449"/>
      <c r="P61" s="1449"/>
      <c r="Q61" s="701">
        <f t="shared" si="48"/>
        <v>0.37799916712047932</v>
      </c>
      <c r="R61" s="1449"/>
      <c r="S61" s="1449"/>
      <c r="T61" s="1449"/>
      <c r="U61" s="1449"/>
      <c r="V61" s="701">
        <f t="shared" si="48"/>
        <v>0.46111724866708298</v>
      </c>
      <c r="W61" s="1449"/>
      <c r="X61" s="1449"/>
      <c r="Y61" s="1449"/>
      <c r="Z61" s="1449"/>
      <c r="AA61" s="701">
        <f t="shared" si="48"/>
        <v>0.645288670368248</v>
      </c>
      <c r="AB61" s="1449"/>
      <c r="AC61" s="1449"/>
      <c r="AD61" s="1449"/>
      <c r="AE61" s="1449"/>
      <c r="AF61" s="701">
        <f t="shared" si="48"/>
        <v>0.75349984862822805</v>
      </c>
      <c r="AG61" s="701">
        <f t="shared" si="48"/>
        <v>1.1172998555320783</v>
      </c>
      <c r="AH61" s="701">
        <f t="shared" si="48"/>
        <v>1.1404665562698628</v>
      </c>
      <c r="AI61" s="701">
        <f t="shared" si="48"/>
        <v>1.1673893474612995</v>
      </c>
      <c r="AJ61" s="701">
        <f t="shared" ref="AJ61:AR61" si="49">+(AJ59-AJ62)/AJ68</f>
        <v>1.1966271206664658</v>
      </c>
      <c r="AK61" s="701">
        <f t="shared" si="49"/>
        <v>1.0377316744116669</v>
      </c>
      <c r="AL61" s="701">
        <f t="shared" si="49"/>
        <v>1.0505611022383641</v>
      </c>
      <c r="AM61" s="701">
        <f t="shared" si="49"/>
        <v>1.0612537599378</v>
      </c>
      <c r="AN61" s="701">
        <f t="shared" si="49"/>
        <v>1.0565025556082497</v>
      </c>
      <c r="AO61" s="701">
        <f t="shared" si="49"/>
        <v>1.2036187958343629</v>
      </c>
      <c r="AP61" s="701">
        <f t="shared" si="49"/>
        <v>1.1802019271003663</v>
      </c>
      <c r="AQ61" s="701">
        <f t="shared" si="49"/>
        <v>1.1662802393834992</v>
      </c>
      <c r="AR61" s="701">
        <f t="shared" si="49"/>
        <v>1.1596039548908104</v>
      </c>
      <c r="AS61" s="507"/>
      <c r="AT61" s="507"/>
      <c r="AU61" s="507"/>
      <c r="AV61" s="507"/>
      <c r="AW61" s="507"/>
      <c r="AX61" s="507"/>
      <c r="AY61" s="507"/>
      <c r="AZ61" s="507"/>
      <c r="BA61" s="507"/>
      <c r="BB61" s="507"/>
      <c r="BC61" s="507"/>
      <c r="BD61" s="507"/>
      <c r="BE61"/>
      <c r="BF61"/>
      <c r="BG61"/>
      <c r="BH61"/>
      <c r="BI61"/>
      <c r="BJ61"/>
      <c r="BK61" s="508"/>
    </row>
    <row r="62" spans="2:63" ht="15" hidden="1" customHeight="1" outlineLevel="1">
      <c r="B62" s="702" t="s">
        <v>222</v>
      </c>
      <c r="C62" s="369"/>
      <c r="D62" s="703">
        <f t="shared" ref="D62:I62" si="50">+D77</f>
        <v>0</v>
      </c>
      <c r="E62" s="703">
        <f t="shared" si="50"/>
        <v>0</v>
      </c>
      <c r="F62" s="703">
        <f t="shared" si="50"/>
        <v>0</v>
      </c>
      <c r="G62" s="704">
        <f t="shared" si="50"/>
        <v>0</v>
      </c>
      <c r="H62" s="704">
        <f t="shared" si="50"/>
        <v>0</v>
      </c>
      <c r="I62" s="704">
        <f t="shared" si="50"/>
        <v>0</v>
      </c>
      <c r="J62" s="704">
        <f t="shared" ref="J62:AI62" si="51">+J77</f>
        <v>0</v>
      </c>
      <c r="K62" s="704">
        <f t="shared" si="51"/>
        <v>0</v>
      </c>
      <c r="L62" s="704">
        <f t="shared" si="51"/>
        <v>0</v>
      </c>
      <c r="M62" s="1448"/>
      <c r="N62" s="1448"/>
      <c r="O62" s="1448"/>
      <c r="P62" s="1448"/>
      <c r="Q62" s="704">
        <f t="shared" si="51"/>
        <v>0</v>
      </c>
      <c r="R62" s="1448"/>
      <c r="S62" s="1448"/>
      <c r="T62" s="1448"/>
      <c r="U62" s="1448"/>
      <c r="V62" s="704">
        <f t="shared" si="51"/>
        <v>0</v>
      </c>
      <c r="W62" s="1448"/>
      <c r="X62" s="1448"/>
      <c r="Y62" s="1448"/>
      <c r="Z62" s="1448"/>
      <c r="AA62" s="704">
        <f t="shared" si="51"/>
        <v>0</v>
      </c>
      <c r="AB62" s="1448"/>
      <c r="AC62" s="1448"/>
      <c r="AD62" s="1448"/>
      <c r="AE62" s="1448"/>
      <c r="AF62" s="704">
        <f t="shared" si="51"/>
        <v>0</v>
      </c>
      <c r="AG62" s="704">
        <f t="shared" si="51"/>
        <v>0</v>
      </c>
      <c r="AH62" s="704">
        <f t="shared" si="51"/>
        <v>0</v>
      </c>
      <c r="AI62" s="704">
        <f t="shared" si="51"/>
        <v>0</v>
      </c>
      <c r="AJ62" s="704">
        <f t="shared" ref="AJ62:AR62" si="52">+AJ77</f>
        <v>1.5451077728021458</v>
      </c>
      <c r="AK62" s="704">
        <f t="shared" si="52"/>
        <v>41.391265799181689</v>
      </c>
      <c r="AL62" s="704">
        <f t="shared" si="52"/>
        <v>42.386239044227395</v>
      </c>
      <c r="AM62" s="704">
        <f t="shared" si="52"/>
        <v>43.343038427802078</v>
      </c>
      <c r="AN62" s="704">
        <f t="shared" si="52"/>
        <v>43.71188033682504</v>
      </c>
      <c r="AO62" s="704">
        <f t="shared" si="52"/>
        <v>0</v>
      </c>
      <c r="AP62" s="704">
        <f t="shared" si="52"/>
        <v>0</v>
      </c>
      <c r="AQ62" s="704">
        <f t="shared" si="52"/>
        <v>0</v>
      </c>
      <c r="AR62" s="704">
        <f t="shared" si="52"/>
        <v>0</v>
      </c>
      <c r="AS62" s="26"/>
      <c r="AT62" s="26"/>
      <c r="AU62" s="26"/>
      <c r="AV62" s="26"/>
      <c r="AW62" s="26"/>
      <c r="AX62" s="26"/>
      <c r="AY62" s="26"/>
      <c r="AZ62" s="26"/>
      <c r="BA62" s="26"/>
      <c r="BB62" s="26"/>
      <c r="BC62" s="26"/>
      <c r="BD62" s="26"/>
      <c r="BK62" s="36"/>
    </row>
    <row r="63" spans="2:63" ht="24" hidden="1" outlineLevel="1">
      <c r="B63" s="66" t="s">
        <v>194</v>
      </c>
      <c r="C63" s="35"/>
      <c r="D63" s="45">
        <f t="shared" ref="D63:K63" si="53">+D54-D59+D62</f>
        <v>-74.096000000000004</v>
      </c>
      <c r="E63" s="45">
        <f t="shared" si="53"/>
        <v>-86.881</v>
      </c>
      <c r="F63" s="45">
        <f t="shared" si="53"/>
        <v>-178.92</v>
      </c>
      <c r="G63" s="505">
        <f t="shared" si="53"/>
        <v>-171.84399999999999</v>
      </c>
      <c r="H63" s="505">
        <f t="shared" si="53"/>
        <v>-27.858000000000018</v>
      </c>
      <c r="I63" s="505">
        <f t="shared" si="53"/>
        <v>-186.54000000000002</v>
      </c>
      <c r="J63" s="505">
        <f t="shared" si="53"/>
        <v>-44.320000000000014</v>
      </c>
      <c r="K63" s="505">
        <f t="shared" si="53"/>
        <v>-65.213000000000008</v>
      </c>
      <c r="L63" s="505">
        <f t="shared" ref="L63:AI63" si="54">+L54-L59+L62</f>
        <v>-48.480999999999923</v>
      </c>
      <c r="M63" s="1450"/>
      <c r="N63" s="1450"/>
      <c r="O63" s="1450"/>
      <c r="P63" s="1450"/>
      <c r="Q63" s="505">
        <f t="shared" si="54"/>
        <v>11.11199999999991</v>
      </c>
      <c r="R63" s="1450"/>
      <c r="S63" s="1450"/>
      <c r="T63" s="1450"/>
      <c r="U63" s="1450"/>
      <c r="V63" s="505">
        <f t="shared" si="54"/>
        <v>107.48300000000003</v>
      </c>
      <c r="W63" s="1450"/>
      <c r="X63" s="1450"/>
      <c r="Y63" s="1450"/>
      <c r="Z63" s="1450"/>
      <c r="AA63" s="505">
        <f t="shared" si="54"/>
        <v>-288.86699999999973</v>
      </c>
      <c r="AB63" s="1450"/>
      <c r="AC63" s="1450"/>
      <c r="AD63" s="1450"/>
      <c r="AE63" s="1450"/>
      <c r="AF63" s="505">
        <f t="shared" si="54"/>
        <v>-183.60799999999995</v>
      </c>
      <c r="AG63" s="505">
        <f t="shared" si="54"/>
        <v>-174.34390079564997</v>
      </c>
      <c r="AH63" s="505">
        <f t="shared" si="54"/>
        <v>23.417881375098261</v>
      </c>
      <c r="AI63" s="505">
        <f t="shared" si="54"/>
        <v>235.03740060523324</v>
      </c>
      <c r="AJ63" s="505">
        <f t="shared" ref="AJ63:AR63" si="55">+AJ54-AJ59+AJ62</f>
        <v>484.14171816811302</v>
      </c>
      <c r="AK63" s="505">
        <f t="shared" si="55"/>
        <v>599.15828518070327</v>
      </c>
      <c r="AL63" s="505">
        <f t="shared" si="55"/>
        <v>696.99862260887096</v>
      </c>
      <c r="AM63" s="505">
        <f t="shared" si="55"/>
        <v>715.74210164055137</v>
      </c>
      <c r="AN63" s="505">
        <f t="shared" si="55"/>
        <v>175.817876296376</v>
      </c>
      <c r="AO63" s="505">
        <f t="shared" si="55"/>
        <v>-1698.6236986451386</v>
      </c>
      <c r="AP63" s="505">
        <f t="shared" si="55"/>
        <v>-1987.1703531270198</v>
      </c>
      <c r="AQ63" s="505">
        <f t="shared" si="55"/>
        <v>-2157.098021217897</v>
      </c>
      <c r="AR63" s="505">
        <f t="shared" si="55"/>
        <v>-2462.0541677971696</v>
      </c>
      <c r="AS63" s="26"/>
      <c r="AT63" s="26"/>
      <c r="AU63" s="26"/>
      <c r="AV63" s="26"/>
      <c r="AW63" s="26"/>
      <c r="AX63" s="26"/>
      <c r="AY63" s="26"/>
      <c r="AZ63" s="26"/>
      <c r="BA63" s="26"/>
      <c r="BB63" s="26"/>
      <c r="BC63" s="26"/>
      <c r="BD63" s="26"/>
      <c r="BK63" s="36"/>
    </row>
    <row r="64" spans="2:63" ht="15" customHeight="1" collapsed="1">
      <c r="B64" s="806" t="s">
        <v>42</v>
      </c>
      <c r="C64" s="807"/>
      <c r="D64" s="808">
        <f t="shared" ref="D64:K64" si="56">+D82</f>
        <v>-74.165999999999997</v>
      </c>
      <c r="E64" s="808">
        <f t="shared" si="56"/>
        <v>-86.881</v>
      </c>
      <c r="F64" s="808">
        <f t="shared" si="56"/>
        <v>-178.92</v>
      </c>
      <c r="G64" s="809">
        <f t="shared" si="56"/>
        <v>-211.87</v>
      </c>
      <c r="H64" s="810">
        <f t="shared" si="56"/>
        <v>-31.846000000000018</v>
      </c>
      <c r="I64" s="810">
        <f t="shared" si="56"/>
        <v>-186.54000000000002</v>
      </c>
      <c r="J64" s="810">
        <f t="shared" si="56"/>
        <v>-44.320000000000014</v>
      </c>
      <c r="K64" s="810">
        <f t="shared" si="56"/>
        <v>-83.147000000000006</v>
      </c>
      <c r="L64" s="810">
        <f t="shared" ref="L64:AR64" si="57">+L82</f>
        <v>-48.480999999999923</v>
      </c>
      <c r="M64" s="1439">
        <v>-18.359000000000037</v>
      </c>
      <c r="N64" s="1439">
        <v>9.2940000000000147</v>
      </c>
      <c r="O64" s="1439">
        <v>-39.582000000000008</v>
      </c>
      <c r="P64" s="1439">
        <v>55.17799999999999</v>
      </c>
      <c r="Q64" s="810">
        <f t="shared" si="57"/>
        <v>6.5309999999999073</v>
      </c>
      <c r="R64" s="1439">
        <v>24.046999999999986</v>
      </c>
      <c r="S64" s="1439">
        <v>34.425000000000033</v>
      </c>
      <c r="T64" s="1439">
        <v>36.876999999999981</v>
      </c>
      <c r="U64" s="1439">
        <v>8.873000000000058</v>
      </c>
      <c r="V64" s="810">
        <f t="shared" si="57"/>
        <v>104.22200000000004</v>
      </c>
      <c r="W64" s="1439">
        <v>-187.08299999999997</v>
      </c>
      <c r="X64" s="1439">
        <v>-12.483999999999956</v>
      </c>
      <c r="Y64" s="1439">
        <v>36.053999999999974</v>
      </c>
      <c r="Z64" s="1439">
        <v>-149.62899999999996</v>
      </c>
      <c r="AA64" s="810">
        <f t="shared" si="57"/>
        <v>-313.14199999999971</v>
      </c>
      <c r="AB64" s="1439">
        <v>-27.447000000000003</v>
      </c>
      <c r="AC64" s="1439">
        <v>-26.942999999999984</v>
      </c>
      <c r="AD64" s="1439">
        <v>-31.102999999999952</v>
      </c>
      <c r="AE64" s="1439">
        <v>-49.114999999999952</v>
      </c>
      <c r="AF64" s="810">
        <f t="shared" si="57"/>
        <v>-134.60799999999995</v>
      </c>
      <c r="AG64" s="810">
        <f t="shared" si="57"/>
        <v>-54.343900795649972</v>
      </c>
      <c r="AH64" s="810">
        <f t="shared" si="57"/>
        <v>48.417881375098261</v>
      </c>
      <c r="AI64" s="810">
        <f t="shared" si="57"/>
        <v>235.03740060523324</v>
      </c>
      <c r="AJ64" s="810">
        <f t="shared" si="57"/>
        <v>484.14171816811302</v>
      </c>
      <c r="AK64" s="810">
        <f t="shared" si="57"/>
        <v>599.15828518070327</v>
      </c>
      <c r="AL64" s="810">
        <f t="shared" si="57"/>
        <v>696.99862260887096</v>
      </c>
      <c r="AM64" s="810">
        <f t="shared" si="57"/>
        <v>715.74210164055137</v>
      </c>
      <c r="AN64" s="810">
        <f t="shared" si="57"/>
        <v>175.817876296376</v>
      </c>
      <c r="AO64" s="810">
        <f t="shared" si="57"/>
        <v>-1698.6236986451386</v>
      </c>
      <c r="AP64" s="810">
        <f t="shared" si="57"/>
        <v>-1987.1703531270198</v>
      </c>
      <c r="AQ64" s="810">
        <f t="shared" si="57"/>
        <v>-2157.098021217897</v>
      </c>
      <c r="AR64" s="810">
        <f t="shared" si="57"/>
        <v>-2462.0541677971696</v>
      </c>
      <c r="AS64" s="26"/>
      <c r="AT64" s="26"/>
      <c r="AU64" s="26"/>
      <c r="AV64" s="26"/>
      <c r="AW64" s="26"/>
      <c r="AX64" s="26"/>
      <c r="AY64" s="26"/>
      <c r="AZ64" s="26"/>
      <c r="BA64" s="26"/>
      <c r="BB64" s="26"/>
      <c r="BC64" s="26"/>
      <c r="BD64" s="26"/>
      <c r="BK64" s="36"/>
    </row>
    <row r="65" spans="2:63" ht="24">
      <c r="B65" s="696" t="s">
        <v>195</v>
      </c>
      <c r="C65" s="697"/>
      <c r="D65" s="370">
        <f t="shared" ref="D65:K65" si="58">+D63/D68</f>
        <v>-0.88421102877122637</v>
      </c>
      <c r="E65" s="370">
        <f t="shared" si="58"/>
        <v>-1.0320247074894577</v>
      </c>
      <c r="F65" s="370">
        <f t="shared" si="58"/>
        <v>-1.9927549346913884</v>
      </c>
      <c r="G65" s="698">
        <f t="shared" si="58"/>
        <v>-1.6693121436134559</v>
      </c>
      <c r="H65" s="698">
        <f>+H63/H68</f>
        <v>-0.22904265465188953</v>
      </c>
      <c r="I65" s="698">
        <f t="shared" si="58"/>
        <v>-1.4880196232886957</v>
      </c>
      <c r="J65" s="698">
        <f t="shared" si="58"/>
        <v>-0.34158785944954417</v>
      </c>
      <c r="K65" s="698">
        <f t="shared" si="58"/>
        <v>-0.43943181741609005</v>
      </c>
      <c r="L65" s="698">
        <f t="shared" ref="L65:AI65" si="59">+L63/L68</f>
        <v>-0.28866844897497379</v>
      </c>
      <c r="M65" s="1451">
        <v>-0.10669494972976136</v>
      </c>
      <c r="N65" s="1451">
        <v>-9.587491219509571E-2</v>
      </c>
      <c r="O65" s="1451">
        <v>-4.5719924801667186E-2</v>
      </c>
      <c r="P65" s="1451">
        <v>0.28776368253114543</v>
      </c>
      <c r="Q65" s="698">
        <f t="shared" si="59"/>
        <v>5.9326648941281514E-2</v>
      </c>
      <c r="R65" s="1451">
        <v>0.14015314730694348</v>
      </c>
      <c r="S65" s="1451">
        <v>0.18277854052793843</v>
      </c>
      <c r="T65" s="1451">
        <v>6.4736313798162207E-2</v>
      </c>
      <c r="U65" s="1451">
        <v>0.16717814198691539</v>
      </c>
      <c r="V65" s="698">
        <f t="shared" si="59"/>
        <v>0.51627359623420932</v>
      </c>
      <c r="W65" s="1451">
        <v>-0.92834681962511512</v>
      </c>
      <c r="X65" s="1451">
        <v>3.3500125212033806E-2</v>
      </c>
      <c r="Y65" s="1451">
        <v>6.1187150181082596E-2</v>
      </c>
      <c r="Z65" s="1451">
        <v>-0.60484073416222606</v>
      </c>
      <c r="AA65" s="698">
        <f>+AA63/AA67</f>
        <v>-1.4119967445577646</v>
      </c>
      <c r="AB65" s="1451">
        <v>-0.18751535191308458</v>
      </c>
      <c r="AC65" s="1451">
        <v>-0.18495988673902777</v>
      </c>
      <c r="AD65" s="1451">
        <v>-0.20430254476908555</v>
      </c>
      <c r="AE65" s="1451">
        <v>-0.28877647058823508</v>
      </c>
      <c r="AF65" s="698">
        <f t="shared" si="59"/>
        <v>-0.86467875129332294</v>
      </c>
      <c r="AG65" s="698">
        <f t="shared" si="59"/>
        <v>-0.81232811025480178</v>
      </c>
      <c r="AH65" s="698">
        <f t="shared" si="59"/>
        <v>0.10576844386302879</v>
      </c>
      <c r="AI65" s="698">
        <f t="shared" si="59"/>
        <v>1.0495287292235487</v>
      </c>
      <c r="AJ65" s="698">
        <f>+AJ63/AJ68</f>
        <v>2.1652094561806368</v>
      </c>
      <c r="AK65" s="698">
        <f t="shared" ref="AK65:AR65" si="60">+AK63/AK68</f>
        <v>2.6508812136193409</v>
      </c>
      <c r="AL65" s="698">
        <f t="shared" si="60"/>
        <v>3.0486016955084545</v>
      </c>
      <c r="AM65" s="698">
        <f t="shared" si="60"/>
        <v>3.0926358543561276</v>
      </c>
      <c r="AN65" s="698">
        <f t="shared" si="60"/>
        <v>0.74990530585093862</v>
      </c>
      <c r="AO65" s="698">
        <f t="shared" si="60"/>
        <v>-7.2525124685158175</v>
      </c>
      <c r="AP65" s="698">
        <f t="shared" si="60"/>
        <v>-8.3672862558799519</v>
      </c>
      <c r="AQ65" s="698">
        <f t="shared" si="60"/>
        <v>-8.949531898267491</v>
      </c>
      <c r="AR65" s="698">
        <f t="shared" si="60"/>
        <v>-10.055742474002507</v>
      </c>
      <c r="AS65" s="26"/>
      <c r="AT65" s="26"/>
      <c r="AU65" s="26"/>
      <c r="AV65" s="26"/>
      <c r="AW65" s="26"/>
      <c r="AX65" s="26"/>
      <c r="AY65" s="26"/>
      <c r="AZ65" s="26"/>
      <c r="BA65" s="26"/>
      <c r="BB65" s="26"/>
      <c r="BC65" s="26"/>
      <c r="BD65" s="26"/>
      <c r="BK65" s="36"/>
    </row>
    <row r="66" spans="2:63" ht="15" customHeight="1">
      <c r="B66" s="696" t="s">
        <v>133</v>
      </c>
      <c r="C66" s="697"/>
      <c r="D66" s="370">
        <f t="shared" ref="D66:AI66" si="61">+D82/D68</f>
        <v>-0.88504636093509459</v>
      </c>
      <c r="E66" s="370">
        <f t="shared" si="61"/>
        <v>-1.0320247074894577</v>
      </c>
      <c r="F66" s="370">
        <f t="shared" si="61"/>
        <v>-1.9927549346913884</v>
      </c>
      <c r="G66" s="370">
        <f t="shared" si="61"/>
        <v>-2.0581292559960369</v>
      </c>
      <c r="H66" s="370">
        <f t="shared" si="61"/>
        <v>-0.26183115729930623</v>
      </c>
      <c r="I66" s="370">
        <f t="shared" si="61"/>
        <v>-1.4880196232886957</v>
      </c>
      <c r="J66" s="370">
        <f t="shared" si="61"/>
        <v>-0.34158785944954417</v>
      </c>
      <c r="K66" s="370">
        <f t="shared" si="61"/>
        <v>-0.56027843102902242</v>
      </c>
      <c r="L66" s="370">
        <f t="shared" si="61"/>
        <v>-0.28866844897497379</v>
      </c>
      <c r="M66" s="1452">
        <v>-0.10669494972976136</v>
      </c>
      <c r="N66" s="1452">
        <v>4.9835650667853566E-2</v>
      </c>
      <c r="O66" s="1452">
        <v>-0.21821850518504637</v>
      </c>
      <c r="P66" s="1452">
        <v>0.28535375736294194</v>
      </c>
      <c r="Q66" s="370">
        <f t="shared" si="61"/>
        <v>3.486882147547761E-2</v>
      </c>
      <c r="R66" s="1452">
        <v>0.12483841661258915</v>
      </c>
      <c r="S66" s="1452">
        <v>0.17835401393674086</v>
      </c>
      <c r="T66" s="1452">
        <v>0.18982832728489427</v>
      </c>
      <c r="U66" s="1452">
        <v>4.5458970115837924E-2</v>
      </c>
      <c r="V66" s="370">
        <f t="shared" si="61"/>
        <v>0.50061001969354935</v>
      </c>
      <c r="W66" s="1452">
        <v>-0.9581225033288947</v>
      </c>
      <c r="X66" s="1452">
        <v>-5.8986680274615767E-2</v>
      </c>
      <c r="Y66" s="1452">
        <v>0.16957810074784804</v>
      </c>
      <c r="Z66" s="1452">
        <v>-0.70872232089994058</v>
      </c>
      <c r="AA66" s="370">
        <f>+AA82/AA67</f>
        <v>-1.5306541923594856</v>
      </c>
      <c r="AB66" s="1452">
        <v>-0.12965044874822865</v>
      </c>
      <c r="AC66" s="1452">
        <v>-0.12714959886739019</v>
      </c>
      <c r="AD66" s="1452">
        <v>-0.14657398680490083</v>
      </c>
      <c r="AE66" s="1452">
        <v>-0.23112941176470567</v>
      </c>
      <c r="AF66" s="370">
        <f t="shared" si="61"/>
        <v>-0.63391942265092804</v>
      </c>
      <c r="AG66" s="370">
        <f t="shared" si="61"/>
        <v>-0.2532068976072045</v>
      </c>
      <c r="AH66" s="370">
        <f t="shared" si="61"/>
        <v>0.21868263341851435</v>
      </c>
      <c r="AI66" s="370">
        <f t="shared" si="61"/>
        <v>1.0495287292235487</v>
      </c>
      <c r="AJ66" s="370">
        <f t="shared" ref="AJ66:AR66" si="62">+AJ82/AJ68</f>
        <v>2.1652094561806368</v>
      </c>
      <c r="AK66" s="370">
        <f t="shared" si="62"/>
        <v>2.6508812136193409</v>
      </c>
      <c r="AL66" s="370">
        <f t="shared" si="62"/>
        <v>3.0486016955084545</v>
      </c>
      <c r="AM66" s="370">
        <f t="shared" si="62"/>
        <v>3.0926358543561276</v>
      </c>
      <c r="AN66" s="370">
        <f t="shared" si="62"/>
        <v>0.74990530585093862</v>
      </c>
      <c r="AO66" s="370">
        <f t="shared" si="62"/>
        <v>-7.2525124685158175</v>
      </c>
      <c r="AP66" s="370">
        <f t="shared" si="62"/>
        <v>-8.3672862558799519</v>
      </c>
      <c r="AQ66" s="370">
        <f t="shared" si="62"/>
        <v>-8.949531898267491</v>
      </c>
      <c r="AR66" s="370">
        <f t="shared" si="62"/>
        <v>-10.055742474002507</v>
      </c>
      <c r="AS66" s="26"/>
      <c r="AT66" s="26"/>
      <c r="AU66" s="26"/>
      <c r="AV66" s="26"/>
      <c r="AW66" s="26"/>
      <c r="AX66" s="26"/>
      <c r="AY66" s="26"/>
      <c r="AZ66" s="26"/>
      <c r="BA66" s="26"/>
      <c r="BB66" s="26"/>
      <c r="BC66" s="26"/>
      <c r="BD66" s="26"/>
      <c r="BK66" s="36"/>
    </row>
    <row r="67" spans="2:63" ht="15" customHeight="1">
      <c r="B67" s="6" t="s">
        <v>36</v>
      </c>
      <c r="C67" s="31"/>
      <c r="D67" s="181">
        <v>83.799000000000007</v>
      </c>
      <c r="E67" s="181">
        <v>84.185000000000002</v>
      </c>
      <c r="F67" s="141">
        <v>89.785250000000005</v>
      </c>
      <c r="G67" s="141">
        <v>102.943</v>
      </c>
      <c r="H67" s="529">
        <v>121.628</v>
      </c>
      <c r="I67" s="529">
        <v>125.36125000000001</v>
      </c>
      <c r="J67" s="529">
        <v>129.74700000000001</v>
      </c>
      <c r="K67" s="529">
        <v>148.40299999999999</v>
      </c>
      <c r="L67" s="529">
        <v>167.947</v>
      </c>
      <c r="M67" s="1453">
        <v>172.07</v>
      </c>
      <c r="N67" s="1453">
        <v>178.67599999999999</v>
      </c>
      <c r="O67" s="1453">
        <v>181.387</v>
      </c>
      <c r="P67" s="1453">
        <v>186.26900000000001</v>
      </c>
      <c r="Q67" s="529">
        <v>179.601</v>
      </c>
      <c r="R67" s="1453">
        <v>187.184</v>
      </c>
      <c r="S67" s="1453">
        <v>187.68199999999999</v>
      </c>
      <c r="T67" s="1453">
        <v>188.029</v>
      </c>
      <c r="U67" s="1453">
        <v>188.59800000000001</v>
      </c>
      <c r="V67" s="529">
        <f>AVERAGE(R67:U67)</f>
        <v>187.87324999999998</v>
      </c>
      <c r="W67" s="1453">
        <v>195.26</v>
      </c>
      <c r="X67" s="1453">
        <v>205.14099999999999</v>
      </c>
      <c r="Y67" s="1453">
        <v>206.79599999999999</v>
      </c>
      <c r="Z67" s="1453">
        <v>211.125</v>
      </c>
      <c r="AA67" s="529">
        <f>AVERAGE(W67:Z67)</f>
        <v>204.58049999999997</v>
      </c>
      <c r="AB67" s="1453">
        <v>211.7</v>
      </c>
      <c r="AC67" s="1453">
        <v>211.9</v>
      </c>
      <c r="AD67" s="1453">
        <v>212.2</v>
      </c>
      <c r="AE67" s="1453">
        <v>212.5</v>
      </c>
      <c r="AF67" s="529">
        <f>'Balance Sheet '!P150</f>
        <v>212.34244478122378</v>
      </c>
      <c r="AG67" s="529">
        <f>'Balance Sheet '!Q150</f>
        <v>214.62251348283857</v>
      </c>
      <c r="AH67" s="529">
        <f>'Balance Sheet '!R150</f>
        <v>216.71227624408658</v>
      </c>
      <c r="AI67" s="529">
        <f>'Balance Sheet '!S150</f>
        <v>218.94222199148157</v>
      </c>
      <c r="AJ67" s="529">
        <f>'Balance Sheet '!T150</f>
        <v>221.03525741597522</v>
      </c>
      <c r="AK67" s="529">
        <f>'Balance Sheet '!U150</f>
        <v>223.29113778444682</v>
      </c>
      <c r="AL67" s="529">
        <f>'Balance Sheet '!V150</f>
        <v>225.72253296166255</v>
      </c>
      <c r="AM67" s="529">
        <f>'Balance Sheet '!W150</f>
        <v>228.34309856895726</v>
      </c>
      <c r="AN67" s="529">
        <f>'Balance Sheet '!X150</f>
        <v>231.1675526792923</v>
      </c>
      <c r="AO67" s="529">
        <f>'Balance Sheet '!Y150</f>
        <v>234.21175847943789</v>
      </c>
      <c r="AP67" s="529">
        <f>'Balance Sheet '!Z150</f>
        <v>237.49281336354107</v>
      </c>
      <c r="AQ67" s="529">
        <f>'Balance Sheet '!AA150</f>
        <v>241.02914495846227</v>
      </c>
      <c r="AR67" s="529">
        <f>'Balance Sheet '!AB150</f>
        <v>244.84061462019457</v>
      </c>
      <c r="AS67" s="36"/>
      <c r="AT67" s="46"/>
      <c r="AU67" s="46"/>
      <c r="AV67" s="46"/>
      <c r="AW67" s="46"/>
      <c r="AX67" s="46"/>
      <c r="AY67" s="46"/>
      <c r="AZ67" s="46"/>
      <c r="BA67" s="46"/>
      <c r="BB67" s="46"/>
      <c r="BC67" s="46"/>
      <c r="BD67" s="47"/>
      <c r="BK67" s="21" t="b">
        <v>0</v>
      </c>
    </row>
    <row r="68" spans="2:63" ht="15" customHeight="1">
      <c r="B68" s="6" t="s">
        <v>41</v>
      </c>
      <c r="C68" s="31"/>
      <c r="D68" s="357">
        <f>D67</f>
        <v>83.799000000000007</v>
      </c>
      <c r="E68" s="357">
        <f>E67</f>
        <v>84.185000000000002</v>
      </c>
      <c r="F68" s="141">
        <f>F67</f>
        <v>89.785250000000005</v>
      </c>
      <c r="G68" s="141">
        <f>G67</f>
        <v>102.943</v>
      </c>
      <c r="H68" s="529">
        <v>121.628</v>
      </c>
      <c r="I68" s="529">
        <v>125.36125000000001</v>
      </c>
      <c r="J68" s="529">
        <v>129.74700000000001</v>
      </c>
      <c r="K68" s="529">
        <v>148.40299999999999</v>
      </c>
      <c r="L68" s="529">
        <v>167.947</v>
      </c>
      <c r="M68" s="1453">
        <v>172.07</v>
      </c>
      <c r="N68" s="1453">
        <v>186.49299999999999</v>
      </c>
      <c r="O68" s="1453">
        <v>181.387</v>
      </c>
      <c r="P68" s="1453">
        <v>193.36699999999999</v>
      </c>
      <c r="Q68" s="529">
        <v>187.30199999999999</v>
      </c>
      <c r="R68" s="1453">
        <v>192.625</v>
      </c>
      <c r="S68" s="1453">
        <v>193.01499999999999</v>
      </c>
      <c r="T68" s="1453">
        <v>194.26499999999999</v>
      </c>
      <c r="U68" s="1453">
        <v>195.18700000000001</v>
      </c>
      <c r="V68" s="529">
        <v>208.19</v>
      </c>
      <c r="W68" s="1453">
        <v>195.26</v>
      </c>
      <c r="X68" s="1453">
        <v>211.64099999999999</v>
      </c>
      <c r="Y68" s="1453">
        <v>212.61</v>
      </c>
      <c r="Z68" s="1453">
        <v>211.125</v>
      </c>
      <c r="AA68" s="529">
        <f>AVERAGE(W68:Z68)</f>
        <v>207.65899999999999</v>
      </c>
      <c r="AB68" s="1453">
        <v>211.7</v>
      </c>
      <c r="AC68" s="1453">
        <v>211.9</v>
      </c>
      <c r="AD68" s="1453">
        <v>212.2</v>
      </c>
      <c r="AE68" s="1453">
        <v>212.5</v>
      </c>
      <c r="AF68" s="529">
        <f>IF(AF54&gt;0,IF(AF266="Y",AF260,'Balance Sheet '!P151),AF67)</f>
        <v>212.34244478122378</v>
      </c>
      <c r="AG68" s="529">
        <f>AG67</f>
        <v>214.62251348283857</v>
      </c>
      <c r="AH68" s="529">
        <f>IF(AH54&gt;0,IF(AH266="Y",AH260,'Balance Sheet '!R151),AH67)</f>
        <v>221.40707114330485</v>
      </c>
      <c r="AI68" s="529">
        <f>IF(AI54&gt;0,IF(AI266="Y",AI260,'Balance Sheet '!S151),AI67)</f>
        <v>223.94565680838119</v>
      </c>
      <c r="AJ68" s="529">
        <f>IF(AJ54&gt;0,IF(AJ266="Y",AJ260,'Balance Sheet '!T151),AJ67)</f>
        <v>223.60040816657258</v>
      </c>
      <c r="AK68" s="529">
        <f>IF(AK54&gt;0,IF(AK266="Y",AK260,'Balance Sheet '!U151),AK67)</f>
        <v>226.02230613066646</v>
      </c>
      <c r="AL68" s="529">
        <f>IF(AL54&gt;0,IF(AL266="Y",AL260,'Balance Sheet '!V151),AL67)</f>
        <v>228.62895590321565</v>
      </c>
      <c r="AM68" s="529">
        <f>IF(AM54&gt;0,IF(AM266="Y",AM260,'Balance Sheet '!W151),AM67)</f>
        <v>231.43432830360351</v>
      </c>
      <c r="AN68" s="529">
        <f>IF(AN54&gt;0,IF(AN266="Y",AN260,'Balance Sheet '!X151),AN67)</f>
        <v>234.45343688676869</v>
      </c>
      <c r="AO68" s="529">
        <f>IF(AO54&gt;0,IF(AO266="Y",AO260,'Balance Sheet '!Y151),AO67)</f>
        <v>234.21175847943789</v>
      </c>
      <c r="AP68" s="529">
        <f>IF(AP54&gt;0,IF(AP266="Y",AP260,'Balance Sheet '!Z151),AP67)</f>
        <v>237.49281336354107</v>
      </c>
      <c r="AQ68" s="529">
        <f>IF(AQ54&gt;0,IF(AQ266="Y",AQ260,'Balance Sheet '!AA151),AQ67)</f>
        <v>241.02914495846227</v>
      </c>
      <c r="AR68" s="529">
        <f>IF(AR54&gt;0,IF(AR266="Y",AR260,'Balance Sheet '!AB151),AR67)</f>
        <v>244.84061462019457</v>
      </c>
      <c r="AS68" s="306"/>
      <c r="AT68" s="48"/>
      <c r="AU68" s="48"/>
      <c r="AV68" s="48"/>
      <c r="AW68" s="48"/>
      <c r="AX68" s="48"/>
      <c r="AY68" s="48"/>
      <c r="AZ68" s="48"/>
      <c r="BA68" s="48"/>
      <c r="BB68" s="48"/>
      <c r="BC68" s="48"/>
      <c r="BD68" s="48"/>
      <c r="BK68" s="21" t="b">
        <v>0</v>
      </c>
    </row>
    <row r="69" spans="2:63" ht="15" customHeight="1">
      <c r="B69" s="7"/>
      <c r="C69" s="35"/>
      <c r="D69" s="44"/>
      <c r="E69" s="44"/>
      <c r="F69" s="44"/>
      <c r="G69" s="44"/>
      <c r="H69" s="44"/>
      <c r="I69" s="44"/>
      <c r="J69" s="44"/>
      <c r="K69" s="44"/>
      <c r="L69" s="44"/>
      <c r="M69" s="44"/>
      <c r="N69" s="44"/>
      <c r="O69" s="44"/>
      <c r="P69" s="44"/>
      <c r="Q69" s="44"/>
      <c r="R69" s="44"/>
      <c r="S69" s="44"/>
      <c r="T69" s="44"/>
      <c r="U69" s="44"/>
      <c r="V69" s="44"/>
      <c r="W69" s="44"/>
      <c r="X69" s="44"/>
      <c r="Y69" s="44"/>
      <c r="Z69" s="44"/>
      <c r="AA69" s="1551"/>
      <c r="AB69" s="44"/>
      <c r="AC69" s="44"/>
      <c r="AD69" s="44"/>
      <c r="AE69" s="44"/>
      <c r="AF69" s="471"/>
      <c r="AG69" s="471"/>
      <c r="AH69" s="471"/>
      <c r="AI69" s="1422"/>
      <c r="AJ69" s="1527"/>
      <c r="AK69" s="1421"/>
      <c r="AL69" s="471"/>
      <c r="AM69" s="471"/>
      <c r="AN69" s="471"/>
      <c r="AO69" s="471"/>
      <c r="AP69" s="471"/>
      <c r="AQ69" s="471"/>
      <c r="AR69" s="471"/>
      <c r="AS69" s="26"/>
      <c r="AT69" s="26"/>
      <c r="AU69" s="26"/>
      <c r="AV69" s="26"/>
      <c r="AW69" s="26"/>
      <c r="AX69" s="26"/>
      <c r="AY69" s="26"/>
      <c r="AZ69" s="26"/>
      <c r="BA69" s="26"/>
      <c r="BB69" s="26"/>
      <c r="BC69" s="26"/>
      <c r="BD69" s="26"/>
      <c r="BK69" s="36"/>
    </row>
    <row r="70" spans="2:63" ht="15" hidden="1" customHeight="1" outlineLevel="1">
      <c r="B70" s="7" t="s">
        <v>241</v>
      </c>
      <c r="C70" s="35"/>
      <c r="D70" s="185"/>
      <c r="E70" s="44"/>
      <c r="F70" s="750">
        <v>0.35</v>
      </c>
      <c r="G70" s="750">
        <v>0.35</v>
      </c>
      <c r="H70" s="750">
        <v>0.35</v>
      </c>
      <c r="I70" s="750">
        <v>0.15</v>
      </c>
      <c r="J70" s="186">
        <v>0.15</v>
      </c>
      <c r="K70" s="186">
        <v>0.15</v>
      </c>
      <c r="L70" s="186">
        <v>0.15</v>
      </c>
      <c r="M70" s="186"/>
      <c r="N70" s="186"/>
      <c r="O70" s="186"/>
      <c r="P70" s="186"/>
      <c r="Q70" s="186">
        <v>0.15</v>
      </c>
      <c r="R70" s="186"/>
      <c r="S70" s="186"/>
      <c r="T70" s="186"/>
      <c r="U70" s="186"/>
      <c r="V70" s="186">
        <v>0.15</v>
      </c>
      <c r="W70" s="186"/>
      <c r="X70" s="186"/>
      <c r="Y70" s="186"/>
      <c r="Z70" s="186"/>
      <c r="AA70" s="186">
        <v>0.15</v>
      </c>
      <c r="AB70" s="186"/>
      <c r="AC70" s="186"/>
      <c r="AD70" s="186"/>
      <c r="AE70" s="186"/>
      <c r="AF70" s="186">
        <v>0.15</v>
      </c>
      <c r="AG70" s="186">
        <v>0.15</v>
      </c>
      <c r="AH70" s="186">
        <v>0.15</v>
      </c>
      <c r="AI70" s="186">
        <v>0.15</v>
      </c>
      <c r="AJ70" s="186">
        <v>0.15</v>
      </c>
      <c r="AK70" s="186">
        <v>0.15</v>
      </c>
      <c r="AL70" s="186">
        <v>0.15</v>
      </c>
      <c r="AM70" s="186">
        <v>0.15</v>
      </c>
      <c r="AN70" s="186">
        <v>0.15</v>
      </c>
      <c r="AO70" s="186">
        <v>0.15</v>
      </c>
      <c r="AP70" s="186">
        <v>0.15</v>
      </c>
      <c r="AQ70" s="186">
        <v>0.15</v>
      </c>
      <c r="AR70" s="186">
        <v>0.15</v>
      </c>
      <c r="AS70" s="26"/>
      <c r="AT70" s="26"/>
      <c r="AU70" s="26"/>
      <c r="AV70" s="26"/>
      <c r="AW70" s="26"/>
      <c r="AX70" s="26"/>
      <c r="AY70" s="26"/>
      <c r="AZ70" s="26"/>
      <c r="BA70" s="26"/>
      <c r="BB70" s="26"/>
      <c r="BC70" s="26"/>
      <c r="BD70" s="26"/>
      <c r="BK70" s="36"/>
    </row>
    <row r="71" spans="2:63" ht="15" hidden="1" customHeight="1" outlineLevel="1">
      <c r="B71" s="70"/>
      <c r="C71" s="49"/>
      <c r="D71" s="50"/>
      <c r="E71" s="50"/>
      <c r="F71" s="50"/>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f>AF72+AF37</f>
        <v>1288.8</v>
      </c>
      <c r="AG71" s="50"/>
      <c r="AH71" s="50"/>
      <c r="AI71" s="50"/>
      <c r="AJ71" s="50"/>
      <c r="AK71" s="50"/>
      <c r="AL71" s="50"/>
      <c r="AM71" s="50"/>
      <c r="AN71" s="50"/>
      <c r="AO71" s="50"/>
      <c r="AP71" s="50"/>
      <c r="AQ71" s="50"/>
      <c r="AR71" s="50"/>
      <c r="AS71" s="51"/>
      <c r="AT71" s="51"/>
      <c r="AU71" s="51"/>
      <c r="AV71" s="51"/>
      <c r="AW71" s="51"/>
      <c r="AX71" s="51"/>
      <c r="AY71" s="51"/>
      <c r="AZ71" s="51"/>
      <c r="BA71" s="51"/>
      <c r="BB71" s="51"/>
      <c r="BC71" s="51"/>
      <c r="BD71" s="26"/>
      <c r="BK71" s="24"/>
    </row>
    <row r="72" spans="2:63" ht="15" hidden="1" customHeight="1" outlineLevel="1">
      <c r="B72" s="265" t="s">
        <v>34</v>
      </c>
      <c r="C72" s="265"/>
      <c r="D72" s="265"/>
      <c r="E72" s="265"/>
      <c r="F72" s="265"/>
      <c r="G72" s="265"/>
      <c r="H72" s="265"/>
      <c r="I72" s="265"/>
      <c r="J72" s="265"/>
      <c r="K72" s="265"/>
      <c r="L72" s="265"/>
      <c r="M72" s="265"/>
      <c r="N72" s="265"/>
      <c r="O72" s="265"/>
      <c r="P72" s="265"/>
      <c r="Q72" s="265"/>
      <c r="R72" s="265"/>
      <c r="S72" s="265"/>
      <c r="T72" s="265"/>
      <c r="U72" s="265"/>
      <c r="V72" s="265"/>
      <c r="W72" s="265"/>
      <c r="X72" s="265"/>
      <c r="Y72" s="265"/>
      <c r="Z72" s="265"/>
      <c r="AA72" s="265"/>
      <c r="AB72" s="265"/>
      <c r="AC72" s="265"/>
      <c r="AD72" s="265"/>
      <c r="AE72" s="265"/>
      <c r="AF72" s="265">
        <f>AF75*0.68</f>
        <v>108.80000000000001</v>
      </c>
      <c r="AG72" s="265"/>
      <c r="AH72" s="265"/>
      <c r="AI72" s="265"/>
      <c r="AJ72" s="265"/>
      <c r="AK72" s="265"/>
      <c r="AL72" s="265"/>
      <c r="AM72" s="265"/>
      <c r="AN72" s="265"/>
      <c r="AO72" s="265"/>
      <c r="AP72" s="265"/>
      <c r="AQ72" s="265"/>
      <c r="AR72" s="265"/>
      <c r="AS72" s="52"/>
      <c r="AT72" s="52"/>
      <c r="AU72" s="52"/>
      <c r="AV72" s="52"/>
      <c r="AW72" s="52"/>
      <c r="AX72" s="52"/>
      <c r="AY72" s="52"/>
      <c r="AZ72" s="52"/>
      <c r="BA72" s="52"/>
      <c r="BB72" s="52"/>
      <c r="BC72" s="52"/>
      <c r="BD72" s="8"/>
      <c r="BK72" s="24"/>
    </row>
    <row r="73" spans="2:63" ht="14.25" hidden="1" customHeight="1" outlineLevel="1">
      <c r="B73" s="741" t="s">
        <v>162</v>
      </c>
      <c r="C73" s="742"/>
      <c r="D73" s="743">
        <f t="shared" ref="D73:AI73" si="63">+D54</f>
        <v>-65.195999999999998</v>
      </c>
      <c r="E73" s="743">
        <f t="shared" si="63"/>
        <v>-76.780999999999992</v>
      </c>
      <c r="F73" s="743">
        <f t="shared" si="63"/>
        <v>-163.92</v>
      </c>
      <c r="G73" s="743">
        <f t="shared" si="63"/>
        <v>-161.84399999999999</v>
      </c>
      <c r="H73" s="744">
        <f t="shared" si="63"/>
        <v>-12.95800000000002</v>
      </c>
      <c r="I73" s="744">
        <f t="shared" si="63"/>
        <v>-157.64000000000001</v>
      </c>
      <c r="J73" s="744">
        <f t="shared" si="63"/>
        <v>-5.8270000000000133</v>
      </c>
      <c r="K73" s="744">
        <f t="shared" si="63"/>
        <v>-26.813000000000006</v>
      </c>
      <c r="L73" s="744">
        <f t="shared" si="63"/>
        <v>13.819000000000075</v>
      </c>
      <c r="M73" s="744"/>
      <c r="N73" s="744"/>
      <c r="O73" s="744"/>
      <c r="P73" s="744"/>
      <c r="Q73" s="744">
        <f t="shared" si="63"/>
        <v>81.911999999999921</v>
      </c>
      <c r="R73" s="744"/>
      <c r="S73" s="744"/>
      <c r="T73" s="744"/>
      <c r="U73" s="744"/>
      <c r="V73" s="744">
        <f t="shared" si="63"/>
        <v>203.48300000000003</v>
      </c>
      <c r="W73" s="744">
        <f t="shared" si="63"/>
        <v>-150.26899999999998</v>
      </c>
      <c r="X73" s="744">
        <f t="shared" si="63"/>
        <v>41.090000000000046</v>
      </c>
      <c r="Y73" s="744">
        <f t="shared" si="63"/>
        <v>48.008999999999972</v>
      </c>
      <c r="Z73" s="744">
        <f>+Z54</f>
        <v>-93.696999999999974</v>
      </c>
      <c r="AA73" s="744">
        <f t="shared" si="63"/>
        <v>-154.86699999999971</v>
      </c>
      <c r="AB73" s="744">
        <f t="shared" si="63"/>
        <v>-5.6970000000000027</v>
      </c>
      <c r="AC73" s="744">
        <f t="shared" si="63"/>
        <v>-3.1929999999999268</v>
      </c>
      <c r="AD73" s="744">
        <f t="shared" si="63"/>
        <v>-1.3529999999999518</v>
      </c>
      <c r="AE73" s="744">
        <f t="shared" si="63"/>
        <v>-13.364999999999952</v>
      </c>
      <c r="AF73" s="744">
        <f t="shared" si="63"/>
        <v>-23.607999999999947</v>
      </c>
      <c r="AG73" s="744">
        <f t="shared" si="63"/>
        <v>65.453802512657077</v>
      </c>
      <c r="AH73" s="744">
        <f t="shared" si="63"/>
        <v>275.92524133569964</v>
      </c>
      <c r="AI73" s="744">
        <f t="shared" si="63"/>
        <v>496.46917477356146</v>
      </c>
      <c r="AJ73" s="744">
        <f t="shared" ref="AJ73:AR73" si="64">+AJ54</f>
        <v>751.70803077232529</v>
      </c>
      <c r="AK73" s="744">
        <f t="shared" si="64"/>
        <v>833.70879137606619</v>
      </c>
      <c r="AL73" s="744">
        <f t="shared" si="64"/>
        <v>937.18731052615954</v>
      </c>
      <c r="AM73" s="744">
        <f t="shared" si="64"/>
        <v>961.35265273142977</v>
      </c>
      <c r="AN73" s="744">
        <f t="shared" si="64"/>
        <v>423.51853153838459</v>
      </c>
      <c r="AO73" s="744">
        <f t="shared" si="64"/>
        <v>-1416.722023933869</v>
      </c>
      <c r="AP73" s="744">
        <f t="shared" si="64"/>
        <v>-1706.880877122881</v>
      </c>
      <c r="AQ73" s="744">
        <f t="shared" si="64"/>
        <v>-1875.9904923373415</v>
      </c>
      <c r="AR73" s="744">
        <f t="shared" si="64"/>
        <v>-2178.1360227656951</v>
      </c>
      <c r="AS73" s="528"/>
      <c r="AT73" s="52"/>
      <c r="AU73" s="52"/>
      <c r="AV73" s="52"/>
      <c r="AW73" s="52"/>
      <c r="AX73" s="52"/>
      <c r="AY73" s="52"/>
      <c r="AZ73" s="52"/>
      <c r="BA73" s="52"/>
      <c r="BB73" s="52"/>
      <c r="BC73" s="52"/>
      <c r="BD73" s="8"/>
      <c r="BK73" s="24"/>
    </row>
    <row r="74" spans="2:63" ht="14.25" hidden="1" customHeight="1" outlineLevel="1">
      <c r="B74" s="410" t="s">
        <v>35</v>
      </c>
      <c r="C74" s="53"/>
      <c r="D74" s="142"/>
      <c r="E74" s="142"/>
      <c r="F74" s="142"/>
      <c r="G74" s="142"/>
      <c r="H74" s="54"/>
      <c r="I74" s="54"/>
      <c r="J74" s="54"/>
      <c r="K74" s="54"/>
      <c r="L74" s="54"/>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8"/>
      <c r="AT74" s="8"/>
      <c r="AU74" s="8"/>
      <c r="AV74" s="8"/>
      <c r="AW74" s="8"/>
      <c r="AX74" s="8"/>
      <c r="AY74" s="8"/>
      <c r="AZ74" s="8"/>
      <c r="BA74" s="8"/>
      <c r="BB74" s="8"/>
      <c r="BC74" s="8"/>
      <c r="BD74" s="8"/>
      <c r="BK74" s="24"/>
    </row>
    <row r="75" spans="2:63" ht="14.25" hidden="1" customHeight="1" outlineLevel="1">
      <c r="B75" s="745" t="s">
        <v>32</v>
      </c>
      <c r="C75" s="24"/>
      <c r="D75" s="160">
        <f>5.7+3.2</f>
        <v>8.9</v>
      </c>
      <c r="E75" s="160">
        <f>6.9+3.2</f>
        <v>10.100000000000001</v>
      </c>
      <c r="F75" s="160">
        <f>15</f>
        <v>15</v>
      </c>
      <c r="G75" s="141">
        <v>10</v>
      </c>
      <c r="H75" s="141">
        <v>14.9</v>
      </c>
      <c r="I75" s="141">
        <v>28.9</v>
      </c>
      <c r="J75" s="141">
        <v>38.493000000000002</v>
      </c>
      <c r="K75" s="141">
        <v>38.400000000000006</v>
      </c>
      <c r="L75" s="141">
        <v>62.3</v>
      </c>
      <c r="M75" s="141"/>
      <c r="N75" s="141"/>
      <c r="O75" s="141"/>
      <c r="P75" s="141"/>
      <c r="Q75" s="141">
        <v>70.800000000000011</v>
      </c>
      <c r="R75" s="141"/>
      <c r="S75" s="141"/>
      <c r="T75" s="141"/>
      <c r="U75" s="141"/>
      <c r="V75" s="141">
        <v>96</v>
      </c>
      <c r="W75" s="141">
        <v>31</v>
      </c>
      <c r="X75" s="141">
        <v>34</v>
      </c>
      <c r="Y75" s="141">
        <v>35</v>
      </c>
      <c r="Z75" s="141">
        <v>34</v>
      </c>
      <c r="AA75" s="141">
        <v>134</v>
      </c>
      <c r="AB75" s="141">
        <v>34</v>
      </c>
      <c r="AC75" s="141">
        <v>36</v>
      </c>
      <c r="AD75" s="141">
        <v>42</v>
      </c>
      <c r="AE75" s="141">
        <v>48</v>
      </c>
      <c r="AF75" s="141">
        <v>160</v>
      </c>
      <c r="AG75" s="141">
        <f>+AG76*AG46</f>
        <v>239.79770330830706</v>
      </c>
      <c r="AH75" s="141">
        <f>+AH76*AH46</f>
        <v>252.50735996060138</v>
      </c>
      <c r="AI75" s="141">
        <f>+AI76*AI46</f>
        <v>261.43177416832822</v>
      </c>
      <c r="AJ75" s="141">
        <f t="shared" ref="AJ75:AR75" si="65">+AJ76*AJ46</f>
        <v>269.11142037701444</v>
      </c>
      <c r="AK75" s="141">
        <f t="shared" si="65"/>
        <v>275.94177199454458</v>
      </c>
      <c r="AL75" s="141">
        <f t="shared" si="65"/>
        <v>282.57492696151598</v>
      </c>
      <c r="AM75" s="141">
        <f t="shared" si="65"/>
        <v>288.95358951868053</v>
      </c>
      <c r="AN75" s="141">
        <f t="shared" si="65"/>
        <v>291.41253557883363</v>
      </c>
      <c r="AO75" s="141">
        <f t="shared" si="65"/>
        <v>281.90167471126966</v>
      </c>
      <c r="AP75" s="141">
        <f t="shared" si="65"/>
        <v>280.28947600413881</v>
      </c>
      <c r="AQ75" s="141">
        <f t="shared" si="65"/>
        <v>281.10752888055549</v>
      </c>
      <c r="AR75" s="141">
        <f t="shared" si="65"/>
        <v>283.91814503147441</v>
      </c>
      <c r="AS75" s="8"/>
      <c r="AT75" s="8"/>
      <c r="AU75" s="8"/>
      <c r="AV75" s="8"/>
      <c r="AW75" s="8"/>
      <c r="AX75" s="8"/>
      <c r="AY75" s="8"/>
      <c r="AZ75" s="8"/>
      <c r="BA75" s="8"/>
      <c r="BB75" s="8"/>
      <c r="BC75" s="8"/>
      <c r="BD75" s="8"/>
      <c r="BK75" s="24"/>
    </row>
    <row r="76" spans="2:63" ht="14.25" hidden="1" customHeight="1" outlineLevel="1">
      <c r="B76" s="746"/>
      <c r="C76" s="55"/>
      <c r="D76" s="55"/>
      <c r="E76" s="55">
        <f>+E75/D46</f>
        <v>0.1056408003598063</v>
      </c>
      <c r="F76" s="280">
        <f t="shared" ref="F76:V76" si="66">+F75/F46</f>
        <v>0.10120911151894635</v>
      </c>
      <c r="G76" s="280">
        <f t="shared" si="66"/>
        <v>7.1924335598949909E-2</v>
      </c>
      <c r="H76" s="280">
        <f t="shared" si="66"/>
        <v>0.10572699728231946</v>
      </c>
      <c r="I76" s="740">
        <f t="shared" si="66"/>
        <v>0.13845107263651082</v>
      </c>
      <c r="J76" s="740">
        <f t="shared" si="66"/>
        <v>0.1495349975526187</v>
      </c>
      <c r="K76" s="740">
        <f t="shared" si="66"/>
        <v>0.11543629810221524</v>
      </c>
      <c r="L76" s="740">
        <f t="shared" si="66"/>
        <v>0.13722557638046068</v>
      </c>
      <c r="M76" s="740"/>
      <c r="N76" s="740"/>
      <c r="O76" s="740"/>
      <c r="P76" s="740"/>
      <c r="Q76" s="740">
        <f t="shared" si="66"/>
        <v>0.11197198802469079</v>
      </c>
      <c r="R76" s="740"/>
      <c r="S76" s="740"/>
      <c r="T76" s="740"/>
      <c r="U76" s="740"/>
      <c r="V76" s="740">
        <f t="shared" si="66"/>
        <v>0.11101859561476547</v>
      </c>
      <c r="W76" s="740"/>
      <c r="X76" s="740"/>
      <c r="Y76" s="740"/>
      <c r="Z76" s="740"/>
      <c r="AA76" s="186">
        <v>0.125</v>
      </c>
      <c r="AB76" s="740"/>
      <c r="AC76" s="740"/>
      <c r="AD76" s="740"/>
      <c r="AE76" s="740"/>
      <c r="AF76" s="186">
        <v>0.125</v>
      </c>
      <c r="AG76" s="186">
        <v>0.125</v>
      </c>
      <c r="AH76" s="186">
        <f>AG76</f>
        <v>0.125</v>
      </c>
      <c r="AI76" s="186">
        <f>AH76</f>
        <v>0.125</v>
      </c>
      <c r="AJ76" s="186">
        <f t="shared" ref="AJ76:AR76" si="67">AI76</f>
        <v>0.125</v>
      </c>
      <c r="AK76" s="186">
        <f t="shared" si="67"/>
        <v>0.125</v>
      </c>
      <c r="AL76" s="186">
        <f t="shared" si="67"/>
        <v>0.125</v>
      </c>
      <c r="AM76" s="186">
        <f t="shared" si="67"/>
        <v>0.125</v>
      </c>
      <c r="AN76" s="186">
        <f t="shared" si="67"/>
        <v>0.125</v>
      </c>
      <c r="AO76" s="186">
        <f t="shared" si="67"/>
        <v>0.125</v>
      </c>
      <c r="AP76" s="186">
        <f t="shared" si="67"/>
        <v>0.125</v>
      </c>
      <c r="AQ76" s="186">
        <f t="shared" si="67"/>
        <v>0.125</v>
      </c>
      <c r="AR76" s="186">
        <f t="shared" si="67"/>
        <v>0.125</v>
      </c>
      <c r="AS76" s="8"/>
      <c r="AT76" s="8"/>
      <c r="AU76" s="8"/>
      <c r="AV76" s="8"/>
      <c r="AW76" s="8"/>
      <c r="AX76" s="8"/>
      <c r="AY76" s="8"/>
      <c r="AZ76" s="8"/>
      <c r="BA76" s="8"/>
      <c r="BB76" s="8"/>
      <c r="BC76" s="8"/>
      <c r="BD76" s="8"/>
      <c r="BK76" s="24"/>
    </row>
    <row r="77" spans="2:63" ht="14.25" hidden="1" customHeight="1" outlineLevel="1">
      <c r="B77" s="410" t="s">
        <v>222</v>
      </c>
      <c r="C77" s="53"/>
      <c r="D77" s="31"/>
      <c r="E77" s="31"/>
      <c r="F77" s="31"/>
      <c r="G77" s="31"/>
      <c r="H77" s="144"/>
      <c r="I77" s="144">
        <f t="shared" ref="I77:AI77" si="68">I75*I53</f>
        <v>0</v>
      </c>
      <c r="J77" s="144">
        <f t="shared" si="68"/>
        <v>0</v>
      </c>
      <c r="K77" s="144">
        <f t="shared" si="68"/>
        <v>0</v>
      </c>
      <c r="L77" s="144">
        <f>L75*L53</f>
        <v>0</v>
      </c>
      <c r="M77" s="144"/>
      <c r="N77" s="144"/>
      <c r="O77" s="144"/>
      <c r="P77" s="144"/>
      <c r="Q77" s="144">
        <v>0</v>
      </c>
      <c r="R77" s="144"/>
      <c r="S77" s="144"/>
      <c r="T77" s="144"/>
      <c r="U77" s="144"/>
      <c r="V77" s="144">
        <v>0</v>
      </c>
      <c r="W77" s="144"/>
      <c r="X77" s="144"/>
      <c r="Y77" s="144"/>
      <c r="Z77" s="144"/>
      <c r="AA77" s="144">
        <v>0</v>
      </c>
      <c r="AB77" s="144"/>
      <c r="AC77" s="144"/>
      <c r="AD77" s="144"/>
      <c r="AE77" s="144"/>
      <c r="AF77" s="144">
        <f t="shared" si="68"/>
        <v>0</v>
      </c>
      <c r="AG77" s="144">
        <f t="shared" si="68"/>
        <v>0</v>
      </c>
      <c r="AH77" s="144">
        <f t="shared" si="68"/>
        <v>0</v>
      </c>
      <c r="AI77" s="144">
        <f t="shared" si="68"/>
        <v>0</v>
      </c>
      <c r="AJ77" s="144">
        <f t="shared" ref="AJ77:AR77" si="69">AJ75*AJ53</f>
        <v>1.5451077728021458</v>
      </c>
      <c r="AK77" s="144">
        <f t="shared" si="69"/>
        <v>41.391265799181689</v>
      </c>
      <c r="AL77" s="144">
        <f t="shared" si="69"/>
        <v>42.386239044227395</v>
      </c>
      <c r="AM77" s="144">
        <f t="shared" si="69"/>
        <v>43.343038427802078</v>
      </c>
      <c r="AN77" s="144">
        <f t="shared" si="69"/>
        <v>43.71188033682504</v>
      </c>
      <c r="AO77" s="144">
        <f t="shared" si="69"/>
        <v>0</v>
      </c>
      <c r="AP77" s="144">
        <f t="shared" si="69"/>
        <v>0</v>
      </c>
      <c r="AQ77" s="144">
        <f t="shared" si="69"/>
        <v>0</v>
      </c>
      <c r="AR77" s="144">
        <f t="shared" si="69"/>
        <v>0</v>
      </c>
      <c r="AS77" s="278"/>
      <c r="AT77" s="8"/>
      <c r="AU77" s="8"/>
      <c r="AV77" s="8"/>
      <c r="AW77" s="8"/>
      <c r="AX77" s="8"/>
      <c r="AY77" s="8"/>
      <c r="AZ77" s="8"/>
      <c r="BA77" s="8"/>
      <c r="BB77" s="8"/>
      <c r="BC77" s="8"/>
      <c r="BD77" s="8"/>
      <c r="BK77" s="24"/>
    </row>
    <row r="78" spans="2:63" ht="14.25" hidden="1" customHeight="1" outlineLevel="1">
      <c r="B78" s="410" t="s">
        <v>43</v>
      </c>
      <c r="C78" s="53"/>
      <c r="D78" s="142"/>
      <c r="E78" s="142"/>
      <c r="F78" s="142"/>
      <c r="G78" s="142"/>
      <c r="H78" s="88"/>
      <c r="I78" s="88"/>
      <c r="J78" s="88"/>
      <c r="K78" s="88"/>
      <c r="L78" s="88"/>
      <c r="M78" s="88"/>
      <c r="N78" s="88"/>
      <c r="O78" s="88"/>
      <c r="P78" s="88"/>
      <c r="Q78" s="279"/>
      <c r="R78" s="279"/>
      <c r="S78" s="279"/>
      <c r="T78" s="279"/>
      <c r="U78" s="27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8"/>
      <c r="AT78" s="8"/>
      <c r="AU78" s="8"/>
      <c r="AV78" s="8"/>
      <c r="AW78" s="8"/>
      <c r="AX78" s="8"/>
      <c r="AY78" s="8"/>
      <c r="AZ78" s="8"/>
      <c r="BA78" s="8"/>
      <c r="BB78" s="8"/>
      <c r="BC78" s="8"/>
      <c r="BD78" s="8"/>
      <c r="BK78" s="24"/>
    </row>
    <row r="79" spans="2:63" ht="14.25" hidden="1" customHeight="1" outlineLevel="1">
      <c r="B79" s="410" t="s">
        <v>193</v>
      </c>
      <c r="C79" s="53"/>
      <c r="D79" s="142"/>
      <c r="E79" s="142"/>
      <c r="F79" s="142"/>
      <c r="G79" s="142"/>
      <c r="H79" s="31"/>
      <c r="I79" s="31"/>
      <c r="J79" s="31"/>
      <c r="K79" s="31"/>
      <c r="L79" s="31"/>
      <c r="M79" s="31"/>
      <c r="N79" s="31"/>
      <c r="O79" s="31"/>
      <c r="P79" s="31"/>
      <c r="Q79" s="142"/>
      <c r="R79" s="142"/>
      <c r="S79" s="142"/>
      <c r="T79" s="142"/>
      <c r="U79" s="142"/>
      <c r="V79" s="142"/>
      <c r="W79" s="142"/>
      <c r="X79" s="142"/>
      <c r="Y79" s="142"/>
      <c r="Z79" s="142"/>
      <c r="AA79" s="142"/>
      <c r="AB79" s="142"/>
      <c r="AC79" s="142"/>
      <c r="AD79" s="142"/>
      <c r="AE79" s="142"/>
      <c r="AF79" s="142"/>
      <c r="AG79" s="142"/>
      <c r="AH79" s="142"/>
      <c r="AI79" s="142"/>
      <c r="AJ79" s="142"/>
      <c r="AK79" s="142"/>
      <c r="AL79" s="142"/>
      <c r="AM79" s="142"/>
      <c r="AN79" s="142"/>
      <c r="AO79" s="142"/>
      <c r="AP79" s="142"/>
      <c r="AQ79" s="142"/>
      <c r="AR79" s="142"/>
      <c r="AS79" s="8"/>
      <c r="AT79" s="8"/>
      <c r="AU79" s="8"/>
      <c r="AV79" s="8"/>
      <c r="AW79" s="8"/>
      <c r="AX79" s="8"/>
      <c r="AY79" s="8"/>
      <c r="AZ79" s="8"/>
      <c r="BA79" s="8"/>
      <c r="BB79" s="8"/>
      <c r="BC79" s="8"/>
      <c r="BD79" s="8"/>
      <c r="BK79" s="24"/>
    </row>
    <row r="80" spans="2:63" ht="14.25" hidden="1" customHeight="1" outlineLevel="1">
      <c r="B80" s="410" t="s">
        <v>33</v>
      </c>
      <c r="C80" s="53"/>
      <c r="D80" s="141">
        <v>-7.0000000000000007E-2</v>
      </c>
      <c r="E80" s="141"/>
      <c r="F80" s="141">
        <v>0</v>
      </c>
      <c r="G80" s="141">
        <v>-40.025999999999996</v>
      </c>
      <c r="H80" s="249">
        <v>-3.988</v>
      </c>
      <c r="I80" s="31">
        <v>0</v>
      </c>
      <c r="J80" s="31">
        <v>0</v>
      </c>
      <c r="K80" s="88">
        <v>-17.934000000000001</v>
      </c>
      <c r="L80" s="88">
        <v>0</v>
      </c>
      <c r="M80" s="88"/>
      <c r="N80" s="88"/>
      <c r="O80" s="88"/>
      <c r="P80" s="88"/>
      <c r="Q80" s="88">
        <v>-4.5810000000000022</v>
      </c>
      <c r="R80" s="88">
        <v>-2.95</v>
      </c>
      <c r="S80" s="88">
        <v>-0.85399999999999998</v>
      </c>
      <c r="T80" s="88">
        <v>24.300999999999998</v>
      </c>
      <c r="U80" s="88">
        <v>-23.757999999999999</v>
      </c>
      <c r="V80" s="31">
        <v>-3.2609999999999992</v>
      </c>
      <c r="W80" s="31">
        <v>-5.8140000000000001</v>
      </c>
      <c r="X80" s="31">
        <v>-19.574000000000002</v>
      </c>
      <c r="Y80" s="31">
        <v>23.045000000000002</v>
      </c>
      <c r="Z80" s="31">
        <v>-21.931999999999999</v>
      </c>
      <c r="AA80" s="31">
        <v>-24.274999999999999</v>
      </c>
      <c r="AB80" s="31">
        <v>12.25</v>
      </c>
      <c r="AC80" s="31">
        <v>12.25</v>
      </c>
      <c r="AD80" s="31">
        <v>12.25</v>
      </c>
      <c r="AE80" s="31">
        <v>12.25</v>
      </c>
      <c r="AF80" s="31">
        <f>SUM(AB80:AE80)</f>
        <v>49</v>
      </c>
      <c r="AG80" s="31">
        <v>120</v>
      </c>
      <c r="AH80" s="31">
        <v>25</v>
      </c>
      <c r="AI80" s="31"/>
      <c r="AJ80" s="31"/>
      <c r="AK80" s="31"/>
      <c r="AL80" s="31"/>
      <c r="AM80" s="31"/>
      <c r="AN80" s="31"/>
      <c r="AO80" s="31"/>
      <c r="AP80" s="31"/>
      <c r="AQ80" s="31"/>
      <c r="AR80" s="31"/>
      <c r="AS80" s="8"/>
      <c r="AT80" s="8"/>
      <c r="AU80" s="8"/>
      <c r="AV80" s="8"/>
      <c r="AW80" s="8"/>
      <c r="AX80" s="8"/>
      <c r="AY80" s="8"/>
      <c r="AZ80" s="8"/>
      <c r="BA80" s="8"/>
      <c r="BB80" s="8"/>
      <c r="BC80" s="8"/>
      <c r="BD80" s="8"/>
      <c r="BK80" s="24"/>
    </row>
    <row r="81" spans="2:63" ht="14.25" hidden="1" customHeight="1" outlineLevel="1">
      <c r="B81" s="410" t="s">
        <v>44</v>
      </c>
      <c r="C81" s="53"/>
      <c r="D81" s="142"/>
      <c r="E81" s="142"/>
      <c r="F81" s="142"/>
      <c r="G81" s="142"/>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c r="AS81" s="8"/>
      <c r="AT81" s="8"/>
      <c r="AU81" s="8"/>
      <c r="AV81" s="8"/>
      <c r="AW81" s="8"/>
      <c r="AX81" s="8"/>
      <c r="AY81" s="8"/>
      <c r="AZ81" s="8"/>
      <c r="BA81" s="8"/>
      <c r="BB81" s="8"/>
      <c r="BC81" s="8"/>
      <c r="BD81" s="8"/>
      <c r="BK81" s="24"/>
    </row>
    <row r="82" spans="2:63" ht="14.25" hidden="1" customHeight="1" outlineLevel="1">
      <c r="B82" s="411" t="s">
        <v>7</v>
      </c>
      <c r="C82" s="53"/>
      <c r="D82" s="44">
        <f t="shared" ref="D82:K82" si="70">+D73+D74+-D75+D77-D78+D79+D80+D81</f>
        <v>-74.165999999999997</v>
      </c>
      <c r="E82" s="44">
        <f t="shared" si="70"/>
        <v>-86.881</v>
      </c>
      <c r="F82" s="44">
        <f t="shared" si="70"/>
        <v>-178.92</v>
      </c>
      <c r="G82" s="44">
        <f t="shared" si="70"/>
        <v>-211.87</v>
      </c>
      <c r="H82" s="44">
        <f>+H73+H74+-H75+H77-H78+H79+H80+H81</f>
        <v>-31.846000000000018</v>
      </c>
      <c r="I82" s="44">
        <f t="shared" si="70"/>
        <v>-186.54000000000002</v>
      </c>
      <c r="J82" s="44">
        <f t="shared" si="70"/>
        <v>-44.320000000000014</v>
      </c>
      <c r="K82" s="44">
        <f t="shared" si="70"/>
        <v>-83.147000000000006</v>
      </c>
      <c r="L82" s="44">
        <f t="shared" ref="L82:AH82" si="71">+L73+L74+-L75+L77-L78+L79+L80+L81</f>
        <v>-48.480999999999923</v>
      </c>
      <c r="M82" s="44"/>
      <c r="N82" s="44"/>
      <c r="O82" s="44"/>
      <c r="P82" s="44"/>
      <c r="Q82" s="44">
        <f t="shared" si="71"/>
        <v>6.5309999999999073</v>
      </c>
      <c r="R82" s="261"/>
      <c r="S82" s="261"/>
      <c r="T82" s="261"/>
      <c r="U82" s="261"/>
      <c r="V82" s="505">
        <f t="shared" si="71"/>
        <v>104.22200000000004</v>
      </c>
      <c r="W82" s="505">
        <f t="shared" si="71"/>
        <v>-187.08299999999997</v>
      </c>
      <c r="X82" s="261">
        <f t="shared" si="71"/>
        <v>-12.483999999999956</v>
      </c>
      <c r="Y82" s="261">
        <f t="shared" si="71"/>
        <v>36.053999999999974</v>
      </c>
      <c r="Z82" s="261">
        <f t="shared" si="71"/>
        <v>-149.62899999999996</v>
      </c>
      <c r="AA82" s="44">
        <f t="shared" si="71"/>
        <v>-313.14199999999971</v>
      </c>
      <c r="AB82" s="505">
        <f t="shared" si="71"/>
        <v>-27.447000000000003</v>
      </c>
      <c r="AC82" s="261">
        <f t="shared" si="71"/>
        <v>-26.942999999999927</v>
      </c>
      <c r="AD82" s="261">
        <f t="shared" si="71"/>
        <v>-31.102999999999952</v>
      </c>
      <c r="AE82" s="261">
        <f t="shared" si="71"/>
        <v>-49.114999999999952</v>
      </c>
      <c r="AF82" s="45">
        <f t="shared" si="71"/>
        <v>-134.60799999999995</v>
      </c>
      <c r="AG82" s="44">
        <f t="shared" si="71"/>
        <v>-54.343900795649972</v>
      </c>
      <c r="AH82" s="44">
        <f t="shared" si="71"/>
        <v>48.417881375098261</v>
      </c>
      <c r="AI82" s="44">
        <f>+AI73+AI74+-AI75+AI77-AI78+AI79+AI80+AI81</f>
        <v>235.03740060523324</v>
      </c>
      <c r="AJ82" s="44">
        <f t="shared" ref="AJ82:AR82" si="72">+AJ73+AJ74+-AJ75+AJ77-AJ78+AJ79+AJ80+AJ81</f>
        <v>484.14171816811302</v>
      </c>
      <c r="AK82" s="44">
        <f t="shared" si="72"/>
        <v>599.15828518070327</v>
      </c>
      <c r="AL82" s="44">
        <f t="shared" si="72"/>
        <v>696.99862260887096</v>
      </c>
      <c r="AM82" s="44">
        <f t="shared" si="72"/>
        <v>715.74210164055137</v>
      </c>
      <c r="AN82" s="44">
        <f t="shared" si="72"/>
        <v>175.817876296376</v>
      </c>
      <c r="AO82" s="44">
        <f t="shared" si="72"/>
        <v>-1698.6236986451386</v>
      </c>
      <c r="AP82" s="44">
        <f t="shared" si="72"/>
        <v>-1987.1703531270198</v>
      </c>
      <c r="AQ82" s="44">
        <f t="shared" si="72"/>
        <v>-2157.098021217897</v>
      </c>
      <c r="AR82" s="44">
        <f t="shared" si="72"/>
        <v>-2462.0541677971696</v>
      </c>
      <c r="AS82" s="8"/>
      <c r="AT82" s="8"/>
      <c r="AU82" s="8"/>
      <c r="AV82" s="8"/>
      <c r="AW82" s="8"/>
      <c r="AX82" s="8"/>
      <c r="AY82" s="8"/>
      <c r="AZ82" s="8"/>
      <c r="BA82" s="8"/>
      <c r="BB82" s="8"/>
      <c r="BC82" s="8"/>
      <c r="BD82" s="8"/>
      <c r="BK82" s="24"/>
    </row>
    <row r="83" spans="2:63" ht="14.25" hidden="1" customHeight="1" outlineLevel="1">
      <c r="B83" s="444" t="s">
        <v>165</v>
      </c>
      <c r="C83" s="747"/>
      <c r="D83" s="747"/>
      <c r="E83" s="747"/>
      <c r="F83" s="747"/>
      <c r="G83" s="747"/>
      <c r="H83" s="748"/>
      <c r="I83" s="748"/>
      <c r="J83" s="748"/>
      <c r="K83" s="749"/>
      <c r="L83" s="749"/>
      <c r="M83" s="749"/>
      <c r="N83" s="749"/>
      <c r="O83" s="749"/>
      <c r="P83" s="749"/>
      <c r="Q83" s="749"/>
      <c r="R83" s="749"/>
      <c r="S83" s="749"/>
      <c r="T83" s="749"/>
      <c r="U83" s="749"/>
      <c r="V83" s="749"/>
      <c r="W83" s="749"/>
      <c r="X83" s="749"/>
      <c r="Y83" s="749"/>
      <c r="Z83" s="749"/>
      <c r="AA83" s="749"/>
      <c r="AB83" s="749"/>
      <c r="AC83" s="749"/>
      <c r="AD83" s="749"/>
      <c r="AE83" s="749"/>
      <c r="AF83" s="749"/>
      <c r="AG83" s="749"/>
      <c r="AH83" s="749"/>
      <c r="AI83" s="749"/>
      <c r="AJ83" s="749"/>
      <c r="AK83" s="749"/>
      <c r="AL83" s="749"/>
      <c r="AM83" s="749"/>
      <c r="AN83" s="749"/>
      <c r="AO83" s="749"/>
      <c r="AP83" s="749"/>
      <c r="AQ83" s="749"/>
      <c r="AR83" s="749"/>
      <c r="AS83" s="8"/>
      <c r="AT83" s="8"/>
      <c r="AU83" s="8"/>
      <c r="AV83" s="8"/>
      <c r="AW83" s="8"/>
      <c r="AX83" s="8"/>
      <c r="AY83" s="8"/>
      <c r="AZ83" s="8"/>
      <c r="BA83" s="8"/>
      <c r="BB83" s="8"/>
      <c r="BC83" s="8"/>
      <c r="BD83" s="8"/>
      <c r="BK83" s="24"/>
    </row>
    <row r="84" spans="2:63" ht="14.25" hidden="1" customHeight="1" outlineLevel="1">
      <c r="B84" s="60"/>
      <c r="C84" s="53"/>
      <c r="D84" s="53"/>
      <c r="E84" s="53"/>
      <c r="F84" s="53"/>
      <c r="G84" s="53"/>
      <c r="H84" s="54"/>
      <c r="I84" s="54"/>
      <c r="J84" s="54"/>
      <c r="K84" s="25"/>
      <c r="L84" s="25"/>
      <c r="M84" s="25"/>
      <c r="N84" s="25"/>
      <c r="O84" s="25"/>
      <c r="P84" s="25"/>
      <c r="Q84" s="25"/>
      <c r="R84" s="25"/>
      <c r="S84" s="25"/>
      <c r="T84" s="25"/>
      <c r="U84" s="25"/>
      <c r="V84" s="25"/>
      <c r="W84" s="25"/>
      <c r="X84" s="25"/>
      <c r="Y84" s="25"/>
      <c r="Z84" s="25"/>
      <c r="AA84" s="25"/>
      <c r="AB84" s="25"/>
      <c r="AC84" s="25"/>
      <c r="AD84" s="25"/>
      <c r="AE84" s="25"/>
      <c r="AF84" s="241"/>
      <c r="AG84" s="498"/>
      <c r="AH84" s="510"/>
      <c r="AI84" s="510"/>
      <c r="AJ84" s="510"/>
      <c r="AK84" s="510"/>
      <c r="AL84" s="510"/>
      <c r="AM84" s="510"/>
      <c r="AN84" s="510"/>
      <c r="AO84" s="510"/>
      <c r="AP84" s="510"/>
      <c r="AQ84" s="510"/>
      <c r="AR84" s="510"/>
      <c r="AS84" s="8"/>
      <c r="AT84" s="8"/>
      <c r="AU84" s="8"/>
      <c r="AV84" s="8"/>
      <c r="AW84" s="8"/>
      <c r="AX84" s="8"/>
      <c r="AY84" s="8"/>
      <c r="AZ84" s="8"/>
      <c r="BA84" s="8"/>
      <c r="BB84" s="8"/>
      <c r="BC84" s="8"/>
      <c r="BD84" s="8"/>
      <c r="BK84" s="24"/>
    </row>
    <row r="85" spans="2:63" ht="14.25" hidden="1" customHeight="1" outlineLevel="1">
      <c r="B85" s="265" t="s">
        <v>269</v>
      </c>
      <c r="C85" s="124"/>
      <c r="D85" s="124"/>
      <c r="E85" s="124"/>
      <c r="F85" s="124"/>
      <c r="G85" s="124"/>
      <c r="H85" s="706">
        <v>2010</v>
      </c>
      <c r="I85" s="706"/>
      <c r="J85" s="706"/>
      <c r="K85" s="706"/>
      <c r="L85" s="707"/>
      <c r="M85" s="707"/>
      <c r="N85" s="707"/>
      <c r="O85" s="707"/>
      <c r="P85" s="707"/>
      <c r="Q85" s="707"/>
      <c r="R85" s="707"/>
      <c r="S85" s="707"/>
      <c r="T85" s="707"/>
      <c r="U85" s="707"/>
      <c r="V85" s="707"/>
      <c r="W85" s="707"/>
      <c r="X85" s="707"/>
      <c r="Y85" s="707"/>
      <c r="Z85" s="707"/>
      <c r="AA85" s="707"/>
      <c r="AB85" s="707"/>
      <c r="AC85" s="707"/>
      <c r="AD85" s="707"/>
      <c r="AE85" s="707"/>
      <c r="AF85" s="707"/>
      <c r="AG85" s="707"/>
      <c r="AH85" s="707"/>
      <c r="AI85" s="707"/>
      <c r="AJ85" s="707"/>
      <c r="AK85" s="707"/>
      <c r="AL85" s="707"/>
      <c r="AM85" s="707"/>
      <c r="AN85" s="707"/>
      <c r="AO85" s="707"/>
      <c r="AP85" s="707"/>
      <c r="AQ85" s="707"/>
      <c r="AR85" s="707"/>
      <c r="AS85" s="590"/>
      <c r="AT85" s="8"/>
      <c r="AU85" s="8"/>
      <c r="AV85" s="8"/>
      <c r="AW85" s="8"/>
      <c r="AX85" s="8"/>
      <c r="AY85" s="8"/>
      <c r="AZ85" s="8"/>
      <c r="BA85" s="8"/>
      <c r="BB85" s="8"/>
      <c r="BC85" s="8"/>
      <c r="BD85" s="8"/>
      <c r="BK85" s="24"/>
    </row>
    <row r="86" spans="2:63" ht="14.25" hidden="1" customHeight="1" outlineLevel="1">
      <c r="B86" s="708" t="s">
        <v>270</v>
      </c>
      <c r="C86" s="709"/>
      <c r="D86" s="709"/>
      <c r="E86" s="709"/>
      <c r="F86" s="709"/>
      <c r="G86" s="709"/>
      <c r="H86" s="710"/>
      <c r="I86" s="710"/>
      <c r="J86" s="710"/>
      <c r="K86" s="372"/>
      <c r="L86" s="372"/>
      <c r="M86" s="372"/>
      <c r="N86" s="372"/>
      <c r="O86" s="37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Q86" s="372"/>
      <c r="AR86" s="372"/>
      <c r="AS86" s="8"/>
      <c r="AT86" s="8"/>
      <c r="AU86" s="8"/>
      <c r="AV86" s="8"/>
      <c r="AW86" s="8"/>
      <c r="AX86" s="8"/>
      <c r="AY86" s="8"/>
      <c r="AZ86" s="8"/>
      <c r="BA86" s="8"/>
      <c r="BB86" s="8"/>
      <c r="BC86" s="8"/>
      <c r="BD86" s="8"/>
      <c r="BK86" s="24"/>
    </row>
    <row r="87" spans="2:63" ht="14.25" hidden="1" customHeight="1" outlineLevel="1">
      <c r="B87" s="711" t="s">
        <v>119</v>
      </c>
      <c r="C87" s="124"/>
      <c r="D87" s="124"/>
      <c r="E87" s="124"/>
      <c r="F87" s="124"/>
      <c r="G87" s="124"/>
      <c r="H87" s="474"/>
      <c r="I87" s="474"/>
      <c r="J87" s="233"/>
      <c r="K87" s="233"/>
      <c r="L87" s="233"/>
      <c r="M87" s="233"/>
      <c r="N87" s="233"/>
      <c r="O87" s="233"/>
      <c r="P87" s="233"/>
      <c r="Q87" s="430">
        <v>0.2</v>
      </c>
      <c r="R87" s="430"/>
      <c r="S87" s="430"/>
      <c r="T87" s="430"/>
      <c r="U87" s="430"/>
      <c r="V87" s="430">
        <v>0.1</v>
      </c>
      <c r="W87" s="430"/>
      <c r="X87" s="430"/>
      <c r="Y87" s="430"/>
      <c r="Z87" s="430"/>
      <c r="AA87" s="430">
        <v>0.1</v>
      </c>
      <c r="AB87" s="430"/>
      <c r="AC87" s="430"/>
      <c r="AD87" s="430"/>
      <c r="AE87" s="430"/>
      <c r="AF87" s="430">
        <v>-0.05</v>
      </c>
      <c r="AG87" s="430">
        <v>-0.05</v>
      </c>
      <c r="AH87" s="430">
        <v>-0.05</v>
      </c>
      <c r="AI87" s="430">
        <v>-0.05</v>
      </c>
      <c r="AJ87" s="430">
        <v>-0.05</v>
      </c>
      <c r="AK87" s="430">
        <v>-0.05</v>
      </c>
      <c r="AL87" s="430">
        <v>-0.05</v>
      </c>
      <c r="AM87" s="430">
        <v>-0.05</v>
      </c>
      <c r="AN87" s="430">
        <v>-0.05</v>
      </c>
      <c r="AO87" s="430">
        <v>-0.05</v>
      </c>
      <c r="AP87" s="430">
        <v>-0.05</v>
      </c>
      <c r="AQ87" s="430">
        <v>-0.05</v>
      </c>
      <c r="AR87" s="430">
        <v>-0.05</v>
      </c>
      <c r="AS87" s="8"/>
      <c r="AT87" s="8"/>
      <c r="AU87" s="8"/>
      <c r="AV87" s="8"/>
      <c r="AW87" s="8"/>
      <c r="AX87" s="8"/>
      <c r="AY87" s="8"/>
      <c r="AZ87" s="8"/>
      <c r="BA87" s="8"/>
      <c r="BB87" s="8"/>
      <c r="BC87" s="8"/>
      <c r="BD87" s="8"/>
      <c r="BK87" s="24"/>
    </row>
    <row r="88" spans="2:63" ht="14.25" hidden="1" customHeight="1" outlineLevel="1">
      <c r="B88" s="711" t="s">
        <v>118</v>
      </c>
      <c r="C88" s="124"/>
      <c r="D88" s="124"/>
      <c r="E88" s="124"/>
      <c r="F88" s="124"/>
      <c r="G88" s="124"/>
      <c r="H88" s="474">
        <f>H39</f>
        <v>6.9128293980886824E-3</v>
      </c>
      <c r="I88" s="474">
        <f>I39</f>
        <v>0.40476713050348967</v>
      </c>
      <c r="J88" s="474">
        <f>J39</f>
        <v>0.15448409474407865</v>
      </c>
      <c r="K88" s="474">
        <f>K39</f>
        <v>0.26746206605351608</v>
      </c>
      <c r="L88" s="474">
        <f>L39</f>
        <v>0.33819943024810262</v>
      </c>
      <c r="M88" s="474"/>
      <c r="N88" s="474"/>
      <c r="O88" s="474"/>
      <c r="P88" s="474"/>
      <c r="Q88" s="430">
        <v>0.1</v>
      </c>
      <c r="R88" s="430"/>
      <c r="S88" s="430"/>
      <c r="T88" s="430"/>
      <c r="U88" s="430"/>
      <c r="V88" s="430">
        <v>-0.05</v>
      </c>
      <c r="W88" s="430"/>
      <c r="X88" s="430"/>
      <c r="Y88" s="430"/>
      <c r="Z88" s="430"/>
      <c r="AA88" s="430">
        <v>-0.25</v>
      </c>
      <c r="AB88" s="430"/>
      <c r="AC88" s="430"/>
      <c r="AD88" s="430"/>
      <c r="AE88" s="430"/>
      <c r="AF88" s="430">
        <v>-0.25</v>
      </c>
      <c r="AG88" s="430">
        <v>-0.25</v>
      </c>
      <c r="AH88" s="430">
        <v>-0.2</v>
      </c>
      <c r="AI88" s="430">
        <v>-0.2</v>
      </c>
      <c r="AJ88" s="430">
        <v>-0.2</v>
      </c>
      <c r="AK88" s="430">
        <v>-0.2</v>
      </c>
      <c r="AL88" s="430">
        <v>-0.2</v>
      </c>
      <c r="AM88" s="430">
        <v>-0.2</v>
      </c>
      <c r="AN88" s="430">
        <v>-0.2</v>
      </c>
      <c r="AO88" s="430">
        <v>-0.2</v>
      </c>
      <c r="AP88" s="430">
        <v>-0.2</v>
      </c>
      <c r="AQ88" s="430">
        <v>-0.2</v>
      </c>
      <c r="AR88" s="430">
        <v>-0.2</v>
      </c>
      <c r="AS88" s="613"/>
      <c r="AT88" s="8"/>
      <c r="AU88" s="8"/>
      <c r="AV88" s="8"/>
      <c r="AW88" s="8"/>
      <c r="AX88" s="8"/>
      <c r="AY88" s="8"/>
      <c r="AZ88" s="8"/>
      <c r="BA88" s="8"/>
      <c r="BB88" s="8"/>
      <c r="BC88" s="8"/>
      <c r="BD88" s="8"/>
      <c r="BK88" s="24"/>
    </row>
    <row r="89" spans="2:63" ht="14.25" hidden="1" customHeight="1" outlineLevel="1">
      <c r="B89" s="711" t="s">
        <v>117</v>
      </c>
      <c r="C89" s="124"/>
      <c r="D89" s="124"/>
      <c r="E89" s="124"/>
      <c r="F89" s="124"/>
      <c r="G89" s="124"/>
      <c r="H89" s="474"/>
      <c r="I89" s="474"/>
      <c r="J89" s="233"/>
      <c r="K89" s="233"/>
      <c r="L89" s="233"/>
      <c r="M89" s="233"/>
      <c r="N89" s="233"/>
      <c r="O89" s="233"/>
      <c r="P89" s="233"/>
      <c r="Q89" s="430">
        <f>Q88-5%</f>
        <v>0.05</v>
      </c>
      <c r="R89" s="430"/>
      <c r="S89" s="430"/>
      <c r="T89" s="430"/>
      <c r="U89" s="430"/>
      <c r="V89" s="430">
        <f t="shared" ref="V89:AI89" si="73">+V88</f>
        <v>-0.05</v>
      </c>
      <c r="W89" s="430"/>
      <c r="X89" s="430"/>
      <c r="Y89" s="430"/>
      <c r="Z89" s="430"/>
      <c r="AA89" s="430">
        <f t="shared" si="73"/>
        <v>-0.25</v>
      </c>
      <c r="AB89" s="430"/>
      <c r="AC89" s="430"/>
      <c r="AD89" s="430"/>
      <c r="AE89" s="430"/>
      <c r="AF89" s="430">
        <f t="shared" si="73"/>
        <v>-0.25</v>
      </c>
      <c r="AG89" s="430">
        <f t="shared" si="73"/>
        <v>-0.25</v>
      </c>
      <c r="AH89" s="430">
        <f t="shared" si="73"/>
        <v>-0.2</v>
      </c>
      <c r="AI89" s="430">
        <f t="shared" si="73"/>
        <v>-0.2</v>
      </c>
      <c r="AJ89" s="430">
        <f t="shared" ref="AJ89:AR89" si="74">+AJ88</f>
        <v>-0.2</v>
      </c>
      <c r="AK89" s="430">
        <f t="shared" si="74"/>
        <v>-0.2</v>
      </c>
      <c r="AL89" s="430">
        <f t="shared" si="74"/>
        <v>-0.2</v>
      </c>
      <c r="AM89" s="430">
        <f t="shared" si="74"/>
        <v>-0.2</v>
      </c>
      <c r="AN89" s="430">
        <f t="shared" si="74"/>
        <v>-0.2</v>
      </c>
      <c r="AO89" s="430">
        <f t="shared" si="74"/>
        <v>-0.2</v>
      </c>
      <c r="AP89" s="430">
        <f t="shared" si="74"/>
        <v>-0.2</v>
      </c>
      <c r="AQ89" s="430">
        <f t="shared" si="74"/>
        <v>-0.2</v>
      </c>
      <c r="AR89" s="430">
        <f t="shared" si="74"/>
        <v>-0.2</v>
      </c>
      <c r="AS89" s="8"/>
      <c r="AT89" s="8"/>
      <c r="AU89" s="8"/>
      <c r="AV89" s="8"/>
      <c r="AW89" s="8"/>
      <c r="AX89" s="8"/>
      <c r="AY89" s="8"/>
      <c r="AZ89" s="8"/>
      <c r="BA89" s="8"/>
      <c r="BB89" s="8"/>
      <c r="BC89" s="8"/>
      <c r="BD89" s="8"/>
      <c r="BK89" s="24"/>
    </row>
    <row r="90" spans="2:63" ht="14.25" hidden="1" customHeight="1" outlineLevel="1">
      <c r="B90" s="712" t="s">
        <v>248</v>
      </c>
      <c r="C90" s="124"/>
      <c r="D90" s="124"/>
      <c r="E90" s="124"/>
      <c r="F90" s="124"/>
      <c r="G90" s="124"/>
      <c r="H90" s="472">
        <f>H37</f>
        <v>113.905</v>
      </c>
      <c r="I90" s="472">
        <f>I37</f>
        <v>160.01</v>
      </c>
      <c r="J90" s="472">
        <f>J37</f>
        <v>184.72900000000001</v>
      </c>
      <c r="K90" s="472">
        <f>K37</f>
        <v>234.137</v>
      </c>
      <c r="L90" s="472">
        <f>L37</f>
        <v>313.322</v>
      </c>
      <c r="M90" s="472"/>
      <c r="N90" s="472"/>
      <c r="O90" s="472"/>
      <c r="P90" s="472"/>
      <c r="Q90" s="472">
        <f>L90*(1+Q88)</f>
        <v>344.6542</v>
      </c>
      <c r="R90" s="472"/>
      <c r="S90" s="472"/>
      <c r="T90" s="472"/>
      <c r="U90" s="472"/>
      <c r="V90" s="472">
        <f>Q90*(1+V88)</f>
        <v>327.42149000000001</v>
      </c>
      <c r="W90" s="472"/>
      <c r="X90" s="472"/>
      <c r="Y90" s="472"/>
      <c r="Z90" s="472"/>
      <c r="AA90" s="472">
        <f>V90*(1+AA88)</f>
        <v>245.56611750000002</v>
      </c>
      <c r="AB90" s="472"/>
      <c r="AC90" s="472"/>
      <c r="AD90" s="472"/>
      <c r="AE90" s="472"/>
      <c r="AF90" s="472">
        <f>AA90*(1+AF88)</f>
        <v>184.17458812500001</v>
      </c>
      <c r="AG90" s="472">
        <f t="shared" ref="AG90:AI90" si="75">AF90*(1+AG88)</f>
        <v>138.13094109375001</v>
      </c>
      <c r="AH90" s="472">
        <f t="shared" si="75"/>
        <v>110.50475287500001</v>
      </c>
      <c r="AI90" s="472">
        <f t="shared" si="75"/>
        <v>88.403802300000009</v>
      </c>
      <c r="AJ90" s="472">
        <f t="shared" ref="AJ90:AR90" si="76">AI90*(1+AJ88)</f>
        <v>70.723041840000008</v>
      </c>
      <c r="AK90" s="472">
        <f t="shared" si="76"/>
        <v>56.578433472000007</v>
      </c>
      <c r="AL90" s="472">
        <f t="shared" si="76"/>
        <v>45.262746777600007</v>
      </c>
      <c r="AM90" s="472">
        <f t="shared" si="76"/>
        <v>36.210197422080007</v>
      </c>
      <c r="AN90" s="472">
        <f t="shared" si="76"/>
        <v>28.968157937664007</v>
      </c>
      <c r="AO90" s="472">
        <f t="shared" si="76"/>
        <v>23.174526350131206</v>
      </c>
      <c r="AP90" s="472">
        <f t="shared" si="76"/>
        <v>18.539621080104965</v>
      </c>
      <c r="AQ90" s="472">
        <f t="shared" si="76"/>
        <v>14.831696864083973</v>
      </c>
      <c r="AR90" s="472">
        <f t="shared" si="76"/>
        <v>11.865357491267179</v>
      </c>
      <c r="AS90" s="8"/>
      <c r="AT90" s="8"/>
      <c r="AU90" s="8"/>
      <c r="AV90" s="8"/>
      <c r="AW90" s="8"/>
      <c r="AX90" s="8"/>
      <c r="AY90" s="8"/>
      <c r="AZ90" s="8"/>
      <c r="BA90" s="8"/>
      <c r="BB90" s="8"/>
      <c r="BC90" s="8"/>
      <c r="BD90" s="8"/>
      <c r="BK90" s="24"/>
    </row>
    <row r="91" spans="2:63" ht="14.25" hidden="1" customHeight="1" outlineLevel="1">
      <c r="B91" s="713" t="s">
        <v>283</v>
      </c>
      <c r="C91" s="714"/>
      <c r="D91" s="714"/>
      <c r="E91" s="714"/>
      <c r="F91" s="714"/>
      <c r="G91" s="714"/>
      <c r="H91" s="473">
        <f t="shared" ref="H91:AI91" si="77">+H37</f>
        <v>113.905</v>
      </c>
      <c r="I91" s="473">
        <f t="shared" si="77"/>
        <v>160.01</v>
      </c>
      <c r="J91" s="473">
        <f t="shared" si="77"/>
        <v>184.72900000000001</v>
      </c>
      <c r="K91" s="473">
        <f t="shared" si="77"/>
        <v>234.137</v>
      </c>
      <c r="L91" s="473">
        <f t="shared" si="77"/>
        <v>313.322</v>
      </c>
      <c r="M91" s="473"/>
      <c r="N91" s="473"/>
      <c r="O91" s="473"/>
      <c r="P91" s="473"/>
      <c r="Q91" s="473">
        <f t="shared" si="77"/>
        <v>439.01300000000003</v>
      </c>
      <c r="R91" s="473"/>
      <c r="S91" s="473"/>
      <c r="T91" s="473"/>
      <c r="U91" s="473"/>
      <c r="V91" s="473">
        <f t="shared" si="77"/>
        <v>521.86200000000008</v>
      </c>
      <c r="W91" s="473"/>
      <c r="X91" s="473"/>
      <c r="Y91" s="473"/>
      <c r="Z91" s="473"/>
      <c r="AA91" s="473">
        <f t="shared" si="77"/>
        <v>1235.3609999999999</v>
      </c>
      <c r="AB91" s="473"/>
      <c r="AC91" s="473"/>
      <c r="AD91" s="473"/>
      <c r="AE91" s="473"/>
      <c r="AF91" s="473">
        <f t="shared" si="77"/>
        <v>1180</v>
      </c>
      <c r="AG91" s="473">
        <f t="shared" si="77"/>
        <v>1250</v>
      </c>
      <c r="AH91" s="473">
        <f t="shared" si="77"/>
        <v>1300</v>
      </c>
      <c r="AI91" s="473">
        <f t="shared" si="77"/>
        <v>1339</v>
      </c>
      <c r="AJ91" s="473">
        <f t="shared" ref="AJ91:AR91" si="78">+AJ37</f>
        <v>1365.78</v>
      </c>
      <c r="AK91" s="473">
        <f t="shared" si="78"/>
        <v>1393.0956000000001</v>
      </c>
      <c r="AL91" s="473">
        <f t="shared" si="78"/>
        <v>1420.9575120000002</v>
      </c>
      <c r="AM91" s="473">
        <f t="shared" si="78"/>
        <v>1449.3766622400003</v>
      </c>
      <c r="AN91" s="473">
        <f t="shared" si="78"/>
        <v>1478.3641954848003</v>
      </c>
      <c r="AO91" s="473">
        <f t="shared" si="78"/>
        <v>1478.3641954848003</v>
      </c>
      <c r="AP91" s="473">
        <f t="shared" si="78"/>
        <v>1478.3641954848003</v>
      </c>
      <c r="AQ91" s="473">
        <f t="shared" si="78"/>
        <v>1478.3641954848003</v>
      </c>
      <c r="AR91" s="473">
        <f t="shared" si="78"/>
        <v>1478.3641954848003</v>
      </c>
      <c r="AS91" s="8"/>
      <c r="AT91" s="8"/>
      <c r="AU91" s="8"/>
      <c r="AV91" s="8"/>
      <c r="AW91" s="8"/>
      <c r="AX91" s="8"/>
      <c r="AY91" s="8"/>
      <c r="AZ91" s="8"/>
      <c r="BA91" s="8"/>
      <c r="BB91" s="8"/>
      <c r="BC91" s="8"/>
      <c r="BD91" s="8"/>
      <c r="BK91" s="24"/>
    </row>
    <row r="92" spans="2:63" ht="14.25" hidden="1" customHeight="1" outlineLevel="1">
      <c r="B92" s="711"/>
      <c r="C92" s="124"/>
      <c r="D92" s="124"/>
      <c r="E92" s="124"/>
      <c r="F92" s="124"/>
      <c r="G92" s="124"/>
      <c r="H92" s="474"/>
      <c r="I92" s="474"/>
      <c r="J92" s="474"/>
      <c r="K92" s="140"/>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8"/>
      <c r="AT92" s="8"/>
      <c r="AU92" s="8"/>
      <c r="AV92" s="8"/>
      <c r="AW92" s="8"/>
      <c r="AX92" s="8"/>
      <c r="AY92" s="8"/>
      <c r="AZ92" s="8"/>
      <c r="BA92" s="8"/>
      <c r="BB92" s="8"/>
      <c r="BC92" s="8"/>
      <c r="BD92" s="8"/>
      <c r="BK92" s="24"/>
    </row>
    <row r="93" spans="2:63" ht="14.25" hidden="1" customHeight="1" outlineLevel="1">
      <c r="B93" s="712" t="s">
        <v>271</v>
      </c>
      <c r="C93" s="124"/>
      <c r="D93" s="124"/>
      <c r="E93" s="124"/>
      <c r="F93" s="124"/>
      <c r="G93" s="124"/>
      <c r="H93" s="474"/>
      <c r="I93" s="474"/>
      <c r="J93" s="474"/>
      <c r="K93" s="140"/>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8"/>
      <c r="AT93" s="8"/>
      <c r="AU93" s="8"/>
      <c r="AV93" s="8"/>
      <c r="AW93" s="8"/>
      <c r="AX93" s="8"/>
      <c r="AY93" s="8"/>
      <c r="AZ93" s="8"/>
      <c r="BA93" s="8"/>
      <c r="BB93" s="8"/>
      <c r="BC93" s="8"/>
      <c r="BD93" s="8"/>
      <c r="BK93" s="24"/>
    </row>
    <row r="94" spans="2:63" ht="14.25" hidden="1" customHeight="1" outlineLevel="1">
      <c r="B94" s="711" t="s">
        <v>119</v>
      </c>
      <c r="C94" s="124"/>
      <c r="D94" s="124"/>
      <c r="E94" s="124"/>
      <c r="F94" s="124"/>
      <c r="G94" s="124"/>
      <c r="H94" s="169"/>
      <c r="I94" s="169"/>
      <c r="J94" s="233"/>
      <c r="K94" s="233"/>
      <c r="L94" s="233"/>
      <c r="M94" s="233"/>
      <c r="N94" s="233"/>
      <c r="O94" s="233"/>
      <c r="P94" s="233"/>
      <c r="Q94" s="430">
        <v>0.01</v>
      </c>
      <c r="R94" s="430"/>
      <c r="S94" s="430"/>
      <c r="T94" s="430"/>
      <c r="U94" s="430"/>
      <c r="V94" s="430">
        <v>0.5</v>
      </c>
      <c r="W94" s="430"/>
      <c r="X94" s="430"/>
      <c r="Y94" s="430"/>
      <c r="Z94" s="430"/>
      <c r="AA94" s="430">
        <v>0.2</v>
      </c>
      <c r="AB94" s="430"/>
      <c r="AC94" s="430"/>
      <c r="AD94" s="430"/>
      <c r="AE94" s="430"/>
      <c r="AF94" s="430">
        <v>0.05</v>
      </c>
      <c r="AG94" s="430">
        <v>0.05</v>
      </c>
      <c r="AH94" s="430">
        <v>0.05</v>
      </c>
      <c r="AI94" s="430">
        <v>0.05</v>
      </c>
      <c r="AJ94" s="430">
        <v>0.05</v>
      </c>
      <c r="AK94" s="430">
        <v>0.05</v>
      </c>
      <c r="AL94" s="430">
        <v>0.05</v>
      </c>
      <c r="AM94" s="430">
        <v>0.05</v>
      </c>
      <c r="AN94" s="430">
        <v>0.05</v>
      </c>
      <c r="AO94" s="430">
        <v>0.05</v>
      </c>
      <c r="AP94" s="430">
        <v>0.05</v>
      </c>
      <c r="AQ94" s="430">
        <v>0.05</v>
      </c>
      <c r="AR94" s="430">
        <v>0.05</v>
      </c>
      <c r="AS94" s="8"/>
      <c r="AT94" s="8"/>
      <c r="AU94" s="8"/>
      <c r="AV94" s="8"/>
      <c r="AW94" s="8"/>
      <c r="AX94" s="8"/>
      <c r="AY94" s="8"/>
      <c r="AZ94" s="8"/>
      <c r="BA94" s="8"/>
      <c r="BB94" s="8"/>
      <c r="BC94" s="8"/>
      <c r="BD94" s="8"/>
      <c r="BK94" s="24"/>
    </row>
    <row r="95" spans="2:63" ht="14.25" hidden="1" customHeight="1" outlineLevel="1">
      <c r="B95" s="711" t="s">
        <v>118</v>
      </c>
      <c r="C95" s="124"/>
      <c r="D95" s="124"/>
      <c r="E95" s="124"/>
      <c r="F95" s="124"/>
      <c r="G95" s="124"/>
      <c r="H95" s="578">
        <f>H43</f>
        <v>0.14656903765690377</v>
      </c>
      <c r="I95" s="578">
        <f>I43</f>
        <v>0.7522534029120902</v>
      </c>
      <c r="J95" s="578">
        <f>J43</f>
        <v>0.51054834746027455</v>
      </c>
      <c r="K95" s="578">
        <f>K43</f>
        <v>0.34954227099762836</v>
      </c>
      <c r="L95" s="578">
        <f>L43</f>
        <v>0.40645655616284415</v>
      </c>
      <c r="M95" s="578"/>
      <c r="N95" s="578"/>
      <c r="O95" s="578"/>
      <c r="P95" s="578"/>
      <c r="Q95" s="430">
        <v>0</v>
      </c>
      <c r="R95" s="430"/>
      <c r="S95" s="430"/>
      <c r="T95" s="430"/>
      <c r="U95" s="430"/>
      <c r="V95" s="430">
        <v>0</v>
      </c>
      <c r="W95" s="430"/>
      <c r="X95" s="430"/>
      <c r="Y95" s="430"/>
      <c r="Z95" s="430"/>
      <c r="AA95" s="430">
        <v>0</v>
      </c>
      <c r="AB95" s="430"/>
      <c r="AC95" s="430"/>
      <c r="AD95" s="430"/>
      <c r="AE95" s="430"/>
      <c r="AF95" s="430">
        <v>0</v>
      </c>
      <c r="AG95" s="430">
        <v>-0.05</v>
      </c>
      <c r="AH95" s="430">
        <v>-0.1</v>
      </c>
      <c r="AI95" s="430">
        <v>-0.1</v>
      </c>
      <c r="AJ95" s="430">
        <v>-0.1</v>
      </c>
      <c r="AK95" s="430">
        <v>-0.1</v>
      </c>
      <c r="AL95" s="430">
        <v>-0.1</v>
      </c>
      <c r="AM95" s="430">
        <v>-0.1</v>
      </c>
      <c r="AN95" s="430">
        <v>-0.1</v>
      </c>
      <c r="AO95" s="430">
        <v>-0.1</v>
      </c>
      <c r="AP95" s="430">
        <v>-0.1</v>
      </c>
      <c r="AQ95" s="430">
        <v>-0.1</v>
      </c>
      <c r="AR95" s="430">
        <v>-0.1</v>
      </c>
      <c r="AS95" s="8"/>
      <c r="AT95" s="8"/>
      <c r="AU95" s="8"/>
      <c r="AV95" s="8"/>
      <c r="AW95" s="8"/>
      <c r="AX95" s="8"/>
      <c r="AY95" s="8"/>
      <c r="AZ95" s="8"/>
      <c r="BA95" s="8"/>
      <c r="BB95" s="8"/>
      <c r="BC95" s="8"/>
      <c r="BD95" s="8"/>
      <c r="BK95" s="24"/>
    </row>
    <row r="96" spans="2:63" ht="14.25" hidden="1" customHeight="1" outlineLevel="1">
      <c r="B96" s="711" t="s">
        <v>117</v>
      </c>
      <c r="C96" s="124"/>
      <c r="D96" s="124"/>
      <c r="E96" s="124"/>
      <c r="F96" s="124"/>
      <c r="G96" s="124"/>
      <c r="H96" s="474"/>
      <c r="I96" s="474"/>
      <c r="J96" s="233"/>
      <c r="K96" s="233"/>
      <c r="L96" s="233"/>
      <c r="M96" s="233"/>
      <c r="N96" s="233"/>
      <c r="O96" s="233"/>
      <c r="P96" s="233"/>
      <c r="Q96" s="430">
        <v>-0.05</v>
      </c>
      <c r="R96" s="430"/>
      <c r="S96" s="430"/>
      <c r="T96" s="430"/>
      <c r="U96" s="430"/>
      <c r="V96" s="430">
        <v>-0.05</v>
      </c>
      <c r="W96" s="430"/>
      <c r="X96" s="430"/>
      <c r="Y96" s="430"/>
      <c r="Z96" s="430"/>
      <c r="AA96" s="430">
        <v>-0.05</v>
      </c>
      <c r="AB96" s="430"/>
      <c r="AC96" s="430"/>
      <c r="AD96" s="430"/>
      <c r="AE96" s="430"/>
      <c r="AF96" s="430">
        <v>-0.05</v>
      </c>
      <c r="AG96" s="430">
        <v>-0.05</v>
      </c>
      <c r="AH96" s="430">
        <v>-0.1</v>
      </c>
      <c r="AI96" s="430">
        <v>-0.1</v>
      </c>
      <c r="AJ96" s="430">
        <v>-0.1</v>
      </c>
      <c r="AK96" s="430">
        <v>-0.1</v>
      </c>
      <c r="AL96" s="430">
        <v>-0.1</v>
      </c>
      <c r="AM96" s="430">
        <v>-0.1</v>
      </c>
      <c r="AN96" s="430">
        <v>-0.1</v>
      </c>
      <c r="AO96" s="430">
        <v>-0.1</v>
      </c>
      <c r="AP96" s="430">
        <v>-0.1</v>
      </c>
      <c r="AQ96" s="430">
        <v>-0.1</v>
      </c>
      <c r="AR96" s="430">
        <v>-0.1</v>
      </c>
      <c r="AS96" s="8"/>
      <c r="AT96" s="8"/>
      <c r="AU96" s="8"/>
      <c r="AV96" s="8"/>
      <c r="AW96" s="8"/>
      <c r="AX96" s="8"/>
      <c r="AY96" s="8"/>
      <c r="AZ96" s="8"/>
      <c r="BA96" s="8"/>
      <c r="BB96" s="8"/>
      <c r="BC96" s="8"/>
      <c r="BD96" s="8"/>
      <c r="BK96" s="24"/>
    </row>
    <row r="97" spans="2:63" ht="14.25" hidden="1" customHeight="1" outlineLevel="1">
      <c r="B97" s="712" t="s">
        <v>285</v>
      </c>
      <c r="C97" s="124"/>
      <c r="D97" s="124"/>
      <c r="E97" s="124"/>
      <c r="F97" s="124"/>
      <c r="G97" s="124"/>
      <c r="H97" s="472">
        <f>H98</f>
        <v>27.402999999999999</v>
      </c>
      <c r="I97" s="472">
        <f>I98</f>
        <v>48.017000000000003</v>
      </c>
      <c r="J97" s="472">
        <f>J98</f>
        <v>72.532000000000011</v>
      </c>
      <c r="K97" s="472">
        <f>K98</f>
        <v>97.884999999999991</v>
      </c>
      <c r="L97" s="472">
        <f>L98</f>
        <v>137.67099999999999</v>
      </c>
      <c r="M97" s="472"/>
      <c r="N97" s="472"/>
      <c r="O97" s="472"/>
      <c r="P97" s="472"/>
      <c r="Q97" s="472">
        <f>L97*(1+Q95)</f>
        <v>137.67099999999999</v>
      </c>
      <c r="R97" s="472"/>
      <c r="S97" s="472"/>
      <c r="T97" s="472"/>
      <c r="U97" s="472"/>
      <c r="V97" s="472">
        <f>Q97*(1+V95)</f>
        <v>137.67099999999999</v>
      </c>
      <c r="W97" s="472"/>
      <c r="X97" s="472"/>
      <c r="Y97" s="472"/>
      <c r="Z97" s="472"/>
      <c r="AA97" s="472">
        <f>V97*(1+AA95)</f>
        <v>137.67099999999999</v>
      </c>
      <c r="AB97" s="472"/>
      <c r="AC97" s="472"/>
      <c r="AD97" s="472"/>
      <c r="AE97" s="472"/>
      <c r="AF97" s="472">
        <f>AA97*(1+AF95)</f>
        <v>137.67099999999999</v>
      </c>
      <c r="AG97" s="472">
        <f t="shared" ref="AG97:AI97" si="79">AF97*(1+AG95)</f>
        <v>130.78744999999998</v>
      </c>
      <c r="AH97" s="472">
        <f t="shared" si="79"/>
        <v>117.70870499999998</v>
      </c>
      <c r="AI97" s="472">
        <f t="shared" si="79"/>
        <v>105.93783449999998</v>
      </c>
      <c r="AJ97" s="472">
        <f t="shared" ref="AJ97:AR97" si="80">AI97*(1+AJ95)</f>
        <v>95.34405104999999</v>
      </c>
      <c r="AK97" s="472">
        <f t="shared" si="80"/>
        <v>85.809645945</v>
      </c>
      <c r="AL97" s="472">
        <f t="shared" si="80"/>
        <v>77.228681350499997</v>
      </c>
      <c r="AM97" s="472">
        <f t="shared" si="80"/>
        <v>69.505813215450004</v>
      </c>
      <c r="AN97" s="472">
        <f t="shared" si="80"/>
        <v>62.555231893905002</v>
      </c>
      <c r="AO97" s="472">
        <f t="shared" si="80"/>
        <v>56.299708704514501</v>
      </c>
      <c r="AP97" s="472">
        <f t="shared" si="80"/>
        <v>50.669737834063049</v>
      </c>
      <c r="AQ97" s="472">
        <f t="shared" si="80"/>
        <v>45.602764050656745</v>
      </c>
      <c r="AR97" s="472">
        <f t="shared" si="80"/>
        <v>41.042487645591073</v>
      </c>
      <c r="AS97" s="455"/>
      <c r="AT97" s="8"/>
      <c r="AU97" s="8"/>
      <c r="AV97" s="8"/>
      <c r="AW97" s="8"/>
      <c r="AX97" s="8"/>
      <c r="AY97" s="8"/>
      <c r="AZ97" s="8"/>
      <c r="BA97" s="8"/>
      <c r="BB97" s="8"/>
      <c r="BC97" s="8"/>
      <c r="BD97" s="8"/>
      <c r="BK97" s="24"/>
    </row>
    <row r="98" spans="2:63" ht="14.25" hidden="1" customHeight="1" outlineLevel="1">
      <c r="B98" s="715" t="s">
        <v>284</v>
      </c>
      <c r="C98" s="716"/>
      <c r="D98" s="716"/>
      <c r="E98" s="716"/>
      <c r="F98" s="716"/>
      <c r="G98" s="716"/>
      <c r="H98" s="475">
        <f t="shared" ref="H98:AI98" si="81">+H41</f>
        <v>27.402999999999999</v>
      </c>
      <c r="I98" s="475">
        <f t="shared" si="81"/>
        <v>48.017000000000003</v>
      </c>
      <c r="J98" s="475">
        <f t="shared" si="81"/>
        <v>72.532000000000011</v>
      </c>
      <c r="K98" s="475">
        <f t="shared" si="81"/>
        <v>97.884999999999991</v>
      </c>
      <c r="L98" s="475">
        <f t="shared" si="81"/>
        <v>137.67099999999999</v>
      </c>
      <c r="M98" s="475"/>
      <c r="N98" s="475"/>
      <c r="O98" s="475"/>
      <c r="P98" s="475"/>
      <c r="Q98" s="475">
        <f t="shared" si="81"/>
        <v>166.316</v>
      </c>
      <c r="R98" s="475"/>
      <c r="S98" s="475"/>
      <c r="T98" s="475"/>
      <c r="U98" s="475"/>
      <c r="V98" s="475">
        <f t="shared" si="81"/>
        <v>267.24899999999997</v>
      </c>
      <c r="W98" s="475"/>
      <c r="X98" s="475"/>
      <c r="Y98" s="475"/>
      <c r="Z98" s="475"/>
      <c r="AA98" s="475">
        <f t="shared" si="81"/>
        <v>323.40600000000001</v>
      </c>
      <c r="AB98" s="475"/>
      <c r="AC98" s="475"/>
      <c r="AD98" s="475"/>
      <c r="AE98" s="475"/>
      <c r="AF98" s="475">
        <f t="shared" si="81"/>
        <v>470</v>
      </c>
      <c r="AG98" s="475">
        <f t="shared" si="81"/>
        <v>540.5</v>
      </c>
      <c r="AH98" s="475">
        <f t="shared" si="81"/>
        <v>583.74</v>
      </c>
      <c r="AI98" s="475">
        <f t="shared" si="81"/>
        <v>607.08960000000002</v>
      </c>
      <c r="AJ98" s="475">
        <f t="shared" ref="AJ98:AR98" si="82">+AJ41</f>
        <v>625.30228800000009</v>
      </c>
      <c r="AK98" s="475">
        <f t="shared" si="82"/>
        <v>644.0613566400001</v>
      </c>
      <c r="AL98" s="475">
        <f t="shared" si="82"/>
        <v>663.38319733920014</v>
      </c>
      <c r="AM98" s="475">
        <f t="shared" si="82"/>
        <v>683.28469325937613</v>
      </c>
      <c r="AN98" s="475">
        <f t="shared" si="82"/>
        <v>703.78323405715742</v>
      </c>
      <c r="AO98" s="475">
        <f t="shared" si="82"/>
        <v>724.89673107887211</v>
      </c>
      <c r="AP98" s="475">
        <f t="shared" si="82"/>
        <v>746.64363301123831</v>
      </c>
      <c r="AQ98" s="475">
        <f t="shared" si="82"/>
        <v>769.04294200157551</v>
      </c>
      <c r="AR98" s="475">
        <f t="shared" si="82"/>
        <v>792.11423026162277</v>
      </c>
      <c r="AS98" s="8"/>
      <c r="AT98" s="8"/>
      <c r="AU98" s="8"/>
      <c r="AV98" s="8"/>
      <c r="AW98" s="8"/>
      <c r="AX98" s="8"/>
      <c r="AY98" s="8"/>
      <c r="AZ98" s="8"/>
      <c r="BA98" s="8"/>
      <c r="BB98" s="8"/>
      <c r="BC98" s="8"/>
      <c r="BD98" s="8"/>
      <c r="BK98" s="24"/>
    </row>
    <row r="99" spans="2:63" ht="14.25" hidden="1" customHeight="1" outlineLevel="1">
      <c r="B99" s="717">
        <v>27.820925572204079</v>
      </c>
      <c r="C99" s="714"/>
      <c r="D99" s="714"/>
      <c r="E99" s="714"/>
      <c r="F99" s="714"/>
      <c r="G99" s="714"/>
      <c r="H99" s="473"/>
      <c r="I99" s="473"/>
      <c r="J99" s="473"/>
      <c r="K99" s="473"/>
      <c r="L99" s="473"/>
      <c r="M99" s="473"/>
      <c r="N99" s="473"/>
      <c r="O99" s="473"/>
      <c r="P99" s="473"/>
      <c r="Q99" s="473"/>
      <c r="R99" s="473"/>
      <c r="S99" s="473"/>
      <c r="T99" s="473"/>
      <c r="U99" s="473"/>
      <c r="V99" s="473"/>
      <c r="W99" s="473"/>
      <c r="X99" s="473"/>
      <c r="Y99" s="473"/>
      <c r="Z99" s="473"/>
      <c r="AA99" s="473"/>
      <c r="AB99" s="473"/>
      <c r="AC99" s="473"/>
      <c r="AD99" s="473"/>
      <c r="AE99" s="473"/>
      <c r="AF99" s="473"/>
      <c r="AG99" s="473"/>
      <c r="AH99" s="473"/>
      <c r="AI99" s="473"/>
      <c r="AJ99" s="473"/>
      <c r="AK99" s="473"/>
      <c r="AL99" s="473"/>
      <c r="AM99" s="473"/>
      <c r="AN99" s="473"/>
      <c r="AO99" s="473"/>
      <c r="AP99" s="473"/>
      <c r="AQ99" s="473"/>
      <c r="AR99" s="473"/>
      <c r="AS99" s="8"/>
      <c r="AT99" s="8"/>
      <c r="AU99" s="8"/>
      <c r="AV99" s="8"/>
      <c r="AW99" s="8"/>
      <c r="AX99" s="8"/>
      <c r="AY99" s="8"/>
      <c r="AZ99" s="8"/>
      <c r="BA99" s="8"/>
      <c r="BB99" s="8"/>
      <c r="BC99" s="8"/>
      <c r="BD99" s="8"/>
      <c r="BK99" s="24"/>
    </row>
    <row r="100" spans="2:63" ht="14.25" hidden="1" customHeight="1" outlineLevel="1">
      <c r="B100" s="265" t="s">
        <v>335</v>
      </c>
      <c r="C100" s="124"/>
      <c r="D100" s="124"/>
      <c r="E100" s="124"/>
      <c r="F100" s="124"/>
      <c r="G100" s="124"/>
      <c r="H100" s="706"/>
      <c r="I100" s="706"/>
      <c r="J100" s="706"/>
      <c r="K100" s="706"/>
      <c r="L100" s="707"/>
      <c r="M100" s="707"/>
      <c r="N100" s="707"/>
      <c r="O100" s="707"/>
      <c r="P100" s="707"/>
      <c r="Q100" s="707"/>
      <c r="R100" s="707"/>
      <c r="S100" s="707"/>
      <c r="T100" s="707"/>
      <c r="U100" s="707"/>
      <c r="V100" s="707"/>
      <c r="W100" s="707"/>
      <c r="X100" s="707"/>
      <c r="Y100" s="707"/>
      <c r="Z100" s="707"/>
      <c r="AA100" s="707"/>
      <c r="AB100" s="707"/>
      <c r="AC100" s="707"/>
      <c r="AD100" s="707"/>
      <c r="AE100" s="707"/>
      <c r="AF100" s="707"/>
      <c r="AG100" s="707"/>
      <c r="AH100" s="707"/>
      <c r="AI100" s="707"/>
      <c r="AJ100" s="707"/>
      <c r="AK100" s="707"/>
      <c r="AL100" s="707"/>
      <c r="AM100" s="707"/>
      <c r="AN100" s="707"/>
      <c r="AO100" s="707"/>
      <c r="AP100" s="707"/>
      <c r="AQ100" s="707"/>
      <c r="AR100" s="707"/>
      <c r="AS100" s="8"/>
      <c r="AT100" s="8"/>
      <c r="AU100" s="8"/>
      <c r="AV100" s="8"/>
      <c r="AW100" s="8"/>
      <c r="AX100" s="8"/>
      <c r="AY100" s="8"/>
      <c r="AZ100" s="8"/>
      <c r="BA100" s="8"/>
      <c r="BB100" s="8"/>
      <c r="BC100" s="8"/>
      <c r="BD100" s="8"/>
      <c r="BK100" s="24"/>
    </row>
    <row r="101" spans="2:63" ht="14.25" hidden="1" customHeight="1" outlineLevel="1">
      <c r="B101" s="720" t="s">
        <v>336</v>
      </c>
      <c r="C101" s="721"/>
      <c r="D101" s="721"/>
      <c r="E101" s="721"/>
      <c r="F101" s="721"/>
      <c r="G101" s="721"/>
      <c r="H101" s="722"/>
      <c r="I101" s="718">
        <v>425</v>
      </c>
      <c r="J101" s="723" t="s">
        <v>337</v>
      </c>
      <c r="K101" s="724"/>
      <c r="L101" s="724"/>
      <c r="M101" s="724"/>
      <c r="N101" s="724"/>
      <c r="O101" s="724"/>
      <c r="P101" s="724"/>
      <c r="Q101" s="724"/>
      <c r="R101" s="724"/>
      <c r="S101" s="724"/>
      <c r="T101" s="724"/>
      <c r="U101" s="724"/>
      <c r="V101" s="724">
        <v>0</v>
      </c>
      <c r="W101" s="724"/>
      <c r="X101" s="724"/>
      <c r="Y101" s="724"/>
      <c r="Z101" s="724"/>
      <c r="AA101" s="724">
        <v>0</v>
      </c>
      <c r="AB101" s="724"/>
      <c r="AC101" s="724"/>
      <c r="AD101" s="724"/>
      <c r="AE101" s="724"/>
      <c r="AF101" s="724">
        <f>+AA101+$I$101</f>
        <v>425</v>
      </c>
      <c r="AG101" s="724">
        <f>+AF101+$I$101</f>
        <v>850</v>
      </c>
      <c r="AH101" s="724">
        <f>+AG101+$I$101</f>
        <v>1275</v>
      </c>
      <c r="AI101" s="724">
        <f>+AH101+$I$101</f>
        <v>1700</v>
      </c>
      <c r="AJ101" s="724">
        <f t="shared" ref="AJ101:AR101" si="83">+AI101+$I$101</f>
        <v>2125</v>
      </c>
      <c r="AK101" s="724">
        <f t="shared" si="83"/>
        <v>2550</v>
      </c>
      <c r="AL101" s="724">
        <f t="shared" si="83"/>
        <v>2975</v>
      </c>
      <c r="AM101" s="724">
        <f t="shared" si="83"/>
        <v>3400</v>
      </c>
      <c r="AN101" s="724">
        <f t="shared" si="83"/>
        <v>3825</v>
      </c>
      <c r="AO101" s="724">
        <f t="shared" si="83"/>
        <v>4250</v>
      </c>
      <c r="AP101" s="724">
        <f t="shared" si="83"/>
        <v>4675</v>
      </c>
      <c r="AQ101" s="724">
        <f t="shared" si="83"/>
        <v>5100</v>
      </c>
      <c r="AR101" s="724">
        <f t="shared" si="83"/>
        <v>5525</v>
      </c>
      <c r="AS101" s="8"/>
      <c r="AT101" s="8"/>
      <c r="AU101" s="8"/>
      <c r="AV101" s="8"/>
      <c r="AW101" s="8"/>
      <c r="AX101" s="8"/>
      <c r="AY101" s="8"/>
      <c r="AZ101" s="8"/>
      <c r="BA101" s="8"/>
      <c r="BB101" s="8"/>
      <c r="BC101" s="8"/>
      <c r="BD101" s="8"/>
      <c r="BK101" s="24"/>
    </row>
    <row r="102" spans="2:63" ht="14.25" hidden="1" customHeight="1" outlineLevel="1">
      <c r="B102" s="711" t="s">
        <v>118</v>
      </c>
      <c r="C102" s="714"/>
      <c r="D102" s="714"/>
      <c r="E102" s="714"/>
      <c r="F102" s="714"/>
      <c r="G102" s="714"/>
      <c r="H102" s="473"/>
      <c r="I102" s="718">
        <v>0</v>
      </c>
      <c r="J102" s="611" t="s">
        <v>338</v>
      </c>
      <c r="K102" s="719"/>
      <c r="L102" s="719"/>
      <c r="M102" s="719"/>
      <c r="N102" s="719"/>
      <c r="O102" s="719"/>
      <c r="P102" s="719"/>
      <c r="Q102" s="719"/>
      <c r="R102" s="719"/>
      <c r="S102" s="719"/>
      <c r="T102" s="719"/>
      <c r="U102" s="719"/>
      <c r="V102" s="719">
        <f t="shared" ref="V102:AI102" si="84">+V101*$I$102</f>
        <v>0</v>
      </c>
      <c r="W102" s="719"/>
      <c r="X102" s="719"/>
      <c r="Y102" s="719"/>
      <c r="Z102" s="719"/>
      <c r="AA102" s="719">
        <f>+AA101*$I$102</f>
        <v>0</v>
      </c>
      <c r="AB102" s="719"/>
      <c r="AC102" s="719"/>
      <c r="AD102" s="719"/>
      <c r="AE102" s="719"/>
      <c r="AF102" s="719">
        <f t="shared" si="84"/>
        <v>0</v>
      </c>
      <c r="AG102" s="719">
        <f t="shared" si="84"/>
        <v>0</v>
      </c>
      <c r="AH102" s="719">
        <f t="shared" si="84"/>
        <v>0</v>
      </c>
      <c r="AI102" s="719">
        <f t="shared" si="84"/>
        <v>0</v>
      </c>
      <c r="AJ102" s="719">
        <f t="shared" ref="AJ102:AR102" si="85">+AJ101*$I$102</f>
        <v>0</v>
      </c>
      <c r="AK102" s="719">
        <f t="shared" si="85"/>
        <v>0</v>
      </c>
      <c r="AL102" s="719">
        <f t="shared" si="85"/>
        <v>0</v>
      </c>
      <c r="AM102" s="719">
        <f t="shared" si="85"/>
        <v>0</v>
      </c>
      <c r="AN102" s="719">
        <f t="shared" si="85"/>
        <v>0</v>
      </c>
      <c r="AO102" s="719">
        <f t="shared" si="85"/>
        <v>0</v>
      </c>
      <c r="AP102" s="719">
        <f t="shared" si="85"/>
        <v>0</v>
      </c>
      <c r="AQ102" s="719">
        <f t="shared" si="85"/>
        <v>0</v>
      </c>
      <c r="AR102" s="719">
        <f t="shared" si="85"/>
        <v>0</v>
      </c>
      <c r="AS102" s="8"/>
      <c r="AT102" s="8"/>
      <c r="AU102" s="8"/>
      <c r="AV102" s="8"/>
      <c r="AW102" s="8"/>
      <c r="AX102" s="8"/>
      <c r="AY102" s="8"/>
      <c r="AZ102" s="8"/>
      <c r="BA102" s="8"/>
      <c r="BB102" s="8"/>
      <c r="BC102" s="8"/>
      <c r="BD102" s="8"/>
      <c r="BK102" s="24"/>
    </row>
    <row r="103" spans="2:63" ht="14.25" hidden="1" customHeight="1" outlineLevel="1">
      <c r="B103" s="444" t="s">
        <v>117</v>
      </c>
      <c r="C103" s="456"/>
      <c r="D103" s="456"/>
      <c r="E103" s="456"/>
      <c r="F103" s="456"/>
      <c r="G103" s="456"/>
      <c r="H103" s="457"/>
      <c r="I103" s="609"/>
      <c r="J103" s="610"/>
      <c r="K103" s="609"/>
      <c r="L103" s="609"/>
      <c r="M103" s="609"/>
      <c r="N103" s="609"/>
      <c r="O103" s="609"/>
      <c r="P103" s="609"/>
      <c r="Q103" s="609"/>
      <c r="R103" s="609"/>
      <c r="S103" s="609"/>
      <c r="T103" s="609"/>
      <c r="U103" s="609"/>
      <c r="V103" s="609">
        <v>0</v>
      </c>
      <c r="W103" s="609"/>
      <c r="X103" s="609"/>
      <c r="Y103" s="609"/>
      <c r="Z103" s="609"/>
      <c r="AA103" s="609">
        <v>0</v>
      </c>
      <c r="AB103" s="609"/>
      <c r="AC103" s="609"/>
      <c r="AD103" s="609"/>
      <c r="AE103" s="609"/>
      <c r="AF103" s="609">
        <v>0</v>
      </c>
      <c r="AG103" s="609">
        <v>0</v>
      </c>
      <c r="AH103" s="609">
        <v>0</v>
      </c>
      <c r="AI103" s="609">
        <v>0</v>
      </c>
      <c r="AJ103" s="609">
        <v>0</v>
      </c>
      <c r="AK103" s="609">
        <v>0</v>
      </c>
      <c r="AL103" s="609">
        <v>0</v>
      </c>
      <c r="AM103" s="609">
        <v>0</v>
      </c>
      <c r="AN103" s="609">
        <v>0</v>
      </c>
      <c r="AO103" s="609">
        <v>0</v>
      </c>
      <c r="AP103" s="609">
        <v>0</v>
      </c>
      <c r="AQ103" s="609">
        <v>0</v>
      </c>
      <c r="AR103" s="609">
        <v>0</v>
      </c>
      <c r="AS103" s="8"/>
      <c r="AT103" s="8"/>
      <c r="AU103" s="8"/>
      <c r="AV103" s="8"/>
      <c r="AW103" s="8"/>
      <c r="AX103" s="8"/>
      <c r="AY103" s="8"/>
      <c r="AZ103" s="8"/>
      <c r="BA103" s="8"/>
      <c r="BB103" s="8"/>
      <c r="BC103" s="8"/>
      <c r="BD103" s="8"/>
      <c r="BK103" s="24"/>
    </row>
    <row r="104" spans="2:63" ht="14.25" hidden="1" customHeight="1" outlineLevel="1">
      <c r="B104" s="608"/>
      <c r="C104" s="458"/>
      <c r="D104" s="458"/>
      <c r="E104" s="458"/>
      <c r="F104" s="458"/>
      <c r="G104" s="458"/>
      <c r="H104" s="459"/>
      <c r="I104" s="459"/>
      <c r="J104" s="473"/>
      <c r="K104" s="459"/>
      <c r="L104" s="459"/>
      <c r="M104" s="459"/>
      <c r="N104" s="459"/>
      <c r="O104" s="459"/>
      <c r="P104" s="459"/>
      <c r="Q104" s="459"/>
      <c r="R104" s="459"/>
      <c r="S104" s="459"/>
      <c r="T104" s="459"/>
      <c r="U104" s="459"/>
      <c r="V104" s="459"/>
      <c r="W104" s="459"/>
      <c r="X104" s="459"/>
      <c r="Y104" s="459"/>
      <c r="Z104" s="459"/>
      <c r="AA104" s="459"/>
      <c r="AB104" s="459"/>
      <c r="AC104" s="459"/>
      <c r="AD104" s="459"/>
      <c r="AE104" s="459"/>
      <c r="AF104" s="459"/>
      <c r="AG104" s="459"/>
      <c r="AH104" s="459"/>
      <c r="AI104" s="459"/>
      <c r="AJ104" s="459"/>
      <c r="AK104" s="459"/>
      <c r="AL104" s="459"/>
      <c r="AM104" s="459"/>
      <c r="AN104" s="459"/>
      <c r="AO104" s="459"/>
      <c r="AP104" s="459"/>
      <c r="AQ104" s="459"/>
      <c r="AR104" s="459"/>
      <c r="AS104" s="8"/>
      <c r="AT104" s="8"/>
      <c r="AU104" s="8"/>
      <c r="AV104" s="8"/>
      <c r="AW104" s="8"/>
      <c r="AX104" s="8"/>
      <c r="AY104" s="8"/>
      <c r="AZ104" s="8"/>
      <c r="BA104" s="8"/>
      <c r="BB104" s="8"/>
      <c r="BC104" s="8"/>
      <c r="BD104" s="8"/>
      <c r="BK104" s="24"/>
    </row>
    <row r="105" spans="2:63" ht="14.25" hidden="1" customHeight="1" outlineLevel="1">
      <c r="B105" s="60"/>
      <c r="C105" s="53"/>
      <c r="D105" s="53"/>
      <c r="E105" s="53"/>
      <c r="F105" s="53"/>
      <c r="G105" s="53"/>
      <c r="H105" s="54"/>
      <c r="I105" s="54"/>
      <c r="J105" s="54"/>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8"/>
      <c r="AT105" s="8"/>
      <c r="AU105" s="8"/>
      <c r="AV105" s="8"/>
      <c r="AW105" s="8"/>
      <c r="AX105" s="8"/>
      <c r="AY105" s="8"/>
      <c r="AZ105" s="8"/>
      <c r="BA105" s="8"/>
      <c r="BB105" s="8"/>
      <c r="BC105" s="8"/>
      <c r="BD105" s="8"/>
      <c r="BK105" s="24"/>
    </row>
    <row r="106" spans="2:63" ht="14.25" hidden="1" customHeight="1" outlineLevel="1">
      <c r="B106" s="265" t="s">
        <v>55</v>
      </c>
      <c r="C106" s="265"/>
      <c r="D106" s="265"/>
      <c r="E106" s="265"/>
      <c r="F106" s="265"/>
      <c r="G106" s="265"/>
      <c r="H106" s="265"/>
      <c r="I106" s="265"/>
      <c r="J106" s="265"/>
      <c r="K106" s="265"/>
      <c r="L106" s="265"/>
      <c r="M106" s="265"/>
      <c r="N106" s="265"/>
      <c r="O106" s="265"/>
      <c r="P106" s="265"/>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65"/>
      <c r="AN106" s="265"/>
      <c r="AO106" s="265"/>
      <c r="AP106" s="265"/>
      <c r="AQ106" s="265"/>
      <c r="AR106" s="265"/>
      <c r="AS106" s="8"/>
      <c r="AT106" s="8"/>
      <c r="AU106" s="8"/>
      <c r="AV106" s="8"/>
      <c r="AW106" s="8"/>
      <c r="AX106" s="8"/>
      <c r="AY106" s="8"/>
      <c r="AZ106" s="8"/>
      <c r="BA106" s="8"/>
      <c r="BB106" s="8"/>
      <c r="BC106" s="8"/>
      <c r="BD106" s="8"/>
      <c r="BK106" s="24"/>
    </row>
    <row r="107" spans="2:63" ht="14.25" hidden="1" customHeight="1" outlineLevel="1">
      <c r="B107" s="263" t="s">
        <v>101</v>
      </c>
      <c r="C107" s="265"/>
      <c r="D107" s="265"/>
      <c r="E107" s="265"/>
      <c r="F107" s="265"/>
      <c r="G107" s="180">
        <v>0.35</v>
      </c>
      <c r="H107" s="180">
        <v>0.35</v>
      </c>
      <c r="I107" s="725">
        <v>0.35</v>
      </c>
      <c r="J107" s="725">
        <f t="shared" ref="J107:AI107" si="86">+J70</f>
        <v>0.15</v>
      </c>
      <c r="K107" s="725">
        <f t="shared" si="86"/>
        <v>0.15</v>
      </c>
      <c r="L107" s="725">
        <f t="shared" si="86"/>
        <v>0.15</v>
      </c>
      <c r="M107" s="725"/>
      <c r="N107" s="725"/>
      <c r="O107" s="725"/>
      <c r="P107" s="725"/>
      <c r="Q107" s="725">
        <f t="shared" si="86"/>
        <v>0.15</v>
      </c>
      <c r="R107" s="725"/>
      <c r="S107" s="725"/>
      <c r="T107" s="725"/>
      <c r="U107" s="725"/>
      <c r="V107" s="725">
        <f t="shared" si="86"/>
        <v>0.15</v>
      </c>
      <c r="W107" s="725"/>
      <c r="X107" s="725"/>
      <c r="Y107" s="725"/>
      <c r="Z107" s="725"/>
      <c r="AA107" s="725">
        <f t="shared" si="86"/>
        <v>0.15</v>
      </c>
      <c r="AB107" s="725"/>
      <c r="AC107" s="725"/>
      <c r="AD107" s="725"/>
      <c r="AE107" s="725"/>
      <c r="AF107" s="725">
        <f t="shared" si="86"/>
        <v>0.15</v>
      </c>
      <c r="AG107" s="725">
        <f t="shared" si="86"/>
        <v>0.15</v>
      </c>
      <c r="AH107" s="725">
        <f t="shared" si="86"/>
        <v>0.15</v>
      </c>
      <c r="AI107" s="725">
        <f t="shared" si="86"/>
        <v>0.15</v>
      </c>
      <c r="AJ107" s="725">
        <f t="shared" ref="AJ107:AR107" si="87">+AJ70</f>
        <v>0.15</v>
      </c>
      <c r="AK107" s="725">
        <f t="shared" si="87"/>
        <v>0.15</v>
      </c>
      <c r="AL107" s="725">
        <f t="shared" si="87"/>
        <v>0.15</v>
      </c>
      <c r="AM107" s="725">
        <f t="shared" si="87"/>
        <v>0.15</v>
      </c>
      <c r="AN107" s="725">
        <f t="shared" si="87"/>
        <v>0.15</v>
      </c>
      <c r="AO107" s="725">
        <f t="shared" si="87"/>
        <v>0.15</v>
      </c>
      <c r="AP107" s="725">
        <f t="shared" si="87"/>
        <v>0.15</v>
      </c>
      <c r="AQ107" s="725">
        <f t="shared" si="87"/>
        <v>0.15</v>
      </c>
      <c r="AR107" s="725">
        <f t="shared" si="87"/>
        <v>0.15</v>
      </c>
      <c r="AS107" s="8"/>
      <c r="AT107" s="8"/>
      <c r="AU107" s="8"/>
      <c r="AV107" s="8"/>
      <c r="AW107" s="8"/>
      <c r="AX107" s="8"/>
      <c r="AY107" s="8"/>
      <c r="AZ107" s="8"/>
      <c r="BA107" s="8"/>
      <c r="BB107" s="8"/>
      <c r="BC107" s="8"/>
      <c r="BD107" s="8"/>
      <c r="BK107" s="24"/>
    </row>
    <row r="108" spans="2:63" ht="14.25" hidden="1" customHeight="1" outlineLevel="1">
      <c r="B108" s="264" t="s">
        <v>98</v>
      </c>
      <c r="C108" s="88"/>
      <c r="D108" s="148"/>
      <c r="E108" s="148"/>
      <c r="F108" s="148"/>
      <c r="G108" s="144"/>
      <c r="H108" s="144"/>
      <c r="I108" s="88">
        <f t="shared" ref="I108:AI108" si="88">H110</f>
        <v>-1000</v>
      </c>
      <c r="J108" s="88">
        <f t="shared" si="88"/>
        <v>-1200</v>
      </c>
      <c r="K108" s="88">
        <f t="shared" si="88"/>
        <v>-1300</v>
      </c>
      <c r="L108" s="88">
        <f t="shared" si="88"/>
        <v>-1500</v>
      </c>
      <c r="M108" s="88"/>
      <c r="N108" s="88"/>
      <c r="O108" s="88"/>
      <c r="P108" s="88"/>
      <c r="Q108" s="88">
        <f>L110</f>
        <v>-1800</v>
      </c>
      <c r="R108" s="88"/>
      <c r="S108" s="88"/>
      <c r="T108" s="88"/>
      <c r="U108" s="88"/>
      <c r="V108" s="88">
        <f>Q110</f>
        <v>-1600</v>
      </c>
      <c r="W108" s="88"/>
      <c r="X108" s="88"/>
      <c r="Y108" s="88"/>
      <c r="Z108" s="88"/>
      <c r="AA108" s="88">
        <f>V110</f>
        <v>-1393.335</v>
      </c>
      <c r="AB108" s="88"/>
      <c r="AC108" s="88"/>
      <c r="AD108" s="88"/>
      <c r="AE108" s="88"/>
      <c r="AF108" s="88">
        <f>AA110</f>
        <v>-1547.3499999999997</v>
      </c>
      <c r="AG108" s="499">
        <f t="shared" si="88"/>
        <v>-1564.9579999999996</v>
      </c>
      <c r="AH108" s="499">
        <f t="shared" si="88"/>
        <v>-1499.5041974873425</v>
      </c>
      <c r="AI108" s="499">
        <f t="shared" si="88"/>
        <v>-1223.5789561516428</v>
      </c>
      <c r="AJ108" s="499">
        <f t="shared" ref="AJ108:AR108" si="89">AI110</f>
        <v>-727.10978137808138</v>
      </c>
      <c r="AK108" s="499">
        <f t="shared" si="89"/>
        <v>0</v>
      </c>
      <c r="AL108" s="499">
        <f t="shared" si="89"/>
        <v>0</v>
      </c>
      <c r="AM108" s="499">
        <f t="shared" si="89"/>
        <v>0</v>
      </c>
      <c r="AN108" s="499">
        <f t="shared" si="89"/>
        <v>0</v>
      </c>
      <c r="AO108" s="499">
        <f t="shared" si="89"/>
        <v>0</v>
      </c>
      <c r="AP108" s="499">
        <f t="shared" si="89"/>
        <v>-1416.722023933869</v>
      </c>
      <c r="AQ108" s="499">
        <f t="shared" si="89"/>
        <v>-3123.6029010567499</v>
      </c>
      <c r="AR108" s="499">
        <f t="shared" si="89"/>
        <v>-4999.5933933940914</v>
      </c>
      <c r="AS108" s="8"/>
      <c r="AT108" s="8"/>
      <c r="AU108" s="8"/>
      <c r="AV108" s="8"/>
      <c r="AW108" s="8"/>
      <c r="AX108" s="8"/>
      <c r="AY108" s="8"/>
      <c r="AZ108" s="8"/>
      <c r="BA108" s="8"/>
      <c r="BB108" s="8"/>
      <c r="BC108" s="8"/>
      <c r="BD108" s="8"/>
      <c r="BK108" s="24"/>
    </row>
    <row r="109" spans="2:63" ht="14.25" hidden="1" customHeight="1" outlineLevel="1">
      <c r="B109" s="264" t="s">
        <v>102</v>
      </c>
      <c r="C109" s="88"/>
      <c r="D109" s="144"/>
      <c r="E109" s="144"/>
      <c r="F109" s="144"/>
      <c r="G109" s="144"/>
      <c r="H109" s="144"/>
      <c r="I109" s="88">
        <f t="shared" ref="I109:AI109" si="90">I51</f>
        <v>-157.64000000000001</v>
      </c>
      <c r="J109" s="88">
        <f t="shared" si="90"/>
        <v>-5.6530000000000129</v>
      </c>
      <c r="K109" s="88">
        <f t="shared" si="90"/>
        <v>-26.513000000000005</v>
      </c>
      <c r="L109" s="88">
        <f t="shared" si="90"/>
        <v>13.754000000000076</v>
      </c>
      <c r="M109" s="88"/>
      <c r="N109" s="88"/>
      <c r="O109" s="88"/>
      <c r="P109" s="88"/>
      <c r="Q109" s="88">
        <f t="shared" si="90"/>
        <v>82.935999999999922</v>
      </c>
      <c r="R109" s="88"/>
      <c r="S109" s="88"/>
      <c r="T109" s="88"/>
      <c r="U109" s="88"/>
      <c r="V109" s="88">
        <f t="shared" si="90"/>
        <v>206.66500000000002</v>
      </c>
      <c r="W109" s="88"/>
      <c r="X109" s="88"/>
      <c r="Y109" s="88"/>
      <c r="Z109" s="88"/>
      <c r="AA109" s="88">
        <f t="shared" si="90"/>
        <v>-154.0149999999997</v>
      </c>
      <c r="AB109" s="88"/>
      <c r="AC109" s="88"/>
      <c r="AD109" s="88"/>
      <c r="AE109" s="88"/>
      <c r="AF109" s="88">
        <f t="shared" si="90"/>
        <v>-17.607999999999947</v>
      </c>
      <c r="AG109" s="88">
        <f t="shared" si="90"/>
        <v>65.453802512657077</v>
      </c>
      <c r="AH109" s="88">
        <f t="shared" si="90"/>
        <v>275.92524133569964</v>
      </c>
      <c r="AI109" s="88">
        <f t="shared" si="90"/>
        <v>496.46917477356146</v>
      </c>
      <c r="AJ109" s="88">
        <f t="shared" ref="AJ109:AR109" si="91">AJ51</f>
        <v>756.04889831248602</v>
      </c>
      <c r="AK109" s="88">
        <f t="shared" si="91"/>
        <v>980.83387220713666</v>
      </c>
      <c r="AL109" s="88">
        <f t="shared" si="91"/>
        <v>1102.5733065013642</v>
      </c>
      <c r="AM109" s="88">
        <f t="shared" si="91"/>
        <v>1131.0031208605055</v>
      </c>
      <c r="AN109" s="88">
        <f t="shared" si="91"/>
        <v>498.25709592751127</v>
      </c>
      <c r="AO109" s="88">
        <f t="shared" si="91"/>
        <v>-1416.722023933869</v>
      </c>
      <c r="AP109" s="88">
        <f t="shared" si="91"/>
        <v>-1706.880877122881</v>
      </c>
      <c r="AQ109" s="88">
        <f t="shared" si="91"/>
        <v>-1875.9904923373415</v>
      </c>
      <c r="AR109" s="88">
        <f t="shared" si="91"/>
        <v>-2178.1360227656951</v>
      </c>
      <c r="AS109" s="8"/>
      <c r="AT109" s="8"/>
      <c r="AU109" s="8"/>
      <c r="AV109" s="8"/>
      <c r="AW109" s="8"/>
      <c r="AX109" s="8"/>
      <c r="AY109" s="8"/>
      <c r="AZ109" s="8"/>
      <c r="BA109" s="8"/>
      <c r="BB109" s="8"/>
      <c r="BC109" s="8"/>
      <c r="BD109" s="8"/>
      <c r="BK109" s="24"/>
    </row>
    <row r="110" spans="2:63" ht="14.25" hidden="1" customHeight="1" outlineLevel="1">
      <c r="B110" s="264" t="s">
        <v>103</v>
      </c>
      <c r="C110" s="144"/>
      <c r="D110" s="143"/>
      <c r="E110" s="143"/>
      <c r="F110" s="143"/>
      <c r="G110" s="144">
        <v>-1200</v>
      </c>
      <c r="H110" s="499">
        <f>-1000</f>
        <v>-1000</v>
      </c>
      <c r="I110" s="88">
        <v>-1200</v>
      </c>
      <c r="J110" s="88">
        <v>-1300</v>
      </c>
      <c r="K110" s="88">
        <v>-1500</v>
      </c>
      <c r="L110" s="88">
        <v>-1800</v>
      </c>
      <c r="M110" s="88"/>
      <c r="N110" s="88"/>
      <c r="O110" s="88"/>
      <c r="P110" s="88"/>
      <c r="Q110" s="88">
        <v>-1600</v>
      </c>
      <c r="R110" s="88"/>
      <c r="S110" s="88"/>
      <c r="T110" s="88"/>
      <c r="U110" s="88"/>
      <c r="V110" s="88">
        <f t="shared" ref="V110:AI110" si="92">+IF((V108+V109)&lt;0,(V108+V109),0)</f>
        <v>-1393.335</v>
      </c>
      <c r="W110" s="88"/>
      <c r="X110" s="88"/>
      <c r="Y110" s="88"/>
      <c r="Z110" s="88"/>
      <c r="AA110" s="88">
        <f t="shared" si="92"/>
        <v>-1547.3499999999997</v>
      </c>
      <c r="AB110" s="88"/>
      <c r="AC110" s="88"/>
      <c r="AD110" s="88"/>
      <c r="AE110" s="88"/>
      <c r="AF110" s="88">
        <f t="shared" si="92"/>
        <v>-1564.9579999999996</v>
      </c>
      <c r="AG110" s="499">
        <f t="shared" si="92"/>
        <v>-1499.5041974873425</v>
      </c>
      <c r="AH110" s="499">
        <f t="shared" si="92"/>
        <v>-1223.5789561516428</v>
      </c>
      <c r="AI110" s="499">
        <f t="shared" si="92"/>
        <v>-727.10978137808138</v>
      </c>
      <c r="AJ110" s="499">
        <f t="shared" ref="AJ110:AR110" si="93">+IF((AJ108+AJ109)&lt;0,(AJ108+AJ109),0)</f>
        <v>0</v>
      </c>
      <c r="AK110" s="499">
        <f t="shared" si="93"/>
        <v>0</v>
      </c>
      <c r="AL110" s="499">
        <f t="shared" si="93"/>
        <v>0</v>
      </c>
      <c r="AM110" s="499">
        <f t="shared" si="93"/>
        <v>0</v>
      </c>
      <c r="AN110" s="499">
        <f t="shared" si="93"/>
        <v>0</v>
      </c>
      <c r="AO110" s="499">
        <f t="shared" si="93"/>
        <v>-1416.722023933869</v>
      </c>
      <c r="AP110" s="499">
        <f t="shared" si="93"/>
        <v>-3123.6029010567499</v>
      </c>
      <c r="AQ110" s="499">
        <f t="shared" si="93"/>
        <v>-4999.5933933940914</v>
      </c>
      <c r="AR110" s="499">
        <f t="shared" si="93"/>
        <v>-7177.7294161597865</v>
      </c>
      <c r="AS110" s="8"/>
      <c r="AT110" s="8"/>
      <c r="AU110" s="8"/>
      <c r="AV110" s="8"/>
      <c r="AW110" s="8"/>
      <c r="AX110" s="8"/>
      <c r="AY110" s="8"/>
      <c r="AZ110" s="8"/>
      <c r="BA110" s="8"/>
      <c r="BB110" s="8"/>
      <c r="BC110" s="8"/>
      <c r="BD110" s="8"/>
      <c r="BK110" s="24"/>
    </row>
    <row r="111" spans="2:63" ht="14.25" hidden="1" customHeight="1" outlineLevel="1">
      <c r="B111" s="264"/>
      <c r="C111" s="144"/>
      <c r="D111" s="143"/>
      <c r="E111" s="143"/>
      <c r="F111" s="143"/>
      <c r="G111" s="144"/>
      <c r="H111" s="144"/>
      <c r="I111" s="144"/>
      <c r="J111" s="144"/>
      <c r="K111" s="144"/>
      <c r="L111" s="144"/>
      <c r="M111" s="144"/>
      <c r="N111" s="144"/>
      <c r="O111" s="144"/>
      <c r="P111" s="144"/>
      <c r="Q111" s="144"/>
      <c r="R111" s="144"/>
      <c r="S111" s="144"/>
      <c r="T111" s="144"/>
      <c r="U111" s="144"/>
      <c r="V111" s="144"/>
      <c r="W111" s="144"/>
      <c r="X111" s="144"/>
      <c r="Y111" s="144"/>
      <c r="Z111" s="144"/>
      <c r="AA111" s="144"/>
      <c r="AB111" s="144"/>
      <c r="AC111" s="144"/>
      <c r="AD111" s="144"/>
      <c r="AE111" s="144"/>
      <c r="AF111" s="144"/>
      <c r="AG111" s="144"/>
      <c r="AH111" s="144"/>
      <c r="AI111" s="144"/>
      <c r="AJ111" s="144"/>
      <c r="AK111" s="144"/>
      <c r="AL111" s="144"/>
      <c r="AM111" s="144"/>
      <c r="AN111" s="144"/>
      <c r="AO111" s="144"/>
      <c r="AP111" s="144"/>
      <c r="AQ111" s="144"/>
      <c r="AR111" s="144"/>
      <c r="AS111" s="8"/>
      <c r="AT111" s="8"/>
      <c r="AU111" s="8"/>
      <c r="AV111" s="8"/>
      <c r="AW111" s="8"/>
      <c r="AX111" s="8"/>
      <c r="AY111" s="8"/>
      <c r="AZ111" s="8"/>
      <c r="BA111" s="8"/>
      <c r="BB111" s="8"/>
      <c r="BC111" s="8"/>
      <c r="BD111" s="8"/>
      <c r="BK111" s="24"/>
    </row>
    <row r="112" spans="2:63" ht="14.25" hidden="1" customHeight="1" outlineLevel="1">
      <c r="B112" s="264" t="s">
        <v>104</v>
      </c>
      <c r="C112" s="144"/>
      <c r="D112" s="143"/>
      <c r="E112" s="143"/>
      <c r="F112" s="143"/>
      <c r="G112" s="144">
        <f>IF(G110&lt;0,0,G109+G108)</f>
        <v>0</v>
      </c>
      <c r="H112" s="499">
        <f>IF(H110&lt;0,0,H109+H108)</f>
        <v>0</v>
      </c>
      <c r="I112" s="499">
        <f>IF(I110&lt;0,0,I109+I108)</f>
        <v>0</v>
      </c>
      <c r="J112" s="499">
        <f>IF(J110&lt;0,0,J109+J108)</f>
        <v>0</v>
      </c>
      <c r="K112" s="499">
        <f>IF(K110&lt;0,0,K109+K108)</f>
        <v>0</v>
      </c>
      <c r="L112" s="499">
        <f t="shared" ref="L112:AI112" si="94">IF(L110&lt;0,0,L109+L108)</f>
        <v>0</v>
      </c>
      <c r="M112" s="499"/>
      <c r="N112" s="499"/>
      <c r="O112" s="499"/>
      <c r="P112" s="499"/>
      <c r="Q112" s="499">
        <f t="shared" si="94"/>
        <v>0</v>
      </c>
      <c r="R112" s="499"/>
      <c r="S112" s="499"/>
      <c r="T112" s="499"/>
      <c r="U112" s="499"/>
      <c r="V112" s="499">
        <f t="shared" si="94"/>
        <v>0</v>
      </c>
      <c r="W112" s="499"/>
      <c r="X112" s="499"/>
      <c r="Y112" s="499"/>
      <c r="Z112" s="499"/>
      <c r="AA112" s="499">
        <f t="shared" si="94"/>
        <v>0</v>
      </c>
      <c r="AB112" s="499"/>
      <c r="AC112" s="499"/>
      <c r="AD112" s="499"/>
      <c r="AE112" s="499"/>
      <c r="AF112" s="499">
        <f t="shared" si="94"/>
        <v>0</v>
      </c>
      <c r="AG112" s="499">
        <f t="shared" si="94"/>
        <v>0</v>
      </c>
      <c r="AH112" s="499">
        <f t="shared" si="94"/>
        <v>0</v>
      </c>
      <c r="AI112" s="499">
        <f t="shared" si="94"/>
        <v>0</v>
      </c>
      <c r="AJ112" s="499">
        <f t="shared" ref="AJ112:AR112" si="95">IF(AJ110&lt;0,0,AJ109+AJ108)</f>
        <v>28.939116934404638</v>
      </c>
      <c r="AK112" s="499">
        <f t="shared" si="95"/>
        <v>980.83387220713666</v>
      </c>
      <c r="AL112" s="499">
        <f t="shared" si="95"/>
        <v>1102.5733065013642</v>
      </c>
      <c r="AM112" s="499">
        <f t="shared" si="95"/>
        <v>1131.0031208605055</v>
      </c>
      <c r="AN112" s="499">
        <f t="shared" si="95"/>
        <v>498.25709592751127</v>
      </c>
      <c r="AO112" s="499">
        <f t="shared" si="95"/>
        <v>0</v>
      </c>
      <c r="AP112" s="499">
        <f t="shared" si="95"/>
        <v>0</v>
      </c>
      <c r="AQ112" s="499">
        <f t="shared" si="95"/>
        <v>0</v>
      </c>
      <c r="AR112" s="499">
        <f t="shared" si="95"/>
        <v>0</v>
      </c>
      <c r="AS112" s="8"/>
      <c r="AT112" s="8"/>
      <c r="AU112" s="8"/>
      <c r="AV112" s="8"/>
      <c r="AW112" s="8"/>
      <c r="AX112" s="8"/>
      <c r="AY112" s="8"/>
      <c r="AZ112" s="8"/>
      <c r="BA112" s="8"/>
      <c r="BB112" s="8"/>
      <c r="BC112" s="8"/>
      <c r="BD112" s="8"/>
      <c r="BK112" s="24"/>
    </row>
    <row r="113" spans="2:63" ht="14.25" hidden="1" customHeight="1" outlineLevel="1">
      <c r="B113" s="264" t="s">
        <v>99</v>
      </c>
      <c r="C113" s="144"/>
      <c r="D113" s="144"/>
      <c r="E113" s="144"/>
      <c r="F113" s="144"/>
      <c r="G113" s="144">
        <f>IF(G110&lt;0,0,G109*G107)</f>
        <v>0</v>
      </c>
      <c r="H113" s="499">
        <f>IF(H110&lt;0,0,H109*H107)</f>
        <v>0</v>
      </c>
      <c r="I113" s="499">
        <f>IF(I110&lt;0,0,I109*I107)</f>
        <v>0</v>
      </c>
      <c r="J113" s="499">
        <f>IF(J110&lt;0,0,J109*J107)</f>
        <v>0</v>
      </c>
      <c r="K113" s="499">
        <f>IF(K110&lt;0,0,K109*K107)</f>
        <v>0</v>
      </c>
      <c r="L113" s="499">
        <f t="shared" ref="L113:AI113" si="96">IF(L110&lt;0,0,L109*L107)</f>
        <v>0</v>
      </c>
      <c r="M113" s="499"/>
      <c r="N113" s="499"/>
      <c r="O113" s="499"/>
      <c r="P113" s="499"/>
      <c r="Q113" s="499">
        <f t="shared" si="96"/>
        <v>0</v>
      </c>
      <c r="R113" s="499"/>
      <c r="S113" s="499"/>
      <c r="T113" s="499"/>
      <c r="U113" s="499"/>
      <c r="V113" s="499">
        <f t="shared" si="96"/>
        <v>0</v>
      </c>
      <c r="W113" s="499"/>
      <c r="X113" s="499"/>
      <c r="Y113" s="499"/>
      <c r="Z113" s="499"/>
      <c r="AA113" s="499">
        <f t="shared" si="96"/>
        <v>0</v>
      </c>
      <c r="AB113" s="499"/>
      <c r="AC113" s="499"/>
      <c r="AD113" s="499"/>
      <c r="AE113" s="499"/>
      <c r="AF113" s="499">
        <f t="shared" si="96"/>
        <v>0</v>
      </c>
      <c r="AG113" s="499">
        <f t="shared" si="96"/>
        <v>0</v>
      </c>
      <c r="AH113" s="499">
        <f t="shared" si="96"/>
        <v>0</v>
      </c>
      <c r="AI113" s="499">
        <f t="shared" si="96"/>
        <v>0</v>
      </c>
      <c r="AJ113" s="499">
        <f t="shared" ref="AJ113:AR113" si="97">IF(AJ110&lt;0,0,AJ109*AJ107)</f>
        <v>113.40733474687291</v>
      </c>
      <c r="AK113" s="499">
        <f t="shared" si="97"/>
        <v>147.12508083107051</v>
      </c>
      <c r="AL113" s="499">
        <f t="shared" si="97"/>
        <v>165.38599597520462</v>
      </c>
      <c r="AM113" s="499">
        <f t="shared" si="97"/>
        <v>169.65046812907582</v>
      </c>
      <c r="AN113" s="499">
        <f t="shared" si="97"/>
        <v>74.738564389126694</v>
      </c>
      <c r="AO113" s="499">
        <f t="shared" si="97"/>
        <v>0</v>
      </c>
      <c r="AP113" s="499">
        <f t="shared" si="97"/>
        <v>0</v>
      </c>
      <c r="AQ113" s="499">
        <f t="shared" si="97"/>
        <v>0</v>
      </c>
      <c r="AR113" s="499">
        <f t="shared" si="97"/>
        <v>0</v>
      </c>
      <c r="AS113" s="8"/>
      <c r="AT113" s="8"/>
      <c r="AU113" s="8"/>
      <c r="AV113" s="8"/>
      <c r="AW113" s="8"/>
      <c r="AX113" s="8"/>
      <c r="AY113" s="8"/>
      <c r="AZ113" s="8"/>
      <c r="BA113" s="8"/>
      <c r="BB113" s="8"/>
      <c r="BC113" s="8"/>
      <c r="BD113" s="8"/>
      <c r="BK113" s="24"/>
    </row>
    <row r="114" spans="2:63" ht="14.25" hidden="1" customHeight="1" outlineLevel="1">
      <c r="B114" s="439" t="s">
        <v>100</v>
      </c>
      <c r="C114" s="440"/>
      <c r="D114" s="440"/>
      <c r="E114" s="440"/>
      <c r="F114" s="440"/>
      <c r="G114" s="441">
        <f>G112*G107</f>
        <v>0</v>
      </c>
      <c r="H114" s="543">
        <f>H112*H107</f>
        <v>0</v>
      </c>
      <c r="I114" s="543">
        <f>I112*I107</f>
        <v>0</v>
      </c>
      <c r="J114" s="543">
        <f>J112*J107</f>
        <v>0</v>
      </c>
      <c r="K114" s="543">
        <f>K112*K107</f>
        <v>0</v>
      </c>
      <c r="L114" s="543">
        <f t="shared" ref="L114:AI114" si="98">L112*L107</f>
        <v>0</v>
      </c>
      <c r="M114" s="543"/>
      <c r="N114" s="543"/>
      <c r="O114" s="543"/>
      <c r="P114" s="543"/>
      <c r="Q114" s="543">
        <f t="shared" si="98"/>
        <v>0</v>
      </c>
      <c r="R114" s="543"/>
      <c r="S114" s="543"/>
      <c r="T114" s="543"/>
      <c r="U114" s="543"/>
      <c r="V114" s="543">
        <f t="shared" si="98"/>
        <v>0</v>
      </c>
      <c r="W114" s="543"/>
      <c r="X114" s="543"/>
      <c r="Y114" s="543"/>
      <c r="Z114" s="543"/>
      <c r="AA114" s="543">
        <f t="shared" si="98"/>
        <v>0</v>
      </c>
      <c r="AB114" s="543"/>
      <c r="AC114" s="543"/>
      <c r="AD114" s="543"/>
      <c r="AE114" s="543"/>
      <c r="AF114" s="543">
        <f t="shared" si="98"/>
        <v>0</v>
      </c>
      <c r="AG114" s="543">
        <f t="shared" si="98"/>
        <v>0</v>
      </c>
      <c r="AH114" s="543">
        <f t="shared" si="98"/>
        <v>0</v>
      </c>
      <c r="AI114" s="543">
        <f t="shared" si="98"/>
        <v>0</v>
      </c>
      <c r="AJ114" s="543">
        <f t="shared" ref="AJ114:AR114" si="99">AJ112*AJ107</f>
        <v>4.3408675401606951</v>
      </c>
      <c r="AK114" s="543">
        <f t="shared" si="99"/>
        <v>147.12508083107051</v>
      </c>
      <c r="AL114" s="543">
        <f t="shared" si="99"/>
        <v>165.38599597520462</v>
      </c>
      <c r="AM114" s="543">
        <f t="shared" si="99"/>
        <v>169.65046812907582</v>
      </c>
      <c r="AN114" s="543">
        <f t="shared" si="99"/>
        <v>74.738564389126694</v>
      </c>
      <c r="AO114" s="543">
        <f t="shared" si="99"/>
        <v>0</v>
      </c>
      <c r="AP114" s="543">
        <f t="shared" si="99"/>
        <v>0</v>
      </c>
      <c r="AQ114" s="543">
        <f t="shared" si="99"/>
        <v>0</v>
      </c>
      <c r="AR114" s="543">
        <f t="shared" si="99"/>
        <v>0</v>
      </c>
      <c r="AS114" s="8"/>
      <c r="AT114" s="8"/>
      <c r="AU114" s="8"/>
      <c r="AV114" s="8"/>
      <c r="AW114" s="8"/>
      <c r="AX114" s="8"/>
      <c r="AY114" s="8"/>
      <c r="AZ114" s="8"/>
      <c r="BA114" s="8"/>
      <c r="BB114" s="8"/>
      <c r="BC114" s="8"/>
      <c r="BD114" s="8"/>
      <c r="BK114" s="24"/>
    </row>
    <row r="115" spans="2:63" s="376" customFormat="1" ht="14.25" hidden="1" customHeight="1" outlineLevel="1">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8"/>
      <c r="AT115" s="8"/>
      <c r="AU115" s="8"/>
      <c r="AV115" s="8"/>
      <c r="AW115" s="8"/>
      <c r="AX115" s="8"/>
      <c r="AY115" s="8"/>
      <c r="AZ115" s="8"/>
      <c r="BA115" s="8"/>
      <c r="BB115" s="8"/>
      <c r="BC115" s="8"/>
      <c r="BD115" s="8"/>
      <c r="BE115"/>
      <c r="BF115"/>
      <c r="BG115"/>
      <c r="BH115"/>
      <c r="BI115"/>
      <c r="BJ115"/>
      <c r="BK115" s="24"/>
    </row>
    <row r="116" spans="2:63" ht="14.25" hidden="1" customHeight="1" outlineLevel="1">
      <c r="B116" s="265" t="s">
        <v>167</v>
      </c>
      <c r="C116" s="265"/>
      <c r="D116" s="265"/>
      <c r="E116" s="265"/>
      <c r="F116" s="265"/>
      <c r="G116" s="265"/>
      <c r="H116" s="265"/>
      <c r="I116" s="265"/>
      <c r="J116" s="265"/>
      <c r="K116" s="265"/>
      <c r="L116" s="265"/>
      <c r="M116" s="265"/>
      <c r="N116" s="265"/>
      <c r="O116" s="265"/>
      <c r="P116" s="265"/>
      <c r="Q116" s="265"/>
      <c r="R116" s="265"/>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65"/>
      <c r="AN116" s="265"/>
      <c r="AO116" s="265"/>
      <c r="AP116" s="265"/>
      <c r="AQ116" s="265"/>
      <c r="AR116" s="265"/>
      <c r="AS116" s="8"/>
      <c r="AT116" s="8"/>
      <c r="AU116" s="8"/>
      <c r="AV116" s="8"/>
      <c r="AW116" s="8"/>
      <c r="AX116" s="8"/>
      <c r="AY116" s="8"/>
      <c r="AZ116" s="8"/>
      <c r="BA116" s="8"/>
      <c r="BB116" s="8"/>
      <c r="BC116" s="8"/>
      <c r="BD116" s="8"/>
      <c r="BK116" s="24"/>
    </row>
    <row r="117" spans="2:63" ht="14.25" hidden="1" customHeight="1" outlineLevel="1">
      <c r="B117" s="726" t="s">
        <v>8</v>
      </c>
      <c r="C117" s="727"/>
      <c r="D117" s="728"/>
      <c r="E117" s="728">
        <f>('Balance Sheet '!E6+'Balance Sheet '!D6+'Balance Sheet '!E7+'Balance Sheet '!D7)/2</f>
        <v>287.50149999999996</v>
      </c>
      <c r="F117" s="729">
        <f>('Balance Sheet '!F6+'Balance Sheet '!E6+'Balance Sheet '!F7+'Balance Sheet '!E7)/2</f>
        <v>227.22699999999998</v>
      </c>
      <c r="G117" s="729">
        <f>('Balance Sheet '!G6+'Balance Sheet '!F6+'Balance Sheet '!G7+'Balance Sheet '!F7)/2</f>
        <v>334.221</v>
      </c>
      <c r="H117" s="729">
        <f>('Balance Sheet '!H6+'Balance Sheet '!G6+'Balance Sheet '!H7+'Balance Sheet '!G7)/2</f>
        <v>447.29300000000006</v>
      </c>
      <c r="I117" s="729">
        <f>('Balance Sheet '!I6+'Balance Sheet '!H6+'Balance Sheet '!I7+'Balance Sheet '!H7)/2</f>
        <v>350.88100000000003</v>
      </c>
      <c r="J117" s="729">
        <f>('Balance Sheet '!J6+'Balance Sheet '!I6+'Balance Sheet '!J7+'Balance Sheet '!I7)/2</f>
        <v>253.00600000000003</v>
      </c>
      <c r="K117" s="729">
        <f>('Balance Sheet '!K6+'Balance Sheet '!J6+'Balance Sheet '!K7+'Balance Sheet '!J7)/2</f>
        <v>368.71100000000007</v>
      </c>
      <c r="L117" s="729">
        <f>('Balance Sheet '!L6+'Balance Sheet '!K6+'Balance Sheet '!L7+'Balance Sheet '!K7)/2</f>
        <v>554.63350000000014</v>
      </c>
      <c r="M117" s="729"/>
      <c r="N117" s="729"/>
      <c r="O117" s="729"/>
      <c r="P117" s="729"/>
      <c r="Q117" s="730">
        <f>('Balance Sheet '!M6+'Balance Sheet '!L6+'Balance Sheet '!M7+'Balance Sheet '!L7)/2</f>
        <v>654.02300000000014</v>
      </c>
      <c r="R117" s="730"/>
      <c r="S117" s="730"/>
      <c r="T117" s="730"/>
      <c r="U117" s="730"/>
      <c r="V117" s="730">
        <f>('Balance Sheet '!N6+'Balance Sheet '!M6+'Balance Sheet '!N7+'Balance Sheet '!M7)/2</f>
        <v>758.16450000000009</v>
      </c>
      <c r="W117" s="730"/>
      <c r="X117" s="730"/>
      <c r="Y117" s="730"/>
      <c r="Z117" s="730"/>
      <c r="AA117" s="730">
        <f>('Balance Sheet '!O6+'Balance Sheet '!N6+'Balance Sheet '!O7+'Balance Sheet '!N7)/2</f>
        <v>759.60375031991703</v>
      </c>
      <c r="AB117" s="730"/>
      <c r="AC117" s="730"/>
      <c r="AD117" s="730"/>
      <c r="AE117" s="730"/>
      <c r="AF117" s="730">
        <f>('Balance Sheet '!P6+'Balance Sheet '!O6+'Balance Sheet '!P7+'Balance Sheet '!O7)/2</f>
        <v>710.95074804513331</v>
      </c>
      <c r="AG117" s="730">
        <f>('Balance Sheet '!Q6+'Balance Sheet '!P6+'Balance Sheet '!Q7+'Balance Sheet '!P7)/2</f>
        <v>784.2089319126892</v>
      </c>
      <c r="AH117" s="730">
        <f>('Balance Sheet '!R6+'Balance Sheet '!Q6+'Balance Sheet '!R7+'Balance Sheet '!Q7)/2</f>
        <v>978.64323395967676</v>
      </c>
      <c r="AI117" s="730">
        <f>('Balance Sheet '!S6+'Balance Sheet '!R6+'Balance Sheet '!S7+'Balance Sheet '!R7)/2</f>
        <v>1346.573606779797</v>
      </c>
      <c r="AJ117" s="730">
        <f>('Balance Sheet '!T6+'Balance Sheet '!S6+'Balance Sheet '!T7+'Balance Sheet '!S7)/2</f>
        <v>1981.8607903854113</v>
      </c>
      <c r="AK117" s="730">
        <f>('Balance Sheet '!U6+'Balance Sheet '!T6+'Balance Sheet '!U7+'Balance Sheet '!T7)/2</f>
        <v>2840.8610601922701</v>
      </c>
      <c r="AL117" s="730">
        <f>('Balance Sheet '!V6+'Balance Sheet '!U6+'Balance Sheet '!V7+'Balance Sheet '!U7)/2</f>
        <v>3857.7736329487743</v>
      </c>
      <c r="AM117" s="730">
        <f>('Balance Sheet '!W6+'Balance Sheet '!V6+'Balance Sheet '!W7+'Balance Sheet '!V7)/2</f>
        <v>4989.7024482852758</v>
      </c>
      <c r="AN117" s="730">
        <f>('Balance Sheet '!X6+'Balance Sheet '!W6+'Balance Sheet '!X7+'Balance Sheet '!W7)/2</f>
        <v>5953.6246934537157</v>
      </c>
      <c r="AO117" s="730">
        <f>('Balance Sheet '!Y6+'Balance Sheet '!X6+'Balance Sheet '!Y7+'Balance Sheet '!X7)/2</f>
        <v>5856.7154088388515</v>
      </c>
      <c r="AP117" s="730">
        <f>('Balance Sheet '!Z6+'Balance Sheet '!Y6+'Balance Sheet '!Z7+'Balance Sheet '!Y7)/2</f>
        <v>4702.1197686807427</v>
      </c>
      <c r="AQ117" s="730">
        <f>('Balance Sheet '!AA6+'Balance Sheet '!Z6+'Balance Sheet '!AA7+'Balance Sheet '!Z7)/2</f>
        <v>3288.5532205002437</v>
      </c>
      <c r="AR117" s="730">
        <f>('Balance Sheet '!AB6+'Balance Sheet '!AA6+'Balance Sheet '!AB7+'Balance Sheet '!AA7)/2</f>
        <v>1716.81535135273</v>
      </c>
      <c r="AS117" s="8"/>
      <c r="AT117" s="8"/>
      <c r="AU117" s="8"/>
      <c r="AV117" s="8"/>
      <c r="AW117" s="8"/>
      <c r="AX117" s="8"/>
      <c r="AY117" s="8"/>
      <c r="AZ117" s="8"/>
      <c r="BA117" s="8"/>
      <c r="BB117" s="8"/>
      <c r="BC117" s="8"/>
      <c r="BD117" s="8"/>
      <c r="BK117" s="24"/>
    </row>
    <row r="118" spans="2:63" ht="14.25" hidden="1" customHeight="1" outlineLevel="1">
      <c r="B118" s="410" t="s">
        <v>164</v>
      </c>
      <c r="C118" s="23"/>
      <c r="D118" s="127"/>
      <c r="E118" s="127">
        <f t="shared" ref="E118:L118" si="100">E119/E117</f>
        <v>7.8020462501934784E-2</v>
      </c>
      <c r="F118" s="451">
        <f t="shared" si="100"/>
        <v>2.3351098240966085E-2</v>
      </c>
      <c r="G118" s="451">
        <f t="shared" si="100"/>
        <v>1.5259364312834918E-4</v>
      </c>
      <c r="H118" s="451">
        <f t="shared" si="100"/>
        <v>3.1657101720795984E-3</v>
      </c>
      <c r="I118" s="451">
        <f t="shared" si="100"/>
        <v>1.3166857139600033E-3</v>
      </c>
      <c r="J118" s="451">
        <f t="shared" si="100"/>
        <v>3.0236437080543542E-3</v>
      </c>
      <c r="K118" s="451">
        <f t="shared" si="100"/>
        <v>3.5963125591587986E-3</v>
      </c>
      <c r="L118" s="451">
        <f t="shared" si="100"/>
        <v>6.0400246288765452E-3</v>
      </c>
      <c r="M118" s="451"/>
      <c r="N118" s="451"/>
      <c r="O118" s="451"/>
      <c r="P118" s="451"/>
      <c r="Q118" s="452">
        <f>L118</f>
        <v>6.0400246288765452E-3</v>
      </c>
      <c r="R118" s="452"/>
      <c r="S118" s="452"/>
      <c r="T118" s="452"/>
      <c r="U118" s="452"/>
      <c r="V118" s="452">
        <f>Q118</f>
        <v>6.0400246288765452E-3</v>
      </c>
      <c r="W118" s="452"/>
      <c r="X118" s="452"/>
      <c r="Y118" s="452"/>
      <c r="Z118" s="452"/>
      <c r="AA118" s="452">
        <f>V118</f>
        <v>6.0400246288765452E-3</v>
      </c>
      <c r="AB118" s="452"/>
      <c r="AC118" s="452"/>
      <c r="AD118" s="452"/>
      <c r="AE118" s="452"/>
      <c r="AF118" s="452">
        <f>AA118</f>
        <v>6.0400246288765452E-3</v>
      </c>
      <c r="AG118" s="452">
        <f t="shared" ref="AG118:AI118" si="101">AF118</f>
        <v>6.0400246288765452E-3</v>
      </c>
      <c r="AH118" s="452">
        <f t="shared" si="101"/>
        <v>6.0400246288765452E-3</v>
      </c>
      <c r="AI118" s="452">
        <f t="shared" si="101"/>
        <v>6.0400246288765452E-3</v>
      </c>
      <c r="AJ118" s="452">
        <f t="shared" ref="AJ118:AR118" si="102">AI118</f>
        <v>6.0400246288765452E-3</v>
      </c>
      <c r="AK118" s="452">
        <f t="shared" si="102"/>
        <v>6.0400246288765452E-3</v>
      </c>
      <c r="AL118" s="452">
        <f t="shared" si="102"/>
        <v>6.0400246288765452E-3</v>
      </c>
      <c r="AM118" s="452">
        <f t="shared" si="102"/>
        <v>6.0400246288765452E-3</v>
      </c>
      <c r="AN118" s="452">
        <f t="shared" si="102"/>
        <v>6.0400246288765452E-3</v>
      </c>
      <c r="AO118" s="452">
        <f t="shared" si="102"/>
        <v>6.0400246288765452E-3</v>
      </c>
      <c r="AP118" s="452">
        <f t="shared" si="102"/>
        <v>6.0400246288765452E-3</v>
      </c>
      <c r="AQ118" s="452">
        <f t="shared" si="102"/>
        <v>6.0400246288765452E-3</v>
      </c>
      <c r="AR118" s="452">
        <f t="shared" si="102"/>
        <v>6.0400246288765452E-3</v>
      </c>
      <c r="AS118" s="8"/>
      <c r="AT118" s="8"/>
      <c r="AU118" s="8"/>
      <c r="AV118" s="8"/>
      <c r="AW118" s="8"/>
      <c r="AX118" s="8"/>
      <c r="AY118" s="8"/>
      <c r="AZ118" s="8"/>
      <c r="BA118" s="8"/>
      <c r="BB118" s="8"/>
      <c r="BC118" s="8"/>
      <c r="BD118" s="8"/>
      <c r="BK118" s="24"/>
    </row>
    <row r="119" spans="2:63" ht="14.25" hidden="1" customHeight="1" outlineLevel="1">
      <c r="B119" s="410" t="s">
        <v>167</v>
      </c>
      <c r="C119" s="57"/>
      <c r="D119" s="146">
        <f t="shared" ref="D119:L119" si="103">D49</f>
        <v>20.678999999999998</v>
      </c>
      <c r="E119" s="146">
        <f t="shared" si="103"/>
        <v>22.431000000000001</v>
      </c>
      <c r="F119" s="373">
        <f t="shared" si="103"/>
        <v>5.306</v>
      </c>
      <c r="G119" s="373">
        <f t="shared" si="103"/>
        <v>5.099999999999999E-2</v>
      </c>
      <c r="H119" s="373">
        <f t="shared" si="103"/>
        <v>1.4159999999999999</v>
      </c>
      <c r="I119" s="373">
        <f t="shared" si="103"/>
        <v>0.46199999999999997</v>
      </c>
      <c r="J119" s="373">
        <f t="shared" si="103"/>
        <v>0.76500000000000001</v>
      </c>
      <c r="K119" s="373">
        <f t="shared" si="103"/>
        <v>1.3260000000000001</v>
      </c>
      <c r="L119" s="373">
        <f t="shared" si="103"/>
        <v>3.35</v>
      </c>
      <c r="M119" s="373"/>
      <c r="N119" s="373"/>
      <c r="O119" s="373"/>
      <c r="P119" s="373"/>
      <c r="Q119" s="453">
        <f t="shared" ref="Q119:AI119" si="104">+Q117*Q118</f>
        <v>3.9503150278517256</v>
      </c>
      <c r="R119" s="453"/>
      <c r="S119" s="453"/>
      <c r="T119" s="453"/>
      <c r="U119" s="453"/>
      <c r="V119" s="453">
        <f t="shared" si="104"/>
        <v>4.5793322527398717</v>
      </c>
      <c r="W119" s="453"/>
      <c r="X119" s="453"/>
      <c r="Y119" s="453"/>
      <c r="Z119" s="453"/>
      <c r="AA119" s="453">
        <f t="shared" si="104"/>
        <v>4.5880253601192891</v>
      </c>
      <c r="AB119" s="453"/>
      <c r="AC119" s="453"/>
      <c r="AD119" s="453"/>
      <c r="AE119" s="453"/>
      <c r="AF119" s="453">
        <f t="shared" si="104"/>
        <v>4.2941600281108085</v>
      </c>
      <c r="AG119" s="453">
        <f t="shared" si="104"/>
        <v>4.7366412629376127</v>
      </c>
      <c r="AH119" s="453">
        <f t="shared" si="104"/>
        <v>5.9110292359998384</v>
      </c>
      <c r="AI119" s="453">
        <f t="shared" si="104"/>
        <v>8.1333377495450954</v>
      </c>
      <c r="AJ119" s="453">
        <f t="shared" ref="AJ119:AR119" si="105">+AJ117*AJ118</f>
        <v>11.970487984932621</v>
      </c>
      <c r="AK119" s="453">
        <f t="shared" si="105"/>
        <v>17.158870770777646</v>
      </c>
      <c r="AL119" s="453">
        <f t="shared" si="105"/>
        <v>23.301047755641143</v>
      </c>
      <c r="AM119" s="453">
        <f t="shared" si="105"/>
        <v>30.13792567840866</v>
      </c>
      <c r="AN119" s="453">
        <f t="shared" si="105"/>
        <v>35.960039779548012</v>
      </c>
      <c r="AO119" s="453">
        <f t="shared" si="105"/>
        <v>35.37470531370743</v>
      </c>
      <c r="AP119" s="453">
        <f t="shared" si="105"/>
        <v>28.400919210758971</v>
      </c>
      <c r="AQ119" s="453">
        <f t="shared" si="105"/>
        <v>19.862942445192751</v>
      </c>
      <c r="AR119" s="453">
        <f t="shared" si="105"/>
        <v>10.369607005403829</v>
      </c>
      <c r="AS119" s="8"/>
      <c r="AT119" s="8"/>
      <c r="AU119" s="8"/>
      <c r="AV119" s="8"/>
      <c r="AW119" s="8"/>
      <c r="AX119" s="8"/>
      <c r="AY119" s="8"/>
      <c r="AZ119" s="8"/>
      <c r="BA119" s="8"/>
      <c r="BB119" s="8"/>
      <c r="BC119" s="8"/>
      <c r="BD119" s="8"/>
      <c r="BK119" s="24"/>
    </row>
    <row r="120" spans="2:63" ht="14.25" hidden="1" customHeight="1" outlineLevel="1">
      <c r="B120" s="444" t="s">
        <v>9</v>
      </c>
      <c r="C120" s="442"/>
      <c r="D120" s="443">
        <f t="shared" ref="D120:AI120" si="106">D49</f>
        <v>20.678999999999998</v>
      </c>
      <c r="E120" s="443">
        <f t="shared" si="106"/>
        <v>22.431000000000001</v>
      </c>
      <c r="F120" s="454">
        <f t="shared" si="106"/>
        <v>5.306</v>
      </c>
      <c r="G120" s="454">
        <f t="shared" si="106"/>
        <v>5.099999999999999E-2</v>
      </c>
      <c r="H120" s="589">
        <f t="shared" si="106"/>
        <v>1.4159999999999999</v>
      </c>
      <c r="I120" s="589">
        <f t="shared" si="106"/>
        <v>0.46199999999999997</v>
      </c>
      <c r="J120" s="454">
        <f t="shared" si="106"/>
        <v>0.76500000000000001</v>
      </c>
      <c r="K120" s="454">
        <f t="shared" si="106"/>
        <v>1.3260000000000001</v>
      </c>
      <c r="L120" s="589">
        <f t="shared" si="106"/>
        <v>3.35</v>
      </c>
      <c r="M120" s="589"/>
      <c r="N120" s="589"/>
      <c r="O120" s="589"/>
      <c r="P120" s="589"/>
      <c r="Q120" s="589">
        <f t="shared" si="106"/>
        <v>7.0889999999999995</v>
      </c>
      <c r="R120" s="589"/>
      <c r="S120" s="589"/>
      <c r="T120" s="589"/>
      <c r="U120" s="589"/>
      <c r="V120" s="589">
        <f t="shared" si="106"/>
        <v>4.4110000000000005</v>
      </c>
      <c r="W120" s="589"/>
      <c r="X120" s="589"/>
      <c r="Y120" s="589"/>
      <c r="Z120" s="589"/>
      <c r="AA120" s="589">
        <f t="shared" si="106"/>
        <v>17.5</v>
      </c>
      <c r="AB120" s="589"/>
      <c r="AC120" s="589"/>
      <c r="AD120" s="589"/>
      <c r="AE120" s="589"/>
      <c r="AF120" s="589">
        <f t="shared" si="106"/>
        <v>26</v>
      </c>
      <c r="AG120" s="589">
        <f t="shared" si="106"/>
        <v>9</v>
      </c>
      <c r="AH120" s="589">
        <f t="shared" si="106"/>
        <v>10</v>
      </c>
      <c r="AI120" s="589">
        <f t="shared" si="106"/>
        <v>10</v>
      </c>
      <c r="AJ120" s="589">
        <f t="shared" ref="AJ120:AR120" si="107">AJ49</f>
        <v>10</v>
      </c>
      <c r="AK120" s="589">
        <f t="shared" si="107"/>
        <v>10</v>
      </c>
      <c r="AL120" s="589">
        <f t="shared" si="107"/>
        <v>10</v>
      </c>
      <c r="AM120" s="589">
        <f t="shared" si="107"/>
        <v>10</v>
      </c>
      <c r="AN120" s="589">
        <f t="shared" si="107"/>
        <v>10</v>
      </c>
      <c r="AO120" s="589">
        <f t="shared" si="107"/>
        <v>10</v>
      </c>
      <c r="AP120" s="589">
        <f t="shared" si="107"/>
        <v>10</v>
      </c>
      <c r="AQ120" s="589">
        <f t="shared" si="107"/>
        <v>10</v>
      </c>
      <c r="AR120" s="589">
        <f t="shared" si="107"/>
        <v>10</v>
      </c>
      <c r="AS120" s="8"/>
      <c r="AT120" s="8"/>
      <c r="AU120" s="8"/>
      <c r="AV120" s="8"/>
      <c r="AW120" s="8"/>
      <c r="AX120" s="8"/>
      <c r="AY120" s="8"/>
      <c r="AZ120" s="8"/>
      <c r="BA120" s="8"/>
      <c r="BB120" s="8"/>
      <c r="BC120" s="8"/>
      <c r="BD120" s="8"/>
      <c r="BK120" s="24"/>
    </row>
    <row r="121" spans="2:63" ht="14.25" hidden="1" customHeight="1" outlineLevel="1">
      <c r="B121" s="60"/>
      <c r="C121" s="407"/>
      <c r="D121" s="408"/>
      <c r="E121" s="408"/>
      <c r="F121" s="145"/>
      <c r="G121" s="145"/>
      <c r="H121" s="145"/>
      <c r="I121" s="145"/>
      <c r="J121" s="145"/>
      <c r="K121" s="145"/>
      <c r="L121" s="145"/>
      <c r="M121" s="145"/>
      <c r="N121" s="145"/>
      <c r="O121" s="145"/>
      <c r="P121" s="145"/>
      <c r="Q121" s="409"/>
      <c r="R121" s="409"/>
      <c r="S121" s="409"/>
      <c r="T121" s="409"/>
      <c r="U121" s="409"/>
      <c r="V121" s="409"/>
      <c r="W121" s="409"/>
      <c r="X121" s="409"/>
      <c r="Y121" s="409"/>
      <c r="Z121" s="409"/>
      <c r="AA121" s="409"/>
      <c r="AB121" s="409"/>
      <c r="AC121" s="409"/>
      <c r="AD121" s="409"/>
      <c r="AE121" s="409"/>
      <c r="AF121" s="409"/>
      <c r="AG121" s="409"/>
      <c r="AH121" s="409"/>
      <c r="AI121" s="409"/>
      <c r="AJ121" s="409"/>
      <c r="AK121" s="409"/>
      <c r="AL121" s="409"/>
      <c r="AM121" s="409"/>
      <c r="AN121" s="409"/>
      <c r="AO121" s="409"/>
      <c r="AP121" s="409"/>
      <c r="AQ121" s="409"/>
      <c r="AR121" s="409"/>
      <c r="AS121" s="8"/>
      <c r="AT121" s="8"/>
      <c r="AU121" s="8"/>
      <c r="AV121" s="8"/>
      <c r="AW121" s="8"/>
      <c r="AX121" s="8"/>
      <c r="AY121" s="8"/>
      <c r="AZ121" s="8"/>
      <c r="BA121" s="8"/>
      <c r="BB121" s="8"/>
      <c r="BC121" s="8"/>
      <c r="BD121" s="8"/>
      <c r="BK121" s="24"/>
    </row>
    <row r="122" spans="2:63" ht="17.25" hidden="1" customHeight="1" outlineLevel="1">
      <c r="B122" s="265" t="s">
        <v>10</v>
      </c>
      <c r="C122" s="265"/>
      <c r="D122" s="265"/>
      <c r="E122" s="265"/>
      <c r="F122" s="265"/>
      <c r="G122" s="265"/>
      <c r="H122" s="265"/>
      <c r="I122" s="265"/>
      <c r="J122" s="265"/>
      <c r="K122" s="265"/>
      <c r="L122" s="265"/>
      <c r="M122" s="265"/>
      <c r="N122" s="265"/>
      <c r="O122" s="265"/>
      <c r="P122" s="265"/>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65"/>
      <c r="AN122" s="265"/>
      <c r="AO122" s="265"/>
      <c r="AP122" s="265"/>
      <c r="AQ122" s="265"/>
      <c r="AR122" s="265"/>
      <c r="AS122" s="8"/>
      <c r="AT122" s="8"/>
      <c r="AU122" s="8"/>
      <c r="AV122" s="8"/>
      <c r="AW122" s="8"/>
      <c r="AX122" s="8"/>
      <c r="AY122" s="8"/>
      <c r="AZ122" s="8"/>
      <c r="BA122" s="8"/>
      <c r="BB122" s="8"/>
      <c r="BC122" s="8"/>
      <c r="BD122" s="8"/>
      <c r="BK122" s="24"/>
    </row>
    <row r="123" spans="2:63" ht="14.25" hidden="1" customHeight="1" outlineLevel="1">
      <c r="B123" s="726" t="s">
        <v>157</v>
      </c>
      <c r="C123" s="733"/>
      <c r="D123" s="734">
        <v>0.35</v>
      </c>
      <c r="E123" s="734">
        <v>0.35</v>
      </c>
      <c r="F123" s="735">
        <v>0.35</v>
      </c>
      <c r="G123" s="735">
        <v>0.35</v>
      </c>
      <c r="H123" s="736">
        <f t="shared" ref="H123:AR123" si="108">H70</f>
        <v>0.35</v>
      </c>
      <c r="I123" s="736">
        <f t="shared" si="108"/>
        <v>0.15</v>
      </c>
      <c r="J123" s="736">
        <f t="shared" si="108"/>
        <v>0.15</v>
      </c>
      <c r="K123" s="736">
        <f t="shared" si="108"/>
        <v>0.15</v>
      </c>
      <c r="L123" s="736">
        <f t="shared" si="108"/>
        <v>0.15</v>
      </c>
      <c r="M123" s="736"/>
      <c r="N123" s="736"/>
      <c r="O123" s="736"/>
      <c r="P123" s="736"/>
      <c r="Q123" s="736">
        <f t="shared" si="108"/>
        <v>0.15</v>
      </c>
      <c r="R123" s="736"/>
      <c r="S123" s="736"/>
      <c r="T123" s="736"/>
      <c r="U123" s="736"/>
      <c r="V123" s="736">
        <f t="shared" si="108"/>
        <v>0.15</v>
      </c>
      <c r="W123" s="736"/>
      <c r="X123" s="736"/>
      <c r="Y123" s="736"/>
      <c r="Z123" s="736"/>
      <c r="AA123" s="736">
        <f t="shared" si="108"/>
        <v>0.15</v>
      </c>
      <c r="AB123" s="736"/>
      <c r="AC123" s="736"/>
      <c r="AD123" s="736"/>
      <c r="AE123" s="736"/>
      <c r="AF123" s="736">
        <f t="shared" si="108"/>
        <v>0.15</v>
      </c>
      <c r="AG123" s="736">
        <f t="shared" si="108"/>
        <v>0.15</v>
      </c>
      <c r="AH123" s="736">
        <f t="shared" si="108"/>
        <v>0.15</v>
      </c>
      <c r="AI123" s="736">
        <f t="shared" si="108"/>
        <v>0.15</v>
      </c>
      <c r="AJ123" s="736">
        <f t="shared" si="108"/>
        <v>0.15</v>
      </c>
      <c r="AK123" s="736">
        <f t="shared" si="108"/>
        <v>0.15</v>
      </c>
      <c r="AL123" s="736">
        <f t="shared" si="108"/>
        <v>0.15</v>
      </c>
      <c r="AM123" s="736">
        <f t="shared" si="108"/>
        <v>0.15</v>
      </c>
      <c r="AN123" s="736">
        <f t="shared" si="108"/>
        <v>0.15</v>
      </c>
      <c r="AO123" s="736">
        <f t="shared" si="108"/>
        <v>0.15</v>
      </c>
      <c r="AP123" s="736">
        <f t="shared" si="108"/>
        <v>0.15</v>
      </c>
      <c r="AQ123" s="736">
        <f t="shared" si="108"/>
        <v>0.15</v>
      </c>
      <c r="AR123" s="736">
        <f t="shared" si="108"/>
        <v>0.15</v>
      </c>
      <c r="AS123" s="36"/>
      <c r="AT123" s="36"/>
      <c r="AU123" s="36"/>
      <c r="AV123" s="36"/>
      <c r="AW123" s="36"/>
      <c r="AX123" s="36"/>
      <c r="AY123" s="36"/>
      <c r="AZ123" s="36"/>
      <c r="BA123" s="36"/>
      <c r="BB123" s="36"/>
      <c r="BC123" s="36"/>
      <c r="BD123" s="36"/>
      <c r="BK123" s="24"/>
    </row>
    <row r="124" spans="2:63" ht="14.25" hidden="1" customHeight="1" outlineLevel="1">
      <c r="B124" s="410" t="s">
        <v>249</v>
      </c>
      <c r="C124" s="36"/>
      <c r="D124" s="126">
        <v>0</v>
      </c>
      <c r="E124" s="126">
        <v>0</v>
      </c>
      <c r="F124" s="126">
        <v>0</v>
      </c>
      <c r="G124" s="126">
        <v>0</v>
      </c>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4"/>
      <c r="AT124" s="24"/>
      <c r="AU124" s="24"/>
      <c r="AV124" s="24"/>
      <c r="AW124" s="24"/>
      <c r="AX124" s="24"/>
      <c r="AY124" s="24"/>
      <c r="AZ124" s="24"/>
      <c r="BA124" s="24"/>
      <c r="BB124" s="24"/>
      <c r="BC124" s="24"/>
      <c r="BD124" s="24"/>
      <c r="BK124" s="24"/>
    </row>
    <row r="125" spans="2:63" ht="14.25" hidden="1" customHeight="1" outlineLevel="1">
      <c r="B125" s="444" t="s">
        <v>158</v>
      </c>
      <c r="C125" s="737"/>
      <c r="D125" s="738">
        <v>0</v>
      </c>
      <c r="E125" s="738">
        <v>0</v>
      </c>
      <c r="F125" s="738">
        <v>0</v>
      </c>
      <c r="G125" s="738">
        <v>0</v>
      </c>
      <c r="H125" s="739">
        <v>0</v>
      </c>
      <c r="I125" s="739">
        <v>0</v>
      </c>
      <c r="J125" s="739">
        <v>0</v>
      </c>
      <c r="K125" s="739">
        <v>0</v>
      </c>
      <c r="L125" s="739">
        <v>0</v>
      </c>
      <c r="M125" s="739"/>
      <c r="N125" s="739"/>
      <c r="O125" s="739"/>
      <c r="P125" s="739"/>
      <c r="Q125" s="739">
        <v>0</v>
      </c>
      <c r="R125" s="739"/>
      <c r="S125" s="739"/>
      <c r="T125" s="739"/>
      <c r="U125" s="739"/>
      <c r="V125" s="739">
        <v>0</v>
      </c>
      <c r="W125" s="739"/>
      <c r="X125" s="739"/>
      <c r="Y125" s="739"/>
      <c r="Z125" s="739"/>
      <c r="AA125" s="739">
        <v>0</v>
      </c>
      <c r="AB125" s="739"/>
      <c r="AC125" s="739"/>
      <c r="AD125" s="739"/>
      <c r="AE125" s="739"/>
      <c r="AF125" s="739">
        <v>0</v>
      </c>
      <c r="AG125" s="739">
        <v>0</v>
      </c>
      <c r="AH125" s="739">
        <v>0</v>
      </c>
      <c r="AI125" s="739">
        <v>0</v>
      </c>
      <c r="AJ125" s="739">
        <v>0</v>
      </c>
      <c r="AK125" s="739">
        <v>0</v>
      </c>
      <c r="AL125" s="739">
        <v>0</v>
      </c>
      <c r="AM125" s="739">
        <v>0</v>
      </c>
      <c r="AN125" s="739">
        <v>0</v>
      </c>
      <c r="AO125" s="739">
        <v>0</v>
      </c>
      <c r="AP125" s="739">
        <v>0</v>
      </c>
      <c r="AQ125" s="739">
        <v>0</v>
      </c>
      <c r="AR125" s="739">
        <v>0</v>
      </c>
      <c r="AS125" s="36"/>
      <c r="AT125" s="36"/>
      <c r="AU125" s="36"/>
      <c r="AV125" s="36"/>
      <c r="AW125" s="36"/>
      <c r="AX125" s="36"/>
      <c r="AY125" s="36"/>
      <c r="AZ125" s="36"/>
      <c r="BA125" s="36"/>
      <c r="BB125" s="36"/>
      <c r="BC125" s="36"/>
      <c r="BD125" s="36"/>
      <c r="BK125" s="24"/>
    </row>
    <row r="126" spans="2:63" ht="14.25" hidden="1" customHeight="1" outlineLevel="1">
      <c r="B126" s="74"/>
      <c r="C126" s="53"/>
      <c r="D126" s="124"/>
      <c r="E126" s="124"/>
      <c r="F126" s="124"/>
      <c r="G126" s="124"/>
      <c r="H126" s="54"/>
      <c r="I126" s="54"/>
      <c r="J126" s="54"/>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8"/>
      <c r="AT126" s="8"/>
      <c r="AU126" s="8"/>
      <c r="AV126" s="8"/>
      <c r="AW126" s="8"/>
      <c r="AX126" s="8"/>
      <c r="AY126" s="8"/>
      <c r="AZ126" s="8"/>
      <c r="BA126" s="8"/>
      <c r="BB126" s="8"/>
      <c r="BC126" s="8"/>
      <c r="BD126" s="8"/>
      <c r="BK126" s="24"/>
    </row>
    <row r="127" spans="2:63" ht="14.25" hidden="1" customHeight="1" outlineLevel="1">
      <c r="B127" s="136" t="s">
        <v>214</v>
      </c>
      <c r="C127" s="129"/>
      <c r="D127" s="731">
        <f t="shared" ref="D127:AR127" si="109">D5</f>
        <v>2006</v>
      </c>
      <c r="E127" s="731">
        <f t="shared" si="109"/>
        <v>2007</v>
      </c>
      <c r="F127" s="731">
        <f t="shared" si="109"/>
        <v>2008</v>
      </c>
      <c r="G127" s="731">
        <f t="shared" si="109"/>
        <v>2009</v>
      </c>
      <c r="H127" s="732">
        <f t="shared" si="109"/>
        <v>2010</v>
      </c>
      <c r="I127" s="731">
        <f t="shared" si="109"/>
        <v>2011</v>
      </c>
      <c r="J127" s="731">
        <f t="shared" si="109"/>
        <v>2012</v>
      </c>
      <c r="K127" s="731">
        <f t="shared" si="109"/>
        <v>2013</v>
      </c>
      <c r="L127" s="732">
        <f t="shared" si="109"/>
        <v>2014</v>
      </c>
      <c r="M127" s="732"/>
      <c r="N127" s="732"/>
      <c r="O127" s="732"/>
      <c r="P127" s="732"/>
      <c r="Q127" s="732">
        <f t="shared" si="109"/>
        <v>2015</v>
      </c>
      <c r="R127" s="732"/>
      <c r="S127" s="732"/>
      <c r="T127" s="732"/>
      <c r="U127" s="732"/>
      <c r="V127" s="732">
        <f t="shared" si="109"/>
        <v>2016</v>
      </c>
      <c r="W127" s="732"/>
      <c r="X127" s="732"/>
      <c r="Y127" s="732"/>
      <c r="Z127" s="732"/>
      <c r="AA127" s="732">
        <f t="shared" si="109"/>
        <v>2017</v>
      </c>
      <c r="AB127" s="732"/>
      <c r="AC127" s="732"/>
      <c r="AD127" s="732"/>
      <c r="AE127" s="732"/>
      <c r="AF127" s="732">
        <f t="shared" si="109"/>
        <v>2018</v>
      </c>
      <c r="AG127" s="732">
        <f t="shared" si="109"/>
        <v>2019</v>
      </c>
      <c r="AH127" s="732">
        <f t="shared" si="109"/>
        <v>2020</v>
      </c>
      <c r="AI127" s="732">
        <f t="shared" si="109"/>
        <v>2021</v>
      </c>
      <c r="AJ127" s="732" t="str">
        <f t="shared" si="109"/>
        <v>2022E</v>
      </c>
      <c r="AK127" s="732" t="str">
        <f t="shared" si="109"/>
        <v>2023E</v>
      </c>
      <c r="AL127" s="732" t="str">
        <f t="shared" si="109"/>
        <v>2024E</v>
      </c>
      <c r="AM127" s="732" t="str">
        <f t="shared" si="109"/>
        <v>2025E</v>
      </c>
      <c r="AN127" s="732" t="str">
        <f t="shared" si="109"/>
        <v>2026E</v>
      </c>
      <c r="AO127" s="732" t="str">
        <f t="shared" si="109"/>
        <v>2027E</v>
      </c>
      <c r="AP127" s="732" t="str">
        <f t="shared" si="109"/>
        <v>2028E</v>
      </c>
      <c r="AQ127" s="732" t="str">
        <f t="shared" si="109"/>
        <v>2029E</v>
      </c>
      <c r="AR127" s="732" t="str">
        <f t="shared" si="109"/>
        <v>2030E</v>
      </c>
      <c r="AS127" s="26"/>
      <c r="AT127" s="26"/>
      <c r="AU127" s="26"/>
      <c r="AV127" s="26"/>
      <c r="AW127" s="26"/>
      <c r="AX127" s="26"/>
      <c r="AY127" s="26"/>
      <c r="AZ127" s="26"/>
      <c r="BA127" s="26"/>
      <c r="BB127" s="26"/>
      <c r="BC127" s="26"/>
      <c r="BD127" s="26"/>
      <c r="BK127" s="24"/>
    </row>
    <row r="128" spans="2:63" ht="14.25" hidden="1" customHeight="1" outlineLevel="2">
      <c r="B128" s="445" t="s">
        <v>84</v>
      </c>
      <c r="C128" s="372"/>
      <c r="D128" s="372"/>
      <c r="E128" s="372"/>
      <c r="F128" s="372"/>
      <c r="G128" s="372"/>
      <c r="H128" s="372"/>
      <c r="I128" s="372"/>
      <c r="J128" s="372"/>
      <c r="K128" s="372"/>
      <c r="L128" s="372"/>
      <c r="M128" s="372"/>
      <c r="N128" s="372"/>
      <c r="O128" s="372"/>
      <c r="P128" s="372"/>
      <c r="Q128" s="372"/>
      <c r="R128" s="372"/>
      <c r="S128" s="372"/>
      <c r="T128" s="372"/>
      <c r="U128" s="372"/>
      <c r="V128" s="372"/>
      <c r="W128" s="372"/>
      <c r="X128" s="372"/>
      <c r="Y128" s="372"/>
      <c r="Z128" s="372"/>
      <c r="AA128" s="372"/>
      <c r="AB128" s="372"/>
      <c r="AC128" s="372"/>
      <c r="AD128" s="372"/>
      <c r="AE128" s="372"/>
      <c r="AF128" s="372"/>
      <c r="AG128" s="372"/>
      <c r="AH128" s="372"/>
      <c r="AI128" s="372"/>
      <c r="AJ128" s="372"/>
      <c r="AK128" s="372"/>
      <c r="AL128" s="372"/>
      <c r="AM128" s="372"/>
      <c r="AN128" s="372"/>
      <c r="AO128" s="372"/>
      <c r="AP128" s="372"/>
      <c r="AQ128" s="372"/>
      <c r="AR128" s="372"/>
      <c r="AS128" s="26"/>
      <c r="AT128" s="26"/>
      <c r="AU128" s="26"/>
      <c r="AV128" s="26"/>
      <c r="AW128" s="26"/>
      <c r="AX128" s="26"/>
      <c r="AY128" s="26"/>
      <c r="AZ128" s="26"/>
      <c r="BA128" s="26"/>
      <c r="BB128" s="26"/>
      <c r="BC128" s="26"/>
      <c r="BD128" s="26"/>
      <c r="BK128" s="24"/>
    </row>
    <row r="129" spans="2:63" ht="14.25" hidden="1" customHeight="1" outlineLevel="2">
      <c r="B129" s="152" t="s">
        <v>207</v>
      </c>
      <c r="C129" s="129"/>
      <c r="D129" s="155"/>
      <c r="E129" s="156"/>
      <c r="F129" s="155">
        <f>F131</f>
        <v>130.96899999999999</v>
      </c>
      <c r="G129" s="130">
        <f>F131</f>
        <v>130.96899999999999</v>
      </c>
      <c r="H129" s="130">
        <f>G131</f>
        <v>51.434999999999988</v>
      </c>
      <c r="I129" s="156">
        <f>H131</f>
        <v>0</v>
      </c>
      <c r="J129" s="130"/>
      <c r="K129" s="130"/>
      <c r="L129" s="130"/>
      <c r="M129" s="130"/>
      <c r="N129" s="130"/>
      <c r="O129" s="130"/>
      <c r="P129" s="130"/>
      <c r="Q129" s="130"/>
      <c r="R129" s="130"/>
      <c r="S129" s="130"/>
      <c r="T129" s="130"/>
      <c r="U129" s="130"/>
      <c r="V129" s="130"/>
      <c r="W129" s="130"/>
      <c r="X129" s="130"/>
      <c r="Y129" s="130"/>
      <c r="Z129" s="130"/>
      <c r="AA129" s="130"/>
      <c r="AB129" s="130"/>
      <c r="AC129" s="130"/>
      <c r="AD129" s="130"/>
      <c r="AE129" s="130"/>
      <c r="AF129" s="130"/>
      <c r="AG129" s="130"/>
      <c r="AH129" s="130"/>
      <c r="AI129" s="130"/>
      <c r="AJ129" s="130"/>
      <c r="AK129" s="130"/>
      <c r="AL129" s="130"/>
      <c r="AM129" s="130"/>
      <c r="AN129" s="130"/>
      <c r="AO129" s="130"/>
      <c r="AP129" s="130"/>
      <c r="AQ129" s="130"/>
      <c r="AR129" s="130"/>
      <c r="AS129" s="26"/>
      <c r="AT129" s="26"/>
      <c r="AU129" s="26"/>
      <c r="AV129" s="26"/>
      <c r="AW129" s="26"/>
      <c r="AX129" s="26"/>
      <c r="AY129" s="26"/>
      <c r="AZ129" s="26"/>
      <c r="BA129" s="26"/>
      <c r="BB129" s="26"/>
      <c r="BC129" s="26"/>
      <c r="BD129" s="26"/>
      <c r="BK129" s="24"/>
    </row>
    <row r="130" spans="2:63" ht="14.25" hidden="1" customHeight="1" outlineLevel="2">
      <c r="B130" s="153" t="s">
        <v>208</v>
      </c>
      <c r="C130" s="153"/>
      <c r="D130" s="154"/>
      <c r="E130" s="154"/>
      <c r="F130" s="154"/>
      <c r="G130" s="178">
        <v>-79.534000000000006</v>
      </c>
      <c r="H130" s="178">
        <f>-H129</f>
        <v>-51.434999999999988</v>
      </c>
      <c r="I130" s="154">
        <f>+IF(I127=$C$135,-I129,0)</f>
        <v>0</v>
      </c>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154"/>
      <c r="AG130" s="154"/>
      <c r="AH130" s="154"/>
      <c r="AI130" s="154"/>
      <c r="AJ130" s="154"/>
      <c r="AK130" s="154"/>
      <c r="AL130" s="154"/>
      <c r="AM130" s="154"/>
      <c r="AN130" s="154"/>
      <c r="AO130" s="154"/>
      <c r="AP130" s="154"/>
      <c r="AQ130" s="154"/>
      <c r="AR130" s="154"/>
      <c r="AS130" s="26"/>
      <c r="AT130" s="26"/>
      <c r="AU130" s="26"/>
      <c r="AV130" s="26"/>
      <c r="AW130" s="26"/>
      <c r="AX130" s="26"/>
      <c r="AY130" s="26"/>
      <c r="AZ130" s="26"/>
      <c r="BA130" s="26"/>
      <c r="BB130" s="26"/>
      <c r="BC130" s="26"/>
      <c r="BD130" s="26"/>
      <c r="BK130" s="24"/>
    </row>
    <row r="131" spans="2:63" ht="14.25" hidden="1" customHeight="1" outlineLevel="2">
      <c r="B131" s="136" t="s">
        <v>209</v>
      </c>
      <c r="C131" s="136"/>
      <c r="D131" s="137"/>
      <c r="E131" s="137"/>
      <c r="F131" s="183">
        <v>130.96899999999999</v>
      </c>
      <c r="G131" s="137">
        <f>SUM(G129:G130)</f>
        <v>51.434999999999988</v>
      </c>
      <c r="H131" s="137">
        <f>SUM(H129:H130)</f>
        <v>0</v>
      </c>
      <c r="I131" s="137">
        <f>SUM(I129:I130)</f>
        <v>0</v>
      </c>
      <c r="J131" s="130"/>
      <c r="K131" s="130"/>
      <c r="L131" s="130"/>
      <c r="M131" s="130"/>
      <c r="N131" s="130"/>
      <c r="O131" s="130"/>
      <c r="P131" s="130"/>
      <c r="Q131" s="130"/>
      <c r="R131" s="130"/>
      <c r="S131" s="130"/>
      <c r="T131" s="130"/>
      <c r="U131" s="130"/>
      <c r="V131" s="130"/>
      <c r="W131" s="130"/>
      <c r="X131" s="130"/>
      <c r="Y131" s="130"/>
      <c r="Z131" s="130"/>
      <c r="AA131" s="130"/>
      <c r="AB131" s="130"/>
      <c r="AC131" s="130"/>
      <c r="AD131" s="130"/>
      <c r="AE131" s="130"/>
      <c r="AF131" s="130"/>
      <c r="AG131" s="130"/>
      <c r="AH131" s="130"/>
      <c r="AI131" s="130"/>
      <c r="AJ131" s="130"/>
      <c r="AK131" s="130"/>
      <c r="AL131" s="130"/>
      <c r="AM131" s="130"/>
      <c r="AN131" s="130"/>
      <c r="AO131" s="130"/>
      <c r="AP131" s="130"/>
      <c r="AQ131" s="130"/>
      <c r="AR131" s="130"/>
      <c r="AS131" s="26"/>
      <c r="AT131" s="26"/>
      <c r="AU131" s="26"/>
      <c r="AV131" s="26"/>
      <c r="AW131" s="26"/>
      <c r="AX131" s="26"/>
      <c r="AY131" s="26"/>
      <c r="AZ131" s="26"/>
      <c r="BA131" s="26"/>
      <c r="BB131" s="26"/>
      <c r="BC131" s="26"/>
      <c r="BD131" s="26"/>
      <c r="BK131" s="24"/>
    </row>
    <row r="132" spans="2:63" ht="14.25" hidden="1" customHeight="1" outlineLevel="2">
      <c r="B132" s="129"/>
      <c r="C132" s="129"/>
      <c r="D132" s="130"/>
      <c r="E132" s="130"/>
      <c r="F132" s="130"/>
      <c r="G132" s="130"/>
      <c r="H132" s="130"/>
      <c r="I132" s="130"/>
      <c r="J132" s="130"/>
      <c r="K132" s="130"/>
      <c r="L132" s="130"/>
      <c r="M132" s="130"/>
      <c r="N132" s="130"/>
      <c r="O132" s="130"/>
      <c r="P132" s="130"/>
      <c r="Q132" s="130"/>
      <c r="R132" s="130"/>
      <c r="S132" s="130"/>
      <c r="T132" s="130"/>
      <c r="U132" s="130"/>
      <c r="V132" s="130"/>
      <c r="W132" s="130"/>
      <c r="X132" s="130"/>
      <c r="Y132" s="130"/>
      <c r="Z132" s="130"/>
      <c r="AA132" s="130"/>
      <c r="AB132" s="130"/>
      <c r="AC132" s="130"/>
      <c r="AD132" s="130"/>
      <c r="AE132" s="130"/>
      <c r="AF132" s="130"/>
      <c r="AG132" s="130"/>
      <c r="AH132" s="130"/>
      <c r="AI132" s="130"/>
      <c r="AJ132" s="130"/>
      <c r="AK132" s="130"/>
      <c r="AL132" s="130"/>
      <c r="AM132" s="130"/>
      <c r="AN132" s="130"/>
      <c r="AO132" s="130"/>
      <c r="AP132" s="130"/>
      <c r="AQ132" s="130"/>
      <c r="AR132" s="130"/>
      <c r="AS132" s="26"/>
      <c r="AT132" s="26"/>
      <c r="AU132" s="26"/>
      <c r="AV132" s="26"/>
      <c r="AW132" s="26"/>
      <c r="AX132" s="26"/>
      <c r="AY132" s="26"/>
      <c r="AZ132" s="26"/>
      <c r="BA132" s="26"/>
      <c r="BB132" s="26"/>
      <c r="BC132" s="26"/>
      <c r="BD132" s="26"/>
      <c r="BK132" s="24"/>
    </row>
    <row r="133" spans="2:63" ht="14.25" hidden="1" customHeight="1" outlineLevel="2">
      <c r="B133" s="129" t="s">
        <v>223</v>
      </c>
      <c r="C133" s="129"/>
      <c r="D133" s="131"/>
      <c r="E133" s="131"/>
      <c r="F133" s="131">
        <v>3.5000000000000003E-2</v>
      </c>
      <c r="G133" s="305">
        <f>F133</f>
        <v>3.5000000000000003E-2</v>
      </c>
      <c r="H133" s="305">
        <f>G133</f>
        <v>3.5000000000000003E-2</v>
      </c>
      <c r="I133" s="305">
        <f>H133</f>
        <v>3.5000000000000003E-2</v>
      </c>
      <c r="J133" s="305"/>
      <c r="K133" s="132"/>
      <c r="L133" s="132"/>
      <c r="M133" s="132"/>
      <c r="N133" s="132"/>
      <c r="O133" s="132"/>
      <c r="P133" s="132"/>
      <c r="Q133" s="132"/>
      <c r="R133" s="132"/>
      <c r="S133" s="132"/>
      <c r="T133" s="132"/>
      <c r="U133" s="132"/>
      <c r="V133" s="132"/>
      <c r="W133" s="132"/>
      <c r="X133" s="132"/>
      <c r="Y133" s="132"/>
      <c r="Z133" s="132"/>
      <c r="AA133" s="132"/>
      <c r="AB133" s="132"/>
      <c r="AC133" s="132"/>
      <c r="AD133" s="132"/>
      <c r="AE133" s="132"/>
      <c r="AF133" s="132"/>
      <c r="AG133" s="132"/>
      <c r="AH133" s="132"/>
      <c r="AI133" s="132"/>
      <c r="AJ133" s="132"/>
      <c r="AK133" s="132"/>
      <c r="AL133" s="132"/>
      <c r="AM133" s="132"/>
      <c r="AN133" s="132"/>
      <c r="AO133" s="132"/>
      <c r="AP133" s="132"/>
      <c r="AQ133" s="132"/>
      <c r="AR133" s="132"/>
      <c r="AS133" s="26"/>
      <c r="AT133" s="26"/>
      <c r="AU133" s="26"/>
      <c r="AV133" s="26"/>
      <c r="AW133" s="26"/>
      <c r="AX133" s="26"/>
      <c r="AY133" s="26"/>
      <c r="AZ133" s="26"/>
      <c r="BA133" s="26"/>
      <c r="BB133" s="26"/>
      <c r="BC133" s="26"/>
      <c r="BD133" s="26"/>
      <c r="BK133" s="24"/>
    </row>
    <row r="134" spans="2:63" ht="14.25" hidden="1" customHeight="1" outlineLevel="2">
      <c r="B134" s="129" t="s">
        <v>224</v>
      </c>
      <c r="C134" s="129"/>
      <c r="D134" s="130"/>
      <c r="E134" s="130"/>
      <c r="F134" s="130">
        <f>AVERAGE(F129,F131)*F133</f>
        <v>4.5839150000000002</v>
      </c>
      <c r="G134" s="130">
        <f>AVERAGE(G129,G131)*G133</f>
        <v>3.1920700000000002</v>
      </c>
      <c r="H134" s="130">
        <f>H129*H133*(2/12)</f>
        <v>0.30003749999999996</v>
      </c>
      <c r="I134" s="177">
        <f>0.25*I133*I129</f>
        <v>0</v>
      </c>
      <c r="J134" s="177"/>
      <c r="K134" s="177"/>
      <c r="L134" s="177"/>
      <c r="M134" s="177"/>
      <c r="N134" s="177"/>
      <c r="O134" s="177"/>
      <c r="P134" s="177"/>
      <c r="Q134" s="177"/>
      <c r="R134" s="177"/>
      <c r="S134" s="177"/>
      <c r="T134" s="177"/>
      <c r="U134" s="177"/>
      <c r="V134" s="177"/>
      <c r="W134" s="177"/>
      <c r="X134" s="177"/>
      <c r="Y134" s="177"/>
      <c r="Z134" s="177"/>
      <c r="AA134" s="177"/>
      <c r="AB134" s="177"/>
      <c r="AC134" s="177"/>
      <c r="AD134" s="177"/>
      <c r="AE134" s="177"/>
      <c r="AF134" s="177"/>
      <c r="AG134" s="177"/>
      <c r="AH134" s="177"/>
      <c r="AI134" s="177"/>
      <c r="AJ134" s="177"/>
      <c r="AK134" s="177"/>
      <c r="AL134" s="177"/>
      <c r="AM134" s="177"/>
      <c r="AN134" s="177"/>
      <c r="AO134" s="177"/>
      <c r="AP134" s="177"/>
      <c r="AQ134" s="177"/>
      <c r="AR134" s="177"/>
      <c r="AS134" s="26"/>
      <c r="AT134" s="26"/>
      <c r="AU134" s="26"/>
      <c r="AV134" s="26"/>
      <c r="AW134" s="26"/>
      <c r="AX134" s="26"/>
      <c r="AY134" s="26"/>
      <c r="AZ134" s="26"/>
      <c r="BA134" s="26"/>
      <c r="BB134" s="26"/>
      <c r="BC134" s="26"/>
      <c r="BD134" s="26"/>
      <c r="BK134" s="24"/>
    </row>
    <row r="135" spans="2:63" ht="14.25" hidden="1" customHeight="1" outlineLevel="2">
      <c r="B135" s="129" t="s">
        <v>225</v>
      </c>
      <c r="C135" s="133">
        <v>2011</v>
      </c>
      <c r="D135" s="130"/>
      <c r="E135" s="130"/>
      <c r="F135" s="130"/>
      <c r="G135" s="130"/>
      <c r="H135" s="130"/>
      <c r="I135" s="177"/>
      <c r="J135" s="177"/>
      <c r="K135" s="177"/>
      <c r="L135" s="177"/>
      <c r="M135" s="177"/>
      <c r="N135" s="177"/>
      <c r="O135" s="177"/>
      <c r="P135" s="177"/>
      <c r="Q135" s="177"/>
      <c r="R135" s="177"/>
      <c r="S135" s="177"/>
      <c r="T135" s="177"/>
      <c r="U135" s="177"/>
      <c r="V135" s="177"/>
      <c r="W135" s="177"/>
      <c r="X135" s="177"/>
      <c r="Y135" s="177"/>
      <c r="Z135" s="177"/>
      <c r="AA135" s="177"/>
      <c r="AB135" s="177"/>
      <c r="AC135" s="177"/>
      <c r="AD135" s="177"/>
      <c r="AE135" s="177"/>
      <c r="AF135" s="177"/>
      <c r="AG135" s="177"/>
      <c r="AH135" s="177"/>
      <c r="AI135" s="177"/>
      <c r="AJ135" s="177"/>
      <c r="AK135" s="177"/>
      <c r="AL135" s="177"/>
      <c r="AM135" s="177"/>
      <c r="AN135" s="177"/>
      <c r="AO135" s="177"/>
      <c r="AP135" s="177"/>
      <c r="AQ135" s="177"/>
      <c r="AR135" s="177"/>
      <c r="AS135" s="26"/>
      <c r="AT135" s="26"/>
      <c r="AU135" s="26"/>
      <c r="AV135" s="26"/>
      <c r="AW135" s="26"/>
      <c r="AX135" s="26"/>
      <c r="AY135" s="26"/>
      <c r="AZ135" s="26"/>
      <c r="BA135" s="26"/>
      <c r="BB135" s="26"/>
      <c r="BC135" s="26"/>
      <c r="BD135" s="26"/>
      <c r="BK135" s="24"/>
    </row>
    <row r="136" spans="2:63" ht="14.25" hidden="1" customHeight="1" outlineLevel="2">
      <c r="B136" s="129" t="s">
        <v>226</v>
      </c>
      <c r="C136" s="259">
        <v>0.06</v>
      </c>
      <c r="D136" s="130"/>
      <c r="E136" s="130"/>
      <c r="F136" s="130"/>
      <c r="G136" s="130"/>
      <c r="H136" s="130"/>
      <c r="I136" s="177"/>
      <c r="J136" s="177"/>
      <c r="K136" s="177"/>
      <c r="L136" s="177"/>
      <c r="M136" s="177"/>
      <c r="N136" s="177"/>
      <c r="O136" s="177"/>
      <c r="P136" s="177"/>
      <c r="Q136" s="177"/>
      <c r="R136" s="177"/>
      <c r="S136" s="177"/>
      <c r="T136" s="177"/>
      <c r="U136" s="177"/>
      <c r="V136" s="177"/>
      <c r="W136" s="177"/>
      <c r="X136" s="177"/>
      <c r="Y136" s="177"/>
      <c r="Z136" s="177"/>
      <c r="AA136" s="177"/>
      <c r="AB136" s="177"/>
      <c r="AC136" s="177"/>
      <c r="AD136" s="177"/>
      <c r="AE136" s="177"/>
      <c r="AF136" s="177"/>
      <c r="AG136" s="177"/>
      <c r="AH136" s="177"/>
      <c r="AI136" s="177"/>
      <c r="AJ136" s="177"/>
      <c r="AK136" s="177"/>
      <c r="AL136" s="177"/>
      <c r="AM136" s="177"/>
      <c r="AN136" s="177"/>
      <c r="AO136" s="177"/>
      <c r="AP136" s="177"/>
      <c r="AQ136" s="177"/>
      <c r="AR136" s="177"/>
      <c r="AS136" s="26"/>
      <c r="AT136" s="26"/>
      <c r="AU136" s="26"/>
      <c r="AV136" s="26"/>
      <c r="AW136" s="26"/>
      <c r="AX136" s="26"/>
      <c r="AY136" s="26"/>
      <c r="AZ136" s="26"/>
      <c r="BA136" s="26"/>
      <c r="BB136" s="26"/>
      <c r="BC136" s="26"/>
      <c r="BD136" s="26"/>
      <c r="BK136" s="24"/>
    </row>
    <row r="137" spans="2:63" ht="14.25" hidden="1" customHeight="1" outlineLevel="2">
      <c r="B137" s="129" t="s">
        <v>227</v>
      </c>
      <c r="C137" s="130"/>
      <c r="D137" s="130"/>
      <c r="E137" s="130"/>
      <c r="F137" s="130">
        <f>-(PV($C$136,F138,F134)-F129/((1+$C$136)^F138))</f>
        <v>122.21695744977396</v>
      </c>
      <c r="G137" s="130">
        <f>-(PV($C$136,G138,G134)-G129/((1+$C$136)^G138))</f>
        <v>122.41426148095407</v>
      </c>
      <c r="H137" s="130">
        <f>-(PV($C$136,H138,H134)-H129/((1+$C$136)^H138))</f>
        <v>48.806639150943383</v>
      </c>
      <c r="I137" s="177">
        <f>-(PV($C$136,I138,I134)-I129/((1+$C$136)^I138))</f>
        <v>0</v>
      </c>
      <c r="J137" s="177"/>
      <c r="K137" s="177"/>
      <c r="L137" s="177"/>
      <c r="M137" s="177"/>
      <c r="N137" s="177"/>
      <c r="O137" s="177"/>
      <c r="P137" s="177"/>
      <c r="Q137" s="177"/>
      <c r="R137" s="177"/>
      <c r="S137" s="177"/>
      <c r="T137" s="177"/>
      <c r="U137" s="177"/>
      <c r="V137" s="177"/>
      <c r="W137" s="177"/>
      <c r="X137" s="177"/>
      <c r="Y137" s="177"/>
      <c r="Z137" s="177"/>
      <c r="AA137" s="177"/>
      <c r="AB137" s="177"/>
      <c r="AC137" s="177"/>
      <c r="AD137" s="177"/>
      <c r="AE137" s="177"/>
      <c r="AF137" s="177"/>
      <c r="AG137" s="177"/>
      <c r="AH137" s="177"/>
      <c r="AI137" s="177"/>
      <c r="AJ137" s="177"/>
      <c r="AK137" s="177"/>
      <c r="AL137" s="177"/>
      <c r="AM137" s="177"/>
      <c r="AN137" s="177"/>
      <c r="AO137" s="177"/>
      <c r="AP137" s="177"/>
      <c r="AQ137" s="177"/>
      <c r="AR137" s="177"/>
      <c r="AS137" s="26"/>
      <c r="AT137" s="26"/>
      <c r="AU137" s="26"/>
      <c r="AV137" s="26"/>
      <c r="AW137" s="26"/>
      <c r="AX137" s="26"/>
      <c r="AY137" s="26"/>
      <c r="AZ137" s="26"/>
      <c r="BA137" s="26"/>
      <c r="BB137" s="26"/>
      <c r="BC137" s="26"/>
      <c r="BD137" s="26"/>
      <c r="BK137" s="24"/>
    </row>
    <row r="138" spans="2:63" ht="14.25" hidden="1" customHeight="1" outlineLevel="2">
      <c r="B138" s="129" t="s">
        <v>231</v>
      </c>
      <c r="C138" s="130"/>
      <c r="D138" s="130"/>
      <c r="E138" s="130"/>
      <c r="F138" s="130">
        <f>$C$135-F127</f>
        <v>3</v>
      </c>
      <c r="G138" s="130">
        <f>$C$135-G127</f>
        <v>2</v>
      </c>
      <c r="H138" s="130">
        <f>$C$135-H127</f>
        <v>1</v>
      </c>
      <c r="I138" s="177">
        <f>$C$135-I127</f>
        <v>0</v>
      </c>
      <c r="J138" s="177"/>
      <c r="K138" s="177"/>
      <c r="L138" s="177"/>
      <c r="M138" s="177"/>
      <c r="N138" s="177"/>
      <c r="O138" s="177"/>
      <c r="P138" s="177"/>
      <c r="Q138" s="177"/>
      <c r="R138" s="177"/>
      <c r="S138" s="177"/>
      <c r="T138" s="177"/>
      <c r="U138" s="177"/>
      <c r="V138" s="177"/>
      <c r="W138" s="177"/>
      <c r="X138" s="177"/>
      <c r="Y138" s="177"/>
      <c r="Z138" s="177"/>
      <c r="AA138" s="177"/>
      <c r="AB138" s="177"/>
      <c r="AC138" s="177"/>
      <c r="AD138" s="177"/>
      <c r="AE138" s="177"/>
      <c r="AF138" s="177"/>
      <c r="AG138" s="177"/>
      <c r="AH138" s="177"/>
      <c r="AI138" s="177"/>
      <c r="AJ138" s="177"/>
      <c r="AK138" s="177"/>
      <c r="AL138" s="177"/>
      <c r="AM138" s="177"/>
      <c r="AN138" s="177"/>
      <c r="AO138" s="177"/>
      <c r="AP138" s="177"/>
      <c r="AQ138" s="177"/>
      <c r="AR138" s="177"/>
      <c r="AS138" s="26"/>
      <c r="AT138" s="26"/>
      <c r="AU138" s="26"/>
      <c r="AV138" s="26"/>
      <c r="AW138" s="26"/>
      <c r="AX138" s="26"/>
      <c r="AY138" s="26"/>
      <c r="AZ138" s="26"/>
      <c r="BA138" s="26"/>
      <c r="BB138" s="26"/>
      <c r="BC138" s="26"/>
      <c r="BD138" s="26"/>
      <c r="BK138" s="24"/>
    </row>
    <row r="139" spans="2:63" ht="14.25" hidden="1" customHeight="1" outlineLevel="2">
      <c r="B139" s="129" t="s">
        <v>228</v>
      </c>
      <c r="C139" s="130"/>
      <c r="D139" s="130"/>
      <c r="E139" s="130"/>
      <c r="F139" s="130">
        <f>$C$136*F137</f>
        <v>7.3330174469864371</v>
      </c>
      <c r="G139" s="130">
        <f>$C$136*G137</f>
        <v>7.344855688857244</v>
      </c>
      <c r="H139" s="130">
        <f>$C$136*H137</f>
        <v>2.9283983490566028</v>
      </c>
      <c r="I139" s="177">
        <f>$C$136*I137</f>
        <v>0</v>
      </c>
      <c r="J139" s="177"/>
      <c r="K139" s="177"/>
      <c r="L139" s="177"/>
      <c r="M139" s="177"/>
      <c r="N139" s="177"/>
      <c r="O139" s="177"/>
      <c r="P139" s="177"/>
      <c r="Q139" s="177"/>
      <c r="R139" s="177"/>
      <c r="S139" s="177"/>
      <c r="T139" s="177"/>
      <c r="U139" s="177"/>
      <c r="V139" s="177"/>
      <c r="W139" s="177"/>
      <c r="X139" s="177"/>
      <c r="Y139" s="177"/>
      <c r="Z139" s="177"/>
      <c r="AA139" s="177"/>
      <c r="AB139" s="177"/>
      <c r="AC139" s="177"/>
      <c r="AD139" s="177"/>
      <c r="AE139" s="177"/>
      <c r="AF139" s="177"/>
      <c r="AG139" s="177"/>
      <c r="AH139" s="177"/>
      <c r="AI139" s="177"/>
      <c r="AJ139" s="177"/>
      <c r="AK139" s="177"/>
      <c r="AL139" s="177"/>
      <c r="AM139" s="177"/>
      <c r="AN139" s="177"/>
      <c r="AO139" s="177"/>
      <c r="AP139" s="177"/>
      <c r="AQ139" s="177"/>
      <c r="AR139" s="177"/>
      <c r="AS139" s="26"/>
      <c r="AT139" s="26"/>
      <c r="AU139" s="26"/>
      <c r="AV139" s="26"/>
      <c r="AW139" s="26"/>
      <c r="AX139" s="26"/>
      <c r="AY139" s="26"/>
      <c r="AZ139" s="26"/>
      <c r="BA139" s="26"/>
      <c r="BB139" s="26"/>
      <c r="BC139" s="26"/>
      <c r="BD139" s="26"/>
      <c r="BK139" s="24"/>
    </row>
    <row r="140" spans="2:63" ht="14.25" hidden="1" customHeight="1" outlineLevel="2">
      <c r="B140" s="129" t="s">
        <v>229</v>
      </c>
      <c r="C140" s="130"/>
      <c r="D140" s="130"/>
      <c r="E140" s="130"/>
      <c r="F140" s="130">
        <f>F129-F137</f>
        <v>8.7520425502260366</v>
      </c>
      <c r="G140" s="130">
        <f>G129-G137</f>
        <v>8.5547385190459266</v>
      </c>
      <c r="H140" s="130">
        <f>H129-H137</f>
        <v>2.6283608490566053</v>
      </c>
      <c r="I140" s="177">
        <f>I129-I137</f>
        <v>0</v>
      </c>
      <c r="J140" s="177"/>
      <c r="K140" s="177"/>
      <c r="L140" s="177"/>
      <c r="M140" s="177"/>
      <c r="N140" s="177"/>
      <c r="O140" s="177"/>
      <c r="P140" s="177"/>
      <c r="Q140" s="177"/>
      <c r="R140" s="177"/>
      <c r="S140" s="177"/>
      <c r="T140" s="177"/>
      <c r="U140" s="177"/>
      <c r="V140" s="177"/>
      <c r="W140" s="177"/>
      <c r="X140" s="177"/>
      <c r="Y140" s="177"/>
      <c r="Z140" s="177"/>
      <c r="AA140" s="177"/>
      <c r="AB140" s="177"/>
      <c r="AC140" s="177"/>
      <c r="AD140" s="177"/>
      <c r="AE140" s="177"/>
      <c r="AF140" s="177"/>
      <c r="AG140" s="177"/>
      <c r="AH140" s="177"/>
      <c r="AI140" s="177"/>
      <c r="AJ140" s="177"/>
      <c r="AK140" s="177"/>
      <c r="AL140" s="177"/>
      <c r="AM140" s="177"/>
      <c r="AN140" s="177"/>
      <c r="AO140" s="177"/>
      <c r="AP140" s="177"/>
      <c r="AQ140" s="177"/>
      <c r="AR140" s="177"/>
      <c r="AS140" s="26"/>
      <c r="AT140" s="26"/>
      <c r="AU140" s="26"/>
      <c r="AV140" s="26"/>
      <c r="AW140" s="26"/>
      <c r="AX140" s="26"/>
      <c r="AY140" s="26"/>
      <c r="AZ140" s="26"/>
      <c r="BA140" s="26"/>
      <c r="BB140" s="26"/>
      <c r="BC140" s="26"/>
      <c r="BD140" s="26"/>
      <c r="BK140" s="24"/>
    </row>
    <row r="141" spans="2:63" ht="14.25" hidden="1" customHeight="1" outlineLevel="2">
      <c r="B141" s="134" t="s">
        <v>230</v>
      </c>
      <c r="C141" s="446"/>
      <c r="D141" s="446"/>
      <c r="E141" s="446"/>
      <c r="F141" s="446">
        <f>F139-F134</f>
        <v>2.7491024469864369</v>
      </c>
      <c r="G141" s="446">
        <f>G139-G134</f>
        <v>4.1527856888572439</v>
      </c>
      <c r="H141" s="446">
        <f>H139-H134</f>
        <v>2.6283608490566026</v>
      </c>
      <c r="I141" s="447">
        <f>I139-I134</f>
        <v>0</v>
      </c>
      <c r="J141" s="447"/>
      <c r="K141" s="447"/>
      <c r="L141" s="447"/>
      <c r="M141" s="447"/>
      <c r="N141" s="447"/>
      <c r="O141" s="447"/>
      <c r="P141" s="447"/>
      <c r="Q141" s="447"/>
      <c r="R141" s="447"/>
      <c r="S141" s="447"/>
      <c r="T141" s="447"/>
      <c r="U141" s="447"/>
      <c r="V141" s="447"/>
      <c r="W141" s="447"/>
      <c r="X141" s="447"/>
      <c r="Y141" s="447"/>
      <c r="Z141" s="447"/>
      <c r="AA141" s="447"/>
      <c r="AB141" s="447"/>
      <c r="AC141" s="447"/>
      <c r="AD141" s="447"/>
      <c r="AE141" s="447"/>
      <c r="AF141" s="447"/>
      <c r="AG141" s="447"/>
      <c r="AH141" s="447"/>
      <c r="AI141" s="447"/>
      <c r="AJ141" s="447"/>
      <c r="AK141" s="447"/>
      <c r="AL141" s="447"/>
      <c r="AM141" s="447"/>
      <c r="AN141" s="447"/>
      <c r="AO141" s="447"/>
      <c r="AP141" s="447"/>
      <c r="AQ141" s="447"/>
      <c r="AR141" s="447"/>
      <c r="AS141" s="26"/>
      <c r="AT141" s="26"/>
      <c r="AU141" s="26"/>
      <c r="AV141" s="26"/>
      <c r="AW141" s="26"/>
      <c r="AX141" s="26"/>
      <c r="AY141" s="26"/>
      <c r="AZ141" s="26"/>
      <c r="BA141" s="26"/>
      <c r="BB141" s="26"/>
      <c r="BC141" s="26"/>
      <c r="BD141" s="26"/>
      <c r="BK141" s="24"/>
    </row>
    <row r="142" spans="2:63" ht="14.25" hidden="1" customHeight="1" outlineLevel="2">
      <c r="B142" s="129"/>
      <c r="C142" s="130"/>
      <c r="D142" s="130"/>
      <c r="E142" s="130"/>
      <c r="F142" s="130"/>
      <c r="G142" s="130"/>
      <c r="H142" s="130"/>
      <c r="I142" s="177"/>
      <c r="J142" s="177"/>
      <c r="K142" s="177"/>
      <c r="L142" s="177"/>
      <c r="M142" s="177"/>
      <c r="N142" s="177"/>
      <c r="O142" s="177"/>
      <c r="P142" s="177"/>
      <c r="Q142" s="177"/>
      <c r="R142" s="177"/>
      <c r="S142" s="177"/>
      <c r="T142" s="177"/>
      <c r="U142" s="177"/>
      <c r="V142" s="177"/>
      <c r="W142" s="177"/>
      <c r="X142" s="177"/>
      <c r="Y142" s="177"/>
      <c r="Z142" s="177"/>
      <c r="AA142" s="177"/>
      <c r="AB142" s="177"/>
      <c r="AC142" s="177"/>
      <c r="AD142" s="177"/>
      <c r="AE142" s="177"/>
      <c r="AF142" s="177"/>
      <c r="AG142" s="177"/>
      <c r="AH142" s="177"/>
      <c r="AI142" s="177"/>
      <c r="AJ142" s="177"/>
      <c r="AK142" s="177"/>
      <c r="AL142" s="177"/>
      <c r="AM142" s="177"/>
      <c r="AN142" s="177"/>
      <c r="AO142" s="177"/>
      <c r="AP142" s="177"/>
      <c r="AQ142" s="177"/>
      <c r="AR142" s="177"/>
      <c r="AS142" s="26"/>
      <c r="AT142" s="26"/>
      <c r="AU142" s="26"/>
      <c r="AV142" s="26"/>
      <c r="AW142" s="26"/>
      <c r="AX142" s="26"/>
      <c r="AY142" s="26"/>
      <c r="AZ142" s="26"/>
      <c r="BA142" s="26"/>
      <c r="BB142" s="26"/>
      <c r="BC142" s="26"/>
      <c r="BD142" s="26"/>
      <c r="BK142" s="24"/>
    </row>
    <row r="143" spans="2:63" ht="14.25" hidden="1" customHeight="1" outlineLevel="2">
      <c r="B143" s="445" t="s">
        <v>84</v>
      </c>
      <c r="C143" s="372"/>
      <c r="D143" s="372"/>
      <c r="E143" s="372"/>
      <c r="F143" s="372"/>
      <c r="G143" s="372"/>
      <c r="H143" s="372"/>
      <c r="I143" s="372"/>
      <c r="J143" s="372"/>
      <c r="K143" s="372"/>
      <c r="L143" s="372"/>
      <c r="M143" s="372"/>
      <c r="N143" s="372"/>
      <c r="O143" s="372"/>
      <c r="P143" s="372"/>
      <c r="Q143" s="372"/>
      <c r="R143" s="372"/>
      <c r="S143" s="372"/>
      <c r="T143" s="372"/>
      <c r="U143" s="372"/>
      <c r="V143" s="372"/>
      <c r="W143" s="372"/>
      <c r="X143" s="372"/>
      <c r="Y143" s="372"/>
      <c r="Z143" s="372"/>
      <c r="AA143" s="372"/>
      <c r="AB143" s="372"/>
      <c r="AC143" s="372"/>
      <c r="AD143" s="372"/>
      <c r="AE143" s="372"/>
      <c r="AF143" s="372"/>
      <c r="AG143" s="372"/>
      <c r="AH143" s="372"/>
      <c r="AI143" s="372"/>
      <c r="AJ143" s="372"/>
      <c r="AK143" s="372"/>
      <c r="AL143" s="372"/>
      <c r="AM143" s="372"/>
      <c r="AN143" s="372"/>
      <c r="AO143" s="372"/>
      <c r="AP143" s="372"/>
      <c r="AQ143" s="372"/>
      <c r="AR143" s="372"/>
      <c r="AS143" s="26"/>
      <c r="AT143" s="26"/>
      <c r="AU143" s="26"/>
      <c r="AV143" s="26"/>
      <c r="AW143" s="26"/>
      <c r="AX143" s="26"/>
      <c r="AY143" s="26"/>
      <c r="AZ143" s="26"/>
      <c r="BA143" s="26"/>
      <c r="BB143" s="26"/>
      <c r="BC143" s="26"/>
      <c r="BD143" s="26"/>
      <c r="BK143" s="24"/>
    </row>
    <row r="144" spans="2:63" ht="14.25" hidden="1" customHeight="1" outlineLevel="2">
      <c r="B144" s="152" t="s">
        <v>207</v>
      </c>
      <c r="C144" s="129"/>
      <c r="D144" s="155"/>
      <c r="E144" s="156"/>
      <c r="F144" s="155">
        <f>F146</f>
        <v>250</v>
      </c>
      <c r="G144" s="130">
        <f>F146</f>
        <v>250</v>
      </c>
      <c r="H144" s="130">
        <f>G146</f>
        <v>119.011</v>
      </c>
      <c r="I144" s="156">
        <f>H146</f>
        <v>0</v>
      </c>
      <c r="J144" s="130"/>
      <c r="K144" s="130"/>
      <c r="L144" s="130"/>
      <c r="M144" s="130"/>
      <c r="N144" s="130"/>
      <c r="O144" s="130"/>
      <c r="P144" s="130"/>
      <c r="Q144" s="130"/>
      <c r="R144" s="130"/>
      <c r="S144" s="130"/>
      <c r="T144" s="130"/>
      <c r="U144" s="130"/>
      <c r="V144" s="130"/>
      <c r="W144" s="130"/>
      <c r="X144" s="130"/>
      <c r="Y144" s="130"/>
      <c r="Z144" s="130"/>
      <c r="AA144" s="130"/>
      <c r="AB144" s="130"/>
      <c r="AC144" s="130"/>
      <c r="AD144" s="130"/>
      <c r="AE144" s="130"/>
      <c r="AF144" s="130"/>
      <c r="AG144" s="130"/>
      <c r="AH144" s="130"/>
      <c r="AI144" s="130"/>
      <c r="AJ144" s="130"/>
      <c r="AK144" s="130"/>
      <c r="AL144" s="130"/>
      <c r="AM144" s="130"/>
      <c r="AN144" s="130"/>
      <c r="AO144" s="130"/>
      <c r="AP144" s="130"/>
      <c r="AQ144" s="130"/>
      <c r="AR144" s="130"/>
      <c r="AS144" s="26"/>
      <c r="AT144" s="26"/>
      <c r="AU144" s="26"/>
      <c r="AV144" s="26"/>
      <c r="AW144" s="26"/>
      <c r="AX144" s="26"/>
      <c r="AY144" s="26"/>
      <c r="AZ144" s="26"/>
      <c r="BA144" s="26"/>
      <c r="BB144" s="26"/>
      <c r="BC144" s="26"/>
      <c r="BD144" s="26"/>
      <c r="BK144" s="24"/>
    </row>
    <row r="145" spans="2:63" ht="14.25" hidden="1" customHeight="1" outlineLevel="2">
      <c r="B145" s="153" t="s">
        <v>208</v>
      </c>
      <c r="C145" s="153"/>
      <c r="D145" s="154"/>
      <c r="E145" s="154"/>
      <c r="F145" s="154"/>
      <c r="G145" s="178">
        <v>-130.989</v>
      </c>
      <c r="H145" s="178">
        <f>-H144</f>
        <v>-119.011</v>
      </c>
      <c r="I145" s="154">
        <f>+IF(I141=$C$135,-I144,0)</f>
        <v>0</v>
      </c>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154"/>
      <c r="AG145" s="154"/>
      <c r="AH145" s="154"/>
      <c r="AI145" s="154"/>
      <c r="AJ145" s="154"/>
      <c r="AK145" s="154"/>
      <c r="AL145" s="154"/>
      <c r="AM145" s="154"/>
      <c r="AN145" s="154"/>
      <c r="AO145" s="154"/>
      <c r="AP145" s="154"/>
      <c r="AQ145" s="154"/>
      <c r="AR145" s="154"/>
      <c r="AS145" s="26"/>
      <c r="AT145" s="26"/>
      <c r="AU145" s="26"/>
      <c r="AV145" s="26"/>
      <c r="AW145" s="26"/>
      <c r="AX145" s="26"/>
      <c r="AY145" s="26"/>
      <c r="AZ145" s="26"/>
      <c r="BA145" s="26"/>
      <c r="BB145" s="26"/>
      <c r="BC145" s="26"/>
      <c r="BD145" s="26"/>
      <c r="BK145" s="24"/>
    </row>
    <row r="146" spans="2:63" ht="14.25" hidden="1" customHeight="1" outlineLevel="2">
      <c r="B146" s="136" t="s">
        <v>209</v>
      </c>
      <c r="C146" s="136"/>
      <c r="D146" s="137"/>
      <c r="E146" s="137"/>
      <c r="F146" s="183">
        <v>250</v>
      </c>
      <c r="G146" s="137">
        <f>SUM(G144:G145)</f>
        <v>119.011</v>
      </c>
      <c r="H146" s="137">
        <f>SUM(H144:H145)</f>
        <v>0</v>
      </c>
      <c r="I146" s="137">
        <f>SUM(I144:I145)</f>
        <v>0</v>
      </c>
      <c r="J146" s="130"/>
      <c r="K146" s="130"/>
      <c r="L146" s="130"/>
      <c r="M146" s="130"/>
      <c r="N146" s="130"/>
      <c r="O146" s="130"/>
      <c r="P146" s="130"/>
      <c r="Q146" s="130"/>
      <c r="R146" s="130"/>
      <c r="S146" s="130"/>
      <c r="T146" s="130"/>
      <c r="U146" s="130"/>
      <c r="V146" s="130"/>
      <c r="W146" s="130"/>
      <c r="X146" s="130"/>
      <c r="Y146" s="130"/>
      <c r="Z146" s="130"/>
      <c r="AA146" s="130"/>
      <c r="AB146" s="130"/>
      <c r="AC146" s="130"/>
      <c r="AD146" s="130"/>
      <c r="AE146" s="130"/>
      <c r="AF146" s="130"/>
      <c r="AG146" s="130"/>
      <c r="AH146" s="130"/>
      <c r="AI146" s="130"/>
      <c r="AJ146" s="130"/>
      <c r="AK146" s="130"/>
      <c r="AL146" s="130"/>
      <c r="AM146" s="130"/>
      <c r="AN146" s="130"/>
      <c r="AO146" s="130"/>
      <c r="AP146" s="130"/>
      <c r="AQ146" s="130"/>
      <c r="AR146" s="130"/>
      <c r="AS146" s="26"/>
      <c r="AT146" s="26"/>
      <c r="AU146" s="26"/>
      <c r="AV146" s="26"/>
      <c r="AW146" s="26"/>
      <c r="AX146" s="26"/>
      <c r="AY146" s="26"/>
      <c r="AZ146" s="26"/>
      <c r="BA146" s="26"/>
      <c r="BB146" s="26"/>
      <c r="BC146" s="26"/>
      <c r="BD146" s="26"/>
      <c r="BK146" s="24"/>
    </row>
    <row r="147" spans="2:63" ht="14.25" hidden="1" customHeight="1" outlineLevel="2">
      <c r="B147" s="129"/>
      <c r="C147" s="129"/>
      <c r="D147" s="130"/>
      <c r="E147" s="130"/>
      <c r="F147" s="130"/>
      <c r="G147" s="130"/>
      <c r="H147" s="130"/>
      <c r="I147" s="130"/>
      <c r="J147" s="130"/>
      <c r="K147" s="130"/>
      <c r="L147" s="130"/>
      <c r="M147" s="130"/>
      <c r="N147" s="130"/>
      <c r="O147" s="130"/>
      <c r="P147" s="130"/>
      <c r="Q147" s="130"/>
      <c r="R147" s="130"/>
      <c r="S147" s="130"/>
      <c r="T147" s="130"/>
      <c r="U147" s="130"/>
      <c r="V147" s="130"/>
      <c r="W147" s="130"/>
      <c r="X147" s="130"/>
      <c r="Y147" s="130"/>
      <c r="Z147" s="130"/>
      <c r="AA147" s="130"/>
      <c r="AB147" s="130"/>
      <c r="AC147" s="130"/>
      <c r="AD147" s="130"/>
      <c r="AE147" s="130"/>
      <c r="AF147" s="130"/>
      <c r="AG147" s="130"/>
      <c r="AH147" s="130"/>
      <c r="AI147" s="130"/>
      <c r="AJ147" s="130"/>
      <c r="AK147" s="130"/>
      <c r="AL147" s="130"/>
      <c r="AM147" s="130"/>
      <c r="AN147" s="130"/>
      <c r="AO147" s="130"/>
      <c r="AP147" s="130"/>
      <c r="AQ147" s="130"/>
      <c r="AR147" s="130"/>
      <c r="AS147" s="26"/>
      <c r="AT147" s="26"/>
      <c r="AU147" s="26"/>
      <c r="AV147" s="26"/>
      <c r="AW147" s="26"/>
      <c r="AX147" s="26"/>
      <c r="AY147" s="26"/>
      <c r="AZ147" s="26"/>
      <c r="BA147" s="26"/>
      <c r="BB147" s="26"/>
      <c r="BC147" s="26"/>
      <c r="BD147" s="26"/>
      <c r="BK147" s="24"/>
    </row>
    <row r="148" spans="2:63" ht="14.25" hidden="1" customHeight="1" outlineLevel="2">
      <c r="B148" s="129" t="s">
        <v>223</v>
      </c>
      <c r="C148" s="129"/>
      <c r="D148" s="131"/>
      <c r="E148" s="131"/>
      <c r="F148" s="131">
        <v>3.5000000000000003E-2</v>
      </c>
      <c r="G148" s="305">
        <f>F148</f>
        <v>3.5000000000000003E-2</v>
      </c>
      <c r="H148" s="305">
        <f>G148</f>
        <v>3.5000000000000003E-2</v>
      </c>
      <c r="I148" s="305">
        <f>H148</f>
        <v>3.5000000000000003E-2</v>
      </c>
      <c r="J148" s="305"/>
      <c r="K148" s="305"/>
      <c r="L148" s="132"/>
      <c r="M148" s="132"/>
      <c r="N148" s="132"/>
      <c r="O148" s="132"/>
      <c r="P148" s="132"/>
      <c r="Q148" s="132"/>
      <c r="R148" s="132"/>
      <c r="S148" s="132"/>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26"/>
      <c r="AT148" s="26"/>
      <c r="AU148" s="26"/>
      <c r="AV148" s="26"/>
      <c r="AW148" s="26"/>
      <c r="AX148" s="26"/>
      <c r="AY148" s="26"/>
      <c r="AZ148" s="26"/>
      <c r="BA148" s="26"/>
      <c r="BB148" s="26"/>
      <c r="BC148" s="26"/>
      <c r="BD148" s="26"/>
      <c r="BK148" s="24"/>
    </row>
    <row r="149" spans="2:63" ht="14.25" hidden="1" customHeight="1" outlineLevel="2">
      <c r="B149" s="129" t="s">
        <v>224</v>
      </c>
      <c r="C149" s="129"/>
      <c r="D149" s="130"/>
      <c r="E149" s="130"/>
      <c r="F149" s="130">
        <f>AVERAGE(F144,F146)*F148</f>
        <v>8.75</v>
      </c>
      <c r="G149" s="130">
        <f>AVERAGE(G144,G146)*G148</f>
        <v>6.4576925000000003</v>
      </c>
      <c r="H149" s="130">
        <f>H144*H148*(2/12)</f>
        <v>0.69423083333333335</v>
      </c>
      <c r="I149" s="177">
        <f>0.25*I148*I144</f>
        <v>0</v>
      </c>
      <c r="J149" s="177"/>
      <c r="K149" s="177"/>
      <c r="L149" s="177"/>
      <c r="M149" s="177"/>
      <c r="N149" s="177"/>
      <c r="O149" s="177"/>
      <c r="P149" s="177"/>
      <c r="Q149" s="177"/>
      <c r="R149" s="177"/>
      <c r="S149" s="177"/>
      <c r="T149" s="177"/>
      <c r="U149" s="177"/>
      <c r="V149" s="177"/>
      <c r="W149" s="177"/>
      <c r="X149" s="177"/>
      <c r="Y149" s="177"/>
      <c r="Z149" s="177"/>
      <c r="AA149" s="177"/>
      <c r="AB149" s="177"/>
      <c r="AC149" s="177"/>
      <c r="AD149" s="177"/>
      <c r="AE149" s="177"/>
      <c r="AF149" s="177"/>
      <c r="AG149" s="177"/>
      <c r="AH149" s="177"/>
      <c r="AI149" s="177"/>
      <c r="AJ149" s="177"/>
      <c r="AK149" s="177"/>
      <c r="AL149" s="177"/>
      <c r="AM149" s="177"/>
      <c r="AN149" s="177"/>
      <c r="AO149" s="177"/>
      <c r="AP149" s="177"/>
      <c r="AQ149" s="177"/>
      <c r="AR149" s="177"/>
      <c r="AS149" s="26"/>
      <c r="AT149" s="26"/>
      <c r="AU149" s="26"/>
      <c r="AV149" s="26"/>
      <c r="AW149" s="26"/>
      <c r="AX149" s="26"/>
      <c r="AY149" s="26"/>
      <c r="AZ149" s="26"/>
      <c r="BA149" s="26"/>
      <c r="BB149" s="26"/>
      <c r="BC149" s="26"/>
      <c r="BD149" s="26"/>
      <c r="BK149" s="24"/>
    </row>
    <row r="150" spans="2:63" ht="14.25" hidden="1" customHeight="1" outlineLevel="2">
      <c r="B150" s="129" t="s">
        <v>225</v>
      </c>
      <c r="C150" s="133">
        <v>2011</v>
      </c>
      <c r="D150" s="130"/>
      <c r="E150" s="130"/>
      <c r="F150" s="130"/>
      <c r="G150" s="130"/>
      <c r="H150" s="130"/>
      <c r="I150" s="177"/>
      <c r="J150" s="177"/>
      <c r="K150" s="177"/>
      <c r="L150" s="177"/>
      <c r="M150" s="177"/>
      <c r="N150" s="177"/>
      <c r="O150" s="177"/>
      <c r="P150" s="177"/>
      <c r="Q150" s="177"/>
      <c r="R150" s="177"/>
      <c r="S150" s="177"/>
      <c r="T150" s="177"/>
      <c r="U150" s="177"/>
      <c r="V150" s="177"/>
      <c r="W150" s="177"/>
      <c r="X150" s="177"/>
      <c r="Y150" s="177"/>
      <c r="Z150" s="177"/>
      <c r="AA150" s="177"/>
      <c r="AB150" s="177"/>
      <c r="AC150" s="177"/>
      <c r="AD150" s="177"/>
      <c r="AE150" s="177"/>
      <c r="AF150" s="177"/>
      <c r="AG150" s="177"/>
      <c r="AH150" s="177"/>
      <c r="AI150" s="177"/>
      <c r="AJ150" s="177"/>
      <c r="AK150" s="177"/>
      <c r="AL150" s="177"/>
      <c r="AM150" s="177"/>
      <c r="AN150" s="177"/>
      <c r="AO150" s="177"/>
      <c r="AP150" s="177"/>
      <c r="AQ150" s="177"/>
      <c r="AR150" s="177"/>
      <c r="AS150" s="26"/>
      <c r="AT150" s="26"/>
      <c r="AU150" s="26"/>
      <c r="AV150" s="26"/>
      <c r="AW150" s="26"/>
      <c r="AX150" s="26"/>
      <c r="AY150" s="26"/>
      <c r="AZ150" s="26"/>
      <c r="BA150" s="26"/>
      <c r="BB150" s="26"/>
      <c r="BC150" s="26"/>
      <c r="BD150" s="26"/>
      <c r="BK150" s="24"/>
    </row>
    <row r="151" spans="2:63" ht="14.25" hidden="1" customHeight="1" outlineLevel="2">
      <c r="B151" s="129" t="s">
        <v>226</v>
      </c>
      <c r="C151" s="259">
        <f>C136</f>
        <v>0.06</v>
      </c>
      <c r="D151" s="130"/>
      <c r="E151" s="130"/>
      <c r="F151" s="130"/>
      <c r="G151" s="130"/>
      <c r="H151" s="130"/>
      <c r="I151" s="177"/>
      <c r="J151" s="177"/>
      <c r="K151" s="177"/>
      <c r="L151" s="177"/>
      <c r="M151" s="177"/>
      <c r="N151" s="177"/>
      <c r="O151" s="177"/>
      <c r="P151" s="177"/>
      <c r="Q151" s="177"/>
      <c r="R151" s="177"/>
      <c r="S151" s="177"/>
      <c r="T151" s="177"/>
      <c r="U151" s="177"/>
      <c r="V151" s="177"/>
      <c r="W151" s="177"/>
      <c r="X151" s="177"/>
      <c r="Y151" s="177"/>
      <c r="Z151" s="177"/>
      <c r="AA151" s="177"/>
      <c r="AB151" s="177"/>
      <c r="AC151" s="177"/>
      <c r="AD151" s="177"/>
      <c r="AE151" s="177"/>
      <c r="AF151" s="177"/>
      <c r="AG151" s="177"/>
      <c r="AH151" s="177"/>
      <c r="AI151" s="177"/>
      <c r="AJ151" s="177"/>
      <c r="AK151" s="177"/>
      <c r="AL151" s="177"/>
      <c r="AM151" s="177"/>
      <c r="AN151" s="177"/>
      <c r="AO151" s="177"/>
      <c r="AP151" s="177"/>
      <c r="AQ151" s="177"/>
      <c r="AR151" s="177"/>
      <c r="AS151" s="26"/>
      <c r="AT151" s="26"/>
      <c r="AU151" s="26"/>
      <c r="AV151" s="26"/>
      <c r="AW151" s="26"/>
      <c r="AX151" s="26"/>
      <c r="AY151" s="26"/>
      <c r="AZ151" s="26"/>
      <c r="BA151" s="26"/>
      <c r="BB151" s="26"/>
      <c r="BC151" s="26"/>
      <c r="BD151" s="26"/>
      <c r="BK151" s="24"/>
    </row>
    <row r="152" spans="2:63" ht="14.25" hidden="1" customHeight="1" outlineLevel="2">
      <c r="B152" s="129" t="s">
        <v>227</v>
      </c>
      <c r="C152" s="130"/>
      <c r="D152" s="130"/>
      <c r="E152" s="130"/>
      <c r="F152" s="130">
        <f>-(PV($C$136,F153,F149)-F144/((1+$C$136)^F153))</f>
        <v>233.29367531586476</v>
      </c>
      <c r="G152" s="130">
        <f>-(PV($C$136,G153,G149)-G144/((1+$C$136)^G153))</f>
        <v>234.3385960751157</v>
      </c>
      <c r="H152" s="130">
        <f>-(PV($C$151,H153,H149)-H144/((1+$C$136)^H153))</f>
        <v>112.92946305031447</v>
      </c>
      <c r="I152" s="177">
        <f>-(PV($C$136,I153,I149)-I144/((1+$C$136)^I153))</f>
        <v>0</v>
      </c>
      <c r="J152" s="177"/>
      <c r="K152" s="177"/>
      <c r="L152" s="177"/>
      <c r="M152" s="177"/>
      <c r="N152" s="177"/>
      <c r="O152" s="177"/>
      <c r="P152" s="177"/>
      <c r="Q152" s="177"/>
      <c r="R152" s="177"/>
      <c r="S152" s="177"/>
      <c r="T152" s="177"/>
      <c r="U152" s="177"/>
      <c r="V152" s="177"/>
      <c r="W152" s="177"/>
      <c r="X152" s="177"/>
      <c r="Y152" s="177"/>
      <c r="Z152" s="177"/>
      <c r="AA152" s="177"/>
      <c r="AB152" s="177"/>
      <c r="AC152" s="177"/>
      <c r="AD152" s="177"/>
      <c r="AE152" s="177"/>
      <c r="AF152" s="177"/>
      <c r="AG152" s="177"/>
      <c r="AH152" s="177"/>
      <c r="AI152" s="177"/>
      <c r="AJ152" s="177"/>
      <c r="AK152" s="177"/>
      <c r="AL152" s="177"/>
      <c r="AM152" s="177"/>
      <c r="AN152" s="177"/>
      <c r="AO152" s="177"/>
      <c r="AP152" s="177"/>
      <c r="AQ152" s="177"/>
      <c r="AR152" s="177"/>
      <c r="AS152" s="26"/>
      <c r="AT152" s="26"/>
      <c r="AU152" s="26"/>
      <c r="AV152" s="26"/>
      <c r="AW152" s="26"/>
      <c r="AX152" s="26"/>
      <c r="AY152" s="26"/>
      <c r="AZ152" s="26"/>
      <c r="BA152" s="26"/>
      <c r="BB152" s="26"/>
      <c r="BC152" s="26"/>
      <c r="BD152" s="26"/>
      <c r="BK152" s="24"/>
    </row>
    <row r="153" spans="2:63" ht="14.25" hidden="1" customHeight="1" outlineLevel="2">
      <c r="B153" s="129" t="s">
        <v>231</v>
      </c>
      <c r="C153" s="130"/>
      <c r="D153" s="130"/>
      <c r="E153" s="130"/>
      <c r="F153" s="130">
        <f>$C$135-F127</f>
        <v>3</v>
      </c>
      <c r="G153" s="130">
        <f>$C$135-G127</f>
        <v>2</v>
      </c>
      <c r="H153" s="130">
        <f>$C$135-H127</f>
        <v>1</v>
      </c>
      <c r="I153" s="130">
        <f>$C$135-I127</f>
        <v>0</v>
      </c>
      <c r="J153" s="177"/>
      <c r="K153" s="177"/>
      <c r="L153" s="177"/>
      <c r="M153" s="177"/>
      <c r="N153" s="177"/>
      <c r="O153" s="177"/>
      <c r="P153" s="177"/>
      <c r="Q153" s="177"/>
      <c r="R153" s="177"/>
      <c r="S153" s="177"/>
      <c r="T153" s="177"/>
      <c r="U153" s="177"/>
      <c r="V153" s="177"/>
      <c r="W153" s="177"/>
      <c r="X153" s="177"/>
      <c r="Y153" s="177"/>
      <c r="Z153" s="177"/>
      <c r="AA153" s="177"/>
      <c r="AB153" s="177"/>
      <c r="AC153" s="177"/>
      <c r="AD153" s="177"/>
      <c r="AE153" s="177"/>
      <c r="AF153" s="177"/>
      <c r="AG153" s="177"/>
      <c r="AH153" s="177"/>
      <c r="AI153" s="177"/>
      <c r="AJ153" s="177"/>
      <c r="AK153" s="177"/>
      <c r="AL153" s="177"/>
      <c r="AM153" s="177"/>
      <c r="AN153" s="177"/>
      <c r="AO153" s="177"/>
      <c r="AP153" s="177"/>
      <c r="AQ153" s="177"/>
      <c r="AR153" s="177"/>
      <c r="AS153" s="26"/>
      <c r="AT153" s="26"/>
      <c r="AU153" s="26"/>
      <c r="AV153" s="26"/>
      <c r="AW153" s="26"/>
      <c r="AX153" s="26"/>
      <c r="AY153" s="26"/>
      <c r="AZ153" s="26"/>
      <c r="BA153" s="26"/>
      <c r="BB153" s="26"/>
      <c r="BC153" s="26"/>
      <c r="BD153" s="26"/>
      <c r="BK153" s="24"/>
    </row>
    <row r="154" spans="2:63" ht="14.25" hidden="1" customHeight="1" outlineLevel="2">
      <c r="B154" s="129" t="s">
        <v>228</v>
      </c>
      <c r="C154" s="130"/>
      <c r="D154" s="130"/>
      <c r="E154" s="130"/>
      <c r="F154" s="130">
        <f>$C$136*F152</f>
        <v>13.997620518951885</v>
      </c>
      <c r="G154" s="130">
        <f>$C$136*G152</f>
        <v>14.060315764506942</v>
      </c>
      <c r="H154" s="130">
        <f>$C$136*H152</f>
        <v>6.7757677830188676</v>
      </c>
      <c r="I154" s="177">
        <f>$C$136*I152</f>
        <v>0</v>
      </c>
      <c r="J154" s="177"/>
      <c r="K154" s="177"/>
      <c r="L154" s="177"/>
      <c r="M154" s="177"/>
      <c r="N154" s="177"/>
      <c r="O154" s="177"/>
      <c r="P154" s="177"/>
      <c r="Q154" s="177"/>
      <c r="R154" s="177"/>
      <c r="S154" s="177"/>
      <c r="T154" s="177"/>
      <c r="U154" s="177"/>
      <c r="V154" s="177"/>
      <c r="W154" s="177"/>
      <c r="X154" s="177"/>
      <c r="Y154" s="177"/>
      <c r="Z154" s="177"/>
      <c r="AA154" s="177"/>
      <c r="AB154" s="177"/>
      <c r="AC154" s="177"/>
      <c r="AD154" s="177"/>
      <c r="AE154" s="177"/>
      <c r="AF154" s="177"/>
      <c r="AG154" s="177"/>
      <c r="AH154" s="177"/>
      <c r="AI154" s="177"/>
      <c r="AJ154" s="177"/>
      <c r="AK154" s="177"/>
      <c r="AL154" s="177"/>
      <c r="AM154" s="177"/>
      <c r="AN154" s="177"/>
      <c r="AO154" s="177"/>
      <c r="AP154" s="177"/>
      <c r="AQ154" s="177"/>
      <c r="AR154" s="177"/>
      <c r="AS154" s="26"/>
      <c r="AT154" s="26"/>
      <c r="AU154" s="26"/>
      <c r="AV154" s="26"/>
      <c r="AW154" s="26"/>
      <c r="AX154" s="26"/>
      <c r="AY154" s="26"/>
      <c r="AZ154" s="26"/>
      <c r="BA154" s="26"/>
      <c r="BB154" s="26"/>
      <c r="BC154" s="26"/>
      <c r="BD154" s="26"/>
      <c r="BK154" s="24"/>
    </row>
    <row r="155" spans="2:63" ht="14.25" hidden="1" customHeight="1" outlineLevel="2">
      <c r="B155" s="129" t="s">
        <v>229</v>
      </c>
      <c r="C155" s="130"/>
      <c r="D155" s="130"/>
      <c r="E155" s="130"/>
      <c r="F155" s="130">
        <f>F144-F152</f>
        <v>16.70632468413524</v>
      </c>
      <c r="G155" s="130">
        <f>G144-G152</f>
        <v>15.661403924884297</v>
      </c>
      <c r="H155" s="130">
        <f>H144-H152</f>
        <v>6.0815369496855283</v>
      </c>
      <c r="I155" s="177">
        <f>I144-I152</f>
        <v>0</v>
      </c>
      <c r="J155" s="177"/>
      <c r="K155" s="177"/>
      <c r="L155" s="177"/>
      <c r="M155" s="177"/>
      <c r="N155" s="177"/>
      <c r="O155" s="177"/>
      <c r="P155" s="177"/>
      <c r="Q155" s="177"/>
      <c r="R155" s="177"/>
      <c r="S155" s="177"/>
      <c r="T155" s="177"/>
      <c r="U155" s="177"/>
      <c r="V155" s="177"/>
      <c r="W155" s="177"/>
      <c r="X155" s="177"/>
      <c r="Y155" s="177"/>
      <c r="Z155" s="177"/>
      <c r="AA155" s="177"/>
      <c r="AB155" s="177"/>
      <c r="AC155" s="177"/>
      <c r="AD155" s="177"/>
      <c r="AE155" s="177"/>
      <c r="AF155" s="177"/>
      <c r="AG155" s="177"/>
      <c r="AH155" s="177"/>
      <c r="AI155" s="177"/>
      <c r="AJ155" s="177"/>
      <c r="AK155" s="177"/>
      <c r="AL155" s="177"/>
      <c r="AM155" s="177"/>
      <c r="AN155" s="177"/>
      <c r="AO155" s="177"/>
      <c r="AP155" s="177"/>
      <c r="AQ155" s="177"/>
      <c r="AR155" s="177"/>
      <c r="AS155" s="26"/>
      <c r="AT155" s="26"/>
      <c r="AU155" s="26"/>
      <c r="AV155" s="26"/>
      <c r="AW155" s="26"/>
      <c r="AX155" s="26"/>
      <c r="AY155" s="26"/>
      <c r="AZ155" s="26"/>
      <c r="BA155" s="26"/>
      <c r="BB155" s="26"/>
      <c r="BC155" s="26"/>
      <c r="BD155" s="26"/>
      <c r="BK155" s="24"/>
    </row>
    <row r="156" spans="2:63" ht="14.25" hidden="1" customHeight="1" outlineLevel="2">
      <c r="B156" s="134" t="s">
        <v>230</v>
      </c>
      <c r="C156" s="446"/>
      <c r="D156" s="446"/>
      <c r="E156" s="446"/>
      <c r="F156" s="446">
        <f>F154-F149</f>
        <v>5.2476205189518854</v>
      </c>
      <c r="G156" s="446">
        <f>G154-G149</f>
        <v>7.602623264506942</v>
      </c>
      <c r="H156" s="446">
        <f>H154-H149</f>
        <v>6.0815369496855345</v>
      </c>
      <c r="I156" s="447">
        <f>I154-I149</f>
        <v>0</v>
      </c>
      <c r="J156" s="447"/>
      <c r="K156" s="447"/>
      <c r="L156" s="447"/>
      <c r="M156" s="447"/>
      <c r="N156" s="447"/>
      <c r="O156" s="447"/>
      <c r="P156" s="447"/>
      <c r="Q156" s="447"/>
      <c r="R156" s="447"/>
      <c r="S156" s="447"/>
      <c r="T156" s="447"/>
      <c r="U156" s="447"/>
      <c r="V156" s="447"/>
      <c r="W156" s="447"/>
      <c r="X156" s="447"/>
      <c r="Y156" s="447"/>
      <c r="Z156" s="447"/>
      <c r="AA156" s="447"/>
      <c r="AB156" s="447"/>
      <c r="AC156" s="447"/>
      <c r="AD156" s="447"/>
      <c r="AE156" s="447"/>
      <c r="AF156" s="447"/>
      <c r="AG156" s="447"/>
      <c r="AH156" s="447"/>
      <c r="AI156" s="447"/>
      <c r="AJ156" s="447"/>
      <c r="AK156" s="447"/>
      <c r="AL156" s="447"/>
      <c r="AM156" s="447"/>
      <c r="AN156" s="447"/>
      <c r="AO156" s="447"/>
      <c r="AP156" s="447"/>
      <c r="AQ156" s="447"/>
      <c r="AR156" s="447"/>
      <c r="AS156" s="26"/>
      <c r="AT156" s="26"/>
      <c r="AU156" s="26"/>
      <c r="AV156" s="26"/>
      <c r="AW156" s="26"/>
      <c r="AX156" s="26"/>
      <c r="AY156" s="26"/>
      <c r="AZ156" s="26"/>
      <c r="BA156" s="26"/>
      <c r="BB156" s="26"/>
      <c r="BC156" s="26"/>
      <c r="BD156" s="26"/>
      <c r="BK156" s="24"/>
    </row>
    <row r="157" spans="2:63" ht="14.25" hidden="1" customHeight="1" outlineLevel="1" collapsed="1">
      <c r="B157" s="129"/>
      <c r="C157" s="130"/>
      <c r="D157" s="130"/>
      <c r="E157" s="130"/>
      <c r="F157" s="130"/>
      <c r="G157" s="130"/>
      <c r="H157" s="130"/>
      <c r="I157" s="177"/>
      <c r="J157" s="177"/>
      <c r="K157" s="177"/>
      <c r="L157" s="177"/>
      <c r="M157" s="177"/>
      <c r="N157" s="177"/>
      <c r="O157" s="177"/>
      <c r="P157" s="177"/>
      <c r="Q157" s="177"/>
      <c r="R157" s="177"/>
      <c r="S157" s="177"/>
      <c r="T157" s="177"/>
      <c r="U157" s="177"/>
      <c r="V157" s="177"/>
      <c r="W157" s="177"/>
      <c r="X157" s="177"/>
      <c r="Y157" s="177"/>
      <c r="Z157" s="177"/>
      <c r="AA157" s="177"/>
      <c r="AB157" s="177"/>
      <c r="AC157" s="177"/>
      <c r="AD157" s="177"/>
      <c r="AE157" s="177"/>
      <c r="AF157" s="177"/>
      <c r="AG157" s="177"/>
      <c r="AH157" s="177"/>
      <c r="AI157" s="177"/>
      <c r="AJ157" s="177"/>
      <c r="AK157" s="177"/>
      <c r="AL157" s="177"/>
      <c r="AM157" s="177"/>
      <c r="AN157" s="177"/>
      <c r="AO157" s="177"/>
      <c r="AP157" s="177"/>
      <c r="AQ157" s="177"/>
      <c r="AR157" s="177"/>
      <c r="AS157" s="26"/>
      <c r="AT157" s="26"/>
      <c r="AU157" s="26"/>
      <c r="AV157" s="26"/>
      <c r="AW157" s="26"/>
      <c r="AX157" s="26"/>
      <c r="AY157" s="26"/>
      <c r="AZ157" s="26"/>
      <c r="BA157" s="26"/>
      <c r="BB157" s="26"/>
      <c r="BC157" s="26"/>
      <c r="BD157" s="26"/>
      <c r="BK157" s="24"/>
    </row>
    <row r="158" spans="2:63" ht="14.25" hidden="1" customHeight="1" outlineLevel="1">
      <c r="B158" s="445" t="s">
        <v>87</v>
      </c>
      <c r="C158" s="372"/>
      <c r="D158" s="372"/>
      <c r="E158" s="372"/>
      <c r="F158" s="372"/>
      <c r="G158" s="372"/>
      <c r="H158" s="372"/>
      <c r="I158" s="372"/>
      <c r="J158" s="372"/>
      <c r="K158" s="372"/>
      <c r="L158" s="372"/>
      <c r="M158" s="372"/>
      <c r="N158" s="372"/>
      <c r="O158" s="372"/>
      <c r="P158" s="372"/>
      <c r="Q158" s="372"/>
      <c r="R158" s="372"/>
      <c r="S158" s="372"/>
      <c r="T158" s="372"/>
      <c r="U158" s="372"/>
      <c r="V158" s="372"/>
      <c r="W158" s="372"/>
      <c r="X158" s="372"/>
      <c r="Y158" s="372"/>
      <c r="Z158" s="372"/>
      <c r="AA158" s="372"/>
      <c r="AB158" s="372"/>
      <c r="AC158" s="372"/>
      <c r="AD158" s="372"/>
      <c r="AE158" s="372"/>
      <c r="AF158" s="372"/>
      <c r="AG158" s="372"/>
      <c r="AH158" s="372"/>
      <c r="AI158" s="372"/>
      <c r="AJ158" s="372"/>
      <c r="AK158" s="372"/>
      <c r="AL158" s="372"/>
      <c r="AM158" s="372"/>
      <c r="AN158" s="372"/>
      <c r="AO158" s="372"/>
      <c r="AP158" s="372"/>
      <c r="AQ158" s="372"/>
      <c r="AR158" s="372"/>
      <c r="AS158" s="26"/>
      <c r="AT158" s="26"/>
      <c r="AU158" s="26"/>
      <c r="AV158" s="26"/>
      <c r="AW158" s="26"/>
      <c r="AX158" s="26"/>
      <c r="AY158" s="26"/>
      <c r="AZ158" s="26"/>
      <c r="BA158" s="26"/>
      <c r="BB158" s="26"/>
      <c r="BC158" s="26"/>
      <c r="BD158" s="26"/>
      <c r="BK158" s="24"/>
    </row>
    <row r="159" spans="2:63" ht="14.25" hidden="1" customHeight="1" outlineLevel="1">
      <c r="B159" s="152" t="s">
        <v>207</v>
      </c>
      <c r="C159" s="129"/>
      <c r="D159" s="155"/>
      <c r="E159" s="156"/>
      <c r="F159" s="155"/>
      <c r="G159" s="156"/>
      <c r="H159" s="531">
        <v>400</v>
      </c>
      <c r="I159" s="531">
        <f>H161</f>
        <v>400</v>
      </c>
      <c r="J159" s="531">
        <f>I161</f>
        <v>400</v>
      </c>
      <c r="K159" s="531">
        <f>J161</f>
        <v>400</v>
      </c>
      <c r="L159" s="531">
        <f>K161</f>
        <v>96.6</v>
      </c>
      <c r="M159" s="531"/>
      <c r="N159" s="531"/>
      <c r="O159" s="531"/>
      <c r="P159" s="531"/>
      <c r="Q159" s="531">
        <f>L161</f>
        <v>90.9</v>
      </c>
      <c r="R159" s="531"/>
      <c r="S159" s="531"/>
      <c r="T159" s="531"/>
      <c r="U159" s="531"/>
      <c r="V159" s="537">
        <f>Q161</f>
        <v>0</v>
      </c>
      <c r="W159" s="537"/>
      <c r="X159" s="537"/>
      <c r="Y159" s="537"/>
      <c r="Z159" s="537"/>
      <c r="AA159" s="537">
        <f>V161</f>
        <v>0</v>
      </c>
      <c r="AB159" s="537"/>
      <c r="AC159" s="537"/>
      <c r="AD159" s="537"/>
      <c r="AE159" s="537"/>
      <c r="AF159" s="537">
        <f>AA161</f>
        <v>0</v>
      </c>
      <c r="AG159" s="537">
        <f t="shared" ref="AG159:AI159" si="110">AF161</f>
        <v>0</v>
      </c>
      <c r="AH159" s="537">
        <f t="shared" si="110"/>
        <v>0</v>
      </c>
      <c r="AI159" s="537">
        <f t="shared" si="110"/>
        <v>0</v>
      </c>
      <c r="AJ159" s="537">
        <f t="shared" ref="AJ159" si="111">AI161</f>
        <v>0</v>
      </c>
      <c r="AK159" s="537">
        <f t="shared" ref="AK159" si="112">AJ161</f>
        <v>0</v>
      </c>
      <c r="AL159" s="537">
        <f t="shared" ref="AL159" si="113">AK161</f>
        <v>0</v>
      </c>
      <c r="AM159" s="537">
        <f t="shared" ref="AM159" si="114">AL161</f>
        <v>0</v>
      </c>
      <c r="AN159" s="537">
        <f t="shared" ref="AN159" si="115">AM161</f>
        <v>0</v>
      </c>
      <c r="AO159" s="537">
        <f t="shared" ref="AO159" si="116">AN161</f>
        <v>0</v>
      </c>
      <c r="AP159" s="537">
        <f t="shared" ref="AP159" si="117">AO161</f>
        <v>0</v>
      </c>
      <c r="AQ159" s="537">
        <f t="shared" ref="AQ159" si="118">AP161</f>
        <v>0</v>
      </c>
      <c r="AR159" s="537">
        <f t="shared" ref="AR159" si="119">AQ161</f>
        <v>0</v>
      </c>
      <c r="AS159" s="26"/>
      <c r="AT159" s="26"/>
      <c r="AU159" s="26"/>
      <c r="AV159" s="26"/>
      <c r="AW159" s="26"/>
      <c r="AX159" s="26"/>
      <c r="AY159" s="26"/>
      <c r="AZ159" s="26"/>
      <c r="BA159" s="26"/>
      <c r="BB159" s="26"/>
      <c r="BC159" s="26"/>
      <c r="BD159" s="26"/>
      <c r="BK159" s="24"/>
    </row>
    <row r="160" spans="2:63" ht="14.25" hidden="1" customHeight="1" outlineLevel="1">
      <c r="B160" s="153" t="s">
        <v>208</v>
      </c>
      <c r="C160" s="153"/>
      <c r="D160" s="154"/>
      <c r="E160" s="154"/>
      <c r="F160" s="154"/>
      <c r="G160" s="154"/>
      <c r="H160" s="538">
        <f>+IF(H$5=$F$165,-H159,0)</f>
        <v>0</v>
      </c>
      <c r="I160" s="538">
        <f>+IF(I$5=$F$165,-I159,0)</f>
        <v>0</v>
      </c>
      <c r="J160" s="538">
        <f>+IF(J$5=$F$165,-J159,0)</f>
        <v>0</v>
      </c>
      <c r="K160" s="538">
        <f>K161-K159</f>
        <v>-303.39999999999998</v>
      </c>
      <c r="L160" s="538">
        <f>L161-L159</f>
        <v>-5.6999999999999886</v>
      </c>
      <c r="M160" s="538"/>
      <c r="N160" s="538"/>
      <c r="O160" s="538"/>
      <c r="P160" s="538"/>
      <c r="Q160" s="539">
        <f t="shared" ref="Q160:AI160" si="120">+IF(Q$5=$F$165,-Q159,0)</f>
        <v>-90.9</v>
      </c>
      <c r="R160" s="539"/>
      <c r="S160" s="539"/>
      <c r="T160" s="539"/>
      <c r="U160" s="539"/>
      <c r="V160" s="539">
        <f t="shared" si="120"/>
        <v>0</v>
      </c>
      <c r="W160" s="539"/>
      <c r="X160" s="539"/>
      <c r="Y160" s="539"/>
      <c r="Z160" s="539"/>
      <c r="AA160" s="539">
        <f t="shared" si="120"/>
        <v>0</v>
      </c>
      <c r="AB160" s="539"/>
      <c r="AC160" s="539"/>
      <c r="AD160" s="539"/>
      <c r="AE160" s="539"/>
      <c r="AF160" s="539">
        <f t="shared" si="120"/>
        <v>0</v>
      </c>
      <c r="AG160" s="539">
        <f t="shared" si="120"/>
        <v>0</v>
      </c>
      <c r="AH160" s="539">
        <f t="shared" si="120"/>
        <v>0</v>
      </c>
      <c r="AI160" s="539">
        <f t="shared" si="120"/>
        <v>0</v>
      </c>
      <c r="AJ160" s="539">
        <f t="shared" ref="AJ160:AR160" si="121">+IF(AJ$5=$F$165,-AJ159,0)</f>
        <v>0</v>
      </c>
      <c r="AK160" s="539">
        <f t="shared" si="121"/>
        <v>0</v>
      </c>
      <c r="AL160" s="539">
        <f t="shared" si="121"/>
        <v>0</v>
      </c>
      <c r="AM160" s="539">
        <f t="shared" si="121"/>
        <v>0</v>
      </c>
      <c r="AN160" s="539">
        <f t="shared" si="121"/>
        <v>0</v>
      </c>
      <c r="AO160" s="539">
        <f t="shared" si="121"/>
        <v>0</v>
      </c>
      <c r="AP160" s="539">
        <f t="shared" si="121"/>
        <v>0</v>
      </c>
      <c r="AQ160" s="539">
        <f t="shared" si="121"/>
        <v>0</v>
      </c>
      <c r="AR160" s="539">
        <f t="shared" si="121"/>
        <v>0</v>
      </c>
      <c r="AS160" s="26"/>
      <c r="AT160" s="26"/>
      <c r="AU160" s="26"/>
      <c r="AV160" s="26"/>
      <c r="AW160" s="26"/>
      <c r="AX160" s="26"/>
      <c r="AY160" s="26"/>
      <c r="AZ160" s="26"/>
      <c r="BA160" s="26"/>
      <c r="BB160" s="26"/>
      <c r="BC160" s="26"/>
      <c r="BD160" s="26"/>
      <c r="BK160" s="24"/>
    </row>
    <row r="161" spans="2:63" ht="14.25" hidden="1" customHeight="1" outlineLevel="1">
      <c r="B161" s="136" t="s">
        <v>209</v>
      </c>
      <c r="C161" s="136"/>
      <c r="D161" s="137"/>
      <c r="E161" s="137"/>
      <c r="F161" s="137"/>
      <c r="G161" s="183"/>
      <c r="H161" s="540">
        <f t="shared" ref="H161:Q161" si="122">SUM(H159:H160)</f>
        <v>400</v>
      </c>
      <c r="I161" s="540">
        <f>SUM(I159:I160)</f>
        <v>400</v>
      </c>
      <c r="J161" s="540">
        <f t="shared" si="122"/>
        <v>400</v>
      </c>
      <c r="K161" s="540">
        <v>96.6</v>
      </c>
      <c r="L161" s="540">
        <v>90.9</v>
      </c>
      <c r="M161" s="540"/>
      <c r="N161" s="540"/>
      <c r="O161" s="540"/>
      <c r="P161" s="540"/>
      <c r="Q161" s="540">
        <f t="shared" si="122"/>
        <v>0</v>
      </c>
      <c r="R161" s="540"/>
      <c r="S161" s="540"/>
      <c r="T161" s="540"/>
      <c r="U161" s="540"/>
      <c r="V161" s="540">
        <f t="shared" ref="V161:AI161" si="123">SUM(V159:V160)</f>
        <v>0</v>
      </c>
      <c r="W161" s="540"/>
      <c r="X161" s="540"/>
      <c r="Y161" s="540"/>
      <c r="Z161" s="540"/>
      <c r="AA161" s="540">
        <f t="shared" si="123"/>
        <v>0</v>
      </c>
      <c r="AB161" s="540"/>
      <c r="AC161" s="540"/>
      <c r="AD161" s="540"/>
      <c r="AE161" s="540"/>
      <c r="AF161" s="540">
        <f t="shared" si="123"/>
        <v>0</v>
      </c>
      <c r="AG161" s="540">
        <f t="shared" si="123"/>
        <v>0</v>
      </c>
      <c r="AH161" s="540">
        <f t="shared" si="123"/>
        <v>0</v>
      </c>
      <c r="AI161" s="540">
        <f t="shared" si="123"/>
        <v>0</v>
      </c>
      <c r="AJ161" s="540">
        <f t="shared" ref="AJ161:AR161" si="124">SUM(AJ159:AJ160)</f>
        <v>0</v>
      </c>
      <c r="AK161" s="540">
        <f t="shared" si="124"/>
        <v>0</v>
      </c>
      <c r="AL161" s="540">
        <f t="shared" si="124"/>
        <v>0</v>
      </c>
      <c r="AM161" s="540">
        <f t="shared" si="124"/>
        <v>0</v>
      </c>
      <c r="AN161" s="540">
        <f t="shared" si="124"/>
        <v>0</v>
      </c>
      <c r="AO161" s="540">
        <f t="shared" si="124"/>
        <v>0</v>
      </c>
      <c r="AP161" s="540">
        <f t="shared" si="124"/>
        <v>0</v>
      </c>
      <c r="AQ161" s="540">
        <f t="shared" si="124"/>
        <v>0</v>
      </c>
      <c r="AR161" s="540">
        <f t="shared" si="124"/>
        <v>0</v>
      </c>
      <c r="AS161" s="26"/>
      <c r="AT161" s="26"/>
      <c r="AU161" s="26"/>
      <c r="AV161" s="26"/>
      <c r="AW161" s="26"/>
      <c r="AX161" s="26"/>
      <c r="AY161" s="26"/>
      <c r="AZ161" s="26"/>
      <c r="BA161" s="26"/>
      <c r="BB161" s="26"/>
      <c r="BC161" s="26"/>
      <c r="BD161" s="26"/>
      <c r="BK161" s="24"/>
    </row>
    <row r="162" spans="2:63" ht="14.25" hidden="1" customHeight="1" outlineLevel="1">
      <c r="B162" s="129"/>
      <c r="C162" s="129"/>
      <c r="D162" s="130"/>
      <c r="E162" s="130"/>
      <c r="F162" s="130"/>
      <c r="G162" s="130"/>
      <c r="H162" s="531"/>
      <c r="I162" s="531"/>
      <c r="J162" s="531"/>
      <c r="K162" s="531"/>
      <c r="L162" s="531"/>
      <c r="M162" s="531"/>
      <c r="N162" s="531"/>
      <c r="O162" s="531"/>
      <c r="P162" s="531"/>
      <c r="Q162" s="531"/>
      <c r="R162" s="531"/>
      <c r="S162" s="531"/>
      <c r="T162" s="531"/>
      <c r="U162" s="531"/>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26"/>
      <c r="AT162" s="26"/>
      <c r="AU162" s="26"/>
      <c r="AV162" s="26"/>
      <c r="AW162" s="26"/>
      <c r="AX162" s="26"/>
      <c r="AY162" s="26"/>
      <c r="AZ162" s="26"/>
      <c r="BA162" s="26"/>
      <c r="BB162" s="26"/>
      <c r="BC162" s="26"/>
      <c r="BD162" s="26"/>
      <c r="BK162" s="24"/>
    </row>
    <row r="163" spans="2:63" ht="14.25" hidden="1" customHeight="1" outlineLevel="1">
      <c r="B163" s="129" t="s">
        <v>223</v>
      </c>
      <c r="C163" s="129"/>
      <c r="D163" s="131"/>
      <c r="E163" s="131"/>
      <c r="F163" s="131"/>
      <c r="G163" s="775">
        <v>4.7500000000000001E-2</v>
      </c>
      <c r="H163" s="541">
        <f t="shared" ref="H163:L163" si="125">G163</f>
        <v>4.7500000000000001E-2</v>
      </c>
      <c r="I163" s="541">
        <f t="shared" si="125"/>
        <v>4.7500000000000001E-2</v>
      </c>
      <c r="J163" s="541">
        <f t="shared" si="125"/>
        <v>4.7500000000000001E-2</v>
      </c>
      <c r="K163" s="541">
        <f t="shared" si="125"/>
        <v>4.7500000000000001E-2</v>
      </c>
      <c r="L163" s="541">
        <f t="shared" si="125"/>
        <v>4.7500000000000001E-2</v>
      </c>
      <c r="M163" s="541"/>
      <c r="N163" s="541"/>
      <c r="O163" s="541"/>
      <c r="P163" s="541"/>
      <c r="Q163" s="541">
        <f>L163</f>
        <v>4.7500000000000001E-2</v>
      </c>
      <c r="R163" s="541"/>
      <c r="S163" s="541"/>
      <c r="T163" s="541"/>
      <c r="U163" s="541"/>
      <c r="V163" s="541">
        <f>Q163</f>
        <v>4.7500000000000001E-2</v>
      </c>
      <c r="W163" s="541"/>
      <c r="X163" s="541"/>
      <c r="Y163" s="541"/>
      <c r="Z163" s="541"/>
      <c r="AA163" s="541">
        <f>V163</f>
        <v>4.7500000000000001E-2</v>
      </c>
      <c r="AB163" s="541"/>
      <c r="AC163" s="541"/>
      <c r="AD163" s="541"/>
      <c r="AE163" s="541"/>
      <c r="AF163" s="541">
        <f>AA163</f>
        <v>4.7500000000000001E-2</v>
      </c>
      <c r="AG163" s="541">
        <f t="shared" ref="AG163:AI163" si="126">AF163</f>
        <v>4.7500000000000001E-2</v>
      </c>
      <c r="AH163" s="541">
        <f t="shared" si="126"/>
        <v>4.7500000000000001E-2</v>
      </c>
      <c r="AI163" s="541">
        <f t="shared" si="126"/>
        <v>4.7500000000000001E-2</v>
      </c>
      <c r="AJ163" s="541">
        <f t="shared" ref="AJ163" si="127">AI163</f>
        <v>4.7500000000000001E-2</v>
      </c>
      <c r="AK163" s="541">
        <f t="shared" ref="AK163" si="128">AJ163</f>
        <v>4.7500000000000001E-2</v>
      </c>
      <c r="AL163" s="541">
        <f t="shared" ref="AL163" si="129">AK163</f>
        <v>4.7500000000000001E-2</v>
      </c>
      <c r="AM163" s="541">
        <f t="shared" ref="AM163" si="130">AL163</f>
        <v>4.7500000000000001E-2</v>
      </c>
      <c r="AN163" s="541">
        <f t="shared" ref="AN163" si="131">AM163</f>
        <v>4.7500000000000001E-2</v>
      </c>
      <c r="AO163" s="541">
        <f t="shared" ref="AO163" si="132">AN163</f>
        <v>4.7500000000000001E-2</v>
      </c>
      <c r="AP163" s="541">
        <f t="shared" ref="AP163" si="133">AO163</f>
        <v>4.7500000000000001E-2</v>
      </c>
      <c r="AQ163" s="541">
        <f t="shared" ref="AQ163" si="134">AP163</f>
        <v>4.7500000000000001E-2</v>
      </c>
      <c r="AR163" s="541">
        <f t="shared" ref="AR163" si="135">AQ163</f>
        <v>4.7500000000000001E-2</v>
      </c>
      <c r="AS163" s="26"/>
      <c r="AT163" s="26"/>
      <c r="AU163" s="26"/>
      <c r="AV163" s="26"/>
      <c r="AW163" s="26"/>
      <c r="AX163" s="26"/>
      <c r="AY163" s="26"/>
      <c r="AZ163" s="26"/>
      <c r="BA163" s="26"/>
      <c r="BB163" s="26"/>
      <c r="BC163" s="26"/>
      <c r="BD163" s="26"/>
      <c r="BK163" s="24"/>
    </row>
    <row r="164" spans="2:63" ht="14.25" hidden="1" customHeight="1" outlineLevel="1">
      <c r="B164" s="129" t="s">
        <v>224</v>
      </c>
      <c r="C164" s="129"/>
      <c r="D164" s="130"/>
      <c r="E164" s="130"/>
      <c r="F164" s="130"/>
      <c r="G164" s="130"/>
      <c r="H164" s="531">
        <f>AVERAGE(H159,H161)*H163</f>
        <v>19</v>
      </c>
      <c r="I164" s="531">
        <f>AVERAGE(I159,I161)*I163</f>
        <v>19</v>
      </c>
      <c r="J164" s="531">
        <f>AVERAGE(J159,J161)*J163</f>
        <v>19</v>
      </c>
      <c r="K164" s="531">
        <f>((1/4*K159)+(3/4)*K161)*K163</f>
        <v>8.191374999999999</v>
      </c>
      <c r="L164" s="531">
        <f>AVERAGE(L159,L161)*L163</f>
        <v>4.453125</v>
      </c>
      <c r="M164" s="531"/>
      <c r="N164" s="531"/>
      <c r="O164" s="531"/>
      <c r="P164" s="531"/>
      <c r="Q164" s="531">
        <f>0.75*Q159*Q163</f>
        <v>3.2383125000000006</v>
      </c>
      <c r="R164" s="531"/>
      <c r="S164" s="531"/>
      <c r="T164" s="531"/>
      <c r="U164" s="531"/>
      <c r="V164" s="531">
        <f t="shared" ref="V164:AI164" si="136">0.75*V159*V163</f>
        <v>0</v>
      </c>
      <c r="W164" s="531"/>
      <c r="X164" s="531"/>
      <c r="Y164" s="531"/>
      <c r="Z164" s="531"/>
      <c r="AA164" s="531">
        <f t="shared" si="136"/>
        <v>0</v>
      </c>
      <c r="AB164" s="531"/>
      <c r="AC164" s="531"/>
      <c r="AD164" s="531"/>
      <c r="AE164" s="531"/>
      <c r="AF164" s="531">
        <f t="shared" si="136"/>
        <v>0</v>
      </c>
      <c r="AG164" s="531">
        <f t="shared" si="136"/>
        <v>0</v>
      </c>
      <c r="AH164" s="531">
        <f t="shared" si="136"/>
        <v>0</v>
      </c>
      <c r="AI164" s="531">
        <f t="shared" si="136"/>
        <v>0</v>
      </c>
      <c r="AJ164" s="531">
        <f t="shared" ref="AJ164:AR164" si="137">0.75*AJ159*AJ163</f>
        <v>0</v>
      </c>
      <c r="AK164" s="531">
        <f t="shared" si="137"/>
        <v>0</v>
      </c>
      <c r="AL164" s="531">
        <f t="shared" si="137"/>
        <v>0</v>
      </c>
      <c r="AM164" s="531">
        <f t="shared" si="137"/>
        <v>0</v>
      </c>
      <c r="AN164" s="531">
        <f t="shared" si="137"/>
        <v>0</v>
      </c>
      <c r="AO164" s="531">
        <f t="shared" si="137"/>
        <v>0</v>
      </c>
      <c r="AP164" s="531">
        <f t="shared" si="137"/>
        <v>0</v>
      </c>
      <c r="AQ164" s="531">
        <f t="shared" si="137"/>
        <v>0</v>
      </c>
      <c r="AR164" s="531">
        <f t="shared" si="137"/>
        <v>0</v>
      </c>
      <c r="AS164" s="26"/>
      <c r="AT164" s="26"/>
      <c r="AU164" s="26"/>
      <c r="AV164" s="26"/>
      <c r="AW164" s="26"/>
      <c r="AX164" s="26"/>
      <c r="AY164" s="26"/>
      <c r="AZ164" s="26"/>
      <c r="BA164" s="26"/>
      <c r="BB164" s="26"/>
      <c r="BC164" s="26"/>
      <c r="BD164" s="26"/>
      <c r="BK164" s="24"/>
    </row>
    <row r="165" spans="2:63" ht="14.25" hidden="1" customHeight="1" outlineLevel="1">
      <c r="B165" s="129" t="s">
        <v>225</v>
      </c>
      <c r="D165" s="130"/>
      <c r="E165" s="130"/>
      <c r="F165" s="133">
        <v>2015</v>
      </c>
      <c r="G165" s="130"/>
      <c r="H165" s="531"/>
      <c r="I165" s="534"/>
      <c r="J165" s="534"/>
      <c r="K165" s="534"/>
      <c r="L165" s="534"/>
      <c r="M165" s="534"/>
      <c r="N165" s="534"/>
      <c r="O165" s="534"/>
      <c r="P165" s="534"/>
      <c r="Q165" s="534"/>
      <c r="R165" s="534"/>
      <c r="S165" s="534"/>
      <c r="T165" s="534"/>
      <c r="U165" s="534"/>
      <c r="V165" s="534"/>
      <c r="W165" s="534"/>
      <c r="X165" s="534"/>
      <c r="Y165" s="534"/>
      <c r="Z165" s="534"/>
      <c r="AA165" s="534"/>
      <c r="AB165" s="534"/>
      <c r="AC165" s="534"/>
      <c r="AD165" s="534"/>
      <c r="AE165" s="534"/>
      <c r="AF165" s="534"/>
      <c r="AG165" s="534"/>
      <c r="AH165" s="534"/>
      <c r="AI165" s="534"/>
      <c r="AJ165" s="534"/>
      <c r="AK165" s="534"/>
      <c r="AL165" s="534"/>
      <c r="AM165" s="534"/>
      <c r="AN165" s="534"/>
      <c r="AO165" s="534"/>
      <c r="AP165" s="534"/>
      <c r="AQ165" s="534"/>
      <c r="AR165" s="534"/>
      <c r="AS165" s="26"/>
      <c r="AT165" s="26"/>
      <c r="AU165" s="26"/>
      <c r="AV165" s="26"/>
      <c r="AW165" s="26"/>
      <c r="AX165" s="26"/>
      <c r="AY165" s="26"/>
      <c r="AZ165" s="26"/>
      <c r="BA165" s="26"/>
      <c r="BB165" s="26"/>
      <c r="BC165" s="26"/>
      <c r="BD165" s="26"/>
      <c r="BK165" s="24"/>
    </row>
    <row r="166" spans="2:63" ht="14.25" hidden="1" customHeight="1" outlineLevel="1">
      <c r="B166" s="129" t="s">
        <v>226</v>
      </c>
      <c r="D166" s="130"/>
      <c r="E166" s="130"/>
      <c r="F166" s="775">
        <v>0.13250000000000001</v>
      </c>
      <c r="G166" s="130"/>
      <c r="H166" s="531"/>
      <c r="I166" s="534"/>
      <c r="J166" s="534"/>
      <c r="K166" s="534"/>
      <c r="L166" s="534"/>
      <c r="M166" s="534"/>
      <c r="N166" s="534"/>
      <c r="O166" s="534"/>
      <c r="P166" s="534"/>
      <c r="Q166" s="534"/>
      <c r="R166" s="534"/>
      <c r="S166" s="534"/>
      <c r="T166" s="534"/>
      <c r="U166" s="534"/>
      <c r="V166" s="534"/>
      <c r="W166" s="534"/>
      <c r="X166" s="534"/>
      <c r="Y166" s="534"/>
      <c r="Z166" s="534"/>
      <c r="AA166" s="534"/>
      <c r="AB166" s="534"/>
      <c r="AC166" s="534"/>
      <c r="AD166" s="534"/>
      <c r="AE166" s="534"/>
      <c r="AF166" s="534"/>
      <c r="AG166" s="534"/>
      <c r="AH166" s="534"/>
      <c r="AI166" s="534"/>
      <c r="AJ166" s="534"/>
      <c r="AK166" s="534"/>
      <c r="AL166" s="534"/>
      <c r="AM166" s="534"/>
      <c r="AN166" s="534"/>
      <c r="AO166" s="534"/>
      <c r="AP166" s="534"/>
      <c r="AQ166" s="534"/>
      <c r="AR166" s="534"/>
      <c r="AS166" s="26"/>
      <c r="AT166" s="26"/>
      <c r="AU166" s="26"/>
      <c r="AV166" s="26"/>
      <c r="AW166" s="26"/>
      <c r="AX166" s="26"/>
      <c r="AY166" s="26"/>
      <c r="AZ166" s="26"/>
      <c r="BA166" s="26"/>
      <c r="BB166" s="26"/>
      <c r="BC166" s="26"/>
      <c r="BD166" s="26"/>
      <c r="BK166" s="24"/>
    </row>
    <row r="167" spans="2:63" ht="14.25" hidden="1" customHeight="1" outlineLevel="1">
      <c r="B167" s="129" t="s">
        <v>227</v>
      </c>
      <c r="C167" s="130"/>
      <c r="D167" s="130"/>
      <c r="E167" s="130"/>
      <c r="F167" s="130"/>
      <c r="G167" s="130"/>
      <c r="H167" s="532">
        <f>-(PV($F$166,H169,H164)-H159/((1+$F$166)^H169))</f>
        <v>281.14000277152275</v>
      </c>
      <c r="I167" s="532">
        <f>-(PV($F$166,I169,I164)-I159/((1+$F$166)^I169))</f>
        <v>299.3910531387495</v>
      </c>
      <c r="J167" s="532">
        <f>-(PV($F$166,J169,J164)-J159/((1+$F$166)^J169))</f>
        <v>320.06036767963377</v>
      </c>
      <c r="K167" s="532">
        <f>-(PV($F$166,K169,K164)-K161/((1+$F$166)^K169))</f>
        <v>88.938093114824397</v>
      </c>
      <c r="L167" s="532">
        <f>-(PV($F$166,L169,L164)-L161/((1+$F$166)^L169))</f>
        <v>84.19701986754967</v>
      </c>
      <c r="M167" s="532"/>
      <c r="N167" s="532"/>
      <c r="O167" s="532"/>
      <c r="P167" s="532"/>
      <c r="Q167" s="532">
        <f>-(PV($F$166,Q169,Q164)-Q159/((1+$F$166)^Q169))</f>
        <v>90.9</v>
      </c>
      <c r="R167" s="532"/>
      <c r="S167" s="532"/>
      <c r="T167" s="532"/>
      <c r="U167" s="532"/>
      <c r="V167" s="534"/>
      <c r="W167" s="534"/>
      <c r="X167" s="534"/>
      <c r="Y167" s="534"/>
      <c r="Z167" s="534"/>
      <c r="AA167" s="534"/>
      <c r="AB167" s="534"/>
      <c r="AC167" s="534"/>
      <c r="AD167" s="534"/>
      <c r="AE167" s="534"/>
      <c r="AF167" s="534"/>
      <c r="AG167" s="534"/>
      <c r="AH167" s="534"/>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K167" s="24"/>
    </row>
    <row r="168" spans="2:63" ht="14.25" hidden="1" customHeight="1" outlineLevel="1">
      <c r="B168" s="773" t="s">
        <v>363</v>
      </c>
      <c r="C168" s="129"/>
      <c r="D168" s="135"/>
      <c r="E168" s="135"/>
      <c r="F168" s="570"/>
      <c r="G168" s="570"/>
      <c r="H168" s="774">
        <v>276.44499999999999</v>
      </c>
      <c r="I168" s="774">
        <v>298.19299999999998</v>
      </c>
      <c r="J168" s="774">
        <v>322.04300000000001</v>
      </c>
      <c r="K168" s="774">
        <v>84.192999999999998</v>
      </c>
      <c r="L168" s="774">
        <v>85.64</v>
      </c>
      <c r="M168" s="774"/>
      <c r="N168" s="774"/>
      <c r="O168" s="774"/>
      <c r="P168" s="774"/>
      <c r="Q168" s="532"/>
      <c r="R168" s="532"/>
      <c r="S168" s="532"/>
      <c r="T168" s="532"/>
      <c r="U168" s="532"/>
      <c r="V168" s="531"/>
      <c r="W168" s="531"/>
      <c r="X168" s="531"/>
      <c r="Y168" s="531"/>
      <c r="Z168" s="531"/>
      <c r="AA168" s="531"/>
      <c r="AB168" s="531"/>
      <c r="AC168" s="531"/>
      <c r="AD168" s="531"/>
      <c r="AE168" s="531"/>
      <c r="AF168" s="531"/>
      <c r="AG168" s="531"/>
      <c r="AH168" s="531"/>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K168" s="24"/>
    </row>
    <row r="169" spans="2:63" ht="14.25" hidden="1" customHeight="1" outlineLevel="1">
      <c r="B169" s="129" t="s">
        <v>231</v>
      </c>
      <c r="C169" s="130"/>
      <c r="D169" s="130"/>
      <c r="E169" s="130"/>
      <c r="F169" s="130"/>
      <c r="G169" s="531"/>
      <c r="H169" s="531">
        <v>5</v>
      </c>
      <c r="I169" s="531">
        <v>4</v>
      </c>
      <c r="J169" s="531">
        <v>3</v>
      </c>
      <c r="K169" s="531">
        <v>2</v>
      </c>
      <c r="L169" s="531">
        <v>1</v>
      </c>
      <c r="M169" s="531"/>
      <c r="N169" s="531"/>
      <c r="O169" s="531"/>
      <c r="P169" s="531"/>
      <c r="Q169" s="531">
        <f>$F$165-Q127</f>
        <v>0</v>
      </c>
      <c r="R169" s="531"/>
      <c r="S169" s="531"/>
      <c r="T169" s="531"/>
      <c r="U169" s="531"/>
      <c r="V169" s="531"/>
      <c r="W169" s="531"/>
      <c r="X169" s="531"/>
      <c r="Y169" s="531"/>
      <c r="Z169" s="531"/>
      <c r="AA169" s="531"/>
      <c r="AB169" s="531"/>
      <c r="AC169" s="531"/>
      <c r="AD169" s="531"/>
      <c r="AE169" s="531"/>
      <c r="AF169" s="531"/>
      <c r="AG169" s="531"/>
      <c r="AH169" s="531"/>
      <c r="AI169" s="531"/>
      <c r="AJ169" s="531"/>
      <c r="AK169" s="531"/>
      <c r="AL169" s="531"/>
      <c r="AM169" s="531"/>
      <c r="AN169" s="531"/>
      <c r="AO169" s="531"/>
      <c r="AP169" s="531"/>
      <c r="AQ169" s="531"/>
      <c r="AR169" s="531"/>
      <c r="AS169" s="26"/>
      <c r="AT169" s="26"/>
      <c r="AU169" s="26"/>
      <c r="AV169" s="26"/>
      <c r="AW169" s="26"/>
      <c r="AX169" s="26"/>
      <c r="AY169" s="26"/>
      <c r="AZ169" s="26"/>
      <c r="BA169" s="26"/>
      <c r="BB169" s="26"/>
      <c r="BC169" s="26"/>
      <c r="BD169" s="26"/>
      <c r="BK169" s="24"/>
    </row>
    <row r="170" spans="2:63" ht="14.25" hidden="1" customHeight="1" outlineLevel="1">
      <c r="B170" s="129" t="s">
        <v>228</v>
      </c>
      <c r="C170" s="130"/>
      <c r="D170" s="130"/>
      <c r="E170" s="130"/>
      <c r="F170" s="130"/>
      <c r="G170" s="130"/>
      <c r="H170" s="531">
        <f>$F$166*H167</f>
        <v>37.251050367226767</v>
      </c>
      <c r="I170" s="531">
        <f>$F$166*I167</f>
        <v>39.669314540884308</v>
      </c>
      <c r="J170" s="531">
        <f>$F$166*J167</f>
        <v>42.407998717551479</v>
      </c>
      <c r="K170" s="531">
        <f>$F$166*K167</f>
        <v>11.784297337714234</v>
      </c>
      <c r="L170" s="531">
        <f>$F$166*L167</f>
        <v>11.156105132450332</v>
      </c>
      <c r="M170" s="531"/>
      <c r="N170" s="531"/>
      <c r="O170" s="531"/>
      <c r="P170" s="531"/>
      <c r="Q170" s="531">
        <f>$F$166*Q167*0.75</f>
        <v>9.0331875000000004</v>
      </c>
      <c r="R170" s="531"/>
      <c r="S170" s="531"/>
      <c r="T170" s="531"/>
      <c r="U170" s="531"/>
      <c r="V170" s="534"/>
      <c r="W170" s="534"/>
      <c r="X170" s="534"/>
      <c r="Y170" s="534"/>
      <c r="Z170" s="534"/>
      <c r="AA170" s="534"/>
      <c r="AB170" s="534"/>
      <c r="AC170" s="534"/>
      <c r="AD170" s="534"/>
      <c r="AE170" s="534"/>
      <c r="AF170" s="534"/>
      <c r="AG170" s="534"/>
      <c r="AH170" s="534"/>
      <c r="AI170" s="534"/>
      <c r="AJ170" s="534"/>
      <c r="AK170" s="534"/>
      <c r="AL170" s="534"/>
      <c r="AM170" s="534"/>
      <c r="AN170" s="534"/>
      <c r="AO170" s="534"/>
      <c r="AP170" s="534"/>
      <c r="AQ170" s="534"/>
      <c r="AR170" s="534"/>
      <c r="AS170" s="26"/>
      <c r="AT170" s="26"/>
      <c r="AU170" s="26"/>
      <c r="AV170" s="26"/>
      <c r="AW170" s="26"/>
      <c r="AX170" s="26"/>
      <c r="AY170" s="26"/>
      <c r="AZ170" s="26"/>
      <c r="BA170" s="26"/>
      <c r="BB170" s="26"/>
      <c r="BC170" s="26"/>
      <c r="BD170" s="26"/>
      <c r="BK170" s="24"/>
    </row>
    <row r="171" spans="2:63" ht="14.25" hidden="1" customHeight="1" outlineLevel="1">
      <c r="B171" s="129" t="s">
        <v>229</v>
      </c>
      <c r="C171" s="130"/>
      <c r="D171" s="130"/>
      <c r="E171" s="130"/>
      <c r="F171" s="130"/>
      <c r="G171" s="130"/>
      <c r="H171" s="531">
        <f t="shared" ref="H171:Q171" si="138">H159-H167</f>
        <v>118.85999722847725</v>
      </c>
      <c r="I171" s="534">
        <f t="shared" si="138"/>
        <v>100.6089468612505</v>
      </c>
      <c r="J171" s="534">
        <f t="shared" si="138"/>
        <v>79.939632320366229</v>
      </c>
      <c r="K171" s="534">
        <f t="shared" si="138"/>
        <v>311.06190688517563</v>
      </c>
      <c r="L171" s="534">
        <f t="shared" si="138"/>
        <v>12.402980132450324</v>
      </c>
      <c r="M171" s="534"/>
      <c r="N171" s="534"/>
      <c r="O171" s="534"/>
      <c r="P171" s="534"/>
      <c r="Q171" s="534">
        <f t="shared" si="138"/>
        <v>0</v>
      </c>
      <c r="R171" s="534"/>
      <c r="S171" s="534"/>
      <c r="T171" s="534"/>
      <c r="U171" s="534"/>
      <c r="V171" s="534"/>
      <c r="W171" s="534"/>
      <c r="X171" s="534"/>
      <c r="Y171" s="534"/>
      <c r="Z171" s="534"/>
      <c r="AA171" s="534"/>
      <c r="AB171" s="534"/>
      <c r="AC171" s="534"/>
      <c r="AD171" s="534"/>
      <c r="AE171" s="534"/>
      <c r="AF171" s="534"/>
      <c r="AG171" s="534"/>
      <c r="AH171" s="534"/>
      <c r="AI171" s="534"/>
      <c r="AJ171" s="534"/>
      <c r="AK171" s="534"/>
      <c r="AL171" s="534"/>
      <c r="AM171" s="534"/>
      <c r="AN171" s="534"/>
      <c r="AO171" s="534"/>
      <c r="AP171" s="534"/>
      <c r="AQ171" s="534"/>
      <c r="AR171" s="534"/>
      <c r="AS171" s="26"/>
      <c r="AT171" s="26"/>
      <c r="AU171" s="26"/>
      <c r="AV171" s="26"/>
      <c r="AW171" s="26"/>
      <c r="AX171" s="26"/>
      <c r="AY171" s="26"/>
      <c r="AZ171" s="26"/>
      <c r="BA171" s="26"/>
      <c r="BB171" s="26"/>
      <c r="BC171" s="26"/>
      <c r="BD171" s="26"/>
      <c r="BK171" s="24"/>
    </row>
    <row r="172" spans="2:63" ht="14.25" hidden="1" customHeight="1" outlineLevel="1">
      <c r="B172" s="134" t="s">
        <v>230</v>
      </c>
      <c r="C172" s="446"/>
      <c r="D172" s="446"/>
      <c r="E172" s="446"/>
      <c r="F172" s="446"/>
      <c r="G172" s="446"/>
      <c r="H172" s="536">
        <f t="shared" ref="H172:Q172" si="139">H170-H164</f>
        <v>18.251050367226767</v>
      </c>
      <c r="I172" s="542">
        <f t="shared" si="139"/>
        <v>20.669314540884308</v>
      </c>
      <c r="J172" s="542">
        <f t="shared" si="139"/>
        <v>23.407998717551479</v>
      </c>
      <c r="K172" s="542">
        <f t="shared" si="139"/>
        <v>3.592922337714235</v>
      </c>
      <c r="L172" s="542">
        <f t="shared" si="139"/>
        <v>6.7029801324503318</v>
      </c>
      <c r="M172" s="542"/>
      <c r="N172" s="542"/>
      <c r="O172" s="542"/>
      <c r="P172" s="542"/>
      <c r="Q172" s="542">
        <f t="shared" si="139"/>
        <v>5.7948749999999993</v>
      </c>
      <c r="R172" s="542"/>
      <c r="S172" s="542"/>
      <c r="T172" s="542"/>
      <c r="U172" s="542"/>
      <c r="V172" s="542"/>
      <c r="W172" s="542"/>
      <c r="X172" s="542"/>
      <c r="Y172" s="542"/>
      <c r="Z172" s="542"/>
      <c r="AA172" s="542"/>
      <c r="AB172" s="542"/>
      <c r="AC172" s="542"/>
      <c r="AD172" s="542"/>
      <c r="AE172" s="542"/>
      <c r="AF172" s="542"/>
      <c r="AG172" s="542"/>
      <c r="AH172" s="542"/>
      <c r="AI172" s="542"/>
      <c r="AJ172" s="542"/>
      <c r="AK172" s="542"/>
      <c r="AL172" s="542"/>
      <c r="AM172" s="542"/>
      <c r="AN172" s="542"/>
      <c r="AO172" s="542"/>
      <c r="AP172" s="542"/>
      <c r="AQ172" s="542"/>
      <c r="AR172" s="542"/>
      <c r="AS172" s="26"/>
      <c r="AT172" s="26"/>
      <c r="AU172" s="26"/>
      <c r="AV172" s="26"/>
      <c r="AW172" s="26"/>
      <c r="AX172" s="26"/>
      <c r="AY172" s="26"/>
      <c r="AZ172" s="26"/>
      <c r="BA172" s="26"/>
      <c r="BB172" s="26"/>
      <c r="BC172" s="26"/>
      <c r="BD172" s="26"/>
      <c r="BK172" s="24"/>
    </row>
    <row r="173" spans="2:63" ht="14.25" hidden="1" customHeight="1" outlineLevel="1">
      <c r="B173" s="129"/>
      <c r="C173" s="130"/>
      <c r="D173" s="130"/>
      <c r="E173" s="130"/>
      <c r="F173" s="130"/>
      <c r="G173" s="130"/>
      <c r="H173" s="531"/>
      <c r="I173" s="534"/>
      <c r="J173" s="534"/>
      <c r="K173" s="534"/>
      <c r="L173" s="534"/>
      <c r="M173" s="534"/>
      <c r="N173" s="534"/>
      <c r="O173" s="534"/>
      <c r="P173" s="534"/>
      <c r="Q173" s="534"/>
      <c r="R173" s="534"/>
      <c r="S173" s="534"/>
      <c r="T173" s="534"/>
      <c r="U173" s="534"/>
      <c r="V173" s="534"/>
      <c r="W173" s="534"/>
      <c r="X173" s="534"/>
      <c r="Y173" s="534"/>
      <c r="Z173" s="534"/>
      <c r="AA173" s="534"/>
      <c r="AB173" s="534"/>
      <c r="AC173" s="534"/>
      <c r="AD173" s="534"/>
      <c r="AE173" s="534"/>
      <c r="AF173" s="534"/>
      <c r="AG173" s="534"/>
      <c r="AH173" s="534"/>
      <c r="AI173" s="534"/>
      <c r="AJ173" s="534"/>
      <c r="AK173" s="534"/>
      <c r="AL173" s="534"/>
      <c r="AM173" s="534"/>
      <c r="AN173" s="534"/>
      <c r="AO173" s="534"/>
      <c r="AP173" s="534"/>
      <c r="AQ173" s="534"/>
      <c r="AR173" s="534"/>
      <c r="AS173" s="26"/>
      <c r="AT173" s="26"/>
      <c r="AU173" s="26"/>
      <c r="AV173" s="26"/>
      <c r="AW173" s="26"/>
      <c r="AX173" s="26"/>
      <c r="AY173" s="26"/>
      <c r="AZ173" s="26"/>
      <c r="BA173" s="26"/>
      <c r="BB173" s="26"/>
      <c r="BC173" s="26"/>
      <c r="BD173" s="26"/>
      <c r="BK173" s="24"/>
    </row>
    <row r="174" spans="2:63" ht="14.25" hidden="1" customHeight="1" outlineLevel="1">
      <c r="B174" s="445" t="s">
        <v>364</v>
      </c>
      <c r="C174" s="605"/>
      <c r="D174" s="605"/>
      <c r="E174" s="605"/>
      <c r="F174" s="605"/>
      <c r="G174" s="605"/>
      <c r="H174" s="606"/>
      <c r="I174" s="607"/>
      <c r="J174" s="607"/>
      <c r="K174" s="607"/>
      <c r="L174" s="607"/>
      <c r="M174" s="607"/>
      <c r="N174" s="607"/>
      <c r="O174" s="607"/>
      <c r="P174" s="607"/>
      <c r="Q174" s="607"/>
      <c r="R174" s="607"/>
      <c r="S174" s="607"/>
      <c r="T174" s="607"/>
      <c r="U174" s="607"/>
      <c r="V174" s="607"/>
      <c r="W174" s="607"/>
      <c r="X174" s="607"/>
      <c r="Y174" s="607"/>
      <c r="Z174" s="607"/>
      <c r="AA174" s="607"/>
      <c r="AB174" s="607"/>
      <c r="AC174" s="607"/>
      <c r="AD174" s="607"/>
      <c r="AE174" s="607"/>
      <c r="AF174" s="607"/>
      <c r="AG174" s="607"/>
      <c r="AH174" s="607"/>
      <c r="AI174" s="607"/>
      <c r="AJ174" s="607"/>
      <c r="AK174" s="607"/>
      <c r="AL174" s="607"/>
      <c r="AM174" s="607"/>
      <c r="AN174" s="607"/>
      <c r="AO174" s="607"/>
      <c r="AP174" s="607"/>
      <c r="AQ174" s="607"/>
      <c r="AR174" s="607"/>
      <c r="AS174" s="26"/>
      <c r="AT174" s="26"/>
      <c r="AU174" s="26"/>
      <c r="AV174" s="26"/>
      <c r="AW174" s="26"/>
      <c r="AX174" s="26"/>
      <c r="AY174" s="26"/>
      <c r="AZ174" s="26"/>
      <c r="BA174" s="26"/>
      <c r="BB174" s="26"/>
      <c r="BC174" s="26"/>
      <c r="BD174" s="26"/>
      <c r="BK174" s="24"/>
    </row>
    <row r="175" spans="2:63" ht="14.25" hidden="1" customHeight="1" outlineLevel="1">
      <c r="B175" s="152" t="s">
        <v>207</v>
      </c>
      <c r="C175" s="129"/>
      <c r="D175" s="155"/>
      <c r="E175" s="156"/>
      <c r="F175" s="155"/>
      <c r="G175" s="156"/>
      <c r="H175" s="531"/>
      <c r="I175" s="531"/>
      <c r="J175" s="531"/>
      <c r="K175" s="531">
        <v>375</v>
      </c>
      <c r="L175" s="531">
        <f t="shared" ref="L175:AI175" si="140">K177</f>
        <v>375</v>
      </c>
      <c r="M175" s="531"/>
      <c r="N175" s="531"/>
      <c r="O175" s="531"/>
      <c r="P175" s="531"/>
      <c r="Q175" s="531">
        <f>L177</f>
        <v>375</v>
      </c>
      <c r="R175" s="531"/>
      <c r="S175" s="531"/>
      <c r="T175" s="531"/>
      <c r="U175" s="531"/>
      <c r="V175" s="537">
        <f>Q177</f>
        <v>375</v>
      </c>
      <c r="W175" s="537"/>
      <c r="X175" s="537"/>
      <c r="Y175" s="537"/>
      <c r="Z175" s="537"/>
      <c r="AA175" s="537">
        <f>V177</f>
        <v>375</v>
      </c>
      <c r="AB175" s="537"/>
      <c r="AC175" s="537"/>
      <c r="AD175" s="537"/>
      <c r="AE175" s="537"/>
      <c r="AF175" s="537">
        <f>AA177</f>
        <v>29</v>
      </c>
      <c r="AG175" s="537">
        <f t="shared" si="140"/>
        <v>0</v>
      </c>
      <c r="AH175" s="537">
        <f t="shared" si="140"/>
        <v>0</v>
      </c>
      <c r="AI175" s="537">
        <f t="shared" si="140"/>
        <v>0</v>
      </c>
      <c r="AJ175" s="537">
        <f t="shared" ref="AJ175" si="141">AI177</f>
        <v>0</v>
      </c>
      <c r="AK175" s="537">
        <f t="shared" ref="AK175" si="142">AJ177</f>
        <v>0</v>
      </c>
      <c r="AL175" s="537">
        <f t="shared" ref="AL175" si="143">AK177</f>
        <v>0</v>
      </c>
      <c r="AM175" s="537">
        <f t="shared" ref="AM175" si="144">AL177</f>
        <v>0</v>
      </c>
      <c r="AN175" s="537">
        <f t="shared" ref="AN175" si="145">AM177</f>
        <v>0</v>
      </c>
      <c r="AO175" s="537">
        <f t="shared" ref="AO175" si="146">AN177</f>
        <v>0</v>
      </c>
      <c r="AP175" s="537">
        <f t="shared" ref="AP175" si="147">AO177</f>
        <v>0</v>
      </c>
      <c r="AQ175" s="537">
        <f t="shared" ref="AQ175" si="148">AP177</f>
        <v>0</v>
      </c>
      <c r="AR175" s="537">
        <f t="shared" ref="AR175" si="149">AQ177</f>
        <v>0</v>
      </c>
      <c r="AS175" s="26"/>
      <c r="AT175" s="26"/>
      <c r="AU175" s="26"/>
      <c r="AV175" s="26"/>
      <c r="AW175" s="26"/>
      <c r="AX175" s="26"/>
      <c r="AY175" s="26"/>
      <c r="AZ175" s="26"/>
      <c r="BA175" s="26"/>
      <c r="BB175" s="26"/>
      <c r="BC175" s="26"/>
      <c r="BD175" s="26"/>
      <c r="BK175" s="24"/>
    </row>
    <row r="176" spans="2:63" ht="14.25" hidden="1" customHeight="1" outlineLevel="1">
      <c r="B176" s="153" t="s">
        <v>208</v>
      </c>
      <c r="C176" s="153"/>
      <c r="D176" s="154"/>
      <c r="E176" s="154"/>
      <c r="F176" s="154"/>
      <c r="G176" s="154"/>
      <c r="H176" s="539"/>
      <c r="I176" s="539"/>
      <c r="J176" s="539"/>
      <c r="K176" s="539">
        <v>0</v>
      </c>
      <c r="L176" s="539">
        <v>0</v>
      </c>
      <c r="M176" s="539"/>
      <c r="N176" s="539"/>
      <c r="O176" s="539"/>
      <c r="P176" s="539"/>
      <c r="Q176" s="539">
        <v>0</v>
      </c>
      <c r="R176" s="539"/>
      <c r="S176" s="539"/>
      <c r="T176" s="539"/>
      <c r="U176" s="539"/>
      <c r="V176" s="539">
        <v>0</v>
      </c>
      <c r="W176" s="539"/>
      <c r="X176" s="539"/>
      <c r="Y176" s="539"/>
      <c r="Z176" s="539"/>
      <c r="AA176" s="539">
        <v>-346</v>
      </c>
      <c r="AB176" s="539"/>
      <c r="AC176" s="539"/>
      <c r="AD176" s="539"/>
      <c r="AE176" s="539"/>
      <c r="AF176" s="539">
        <f>-AF175</f>
        <v>-29</v>
      </c>
      <c r="AG176" s="539">
        <v>0</v>
      </c>
      <c r="AH176" s="539">
        <v>0</v>
      </c>
      <c r="AI176" s="539">
        <v>0</v>
      </c>
      <c r="AJ176" s="539">
        <v>0</v>
      </c>
      <c r="AK176" s="539">
        <v>0</v>
      </c>
      <c r="AL176" s="539">
        <v>0</v>
      </c>
      <c r="AM176" s="539">
        <v>0</v>
      </c>
      <c r="AN176" s="539">
        <v>0</v>
      </c>
      <c r="AO176" s="539">
        <v>0</v>
      </c>
      <c r="AP176" s="539">
        <v>0</v>
      </c>
      <c r="AQ176" s="539">
        <v>0</v>
      </c>
      <c r="AR176" s="539">
        <v>0</v>
      </c>
      <c r="AS176" s="26"/>
      <c r="AT176" s="26"/>
      <c r="AU176" s="26"/>
      <c r="AV176" s="26"/>
      <c r="AW176" s="26"/>
      <c r="AX176" s="26"/>
      <c r="AY176" s="26"/>
      <c r="AZ176" s="26"/>
      <c r="BA176" s="26"/>
      <c r="BB176" s="26"/>
      <c r="BC176" s="26"/>
      <c r="BD176" s="26"/>
      <c r="BK176" s="24"/>
    </row>
    <row r="177" spans="2:63" ht="14.25" hidden="1" customHeight="1" outlineLevel="1">
      <c r="B177" s="136" t="s">
        <v>209</v>
      </c>
      <c r="C177" s="136"/>
      <c r="D177" s="137"/>
      <c r="E177" s="137"/>
      <c r="F177" s="137"/>
      <c r="G177" s="183"/>
      <c r="H177" s="540"/>
      <c r="I177" s="540"/>
      <c r="J177" s="540"/>
      <c r="K177" s="540">
        <f t="shared" ref="K177:AI177" si="150">SUM(K175:K176)</f>
        <v>375</v>
      </c>
      <c r="L177" s="540">
        <f t="shared" si="150"/>
        <v>375</v>
      </c>
      <c r="M177" s="540"/>
      <c r="N177" s="540"/>
      <c r="O177" s="540"/>
      <c r="P177" s="540"/>
      <c r="Q177" s="540">
        <f t="shared" si="150"/>
        <v>375</v>
      </c>
      <c r="R177" s="540"/>
      <c r="S177" s="540"/>
      <c r="T177" s="540"/>
      <c r="U177" s="540"/>
      <c r="V177" s="540">
        <f t="shared" si="150"/>
        <v>375</v>
      </c>
      <c r="W177" s="540"/>
      <c r="X177" s="540"/>
      <c r="Y177" s="540"/>
      <c r="Z177" s="540"/>
      <c r="AA177" s="540">
        <f t="shared" si="150"/>
        <v>29</v>
      </c>
      <c r="AB177" s="540"/>
      <c r="AC177" s="540"/>
      <c r="AD177" s="540"/>
      <c r="AE177" s="540"/>
      <c r="AF177" s="540">
        <f t="shared" si="150"/>
        <v>0</v>
      </c>
      <c r="AG177" s="540">
        <f t="shared" si="150"/>
        <v>0</v>
      </c>
      <c r="AH177" s="540">
        <f t="shared" si="150"/>
        <v>0</v>
      </c>
      <c r="AI177" s="540">
        <f t="shared" si="150"/>
        <v>0</v>
      </c>
      <c r="AJ177" s="540">
        <f t="shared" ref="AJ177:AR177" si="151">SUM(AJ175:AJ176)</f>
        <v>0</v>
      </c>
      <c r="AK177" s="540">
        <f t="shared" si="151"/>
        <v>0</v>
      </c>
      <c r="AL177" s="540">
        <f t="shared" si="151"/>
        <v>0</v>
      </c>
      <c r="AM177" s="540">
        <f t="shared" si="151"/>
        <v>0</v>
      </c>
      <c r="AN177" s="540">
        <f t="shared" si="151"/>
        <v>0</v>
      </c>
      <c r="AO177" s="540">
        <f t="shared" si="151"/>
        <v>0</v>
      </c>
      <c r="AP177" s="540">
        <f t="shared" si="151"/>
        <v>0</v>
      </c>
      <c r="AQ177" s="540">
        <f t="shared" si="151"/>
        <v>0</v>
      </c>
      <c r="AR177" s="540">
        <f t="shared" si="151"/>
        <v>0</v>
      </c>
      <c r="AS177" s="26"/>
      <c r="AT177" s="26"/>
      <c r="AU177" s="26"/>
      <c r="AV177" s="26"/>
      <c r="AW177" s="26"/>
      <c r="AX177" s="26"/>
      <c r="AY177" s="26"/>
      <c r="AZ177" s="26"/>
      <c r="BA177" s="26"/>
      <c r="BB177" s="26"/>
      <c r="BC177" s="26"/>
      <c r="BD177" s="26"/>
      <c r="BK177" s="24"/>
    </row>
    <row r="178" spans="2:63" ht="14.25" hidden="1" customHeight="1" outlineLevel="1">
      <c r="B178" s="129"/>
      <c r="C178" s="129"/>
      <c r="D178" s="130"/>
      <c r="E178" s="130"/>
      <c r="F178" s="130"/>
      <c r="G178" s="130"/>
      <c r="H178" s="531"/>
      <c r="I178" s="531"/>
      <c r="J178" s="531"/>
      <c r="K178" s="531"/>
      <c r="L178" s="531"/>
      <c r="M178" s="531"/>
      <c r="N178" s="531"/>
      <c r="O178" s="531"/>
      <c r="P178" s="531"/>
      <c r="Q178" s="531"/>
      <c r="R178" s="531"/>
      <c r="S178" s="531"/>
      <c r="T178" s="531"/>
      <c r="U178" s="531"/>
      <c r="V178" s="531"/>
      <c r="W178" s="531"/>
      <c r="X178" s="531"/>
      <c r="Y178" s="531"/>
      <c r="Z178" s="531"/>
      <c r="AA178" s="531"/>
      <c r="AB178" s="531"/>
      <c r="AC178" s="531"/>
      <c r="AD178" s="531"/>
      <c r="AE178" s="531"/>
      <c r="AF178" s="531"/>
      <c r="AG178" s="531"/>
      <c r="AH178" s="531"/>
      <c r="AI178" s="531"/>
      <c r="AJ178" s="531"/>
      <c r="AK178" s="531"/>
      <c r="AL178" s="531"/>
      <c r="AM178" s="531"/>
      <c r="AN178" s="531"/>
      <c r="AO178" s="531"/>
      <c r="AP178" s="531"/>
      <c r="AQ178" s="531"/>
      <c r="AR178" s="531"/>
      <c r="AS178" s="26"/>
      <c r="AT178" s="26"/>
      <c r="AU178" s="26"/>
      <c r="AV178" s="26"/>
      <c r="AW178" s="26"/>
      <c r="AX178" s="26"/>
      <c r="AY178" s="26"/>
      <c r="AZ178" s="26"/>
      <c r="BA178" s="26"/>
      <c r="BB178" s="26"/>
      <c r="BC178" s="26"/>
      <c r="BD178" s="26"/>
      <c r="BK178" s="24"/>
    </row>
    <row r="179" spans="2:63" ht="14.25" hidden="1" customHeight="1" outlineLevel="1">
      <c r="B179" s="129" t="s">
        <v>223</v>
      </c>
      <c r="C179" s="129"/>
      <c r="D179" s="131"/>
      <c r="E179" s="131"/>
      <c r="F179" s="131"/>
      <c r="G179" s="131"/>
      <c r="H179" s="541"/>
      <c r="I179" s="541"/>
      <c r="J179" s="541"/>
      <c r="K179" s="541">
        <f>0.375%</f>
        <v>3.7499999999999999E-3</v>
      </c>
      <c r="L179" s="541">
        <f>K179</f>
        <v>3.7499999999999999E-3</v>
      </c>
      <c r="M179" s="541"/>
      <c r="N179" s="541"/>
      <c r="O179" s="541"/>
      <c r="P179" s="541"/>
      <c r="Q179" s="541">
        <f>L179</f>
        <v>3.7499999999999999E-3</v>
      </c>
      <c r="R179" s="541"/>
      <c r="S179" s="541"/>
      <c r="T179" s="541"/>
      <c r="U179" s="541"/>
      <c r="V179" s="541">
        <f>Q179</f>
        <v>3.7499999999999999E-3</v>
      </c>
      <c r="W179" s="541"/>
      <c r="X179" s="541"/>
      <c r="Y179" s="541"/>
      <c r="Z179" s="541"/>
      <c r="AA179" s="541">
        <f>V179</f>
        <v>3.7499999999999999E-3</v>
      </c>
      <c r="AB179" s="541"/>
      <c r="AC179" s="541"/>
      <c r="AD179" s="541"/>
      <c r="AE179" s="541"/>
      <c r="AF179" s="541">
        <f>AA179</f>
        <v>3.7499999999999999E-3</v>
      </c>
      <c r="AG179" s="541">
        <f t="shared" ref="AG179:AI179" si="152">AF179</f>
        <v>3.7499999999999999E-3</v>
      </c>
      <c r="AH179" s="541">
        <f t="shared" si="152"/>
        <v>3.7499999999999999E-3</v>
      </c>
      <c r="AI179" s="541">
        <f t="shared" si="152"/>
        <v>3.7499999999999999E-3</v>
      </c>
      <c r="AJ179" s="541">
        <f t="shared" ref="AJ179" si="153">AI179</f>
        <v>3.7499999999999999E-3</v>
      </c>
      <c r="AK179" s="541">
        <f t="shared" ref="AK179" si="154">AJ179</f>
        <v>3.7499999999999999E-3</v>
      </c>
      <c r="AL179" s="541">
        <f t="shared" ref="AL179" si="155">AK179</f>
        <v>3.7499999999999999E-3</v>
      </c>
      <c r="AM179" s="541">
        <f t="shared" ref="AM179" si="156">AL179</f>
        <v>3.7499999999999999E-3</v>
      </c>
      <c r="AN179" s="541">
        <f t="shared" ref="AN179" si="157">AM179</f>
        <v>3.7499999999999999E-3</v>
      </c>
      <c r="AO179" s="541">
        <f t="shared" ref="AO179" si="158">AN179</f>
        <v>3.7499999999999999E-3</v>
      </c>
      <c r="AP179" s="541">
        <f t="shared" ref="AP179" si="159">AO179</f>
        <v>3.7499999999999999E-3</v>
      </c>
      <c r="AQ179" s="541">
        <f t="shared" ref="AQ179" si="160">AP179</f>
        <v>3.7499999999999999E-3</v>
      </c>
      <c r="AR179" s="541">
        <f t="shared" ref="AR179" si="161">AQ179</f>
        <v>3.7499999999999999E-3</v>
      </c>
      <c r="AS179" s="26"/>
      <c r="AT179" s="26"/>
      <c r="AU179" s="26"/>
      <c r="AV179" s="26"/>
      <c r="AW179" s="26"/>
      <c r="AX179" s="26"/>
      <c r="AY179" s="26"/>
      <c r="AZ179" s="26"/>
      <c r="BA179" s="26"/>
      <c r="BB179" s="26"/>
      <c r="BC179" s="26"/>
      <c r="BD179" s="26"/>
      <c r="BK179" s="24"/>
    </row>
    <row r="180" spans="2:63" ht="14.25" hidden="1" customHeight="1" outlineLevel="1">
      <c r="B180" s="129" t="s">
        <v>224</v>
      </c>
      <c r="C180" s="129"/>
      <c r="D180" s="130"/>
      <c r="E180" s="130"/>
      <c r="F180" s="130"/>
      <c r="G180" s="130"/>
      <c r="H180" s="531"/>
      <c r="I180" s="531"/>
      <c r="J180" s="531"/>
      <c r="K180" s="531">
        <f>K175*K179*(2/12)</f>
        <v>0.234375</v>
      </c>
      <c r="L180" s="531">
        <f>L179*L175</f>
        <v>1.40625</v>
      </c>
      <c r="M180" s="531"/>
      <c r="N180" s="531"/>
      <c r="O180" s="531"/>
      <c r="P180" s="531"/>
      <c r="Q180" s="531">
        <f t="shared" ref="Q180:AI180" si="162">Q179*Q175</f>
        <v>1.40625</v>
      </c>
      <c r="R180" s="531"/>
      <c r="S180" s="531"/>
      <c r="T180" s="531"/>
      <c r="U180" s="531"/>
      <c r="V180" s="531">
        <f t="shared" si="162"/>
        <v>1.40625</v>
      </c>
      <c r="W180" s="531"/>
      <c r="X180" s="531"/>
      <c r="Y180" s="531"/>
      <c r="Z180" s="531"/>
      <c r="AA180" s="531">
        <f t="shared" si="162"/>
        <v>1.40625</v>
      </c>
      <c r="AB180" s="531"/>
      <c r="AC180" s="531"/>
      <c r="AD180" s="531"/>
      <c r="AE180" s="531"/>
      <c r="AF180" s="531">
        <f>(AF179*AF175)*(11.5/13)</f>
        <v>9.6201923076923074E-2</v>
      </c>
      <c r="AG180" s="531">
        <f t="shared" si="162"/>
        <v>0</v>
      </c>
      <c r="AH180" s="531">
        <f t="shared" si="162"/>
        <v>0</v>
      </c>
      <c r="AI180" s="531">
        <f t="shared" si="162"/>
        <v>0</v>
      </c>
      <c r="AJ180" s="531">
        <f t="shared" ref="AJ180:AR180" si="163">AJ179*AJ175</f>
        <v>0</v>
      </c>
      <c r="AK180" s="531">
        <f t="shared" si="163"/>
        <v>0</v>
      </c>
      <c r="AL180" s="531">
        <f t="shared" si="163"/>
        <v>0</v>
      </c>
      <c r="AM180" s="531">
        <f t="shared" si="163"/>
        <v>0</v>
      </c>
      <c r="AN180" s="531">
        <f t="shared" si="163"/>
        <v>0</v>
      </c>
      <c r="AO180" s="531">
        <f t="shared" si="163"/>
        <v>0</v>
      </c>
      <c r="AP180" s="531">
        <f t="shared" si="163"/>
        <v>0</v>
      </c>
      <c r="AQ180" s="531">
        <f t="shared" si="163"/>
        <v>0</v>
      </c>
      <c r="AR180" s="531">
        <f t="shared" si="163"/>
        <v>0</v>
      </c>
      <c r="AS180" s="26"/>
      <c r="AT180" s="26"/>
      <c r="AU180" s="26"/>
      <c r="AV180" s="26"/>
      <c r="AW180" s="26"/>
      <c r="AX180" s="26"/>
      <c r="AY180" s="26"/>
      <c r="AZ180" s="26"/>
      <c r="BA180" s="26"/>
      <c r="BB180" s="26"/>
      <c r="BC180" s="26"/>
      <c r="BD180" s="26"/>
      <c r="BK180" s="24"/>
    </row>
    <row r="181" spans="2:63" ht="14.25" hidden="1" customHeight="1" outlineLevel="1">
      <c r="B181" s="129" t="s">
        <v>225</v>
      </c>
      <c r="C181" s="241"/>
      <c r="D181" s="130"/>
      <c r="E181" s="130"/>
      <c r="F181" s="133">
        <v>2018.75</v>
      </c>
      <c r="G181" s="130"/>
      <c r="H181" s="531"/>
      <c r="I181" s="534"/>
      <c r="J181" s="534"/>
      <c r="K181" s="534"/>
      <c r="L181" s="534"/>
      <c r="M181" s="534"/>
      <c r="N181" s="534"/>
      <c r="O181" s="534"/>
      <c r="P181" s="534"/>
      <c r="Q181" s="534"/>
      <c r="R181" s="534"/>
      <c r="S181" s="534"/>
      <c r="T181" s="534"/>
      <c r="U181" s="534"/>
      <c r="V181" s="534"/>
      <c r="W181" s="534"/>
      <c r="X181" s="534"/>
      <c r="Y181" s="534"/>
      <c r="Z181" s="534"/>
      <c r="AA181" s="534"/>
      <c r="AB181" s="534"/>
      <c r="AC181" s="534"/>
      <c r="AD181" s="534"/>
      <c r="AE181" s="534"/>
      <c r="AF181" s="534"/>
      <c r="AG181" s="534"/>
      <c r="AH181" s="534"/>
      <c r="AI181" s="534"/>
      <c r="AJ181" s="534"/>
      <c r="AK181" s="534"/>
      <c r="AL181" s="534"/>
      <c r="AM181" s="534"/>
      <c r="AN181" s="534"/>
      <c r="AO181" s="534"/>
      <c r="AP181" s="534"/>
      <c r="AQ181" s="534"/>
      <c r="AR181" s="534"/>
      <c r="AS181" s="26"/>
      <c r="AT181" s="26"/>
      <c r="AU181" s="26"/>
      <c r="AV181" s="26"/>
      <c r="AW181" s="26"/>
      <c r="AX181" s="26"/>
      <c r="AY181" s="26"/>
      <c r="AZ181" s="26"/>
      <c r="BA181" s="26"/>
      <c r="BB181" s="26"/>
      <c r="BC181" s="26"/>
      <c r="BD181" s="26"/>
      <c r="BK181" s="24"/>
    </row>
    <row r="182" spans="2:63" ht="14.25" hidden="1" customHeight="1" outlineLevel="1">
      <c r="B182" s="129" t="s">
        <v>226</v>
      </c>
      <c r="C182" s="241"/>
      <c r="D182" s="130"/>
      <c r="E182" s="130"/>
      <c r="F182" s="775">
        <v>0.05</v>
      </c>
      <c r="G182" s="130"/>
      <c r="H182" s="531"/>
      <c r="I182" s="534"/>
      <c r="J182" s="534"/>
      <c r="K182" s="534"/>
      <c r="L182" s="534"/>
      <c r="M182" s="534"/>
      <c r="N182" s="534"/>
      <c r="O182" s="534"/>
      <c r="P182" s="534"/>
      <c r="Q182" s="534"/>
      <c r="R182" s="534"/>
      <c r="S182" s="534"/>
      <c r="T182" s="534"/>
      <c r="U182" s="534"/>
      <c r="V182" s="534"/>
      <c r="W182" s="534"/>
      <c r="X182" s="534"/>
      <c r="Y182" s="534"/>
      <c r="Z182" s="534"/>
      <c r="AA182" s="534"/>
      <c r="AB182" s="534"/>
      <c r="AC182" s="534"/>
      <c r="AD182" s="534"/>
      <c r="AE182" s="534"/>
      <c r="AF182" s="534"/>
      <c r="AG182" s="534"/>
      <c r="AH182" s="534"/>
      <c r="AI182" s="534"/>
      <c r="AJ182" s="534"/>
      <c r="AK182" s="534"/>
      <c r="AL182" s="534"/>
      <c r="AM182" s="534"/>
      <c r="AN182" s="534"/>
      <c r="AO182" s="534"/>
      <c r="AP182" s="534"/>
      <c r="AQ182" s="534"/>
      <c r="AR182" s="534"/>
      <c r="AS182" s="26"/>
      <c r="AT182" s="26"/>
      <c r="AU182" s="26"/>
      <c r="AV182" s="26"/>
      <c r="AW182" s="26"/>
      <c r="AX182" s="26"/>
      <c r="AY182" s="26"/>
      <c r="AZ182" s="26"/>
      <c r="BA182" s="26"/>
      <c r="BB182" s="26"/>
      <c r="BC182" s="26"/>
      <c r="BD182" s="26"/>
      <c r="BK182" s="24"/>
    </row>
    <row r="183" spans="2:63" ht="14.25" hidden="1" customHeight="1" outlineLevel="1">
      <c r="B183" s="129" t="s">
        <v>227</v>
      </c>
      <c r="C183" s="130"/>
      <c r="D183" s="130"/>
      <c r="E183" s="130"/>
      <c r="F183" s="130"/>
      <c r="G183" s="130"/>
      <c r="H183" s="531"/>
      <c r="I183" s="531"/>
      <c r="J183" s="531"/>
      <c r="K183" s="531">
        <f t="shared" ref="K183:AF183" si="164">-(PV($F$182,K185,K180)-K177/((1+$F$182)^K185))</f>
        <v>294.83703352035121</v>
      </c>
      <c r="L183" s="531">
        <f t="shared" si="164"/>
        <v>313.49992094343406</v>
      </c>
      <c r="M183" s="531"/>
      <c r="N183" s="531"/>
      <c r="O183" s="531"/>
      <c r="P183" s="531"/>
      <c r="Q183" s="534">
        <f t="shared" si="164"/>
        <v>327.76866699060577</v>
      </c>
      <c r="R183" s="534"/>
      <c r="S183" s="534"/>
      <c r="T183" s="534"/>
      <c r="U183" s="534"/>
      <c r="V183" s="531">
        <f t="shared" si="164"/>
        <v>342.75085034013603</v>
      </c>
      <c r="W183" s="531"/>
      <c r="X183" s="531"/>
      <c r="Y183" s="531"/>
      <c r="Z183" s="531"/>
      <c r="AA183" s="531">
        <f t="shared" si="164"/>
        <v>28.958333333333332</v>
      </c>
      <c r="AB183" s="531"/>
      <c r="AC183" s="531"/>
      <c r="AD183" s="531"/>
      <c r="AE183" s="531"/>
      <c r="AF183" s="531">
        <f t="shared" si="164"/>
        <v>0</v>
      </c>
      <c r="AG183" s="534"/>
      <c r="AH183" s="534"/>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K183" s="24"/>
    </row>
    <row r="184" spans="2:63" ht="14.25" hidden="1" customHeight="1" outlineLevel="1">
      <c r="B184" s="773" t="s">
        <v>363</v>
      </c>
      <c r="C184" s="129"/>
      <c r="D184" s="135"/>
      <c r="E184" s="135"/>
      <c r="F184" s="570"/>
      <c r="G184" s="570"/>
      <c r="H184" s="532"/>
      <c r="I184" s="532"/>
      <c r="J184" s="774"/>
      <c r="K184" s="776">
        <v>301.03699999999998</v>
      </c>
      <c r="L184" s="776">
        <v>314.75200000000001</v>
      </c>
      <c r="M184" s="776"/>
      <c r="N184" s="776"/>
      <c r="O184" s="776"/>
      <c r="P184" s="776"/>
      <c r="Q184" s="532"/>
      <c r="R184" s="532"/>
      <c r="S184" s="532"/>
      <c r="T184" s="532"/>
      <c r="U184" s="532"/>
      <c r="V184" s="531"/>
      <c r="W184" s="531"/>
      <c r="X184" s="531"/>
      <c r="Y184" s="531"/>
      <c r="Z184" s="531"/>
      <c r="AA184" s="531"/>
      <c r="AB184" s="531"/>
      <c r="AC184" s="531"/>
      <c r="AD184" s="531"/>
      <c r="AE184" s="531"/>
      <c r="AF184" s="531"/>
      <c r="AG184" s="531"/>
      <c r="AH184" s="531"/>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K184" s="24"/>
    </row>
    <row r="185" spans="2:63" ht="14.25" hidden="1" customHeight="1" outlineLevel="1">
      <c r="B185" s="129" t="s">
        <v>231</v>
      </c>
      <c r="C185" s="130"/>
      <c r="D185" s="130"/>
      <c r="E185" s="130"/>
      <c r="F185" s="130"/>
      <c r="G185" s="531"/>
      <c r="H185" s="531"/>
      <c r="I185" s="531"/>
      <c r="J185" s="531"/>
      <c r="K185" s="531">
        <f>$F$181-2013.75</f>
        <v>5</v>
      </c>
      <c r="L185" s="531">
        <f>K185-1</f>
        <v>4</v>
      </c>
      <c r="M185" s="531"/>
      <c r="N185" s="531"/>
      <c r="O185" s="531"/>
      <c r="P185" s="531"/>
      <c r="Q185" s="531">
        <f>L185-1</f>
        <v>3</v>
      </c>
      <c r="R185" s="531"/>
      <c r="S185" s="531"/>
      <c r="T185" s="531"/>
      <c r="U185" s="531"/>
      <c r="V185" s="531">
        <f>Q185-1</f>
        <v>2</v>
      </c>
      <c r="W185" s="531"/>
      <c r="X185" s="531"/>
      <c r="Y185" s="531"/>
      <c r="Z185" s="531"/>
      <c r="AA185" s="531">
        <f>V185-1</f>
        <v>1</v>
      </c>
      <c r="AB185" s="531"/>
      <c r="AC185" s="531"/>
      <c r="AD185" s="531"/>
      <c r="AE185" s="531"/>
      <c r="AF185" s="531">
        <f>AA185-1</f>
        <v>0</v>
      </c>
      <c r="AG185" s="531"/>
      <c r="AH185" s="531"/>
      <c r="AI185" s="531"/>
      <c r="AJ185" s="531"/>
      <c r="AK185" s="531"/>
      <c r="AL185" s="531"/>
      <c r="AM185" s="531"/>
      <c r="AN185" s="531"/>
      <c r="AO185" s="531"/>
      <c r="AP185" s="531"/>
      <c r="AQ185" s="531"/>
      <c r="AR185" s="531"/>
      <c r="AS185" s="26"/>
      <c r="AT185" s="26"/>
      <c r="AU185" s="26"/>
      <c r="AV185" s="26"/>
      <c r="AW185" s="26"/>
      <c r="AX185" s="26"/>
      <c r="AY185" s="26"/>
      <c r="AZ185" s="26"/>
      <c r="BA185" s="26"/>
      <c r="BB185" s="26"/>
      <c r="BC185" s="26"/>
      <c r="BD185" s="26"/>
      <c r="BK185" s="24"/>
    </row>
    <row r="186" spans="2:63" ht="14.25" hidden="1" customHeight="1" outlineLevel="1">
      <c r="B186" s="129" t="s">
        <v>228</v>
      </c>
      <c r="C186" s="130"/>
      <c r="D186" s="130"/>
      <c r="E186" s="130"/>
      <c r="F186" s="130"/>
      <c r="G186" s="130"/>
      <c r="H186" s="531"/>
      <c r="I186" s="531"/>
      <c r="J186" s="531"/>
      <c r="K186" s="531">
        <f t="shared" ref="K186:AF186" si="165">$F$182*K183</f>
        <v>14.741851676017561</v>
      </c>
      <c r="L186" s="531">
        <f t="shared" si="165"/>
        <v>15.674996047171703</v>
      </c>
      <c r="M186" s="531"/>
      <c r="N186" s="531"/>
      <c r="O186" s="531"/>
      <c r="P186" s="531"/>
      <c r="Q186" s="531">
        <f t="shared" si="165"/>
        <v>16.388433349530288</v>
      </c>
      <c r="R186" s="531"/>
      <c r="S186" s="531"/>
      <c r="T186" s="531"/>
      <c r="U186" s="531"/>
      <c r="V186" s="531">
        <f t="shared" si="165"/>
        <v>17.137542517006803</v>
      </c>
      <c r="W186" s="531"/>
      <c r="X186" s="531"/>
      <c r="Y186" s="531"/>
      <c r="Z186" s="531"/>
      <c r="AA186" s="531">
        <f t="shared" si="165"/>
        <v>1.4479166666666667</v>
      </c>
      <c r="AB186" s="531"/>
      <c r="AC186" s="531"/>
      <c r="AD186" s="531"/>
      <c r="AE186" s="531"/>
      <c r="AF186" s="531">
        <f t="shared" si="165"/>
        <v>0</v>
      </c>
      <c r="AG186" s="534"/>
      <c r="AH186" s="534"/>
      <c r="AI186" s="534"/>
      <c r="AJ186" s="534"/>
      <c r="AK186" s="534"/>
      <c r="AL186" s="534"/>
      <c r="AM186" s="534"/>
      <c r="AN186" s="534"/>
      <c r="AO186" s="534"/>
      <c r="AP186" s="534"/>
      <c r="AQ186" s="534"/>
      <c r="AR186" s="534"/>
      <c r="AS186" s="26"/>
      <c r="AT186" s="26"/>
      <c r="AU186" s="26"/>
      <c r="AV186" s="26"/>
      <c r="AW186" s="26"/>
      <c r="AX186" s="26"/>
      <c r="AY186" s="26"/>
      <c r="AZ186" s="26"/>
      <c r="BA186" s="26"/>
      <c r="BB186" s="26"/>
      <c r="BC186" s="26"/>
      <c r="BD186" s="26"/>
      <c r="BK186" s="24"/>
    </row>
    <row r="187" spans="2:63" ht="14.25" hidden="1" customHeight="1" outlineLevel="1">
      <c r="B187" s="129" t="s">
        <v>229</v>
      </c>
      <c r="C187" s="130"/>
      <c r="D187" s="130"/>
      <c r="E187" s="130"/>
      <c r="F187" s="130"/>
      <c r="G187" s="130"/>
      <c r="H187" s="531"/>
      <c r="I187" s="534"/>
      <c r="J187" s="534"/>
      <c r="K187" s="531">
        <f t="shared" ref="K187:AF187" si="166">K175-K183</f>
        <v>80.162966479648787</v>
      </c>
      <c r="L187" s="534">
        <f t="shared" si="166"/>
        <v>61.500079056565937</v>
      </c>
      <c r="M187" s="534"/>
      <c r="N187" s="534"/>
      <c r="O187" s="534"/>
      <c r="P187" s="534"/>
      <c r="Q187" s="534">
        <f t="shared" si="166"/>
        <v>47.231333009394234</v>
      </c>
      <c r="R187" s="534"/>
      <c r="S187" s="534"/>
      <c r="T187" s="534"/>
      <c r="U187" s="534"/>
      <c r="V187" s="534">
        <f t="shared" si="166"/>
        <v>32.249149659863974</v>
      </c>
      <c r="W187" s="534"/>
      <c r="X187" s="534"/>
      <c r="Y187" s="534"/>
      <c r="Z187" s="534"/>
      <c r="AA187" s="534">
        <f t="shared" si="166"/>
        <v>346.04166666666669</v>
      </c>
      <c r="AB187" s="534"/>
      <c r="AC187" s="534"/>
      <c r="AD187" s="534"/>
      <c r="AE187" s="534"/>
      <c r="AF187" s="534">
        <f t="shared" si="166"/>
        <v>29</v>
      </c>
      <c r="AG187" s="534"/>
      <c r="AH187" s="534"/>
      <c r="AI187" s="534"/>
      <c r="AJ187" s="534"/>
      <c r="AK187" s="534"/>
      <c r="AL187" s="534"/>
      <c r="AM187" s="534"/>
      <c r="AN187" s="534"/>
      <c r="AO187" s="534"/>
      <c r="AP187" s="534"/>
      <c r="AQ187" s="534"/>
      <c r="AR187" s="534"/>
      <c r="AS187" s="26"/>
      <c r="AT187" s="26"/>
      <c r="AU187" s="26"/>
      <c r="AV187" s="26"/>
      <c r="AW187" s="26"/>
      <c r="AX187" s="26"/>
      <c r="AY187" s="26"/>
      <c r="AZ187" s="26"/>
      <c r="BA187" s="26"/>
      <c r="BB187" s="26"/>
      <c r="BC187" s="26"/>
      <c r="BD187" s="26"/>
      <c r="BK187" s="24"/>
    </row>
    <row r="188" spans="2:63" ht="14.25" hidden="1" customHeight="1" outlineLevel="1">
      <c r="B188" s="134" t="s">
        <v>230</v>
      </c>
      <c r="C188" s="446"/>
      <c r="D188" s="446"/>
      <c r="E188" s="446"/>
      <c r="F188" s="446"/>
      <c r="G188" s="446"/>
      <c r="H188" s="536"/>
      <c r="I188" s="542"/>
      <c r="J188" s="542"/>
      <c r="K188" s="536">
        <f>K186-K180</f>
        <v>14.507476676017561</v>
      </c>
      <c r="L188" s="542">
        <f>L186-L180</f>
        <v>14.268746047171703</v>
      </c>
      <c r="M188" s="542"/>
      <c r="N188" s="542"/>
      <c r="O188" s="542"/>
      <c r="P188" s="542"/>
      <c r="Q188" s="542">
        <f>Q186-Q180</f>
        <v>14.982183349530288</v>
      </c>
      <c r="R188" s="542"/>
      <c r="S188" s="542"/>
      <c r="T188" s="542"/>
      <c r="U188" s="542"/>
      <c r="V188" s="542">
        <f>V186-V180</f>
        <v>15.731292517006803</v>
      </c>
      <c r="W188" s="542"/>
      <c r="X188" s="542"/>
      <c r="Y188" s="542"/>
      <c r="Z188" s="542"/>
      <c r="AA188" s="542">
        <f>AA186-AA180</f>
        <v>4.1666666666666741E-2</v>
      </c>
      <c r="AB188" s="542"/>
      <c r="AC188" s="542"/>
      <c r="AD188" s="542"/>
      <c r="AE188" s="542"/>
      <c r="AF188" s="542"/>
      <c r="AG188" s="542"/>
      <c r="AH188" s="542"/>
      <c r="AI188" s="542"/>
      <c r="AJ188" s="542"/>
      <c r="AK188" s="542"/>
      <c r="AL188" s="542"/>
      <c r="AM188" s="542"/>
      <c r="AN188" s="542"/>
      <c r="AO188" s="542"/>
      <c r="AP188" s="542"/>
      <c r="AQ188" s="542"/>
      <c r="AR188" s="542"/>
      <c r="AS188" s="26"/>
      <c r="AT188" s="26"/>
      <c r="AU188" s="26"/>
      <c r="AV188" s="26"/>
      <c r="AW188" s="26"/>
      <c r="AX188" s="26"/>
      <c r="AY188" s="26"/>
      <c r="AZ188" s="26"/>
      <c r="BA188" s="26"/>
      <c r="BB188" s="26"/>
      <c r="BC188" s="26"/>
      <c r="BD188" s="26"/>
      <c r="BK188" s="24"/>
    </row>
    <row r="189" spans="2:63" ht="14.25" hidden="1" customHeight="1" outlineLevel="1">
      <c r="B189" s="129"/>
      <c r="C189" s="130"/>
      <c r="D189" s="130"/>
      <c r="E189" s="130"/>
      <c r="F189" s="130"/>
      <c r="G189" s="130"/>
      <c r="H189" s="531"/>
      <c r="I189" s="534"/>
      <c r="J189" s="534"/>
      <c r="K189" s="534"/>
      <c r="L189" s="534"/>
      <c r="M189" s="534"/>
      <c r="N189" s="534"/>
      <c r="O189" s="534"/>
      <c r="P189" s="534"/>
      <c r="Q189" s="534"/>
      <c r="R189" s="534"/>
      <c r="S189" s="534"/>
      <c r="T189" s="534"/>
      <c r="U189" s="534"/>
      <c r="V189" s="534"/>
      <c r="W189" s="534"/>
      <c r="X189" s="534"/>
      <c r="Y189" s="534"/>
      <c r="Z189" s="534"/>
      <c r="AA189" s="534"/>
      <c r="AB189" s="534"/>
      <c r="AC189" s="534"/>
      <c r="AD189" s="534"/>
      <c r="AE189" s="534"/>
      <c r="AF189" s="534"/>
      <c r="AG189" s="534"/>
      <c r="AH189" s="534"/>
      <c r="AI189" s="534"/>
      <c r="AJ189" s="534"/>
      <c r="AK189" s="534"/>
      <c r="AL189" s="534"/>
      <c r="AM189" s="534"/>
      <c r="AN189" s="534"/>
      <c r="AO189" s="534"/>
      <c r="AP189" s="534"/>
      <c r="AQ189" s="534"/>
      <c r="AR189" s="534"/>
      <c r="AS189" s="26"/>
      <c r="AT189" s="26"/>
      <c r="AU189" s="26"/>
      <c r="AV189" s="26"/>
      <c r="AW189" s="26"/>
      <c r="AX189" s="26"/>
      <c r="AY189" s="26"/>
      <c r="AZ189" s="26"/>
      <c r="BA189" s="26"/>
      <c r="BB189" s="26"/>
      <c r="BC189" s="26"/>
      <c r="BD189" s="26"/>
      <c r="BK189" s="24"/>
    </row>
    <row r="190" spans="2:63" ht="14.25" hidden="1" customHeight="1" outlineLevel="1">
      <c r="B190" s="129"/>
      <c r="C190" s="130"/>
      <c r="D190" s="130"/>
      <c r="E190" s="130"/>
      <c r="F190" s="130"/>
      <c r="G190" s="130"/>
      <c r="H190" s="531"/>
      <c r="I190" s="534"/>
      <c r="J190" s="534"/>
      <c r="K190" s="534"/>
      <c r="L190" s="534"/>
      <c r="M190" s="534"/>
      <c r="N190" s="534"/>
      <c r="O190" s="534"/>
      <c r="P190" s="534"/>
      <c r="Q190" s="534"/>
      <c r="R190" s="534"/>
      <c r="S190" s="534"/>
      <c r="T190" s="534"/>
      <c r="U190" s="534"/>
      <c r="V190" s="534"/>
      <c r="W190" s="534"/>
      <c r="X190" s="534"/>
      <c r="Y190" s="534"/>
      <c r="Z190" s="534"/>
      <c r="AA190" s="534"/>
      <c r="AB190" s="534"/>
      <c r="AC190" s="534"/>
      <c r="AD190" s="534"/>
      <c r="AE190" s="534"/>
      <c r="AF190" s="784"/>
      <c r="AG190" s="534"/>
      <c r="AH190" s="534"/>
      <c r="AI190" s="534"/>
      <c r="AJ190" s="534"/>
      <c r="AK190" s="534"/>
      <c r="AL190" s="534"/>
      <c r="AM190" s="534"/>
      <c r="AN190" s="534"/>
      <c r="AO190" s="534"/>
      <c r="AP190" s="534"/>
      <c r="AQ190" s="534"/>
      <c r="AR190" s="534"/>
      <c r="AS190" s="26"/>
      <c r="AT190" s="26"/>
      <c r="AU190" s="26"/>
      <c r="AV190" s="26"/>
      <c r="AW190" s="26"/>
      <c r="AX190" s="26"/>
      <c r="AY190" s="26"/>
      <c r="AZ190" s="26"/>
      <c r="BA190" s="26"/>
      <c r="BB190" s="26"/>
      <c r="BC190" s="26"/>
      <c r="BD190" s="26"/>
      <c r="BK190" s="24"/>
    </row>
    <row r="191" spans="2:63" ht="14.25" hidden="1" customHeight="1" outlineLevel="1">
      <c r="B191" s="445" t="s">
        <v>333</v>
      </c>
      <c r="C191" s="605"/>
      <c r="D191" s="605"/>
      <c r="E191" s="605"/>
      <c r="F191" s="605"/>
      <c r="G191" s="605"/>
      <c r="H191" s="606"/>
      <c r="I191" s="607"/>
      <c r="J191" s="607"/>
      <c r="K191" s="607"/>
      <c r="L191" s="607"/>
      <c r="M191" s="607"/>
      <c r="N191" s="607"/>
      <c r="O191" s="607"/>
      <c r="P191" s="607"/>
      <c r="Q191" s="607"/>
      <c r="R191" s="607"/>
      <c r="S191" s="607"/>
      <c r="T191" s="607"/>
      <c r="U191" s="607"/>
      <c r="V191" s="607"/>
      <c r="W191" s="607"/>
      <c r="X191" s="607"/>
      <c r="Y191" s="607"/>
      <c r="Z191" s="607"/>
      <c r="AA191" s="607"/>
      <c r="AB191" s="607"/>
      <c r="AC191" s="607"/>
      <c r="AD191" s="607"/>
      <c r="AE191" s="607"/>
      <c r="AF191" s="607"/>
      <c r="AG191" s="607"/>
      <c r="AH191" s="607"/>
      <c r="AI191" s="607"/>
      <c r="AJ191" s="607"/>
      <c r="AK191" s="607"/>
      <c r="AL191" s="607"/>
      <c r="AM191" s="607"/>
      <c r="AN191" s="607"/>
      <c r="AO191" s="607"/>
      <c r="AP191" s="607"/>
      <c r="AQ191" s="607"/>
      <c r="AR191" s="607"/>
      <c r="AS191" s="26"/>
      <c r="AT191" s="26"/>
      <c r="AU191" s="26"/>
      <c r="AV191" s="26"/>
      <c r="AW191" s="26"/>
      <c r="AX191" s="26"/>
      <c r="AY191" s="26"/>
      <c r="AZ191" s="26"/>
      <c r="BA191" s="26"/>
      <c r="BB191" s="26"/>
      <c r="BC191" s="26"/>
      <c r="BD191" s="26"/>
      <c r="BK191" s="24"/>
    </row>
    <row r="192" spans="2:63" ht="14.25" hidden="1" customHeight="1" outlineLevel="1">
      <c r="B192" s="152" t="s">
        <v>207</v>
      </c>
      <c r="C192" s="129"/>
      <c r="D192" s="155"/>
      <c r="E192" s="156"/>
      <c r="F192" s="155"/>
      <c r="G192" s="156"/>
      <c r="H192" s="531"/>
      <c r="I192" s="531"/>
      <c r="J192" s="531"/>
      <c r="K192" s="531">
        <v>375</v>
      </c>
      <c r="L192" s="531">
        <f t="shared" ref="L192:AI192" si="167">K194</f>
        <v>375</v>
      </c>
      <c r="M192" s="531"/>
      <c r="N192" s="531"/>
      <c r="O192" s="531"/>
      <c r="P192" s="531"/>
      <c r="Q192" s="531">
        <f>L194</f>
        <v>375</v>
      </c>
      <c r="R192" s="531"/>
      <c r="S192" s="531"/>
      <c r="T192" s="531"/>
      <c r="U192" s="531"/>
      <c r="V192" s="537">
        <f>Q194</f>
        <v>375</v>
      </c>
      <c r="W192" s="537"/>
      <c r="X192" s="537"/>
      <c r="Y192" s="537"/>
      <c r="Z192" s="537"/>
      <c r="AA192" s="537">
        <f>V194</f>
        <v>375</v>
      </c>
      <c r="AB192" s="537"/>
      <c r="AC192" s="537"/>
      <c r="AD192" s="537"/>
      <c r="AE192" s="537"/>
      <c r="AF192" s="537">
        <f>AA194</f>
        <v>27</v>
      </c>
      <c r="AG192" s="537">
        <f t="shared" si="167"/>
        <v>27</v>
      </c>
      <c r="AH192" s="537">
        <f t="shared" si="167"/>
        <v>27</v>
      </c>
      <c r="AI192" s="537">
        <f t="shared" si="167"/>
        <v>0</v>
      </c>
      <c r="AJ192" s="537">
        <f t="shared" ref="AJ192" si="168">AI194</f>
        <v>0</v>
      </c>
      <c r="AK192" s="537">
        <f t="shared" ref="AK192" si="169">AJ194</f>
        <v>0</v>
      </c>
      <c r="AL192" s="537">
        <f t="shared" ref="AL192" si="170">AK194</f>
        <v>0</v>
      </c>
      <c r="AM192" s="537">
        <f t="shared" ref="AM192" si="171">AL194</f>
        <v>0</v>
      </c>
      <c r="AN192" s="537">
        <f t="shared" ref="AN192" si="172">AM194</f>
        <v>0</v>
      </c>
      <c r="AO192" s="537">
        <f t="shared" ref="AO192" si="173">AN194</f>
        <v>0</v>
      </c>
      <c r="AP192" s="537">
        <f t="shared" ref="AP192" si="174">AO194</f>
        <v>0</v>
      </c>
      <c r="AQ192" s="537">
        <f t="shared" ref="AQ192" si="175">AP194</f>
        <v>0</v>
      </c>
      <c r="AR192" s="537">
        <f t="shared" ref="AR192" si="176">AQ194</f>
        <v>0</v>
      </c>
      <c r="AS192" s="26"/>
      <c r="AT192" s="26"/>
      <c r="AU192" s="26"/>
      <c r="AV192" s="26"/>
      <c r="AW192" s="26"/>
      <c r="AX192" s="26"/>
      <c r="AY192" s="26"/>
      <c r="AZ192" s="26"/>
      <c r="BA192" s="26"/>
      <c r="BB192" s="26"/>
      <c r="BC192" s="26"/>
      <c r="BD192" s="26"/>
      <c r="BK192" s="24"/>
    </row>
    <row r="193" spans="2:63" ht="14.25" hidden="1" customHeight="1" outlineLevel="1">
      <c r="B193" s="153" t="s">
        <v>208</v>
      </c>
      <c r="C193" s="153"/>
      <c r="D193" s="154"/>
      <c r="E193" s="154"/>
      <c r="F193" s="154"/>
      <c r="G193" s="154"/>
      <c r="H193" s="538"/>
      <c r="I193" s="538"/>
      <c r="J193" s="538"/>
      <c r="K193" s="539">
        <v>0</v>
      </c>
      <c r="L193" s="539">
        <v>0</v>
      </c>
      <c r="M193" s="539"/>
      <c r="N193" s="539"/>
      <c r="O193" s="539"/>
      <c r="P193" s="539"/>
      <c r="Q193" s="539">
        <v>0</v>
      </c>
      <c r="R193" s="539"/>
      <c r="S193" s="539"/>
      <c r="T193" s="539"/>
      <c r="U193" s="539"/>
      <c r="V193" s="539">
        <v>0</v>
      </c>
      <c r="W193" s="539"/>
      <c r="X193" s="539"/>
      <c r="Y193" s="539"/>
      <c r="Z193" s="539"/>
      <c r="AA193" s="539">
        <v>-348</v>
      </c>
      <c r="AB193" s="539"/>
      <c r="AC193" s="539"/>
      <c r="AD193" s="539"/>
      <c r="AE193" s="539"/>
      <c r="AF193" s="539">
        <v>0</v>
      </c>
      <c r="AG193" s="539">
        <v>0</v>
      </c>
      <c r="AH193" s="539">
        <f>-AH192</f>
        <v>-27</v>
      </c>
      <c r="AI193" s="539">
        <v>0</v>
      </c>
      <c r="AJ193" s="539">
        <v>0</v>
      </c>
      <c r="AK193" s="539">
        <v>0</v>
      </c>
      <c r="AL193" s="539">
        <v>0</v>
      </c>
      <c r="AM193" s="539">
        <v>0</v>
      </c>
      <c r="AN193" s="539">
        <v>0</v>
      </c>
      <c r="AO193" s="539">
        <v>0</v>
      </c>
      <c r="AP193" s="539">
        <v>0</v>
      </c>
      <c r="AQ193" s="539">
        <v>0</v>
      </c>
      <c r="AR193" s="539">
        <v>0</v>
      </c>
      <c r="AS193" s="26"/>
      <c r="AT193" s="26"/>
      <c r="AU193" s="26"/>
      <c r="AV193" s="26"/>
      <c r="AW193" s="26"/>
      <c r="AX193" s="26"/>
      <c r="AY193" s="26"/>
      <c r="AZ193" s="26"/>
      <c r="BA193" s="26"/>
      <c r="BB193" s="26"/>
      <c r="BC193" s="26"/>
      <c r="BD193" s="26"/>
      <c r="BK193" s="24"/>
    </row>
    <row r="194" spans="2:63" ht="14.25" hidden="1" customHeight="1" outlineLevel="1">
      <c r="B194" s="136" t="s">
        <v>209</v>
      </c>
      <c r="C194" s="136"/>
      <c r="D194" s="137"/>
      <c r="E194" s="137"/>
      <c r="F194" s="137"/>
      <c r="G194" s="183"/>
      <c r="H194" s="540"/>
      <c r="I194" s="540"/>
      <c r="J194" s="540"/>
      <c r="K194" s="540">
        <f t="shared" ref="K194:AI194" si="177">SUM(K192:K193)</f>
        <v>375</v>
      </c>
      <c r="L194" s="540">
        <f t="shared" si="177"/>
        <v>375</v>
      </c>
      <c r="M194" s="540"/>
      <c r="N194" s="540"/>
      <c r="O194" s="540"/>
      <c r="P194" s="540"/>
      <c r="Q194" s="540">
        <f t="shared" si="177"/>
        <v>375</v>
      </c>
      <c r="R194" s="540"/>
      <c r="S194" s="540"/>
      <c r="T194" s="540"/>
      <c r="U194" s="540"/>
      <c r="V194" s="540">
        <f t="shared" si="177"/>
        <v>375</v>
      </c>
      <c r="W194" s="540"/>
      <c r="X194" s="540"/>
      <c r="Y194" s="540"/>
      <c r="Z194" s="540"/>
      <c r="AA194" s="540">
        <f t="shared" si="177"/>
        <v>27</v>
      </c>
      <c r="AB194" s="540"/>
      <c r="AC194" s="540"/>
      <c r="AD194" s="540"/>
      <c r="AE194" s="540"/>
      <c r="AF194" s="540">
        <f t="shared" si="177"/>
        <v>27</v>
      </c>
      <c r="AG194" s="540">
        <f t="shared" si="177"/>
        <v>27</v>
      </c>
      <c r="AH194" s="540">
        <f t="shared" si="177"/>
        <v>0</v>
      </c>
      <c r="AI194" s="540">
        <f t="shared" si="177"/>
        <v>0</v>
      </c>
      <c r="AJ194" s="540">
        <f t="shared" ref="AJ194:AR194" si="178">SUM(AJ192:AJ193)</f>
        <v>0</v>
      </c>
      <c r="AK194" s="540">
        <f t="shared" si="178"/>
        <v>0</v>
      </c>
      <c r="AL194" s="540">
        <f t="shared" si="178"/>
        <v>0</v>
      </c>
      <c r="AM194" s="540">
        <f t="shared" si="178"/>
        <v>0</v>
      </c>
      <c r="AN194" s="540">
        <f t="shared" si="178"/>
        <v>0</v>
      </c>
      <c r="AO194" s="540">
        <f t="shared" si="178"/>
        <v>0</v>
      </c>
      <c r="AP194" s="540">
        <f t="shared" si="178"/>
        <v>0</v>
      </c>
      <c r="AQ194" s="540">
        <f t="shared" si="178"/>
        <v>0</v>
      </c>
      <c r="AR194" s="540">
        <f t="shared" si="178"/>
        <v>0</v>
      </c>
      <c r="AS194" s="26"/>
      <c r="AT194" s="26"/>
      <c r="AU194" s="26"/>
      <c r="AV194" s="26"/>
      <c r="AW194" s="26"/>
      <c r="AX194" s="26"/>
      <c r="AY194" s="26"/>
      <c r="AZ194" s="26"/>
      <c r="BA194" s="26"/>
      <c r="BB194" s="26"/>
      <c r="BC194" s="26"/>
      <c r="BD194" s="26"/>
      <c r="BK194" s="24"/>
    </row>
    <row r="195" spans="2:63" ht="14.25" hidden="1" customHeight="1" outlineLevel="1">
      <c r="B195" s="129"/>
      <c r="C195" s="129"/>
      <c r="D195" s="130"/>
      <c r="E195" s="130"/>
      <c r="F195" s="130"/>
      <c r="G195" s="130"/>
      <c r="H195" s="531"/>
      <c r="I195" s="531"/>
      <c r="J195" s="531"/>
      <c r="K195" s="531"/>
      <c r="L195" s="531"/>
      <c r="M195" s="531"/>
      <c r="N195" s="531"/>
      <c r="O195" s="531"/>
      <c r="P195" s="531"/>
      <c r="Q195" s="531"/>
      <c r="R195" s="531"/>
      <c r="S195" s="531"/>
      <c r="T195" s="531"/>
      <c r="U195" s="531"/>
      <c r="V195" s="531"/>
      <c r="W195" s="531"/>
      <c r="X195" s="531"/>
      <c r="Y195" s="531"/>
      <c r="Z195" s="531"/>
      <c r="AA195" s="531"/>
      <c r="AB195" s="531"/>
      <c r="AC195" s="531"/>
      <c r="AD195" s="531"/>
      <c r="AE195" s="531"/>
      <c r="AF195" s="531"/>
      <c r="AG195" s="531"/>
      <c r="AH195" s="531"/>
      <c r="AI195" s="531"/>
      <c r="AJ195" s="531"/>
      <c r="AK195" s="531"/>
      <c r="AL195" s="531"/>
      <c r="AM195" s="531"/>
      <c r="AN195" s="531"/>
      <c r="AO195" s="531"/>
      <c r="AP195" s="531"/>
      <c r="AQ195" s="531"/>
      <c r="AR195" s="531"/>
      <c r="AS195" s="26"/>
      <c r="AT195" s="26"/>
      <c r="AU195" s="26"/>
      <c r="AV195" s="26"/>
      <c r="AW195" s="26"/>
      <c r="AX195" s="26"/>
      <c r="AY195" s="26"/>
      <c r="AZ195" s="26"/>
      <c r="BA195" s="26"/>
      <c r="BB195" s="26"/>
      <c r="BC195" s="26"/>
      <c r="BD195" s="26"/>
      <c r="BK195" s="24"/>
    </row>
    <row r="196" spans="2:63" ht="14.25" hidden="1" customHeight="1" outlineLevel="1">
      <c r="B196" s="129" t="s">
        <v>223</v>
      </c>
      <c r="C196" s="129"/>
      <c r="D196" s="131"/>
      <c r="E196" s="131"/>
      <c r="F196" s="131"/>
      <c r="G196" s="131"/>
      <c r="H196" s="541"/>
      <c r="I196" s="541"/>
      <c r="J196" s="541"/>
      <c r="K196" s="541">
        <v>1.2500000000000001E-2</v>
      </c>
      <c r="L196" s="541">
        <f t="shared" ref="L196:AI196" si="179">K196</f>
        <v>1.2500000000000001E-2</v>
      </c>
      <c r="M196" s="541"/>
      <c r="N196" s="541"/>
      <c r="O196" s="541"/>
      <c r="P196" s="541"/>
      <c r="Q196" s="541">
        <f>L196</f>
        <v>1.2500000000000001E-2</v>
      </c>
      <c r="R196" s="541"/>
      <c r="S196" s="541"/>
      <c r="T196" s="541"/>
      <c r="U196" s="541"/>
      <c r="V196" s="541">
        <f>Q196</f>
        <v>1.2500000000000001E-2</v>
      </c>
      <c r="W196" s="541"/>
      <c r="X196" s="541"/>
      <c r="Y196" s="541"/>
      <c r="Z196" s="541"/>
      <c r="AA196" s="541">
        <f>V196</f>
        <v>1.2500000000000001E-2</v>
      </c>
      <c r="AB196" s="541"/>
      <c r="AC196" s="541"/>
      <c r="AD196" s="541"/>
      <c r="AE196" s="541"/>
      <c r="AF196" s="541">
        <f>AA196</f>
        <v>1.2500000000000001E-2</v>
      </c>
      <c r="AG196" s="541">
        <f t="shared" si="179"/>
        <v>1.2500000000000001E-2</v>
      </c>
      <c r="AH196" s="541">
        <f t="shared" si="179"/>
        <v>1.2500000000000001E-2</v>
      </c>
      <c r="AI196" s="541">
        <f t="shared" si="179"/>
        <v>1.2500000000000001E-2</v>
      </c>
      <c r="AJ196" s="541">
        <f t="shared" ref="AJ196" si="180">AI196</f>
        <v>1.2500000000000001E-2</v>
      </c>
      <c r="AK196" s="541">
        <f t="shared" ref="AK196" si="181">AJ196</f>
        <v>1.2500000000000001E-2</v>
      </c>
      <c r="AL196" s="541">
        <f t="shared" ref="AL196" si="182">AK196</f>
        <v>1.2500000000000001E-2</v>
      </c>
      <c r="AM196" s="541">
        <f t="shared" ref="AM196" si="183">AL196</f>
        <v>1.2500000000000001E-2</v>
      </c>
      <c r="AN196" s="541">
        <f t="shared" ref="AN196" si="184">AM196</f>
        <v>1.2500000000000001E-2</v>
      </c>
      <c r="AO196" s="541">
        <f t="shared" ref="AO196" si="185">AN196</f>
        <v>1.2500000000000001E-2</v>
      </c>
      <c r="AP196" s="541">
        <f t="shared" ref="AP196" si="186">AO196</f>
        <v>1.2500000000000001E-2</v>
      </c>
      <c r="AQ196" s="541">
        <f t="shared" ref="AQ196" si="187">AP196</f>
        <v>1.2500000000000001E-2</v>
      </c>
      <c r="AR196" s="541">
        <f t="shared" ref="AR196" si="188">AQ196</f>
        <v>1.2500000000000001E-2</v>
      </c>
      <c r="AS196" s="26"/>
      <c r="AT196" s="26"/>
      <c r="AU196" s="26"/>
      <c r="AV196" s="26"/>
      <c r="AW196" s="26"/>
      <c r="AX196" s="26"/>
      <c r="AY196" s="26"/>
      <c r="AZ196" s="26"/>
      <c r="BA196" s="26"/>
      <c r="BB196" s="26"/>
      <c r="BC196" s="26"/>
      <c r="BD196" s="26"/>
      <c r="BK196" s="24"/>
    </row>
    <row r="197" spans="2:63" ht="14.25" hidden="1" customHeight="1" outlineLevel="1">
      <c r="B197" s="129" t="s">
        <v>224</v>
      </c>
      <c r="C197" s="129"/>
      <c r="D197" s="130"/>
      <c r="E197" s="130"/>
      <c r="F197" s="130"/>
      <c r="G197" s="130"/>
      <c r="H197" s="531"/>
      <c r="I197" s="531"/>
      <c r="J197" s="531"/>
      <c r="K197" s="531">
        <f>K192*K196*(2/12)</f>
        <v>0.78125</v>
      </c>
      <c r="L197" s="531">
        <f t="shared" ref="L197:AG197" si="189">L196*L192</f>
        <v>4.6875</v>
      </c>
      <c r="M197" s="531"/>
      <c r="N197" s="531"/>
      <c r="O197" s="531"/>
      <c r="P197" s="531"/>
      <c r="Q197" s="531">
        <f t="shared" si="189"/>
        <v>4.6875</v>
      </c>
      <c r="R197" s="531"/>
      <c r="S197" s="531"/>
      <c r="T197" s="531"/>
      <c r="U197" s="531"/>
      <c r="V197" s="531">
        <f t="shared" si="189"/>
        <v>4.6875</v>
      </c>
      <c r="W197" s="531"/>
      <c r="X197" s="531"/>
      <c r="Y197" s="531"/>
      <c r="Z197" s="531"/>
      <c r="AA197" s="531">
        <f t="shared" si="189"/>
        <v>4.6875</v>
      </c>
      <c r="AB197" s="531"/>
      <c r="AC197" s="531"/>
      <c r="AD197" s="531"/>
      <c r="AE197" s="531"/>
      <c r="AF197" s="531">
        <f t="shared" si="189"/>
        <v>0.33750000000000002</v>
      </c>
      <c r="AG197" s="531">
        <f t="shared" si="189"/>
        <v>0.33750000000000002</v>
      </c>
      <c r="AH197" s="531">
        <f>(AH196*AH192)*(11.5/13)</f>
        <v>0.2985576923076923</v>
      </c>
      <c r="AI197" s="531">
        <f>0.75*AI192*AI196</f>
        <v>0</v>
      </c>
      <c r="AJ197" s="531">
        <f t="shared" ref="AJ197:AR197" si="190">0.75*AJ192*AJ196</f>
        <v>0</v>
      </c>
      <c r="AK197" s="531">
        <f t="shared" si="190"/>
        <v>0</v>
      </c>
      <c r="AL197" s="531">
        <f t="shared" si="190"/>
        <v>0</v>
      </c>
      <c r="AM197" s="531">
        <f t="shared" si="190"/>
        <v>0</v>
      </c>
      <c r="AN197" s="531">
        <f t="shared" si="190"/>
        <v>0</v>
      </c>
      <c r="AO197" s="531">
        <f t="shared" si="190"/>
        <v>0</v>
      </c>
      <c r="AP197" s="531">
        <f t="shared" si="190"/>
        <v>0</v>
      </c>
      <c r="AQ197" s="531">
        <f t="shared" si="190"/>
        <v>0</v>
      </c>
      <c r="AR197" s="531">
        <f t="shared" si="190"/>
        <v>0</v>
      </c>
      <c r="AS197" s="26"/>
      <c r="AT197" s="26"/>
      <c r="AU197" s="26"/>
      <c r="AV197" s="26"/>
      <c r="AW197" s="26"/>
      <c r="AX197" s="26"/>
      <c r="AY197" s="26"/>
      <c r="AZ197" s="26"/>
      <c r="BA197" s="26"/>
      <c r="BB197" s="26"/>
      <c r="BC197" s="26"/>
      <c r="BD197" s="26"/>
      <c r="BK197" s="24"/>
    </row>
    <row r="198" spans="2:63" ht="14.25" hidden="1" customHeight="1" outlineLevel="1">
      <c r="B198" s="129" t="s">
        <v>225</v>
      </c>
      <c r="C198" s="241"/>
      <c r="D198" s="130"/>
      <c r="E198" s="130"/>
      <c r="F198" s="133">
        <v>2020.75</v>
      </c>
      <c r="G198" s="130"/>
      <c r="H198" s="531"/>
      <c r="I198" s="534"/>
      <c r="J198" s="534"/>
      <c r="K198" s="534"/>
      <c r="L198" s="534"/>
      <c r="M198" s="534"/>
      <c r="N198" s="534"/>
      <c r="O198" s="534"/>
      <c r="P198" s="534"/>
      <c r="Q198" s="534"/>
      <c r="R198" s="534"/>
      <c r="S198" s="534"/>
      <c r="T198" s="534"/>
      <c r="U198" s="534"/>
      <c r="V198" s="534"/>
      <c r="W198" s="534"/>
      <c r="X198" s="534"/>
      <c r="Y198" s="534"/>
      <c r="Z198" s="534"/>
      <c r="AA198" s="534"/>
      <c r="AB198" s="534"/>
      <c r="AC198" s="534"/>
      <c r="AD198" s="534"/>
      <c r="AE198" s="534"/>
      <c r="AF198" s="534"/>
      <c r="AG198" s="534"/>
      <c r="AH198" s="534"/>
      <c r="AI198" s="534"/>
      <c r="AJ198" s="534"/>
      <c r="AK198" s="534"/>
      <c r="AL198" s="534"/>
      <c r="AM198" s="534"/>
      <c r="AN198" s="534"/>
      <c r="AO198" s="534"/>
      <c r="AP198" s="534"/>
      <c r="AQ198" s="534"/>
      <c r="AR198" s="534"/>
      <c r="AS198" s="26"/>
      <c r="AT198" s="26"/>
      <c r="AU198" s="26"/>
      <c r="AV198" s="26"/>
      <c r="AW198" s="26"/>
      <c r="AX198" s="26"/>
      <c r="AY198" s="26"/>
      <c r="AZ198" s="26"/>
      <c r="BA198" s="26"/>
      <c r="BB198" s="26"/>
      <c r="BC198" s="26"/>
      <c r="BD198" s="26"/>
      <c r="BK198" s="24"/>
    </row>
    <row r="199" spans="2:63" ht="14.25" hidden="1" customHeight="1" outlineLevel="1">
      <c r="B199" s="129" t="s">
        <v>226</v>
      </c>
      <c r="C199" s="241"/>
      <c r="D199" s="130"/>
      <c r="E199" s="130"/>
      <c r="F199" s="775">
        <f>F182</f>
        <v>0.05</v>
      </c>
      <c r="G199" s="130"/>
      <c r="H199" s="531"/>
      <c r="I199" s="534"/>
      <c r="J199" s="534"/>
      <c r="K199" s="534"/>
      <c r="L199" s="534"/>
      <c r="M199" s="534"/>
      <c r="N199" s="534"/>
      <c r="O199" s="534"/>
      <c r="P199" s="534"/>
      <c r="Q199" s="534"/>
      <c r="R199" s="534"/>
      <c r="S199" s="534"/>
      <c r="T199" s="534"/>
      <c r="U199" s="534"/>
      <c r="V199" s="534"/>
      <c r="W199" s="534"/>
      <c r="X199" s="534"/>
      <c r="Y199" s="534"/>
      <c r="Z199" s="534"/>
      <c r="AA199" s="534"/>
      <c r="AB199" s="534"/>
      <c r="AC199" s="534"/>
      <c r="AD199" s="534"/>
      <c r="AE199" s="534"/>
      <c r="AF199" s="534"/>
      <c r="AG199" s="534"/>
      <c r="AH199" s="534"/>
      <c r="AI199" s="534"/>
      <c r="AJ199" s="534"/>
      <c r="AK199" s="534"/>
      <c r="AL199" s="534"/>
      <c r="AM199" s="534"/>
      <c r="AN199" s="534"/>
      <c r="AO199" s="534"/>
      <c r="AP199" s="534"/>
      <c r="AQ199" s="534"/>
      <c r="AR199" s="534"/>
      <c r="AS199" s="26"/>
      <c r="AT199" s="26"/>
      <c r="AU199" s="26"/>
      <c r="AV199" s="26"/>
      <c r="AW199" s="26"/>
      <c r="AX199" s="26"/>
      <c r="AY199" s="26"/>
      <c r="AZ199" s="26"/>
      <c r="BA199" s="26"/>
      <c r="BB199" s="26"/>
      <c r="BC199" s="26"/>
      <c r="BD199" s="26"/>
      <c r="BK199" s="24"/>
    </row>
    <row r="200" spans="2:63" ht="14.25" hidden="1" customHeight="1" outlineLevel="1">
      <c r="B200" s="129" t="s">
        <v>227</v>
      </c>
      <c r="C200" s="130"/>
      <c r="D200" s="130"/>
      <c r="E200" s="130"/>
      <c r="F200" s="130"/>
      <c r="G200" s="130"/>
      <c r="H200" s="531"/>
      <c r="I200" s="531"/>
      <c r="J200" s="531"/>
      <c r="K200" s="532">
        <f>-(PV($F$199,K202,K197)-K194/((1+$F$199)^K202))</f>
        <v>271.02610301551238</v>
      </c>
      <c r="L200" s="532">
        <f t="shared" ref="L200:AH200" si="191">-(PV($F$199,L202,L197)-L194/((1+$F$199)^L202))</f>
        <v>303.62308030405154</v>
      </c>
      <c r="M200" s="532"/>
      <c r="N200" s="532"/>
      <c r="O200" s="532"/>
      <c r="P200" s="532"/>
      <c r="Q200" s="785">
        <f t="shared" si="191"/>
        <v>314.11673431925408</v>
      </c>
      <c r="R200" s="785"/>
      <c r="S200" s="785"/>
      <c r="T200" s="785"/>
      <c r="U200" s="785"/>
      <c r="V200" s="532">
        <f t="shared" si="191"/>
        <v>325.13507103521681</v>
      </c>
      <c r="W200" s="532"/>
      <c r="X200" s="532"/>
      <c r="Y200" s="532"/>
      <c r="Z200" s="532"/>
      <c r="AA200" s="532">
        <f t="shared" si="191"/>
        <v>36.088840298023982</v>
      </c>
      <c r="AB200" s="532"/>
      <c r="AC200" s="532"/>
      <c r="AD200" s="532"/>
      <c r="AE200" s="532"/>
      <c r="AF200" s="532">
        <f t="shared" si="191"/>
        <v>25.117346938775508</v>
      </c>
      <c r="AG200" s="532">
        <f t="shared" si="191"/>
        <v>26.035714285714285</v>
      </c>
      <c r="AH200" s="532">
        <f t="shared" si="191"/>
        <v>0</v>
      </c>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K200" s="24"/>
    </row>
    <row r="201" spans="2:63" ht="14.25" hidden="1" customHeight="1" outlineLevel="1">
      <c r="B201" s="773" t="s">
        <v>363</v>
      </c>
      <c r="C201" s="129"/>
      <c r="D201" s="135"/>
      <c r="E201" s="135"/>
      <c r="F201" s="570"/>
      <c r="G201" s="570"/>
      <c r="H201" s="532"/>
      <c r="I201" s="532"/>
      <c r="J201" s="774"/>
      <c r="K201" s="774">
        <v>276.33699999999999</v>
      </c>
      <c r="L201" s="774">
        <v>288.726</v>
      </c>
      <c r="M201" s="774"/>
      <c r="N201" s="774"/>
      <c r="O201" s="774"/>
      <c r="P201" s="774"/>
      <c r="Q201" s="532"/>
      <c r="R201" s="532"/>
      <c r="S201" s="532"/>
      <c r="T201" s="532"/>
      <c r="U201" s="532"/>
      <c r="V201" s="531"/>
      <c r="W201" s="531"/>
      <c r="X201" s="531"/>
      <c r="Y201" s="531"/>
      <c r="Z201" s="531"/>
      <c r="AA201" s="531"/>
      <c r="AB201" s="531"/>
      <c r="AC201" s="531"/>
      <c r="AD201" s="531"/>
      <c r="AE201" s="531"/>
      <c r="AF201" s="531"/>
      <c r="AG201" s="531"/>
      <c r="AH201" s="531"/>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K201" s="24"/>
    </row>
    <row r="202" spans="2:63" ht="14.25" hidden="1" customHeight="1" outlineLevel="1">
      <c r="B202" s="129" t="s">
        <v>231</v>
      </c>
      <c r="C202" s="130"/>
      <c r="D202" s="130"/>
      <c r="E202" s="130"/>
      <c r="F202" s="130"/>
      <c r="G202" s="531"/>
      <c r="H202" s="531"/>
      <c r="I202" s="531"/>
      <c r="J202" s="531"/>
      <c r="K202" s="531">
        <f>F198-2013.75</f>
        <v>7</v>
      </c>
      <c r="L202" s="531">
        <f t="shared" ref="L202:AH202" si="192">K202-1</f>
        <v>6</v>
      </c>
      <c r="M202" s="531"/>
      <c r="N202" s="531"/>
      <c r="O202" s="531"/>
      <c r="P202" s="531"/>
      <c r="Q202" s="531">
        <f>L202-1</f>
        <v>5</v>
      </c>
      <c r="R202" s="531"/>
      <c r="S202" s="531"/>
      <c r="T202" s="531"/>
      <c r="U202" s="531"/>
      <c r="V202" s="531">
        <f>Q202-1</f>
        <v>4</v>
      </c>
      <c r="W202" s="531"/>
      <c r="X202" s="531"/>
      <c r="Y202" s="531"/>
      <c r="Z202" s="531"/>
      <c r="AA202" s="531">
        <f>V202-1</f>
        <v>3</v>
      </c>
      <c r="AB202" s="531"/>
      <c r="AC202" s="531"/>
      <c r="AD202" s="531"/>
      <c r="AE202" s="531"/>
      <c r="AF202" s="531">
        <f>AA202-1</f>
        <v>2</v>
      </c>
      <c r="AG202" s="531">
        <f t="shared" si="192"/>
        <v>1</v>
      </c>
      <c r="AH202" s="531">
        <f t="shared" si="192"/>
        <v>0</v>
      </c>
      <c r="AI202" s="531"/>
      <c r="AJ202" s="531"/>
      <c r="AK202" s="531"/>
      <c r="AL202" s="531"/>
      <c r="AM202" s="531"/>
      <c r="AN202" s="531"/>
      <c r="AO202" s="531"/>
      <c r="AP202" s="531"/>
      <c r="AQ202" s="531"/>
      <c r="AR202" s="531"/>
      <c r="AS202" s="26"/>
      <c r="AT202" s="26"/>
      <c r="AU202" s="26"/>
      <c r="AV202" s="26"/>
      <c r="AW202" s="26"/>
      <c r="AX202" s="26"/>
      <c r="AY202" s="26"/>
      <c r="AZ202" s="26"/>
      <c r="BA202" s="26"/>
      <c r="BB202" s="26"/>
      <c r="BC202" s="26"/>
      <c r="BD202" s="26"/>
      <c r="BK202" s="24"/>
    </row>
    <row r="203" spans="2:63" ht="14.25" hidden="1" customHeight="1" outlineLevel="1">
      <c r="B203" s="129" t="s">
        <v>228</v>
      </c>
      <c r="C203" s="130"/>
      <c r="D203" s="130"/>
      <c r="E203" s="130"/>
      <c r="F203" s="130"/>
      <c r="G203" s="130"/>
      <c r="H203" s="531"/>
      <c r="I203" s="531"/>
      <c r="J203" s="531"/>
      <c r="K203" s="531">
        <f>$F$199*K200</f>
        <v>13.551305150775619</v>
      </c>
      <c r="L203" s="531">
        <f t="shared" ref="L203:AH203" si="193">$F$199*L200</f>
        <v>15.181154015202578</v>
      </c>
      <c r="M203" s="531"/>
      <c r="N203" s="531"/>
      <c r="O203" s="531"/>
      <c r="P203" s="531"/>
      <c r="Q203" s="531">
        <f t="shared" si="193"/>
        <v>15.705836715962704</v>
      </c>
      <c r="R203" s="531"/>
      <c r="S203" s="531"/>
      <c r="T203" s="531"/>
      <c r="U203" s="531"/>
      <c r="V203" s="531">
        <f t="shared" si="193"/>
        <v>16.256753551760841</v>
      </c>
      <c r="W203" s="531"/>
      <c r="X203" s="531"/>
      <c r="Y203" s="531"/>
      <c r="Z203" s="531"/>
      <c r="AA203" s="531">
        <f t="shared" si="193"/>
        <v>1.8044420149011993</v>
      </c>
      <c r="AB203" s="531"/>
      <c r="AC203" s="531"/>
      <c r="AD203" s="531"/>
      <c r="AE203" s="531"/>
      <c r="AF203" s="531">
        <f t="shared" si="193"/>
        <v>1.2558673469387756</v>
      </c>
      <c r="AG203" s="531">
        <f t="shared" si="193"/>
        <v>1.3017857142857143</v>
      </c>
      <c r="AH203" s="531">
        <f t="shared" si="193"/>
        <v>0</v>
      </c>
      <c r="AI203" s="534"/>
      <c r="AJ203" s="534"/>
      <c r="AK203" s="534"/>
      <c r="AL203" s="534"/>
      <c r="AM203" s="534"/>
      <c r="AN203" s="534"/>
      <c r="AO203" s="534"/>
      <c r="AP203" s="534"/>
      <c r="AQ203" s="534"/>
      <c r="AR203" s="534"/>
      <c r="AS203" s="26"/>
      <c r="AT203" s="26"/>
      <c r="AU203" s="26"/>
      <c r="AV203" s="26"/>
      <c r="AW203" s="26"/>
      <c r="AX203" s="26"/>
      <c r="AY203" s="26"/>
      <c r="AZ203" s="26"/>
      <c r="BA203" s="26"/>
      <c r="BB203" s="26"/>
      <c r="BC203" s="26"/>
      <c r="BD203" s="26"/>
      <c r="BK203" s="24"/>
    </row>
    <row r="204" spans="2:63" ht="14.25" hidden="1" customHeight="1" outlineLevel="1">
      <c r="B204" s="129" t="s">
        <v>229</v>
      </c>
      <c r="C204" s="130"/>
      <c r="D204" s="130"/>
      <c r="E204" s="130"/>
      <c r="F204" s="130"/>
      <c r="G204" s="130"/>
      <c r="H204" s="531"/>
      <c r="I204" s="534"/>
      <c r="J204" s="534"/>
      <c r="K204" s="531">
        <f t="shared" ref="K204:AH204" si="194">K192-K200</f>
        <v>103.97389698448762</v>
      </c>
      <c r="L204" s="534">
        <f t="shared" si="194"/>
        <v>71.376919695948459</v>
      </c>
      <c r="M204" s="534"/>
      <c r="N204" s="534"/>
      <c r="O204" s="534"/>
      <c r="P204" s="534"/>
      <c r="Q204" s="534">
        <f t="shared" si="194"/>
        <v>60.883265680745922</v>
      </c>
      <c r="R204" s="534"/>
      <c r="S204" s="534"/>
      <c r="T204" s="534"/>
      <c r="U204" s="534"/>
      <c r="V204" s="534">
        <f t="shared" si="194"/>
        <v>49.864928964783189</v>
      </c>
      <c r="W204" s="534"/>
      <c r="X204" s="534"/>
      <c r="Y204" s="534"/>
      <c r="Z204" s="534"/>
      <c r="AA204" s="534">
        <f t="shared" si="194"/>
        <v>338.91115970197603</v>
      </c>
      <c r="AB204" s="534"/>
      <c r="AC204" s="534"/>
      <c r="AD204" s="534"/>
      <c r="AE204" s="534"/>
      <c r="AF204" s="534">
        <f t="shared" si="194"/>
        <v>1.8826530612244916</v>
      </c>
      <c r="AG204" s="534">
        <f t="shared" si="194"/>
        <v>0.9642857142857153</v>
      </c>
      <c r="AH204" s="534">
        <f t="shared" si="194"/>
        <v>27</v>
      </c>
      <c r="AI204" s="534"/>
      <c r="AJ204" s="534"/>
      <c r="AK204" s="534"/>
      <c r="AL204" s="534"/>
      <c r="AM204" s="534"/>
      <c r="AN204" s="534"/>
      <c r="AO204" s="534"/>
      <c r="AP204" s="534"/>
      <c r="AQ204" s="534"/>
      <c r="AR204" s="534"/>
      <c r="AS204" s="26"/>
      <c r="AT204" s="26"/>
      <c r="AU204" s="26"/>
      <c r="AV204" s="26"/>
      <c r="AW204" s="26"/>
      <c r="AX204" s="26"/>
      <c r="AY204" s="26"/>
      <c r="AZ204" s="26"/>
      <c r="BA204" s="26"/>
      <c r="BB204" s="26"/>
      <c r="BC204" s="26"/>
      <c r="BD204" s="26"/>
      <c r="BK204" s="24"/>
    </row>
    <row r="205" spans="2:63" ht="14.25" hidden="1" customHeight="1" outlineLevel="1">
      <c r="B205" s="134" t="s">
        <v>230</v>
      </c>
      <c r="C205" s="446"/>
      <c r="D205" s="446"/>
      <c r="E205" s="446"/>
      <c r="F205" s="446"/>
      <c r="G205" s="446"/>
      <c r="H205" s="536"/>
      <c r="I205" s="542"/>
      <c r="J205" s="542"/>
      <c r="K205" s="536">
        <f>K203-K197</f>
        <v>12.770055150775619</v>
      </c>
      <c r="L205" s="542">
        <f t="shared" ref="L205:AG205" si="195">L203-L197</f>
        <v>10.493654015202578</v>
      </c>
      <c r="M205" s="542"/>
      <c r="N205" s="542"/>
      <c r="O205" s="542"/>
      <c r="P205" s="542"/>
      <c r="Q205" s="542">
        <f t="shared" si="195"/>
        <v>11.018336715962704</v>
      </c>
      <c r="R205" s="542"/>
      <c r="S205" s="542"/>
      <c r="T205" s="542"/>
      <c r="U205" s="542"/>
      <c r="V205" s="542">
        <f t="shared" si="195"/>
        <v>11.569253551760841</v>
      </c>
      <c r="W205" s="542"/>
      <c r="X205" s="542"/>
      <c r="Y205" s="542"/>
      <c r="Z205" s="542"/>
      <c r="AA205" s="542">
        <f t="shared" si="195"/>
        <v>-2.8830579850988007</v>
      </c>
      <c r="AB205" s="542"/>
      <c r="AC205" s="542"/>
      <c r="AD205" s="542"/>
      <c r="AE205" s="542"/>
      <c r="AF205" s="542">
        <f t="shared" si="195"/>
        <v>0.91836734693877553</v>
      </c>
      <c r="AG205" s="542">
        <f t="shared" si="195"/>
        <v>0.9642857142857143</v>
      </c>
      <c r="AH205" s="542"/>
      <c r="AI205" s="542"/>
      <c r="AJ205" s="542"/>
      <c r="AK205" s="542"/>
      <c r="AL205" s="542"/>
      <c r="AM205" s="542"/>
      <c r="AN205" s="542"/>
      <c r="AO205" s="542"/>
      <c r="AP205" s="542"/>
      <c r="AQ205" s="542"/>
      <c r="AR205" s="542"/>
      <c r="AS205" s="26"/>
      <c r="AT205" s="26"/>
      <c r="AU205" s="26"/>
      <c r="AV205" s="26"/>
      <c r="AW205" s="26"/>
      <c r="AX205" s="26"/>
      <c r="AY205" s="26"/>
      <c r="AZ205" s="26"/>
      <c r="BA205" s="26"/>
      <c r="BB205" s="26"/>
      <c r="BC205" s="26"/>
      <c r="BD205" s="26"/>
      <c r="BK205" s="24"/>
    </row>
    <row r="206" spans="2:63" ht="14.25" hidden="1" customHeight="1" outlineLevel="1">
      <c r="B206" s="129"/>
      <c r="C206" s="130"/>
      <c r="D206" s="130"/>
      <c r="E206" s="130"/>
      <c r="F206" s="130"/>
      <c r="G206" s="130"/>
      <c r="H206" s="531"/>
      <c r="I206" s="534"/>
      <c r="J206" s="534"/>
      <c r="K206" s="534"/>
      <c r="L206" s="534"/>
      <c r="M206" s="534"/>
      <c r="N206" s="534"/>
      <c r="O206" s="534"/>
      <c r="P206" s="534"/>
      <c r="Q206" s="534"/>
      <c r="R206" s="534"/>
      <c r="S206" s="534"/>
      <c r="T206" s="534"/>
      <c r="U206" s="534"/>
      <c r="V206" s="534"/>
      <c r="W206" s="534"/>
      <c r="X206" s="534"/>
      <c r="Y206" s="534"/>
      <c r="Z206" s="534"/>
      <c r="AA206" s="534"/>
      <c r="AB206" s="534"/>
      <c r="AC206" s="534"/>
      <c r="AD206" s="534"/>
      <c r="AE206" s="534"/>
      <c r="AF206" s="534"/>
      <c r="AG206" s="534"/>
      <c r="AH206" s="534"/>
      <c r="AI206" s="534"/>
      <c r="AJ206" s="534"/>
      <c r="AK206" s="534"/>
      <c r="AL206" s="534"/>
      <c r="AM206" s="534"/>
      <c r="AN206" s="534"/>
      <c r="AO206" s="534"/>
      <c r="AP206" s="534"/>
      <c r="AQ206" s="534"/>
      <c r="AR206" s="534"/>
      <c r="AS206" s="26"/>
      <c r="AT206" s="26"/>
      <c r="AU206" s="26"/>
      <c r="AV206" s="26"/>
      <c r="AW206" s="26"/>
      <c r="AX206" s="26"/>
      <c r="AY206" s="26"/>
      <c r="AZ206" s="26"/>
      <c r="BA206" s="26"/>
      <c r="BB206" s="26"/>
      <c r="BC206" s="26"/>
      <c r="BD206" s="26"/>
      <c r="BK206" s="24"/>
    </row>
    <row r="207" spans="2:63" ht="14.25" hidden="1" customHeight="1" outlineLevel="1">
      <c r="B207" s="129"/>
      <c r="C207" s="130"/>
      <c r="D207" s="130"/>
      <c r="E207" s="130"/>
      <c r="F207" s="130"/>
      <c r="G207" s="130"/>
      <c r="H207" s="534"/>
      <c r="I207" s="534"/>
      <c r="J207" s="534"/>
      <c r="K207" s="534"/>
      <c r="L207" s="534"/>
      <c r="M207" s="534"/>
      <c r="N207" s="534"/>
      <c r="O207" s="534"/>
      <c r="P207" s="534"/>
      <c r="Q207" s="534"/>
      <c r="R207" s="534"/>
      <c r="S207" s="534"/>
      <c r="T207" s="534"/>
      <c r="U207" s="534"/>
      <c r="V207" s="534"/>
      <c r="W207" s="534"/>
      <c r="X207" s="534"/>
      <c r="Y207" s="534"/>
      <c r="Z207" s="534"/>
      <c r="AA207" s="534"/>
      <c r="AB207" s="534"/>
      <c r="AC207" s="534"/>
      <c r="AD207" s="534"/>
      <c r="AE207" s="534"/>
      <c r="AF207" s="534"/>
      <c r="AG207" s="534"/>
      <c r="AH207" s="534"/>
      <c r="AI207" s="534"/>
      <c r="AJ207" s="534"/>
      <c r="AK207" s="534"/>
      <c r="AL207" s="534"/>
      <c r="AM207" s="534"/>
      <c r="AN207" s="534"/>
      <c r="AO207" s="534"/>
      <c r="AP207" s="534"/>
      <c r="AQ207" s="534"/>
      <c r="AR207" s="534"/>
      <c r="AS207" s="26"/>
      <c r="AT207" s="26"/>
      <c r="AU207" s="26"/>
      <c r="AV207" s="26"/>
      <c r="AW207" s="26"/>
      <c r="AX207" s="26"/>
      <c r="AY207" s="26"/>
      <c r="AZ207" s="26"/>
      <c r="BA207" s="26"/>
      <c r="BB207" s="26"/>
      <c r="BC207" s="26"/>
      <c r="BD207" s="26"/>
      <c r="BK207" s="24"/>
    </row>
    <row r="208" spans="2:63" ht="14.25" hidden="1" customHeight="1" outlineLevel="1">
      <c r="B208" s="129"/>
      <c r="C208" s="130"/>
      <c r="D208" s="130"/>
      <c r="E208" s="130"/>
      <c r="F208" s="130"/>
      <c r="G208" s="130"/>
      <c r="H208" s="130"/>
      <c r="I208" s="130"/>
      <c r="J208" s="130"/>
      <c r="K208" s="531"/>
      <c r="L208" s="531"/>
      <c r="M208" s="531"/>
      <c r="N208" s="531"/>
      <c r="O208" s="531"/>
      <c r="P208" s="531"/>
      <c r="Q208" s="534"/>
      <c r="R208" s="534"/>
      <c r="S208" s="534"/>
      <c r="T208" s="534"/>
      <c r="U208" s="534"/>
      <c r="V208" s="534"/>
      <c r="W208" s="534"/>
      <c r="X208" s="534"/>
      <c r="Y208" s="534"/>
      <c r="Z208" s="534"/>
      <c r="AA208" s="177"/>
      <c r="AB208" s="534"/>
      <c r="AC208" s="534"/>
      <c r="AD208" s="534"/>
      <c r="AE208" s="534"/>
      <c r="AF208" s="177"/>
      <c r="AG208" s="177"/>
      <c r="AH208" s="177"/>
      <c r="AI208" s="177"/>
      <c r="AJ208" s="177"/>
      <c r="AK208" s="177"/>
      <c r="AL208" s="177"/>
      <c r="AM208" s="177"/>
      <c r="AN208" s="177"/>
      <c r="AO208" s="177"/>
      <c r="AP208" s="177"/>
      <c r="AQ208" s="177"/>
      <c r="AR208" s="177"/>
      <c r="AS208" s="26"/>
      <c r="AT208" s="26"/>
      <c r="AU208" s="26"/>
      <c r="AV208" s="26"/>
      <c r="AW208" s="26"/>
      <c r="AX208" s="26"/>
      <c r="AY208" s="26"/>
      <c r="AZ208" s="26"/>
      <c r="BA208" s="26"/>
      <c r="BB208" s="26"/>
      <c r="BC208" s="26"/>
      <c r="BD208" s="26"/>
      <c r="BK208" s="24"/>
    </row>
    <row r="209" spans="2:63" ht="14.25" hidden="1" customHeight="1" outlineLevel="2">
      <c r="B209" s="445" t="s">
        <v>86</v>
      </c>
      <c r="C209" s="372"/>
      <c r="D209" s="372"/>
      <c r="E209" s="372"/>
      <c r="F209" s="372"/>
      <c r="G209" s="372"/>
      <c r="H209" s="372"/>
      <c r="I209" s="372"/>
      <c r="J209" s="372"/>
      <c r="K209" s="372"/>
      <c r="L209" s="372"/>
      <c r="M209" s="372"/>
      <c r="N209" s="372"/>
      <c r="O209" s="372"/>
      <c r="P209" s="372"/>
      <c r="Q209" s="372"/>
      <c r="R209" s="372"/>
      <c r="S209" s="372"/>
      <c r="T209" s="372"/>
      <c r="U209" s="372"/>
      <c r="V209" s="372"/>
      <c r="W209" s="372"/>
      <c r="X209" s="372"/>
      <c r="Y209" s="372"/>
      <c r="Z209" s="372"/>
      <c r="AA209" s="372"/>
      <c r="AB209" s="372"/>
      <c r="AC209" s="372"/>
      <c r="AD209" s="372"/>
      <c r="AE209" s="372"/>
      <c r="AF209" s="372"/>
      <c r="AG209" s="372"/>
      <c r="AH209" s="372"/>
      <c r="AI209" s="372"/>
      <c r="AJ209" s="372"/>
      <c r="AK209" s="372"/>
      <c r="AL209" s="372"/>
      <c r="AM209" s="372"/>
      <c r="AN209" s="372"/>
      <c r="AO209" s="372"/>
      <c r="AP209" s="372"/>
      <c r="AQ209" s="372"/>
      <c r="AR209" s="372"/>
      <c r="AS209" s="26"/>
      <c r="AT209" s="26"/>
      <c r="AU209" s="26"/>
      <c r="AV209" s="26"/>
      <c r="AW209" s="26"/>
      <c r="AX209" s="26"/>
      <c r="AY209" s="26"/>
      <c r="AZ209" s="26"/>
      <c r="BA209" s="26"/>
      <c r="BB209" s="26"/>
      <c r="BC209" s="26"/>
      <c r="BD209" s="26"/>
      <c r="BK209" s="24"/>
    </row>
    <row r="210" spans="2:63" ht="14.25" hidden="1" customHeight="1" outlineLevel="2">
      <c r="B210" s="152" t="s">
        <v>207</v>
      </c>
      <c r="C210" s="129"/>
      <c r="D210" s="155"/>
      <c r="E210" s="156"/>
      <c r="F210" s="155">
        <v>10</v>
      </c>
      <c r="G210" s="130">
        <f>F212</f>
        <v>10</v>
      </c>
      <c r="H210" s="130">
        <f>G212</f>
        <v>10</v>
      </c>
      <c r="I210" s="130">
        <f>H212</f>
        <v>10</v>
      </c>
      <c r="J210" s="130">
        <f>I212</f>
        <v>10</v>
      </c>
      <c r="K210" s="130"/>
      <c r="L210" s="130"/>
      <c r="M210" s="130"/>
      <c r="N210" s="130"/>
      <c r="O210" s="130"/>
      <c r="P210" s="130"/>
      <c r="Q210" s="156"/>
      <c r="R210" s="156"/>
      <c r="S210" s="156"/>
      <c r="T210" s="156"/>
      <c r="U210" s="156"/>
      <c r="V210" s="156"/>
      <c r="W210" s="156"/>
      <c r="X210" s="156"/>
      <c r="Y210" s="156"/>
      <c r="Z210" s="156"/>
      <c r="AA210" s="156"/>
      <c r="AB210" s="156"/>
      <c r="AC210" s="156"/>
      <c r="AD210" s="156"/>
      <c r="AE210" s="156"/>
      <c r="AF210" s="156"/>
      <c r="AG210" s="156"/>
      <c r="AH210" s="156"/>
      <c r="AI210" s="156"/>
      <c r="AJ210" s="156"/>
      <c r="AK210" s="156"/>
      <c r="AL210" s="156"/>
      <c r="AM210" s="156"/>
      <c r="AN210" s="156"/>
      <c r="AO210" s="156"/>
      <c r="AP210" s="156"/>
      <c r="AQ210" s="156"/>
      <c r="AR210" s="156"/>
      <c r="AS210" s="26"/>
      <c r="AT210" s="26"/>
      <c r="AU210" s="26"/>
      <c r="AV210" s="26"/>
      <c r="AW210" s="26"/>
      <c r="AX210" s="26"/>
      <c r="AY210" s="26"/>
      <c r="AZ210" s="26"/>
      <c r="BA210" s="26"/>
      <c r="BB210" s="26"/>
      <c r="BC210" s="26"/>
      <c r="BD210" s="26"/>
      <c r="BK210" s="24"/>
    </row>
    <row r="211" spans="2:63" ht="14.25" hidden="1" customHeight="1" outlineLevel="2">
      <c r="B211" s="153" t="s">
        <v>208</v>
      </c>
      <c r="C211" s="153"/>
      <c r="D211" s="154"/>
      <c r="E211" s="154"/>
      <c r="F211" s="154">
        <f>+IF(F$5=$E$216,-F210,0)</f>
        <v>0</v>
      </c>
      <c r="G211" s="154">
        <f>+IF(G$5=$E$216,-G210,0)</f>
        <v>0</v>
      </c>
      <c r="H211" s="154">
        <f>+IF(H$5=$E$216,-H210,0)</f>
        <v>0</v>
      </c>
      <c r="I211" s="154">
        <f>+IF(I$5=$E$216,-I210,0)</f>
        <v>0</v>
      </c>
      <c r="J211" s="154">
        <f>-J210</f>
        <v>-10</v>
      </c>
      <c r="K211" s="178"/>
      <c r="L211" s="154"/>
      <c r="M211" s="154"/>
      <c r="N211" s="154"/>
      <c r="O211" s="154"/>
      <c r="P211" s="154"/>
      <c r="Q211" s="154"/>
      <c r="R211" s="154"/>
      <c r="S211" s="154"/>
      <c r="T211" s="154"/>
      <c r="U211" s="154"/>
      <c r="V211" s="154"/>
      <c r="W211" s="154"/>
      <c r="X211" s="154"/>
      <c r="Y211" s="154"/>
      <c r="Z211" s="154"/>
      <c r="AA211" s="154"/>
      <c r="AB211" s="154"/>
      <c r="AC211" s="154"/>
      <c r="AD211" s="154"/>
      <c r="AE211" s="154"/>
      <c r="AF211" s="154"/>
      <c r="AG211" s="154"/>
      <c r="AH211" s="154"/>
      <c r="AI211" s="154"/>
      <c r="AJ211" s="154"/>
      <c r="AK211" s="154"/>
      <c r="AL211" s="154"/>
      <c r="AM211" s="154"/>
      <c r="AN211" s="154"/>
      <c r="AO211" s="154"/>
      <c r="AP211" s="154"/>
      <c r="AQ211" s="154"/>
      <c r="AR211" s="154"/>
      <c r="AS211" s="26"/>
      <c r="AT211" s="26"/>
      <c r="AU211" s="26"/>
      <c r="AV211" s="26"/>
      <c r="AW211" s="26"/>
      <c r="AX211" s="26"/>
      <c r="AY211" s="26"/>
      <c r="AZ211" s="26"/>
      <c r="BA211" s="26"/>
      <c r="BB211" s="26"/>
      <c r="BC211" s="26"/>
      <c r="BD211" s="26"/>
      <c r="BK211" s="24"/>
    </row>
    <row r="212" spans="2:63" ht="14.25" hidden="1" customHeight="1" outlineLevel="2">
      <c r="B212" s="136" t="s">
        <v>209</v>
      </c>
      <c r="C212" s="136"/>
      <c r="D212" s="137"/>
      <c r="E212" s="137"/>
      <c r="F212" s="137">
        <f>SUM(F210:F211)</f>
        <v>10</v>
      </c>
      <c r="G212" s="137">
        <f>SUM(G210:G211)</f>
        <v>10</v>
      </c>
      <c r="H212" s="137">
        <f>SUM(H210:H211)</f>
        <v>10</v>
      </c>
      <c r="I212" s="137">
        <f>SUM(I210:I211)</f>
        <v>10</v>
      </c>
      <c r="J212" s="137">
        <f>SUM(J210:J211)</f>
        <v>0</v>
      </c>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37"/>
      <c r="AK212" s="137"/>
      <c r="AL212" s="137"/>
      <c r="AM212" s="137"/>
      <c r="AN212" s="137"/>
      <c r="AO212" s="137"/>
      <c r="AP212" s="137"/>
      <c r="AQ212" s="137"/>
      <c r="AR212" s="137"/>
      <c r="AS212" s="26"/>
      <c r="AT212" s="26"/>
      <c r="AU212" s="26"/>
      <c r="AV212" s="26"/>
      <c r="AW212" s="26"/>
      <c r="AX212" s="26"/>
      <c r="AY212" s="26"/>
      <c r="AZ212" s="26"/>
      <c r="BA212" s="26"/>
      <c r="BB212" s="26"/>
      <c r="BC212" s="26"/>
      <c r="BD212" s="26"/>
      <c r="BK212" s="24"/>
    </row>
    <row r="213" spans="2:63" ht="14.25" hidden="1" customHeight="1" outlineLevel="2">
      <c r="B213" s="129"/>
      <c r="C213" s="129"/>
      <c r="D213" s="130"/>
      <c r="E213" s="130"/>
      <c r="F213" s="130"/>
      <c r="G213" s="130"/>
      <c r="H213" s="130"/>
      <c r="I213" s="130"/>
      <c r="J213" s="130"/>
      <c r="K213" s="130"/>
      <c r="L213" s="130"/>
      <c r="M213" s="130"/>
      <c r="N213" s="130"/>
      <c r="O213" s="130"/>
      <c r="P213" s="130"/>
      <c r="Q213" s="130"/>
      <c r="R213" s="130"/>
      <c r="S213" s="130"/>
      <c r="T213" s="130"/>
      <c r="U213" s="130"/>
      <c r="V213" s="130"/>
      <c r="W213" s="130"/>
      <c r="X213" s="130"/>
      <c r="Y213" s="130"/>
      <c r="Z213" s="130"/>
      <c r="AA213" s="130"/>
      <c r="AB213" s="130"/>
      <c r="AC213" s="130"/>
      <c r="AD213" s="130"/>
      <c r="AE213" s="130"/>
      <c r="AF213" s="130"/>
      <c r="AG213" s="130"/>
      <c r="AH213" s="130"/>
      <c r="AI213" s="130"/>
      <c r="AJ213" s="130"/>
      <c r="AK213" s="130"/>
      <c r="AL213" s="130"/>
      <c r="AM213" s="130"/>
      <c r="AN213" s="130"/>
      <c r="AO213" s="130"/>
      <c r="AP213" s="130"/>
      <c r="AQ213" s="130"/>
      <c r="AR213" s="130"/>
      <c r="AS213" s="26"/>
      <c r="AT213" s="26"/>
      <c r="AU213" s="26"/>
      <c r="AV213" s="26"/>
      <c r="AW213" s="26"/>
      <c r="AX213" s="26"/>
      <c r="AY213" s="26"/>
      <c r="AZ213" s="26"/>
      <c r="BA213" s="26"/>
      <c r="BB213" s="26"/>
      <c r="BC213" s="26"/>
      <c r="BD213" s="26"/>
      <c r="BK213" s="24"/>
    </row>
    <row r="214" spans="2:63" ht="14.25" hidden="1" customHeight="1" outlineLevel="2">
      <c r="B214" s="129" t="s">
        <v>223</v>
      </c>
      <c r="C214" s="129"/>
      <c r="D214" s="131"/>
      <c r="E214" s="131"/>
      <c r="F214" s="131">
        <v>0</v>
      </c>
      <c r="G214" s="305">
        <f>F214</f>
        <v>0</v>
      </c>
      <c r="H214" s="305">
        <f>G214</f>
        <v>0</v>
      </c>
      <c r="I214" s="305">
        <f>H214</f>
        <v>0</v>
      </c>
      <c r="J214" s="305">
        <f>I214</f>
        <v>0</v>
      </c>
      <c r="K214" s="305">
        <f>J214</f>
        <v>0</v>
      </c>
      <c r="L214" s="305"/>
      <c r="M214" s="305"/>
      <c r="N214" s="305"/>
      <c r="O214" s="305"/>
      <c r="P214" s="305"/>
      <c r="Q214" s="132"/>
      <c r="R214" s="132"/>
      <c r="S214" s="132"/>
      <c r="T214" s="132"/>
      <c r="U214" s="132"/>
      <c r="V214" s="132"/>
      <c r="W214" s="132"/>
      <c r="X214" s="132"/>
      <c r="Y214" s="132"/>
      <c r="Z214" s="132"/>
      <c r="AA214" s="132"/>
      <c r="AB214" s="132"/>
      <c r="AC214" s="132"/>
      <c r="AD214" s="132"/>
      <c r="AE214" s="132"/>
      <c r="AF214" s="132"/>
      <c r="AG214" s="132"/>
      <c r="AH214" s="132"/>
      <c r="AI214" s="132"/>
      <c r="AJ214" s="132"/>
      <c r="AK214" s="132"/>
      <c r="AL214" s="132"/>
      <c r="AM214" s="132"/>
      <c r="AN214" s="132"/>
      <c r="AO214" s="132"/>
      <c r="AP214" s="132"/>
      <c r="AQ214" s="132"/>
      <c r="AR214" s="132"/>
      <c r="AS214" s="26"/>
      <c r="AT214" s="26"/>
      <c r="AU214" s="26"/>
      <c r="AV214" s="26"/>
      <c r="AW214" s="26"/>
      <c r="AX214" s="26"/>
      <c r="AY214" s="26"/>
      <c r="AZ214" s="26"/>
      <c r="BA214" s="26"/>
      <c r="BB214" s="26"/>
      <c r="BC214" s="26"/>
      <c r="BD214" s="26"/>
      <c r="BK214" s="24"/>
    </row>
    <row r="215" spans="2:63" ht="14.25" hidden="1" customHeight="1" outlineLevel="2">
      <c r="B215" s="129" t="s">
        <v>224</v>
      </c>
      <c r="C215" s="129"/>
      <c r="D215" s="130"/>
      <c r="E215" s="130"/>
      <c r="F215" s="130">
        <f>AVERAGE(F210,F212)*F214</f>
        <v>0</v>
      </c>
      <c r="G215" s="130">
        <f>AVERAGE(G210,G212)*G214</f>
        <v>0</v>
      </c>
      <c r="H215" s="130">
        <f>AVERAGE(H210,H212)*H214</f>
        <v>0</v>
      </c>
      <c r="I215" s="177">
        <f>0.25*I214*I210</f>
        <v>0</v>
      </c>
      <c r="J215" s="177">
        <f>0.25*J214*J210</f>
        <v>0</v>
      </c>
      <c r="K215" s="177">
        <f>0.25*K214*K210</f>
        <v>0</v>
      </c>
      <c r="L215" s="177"/>
      <c r="M215" s="177"/>
      <c r="N215" s="177"/>
      <c r="O215" s="177"/>
      <c r="P215" s="177"/>
      <c r="Q215" s="177"/>
      <c r="R215" s="177"/>
      <c r="S215" s="177"/>
      <c r="T215" s="177"/>
      <c r="U215" s="177"/>
      <c r="V215" s="177"/>
      <c r="W215" s="177"/>
      <c r="X215" s="177"/>
      <c r="Y215" s="177"/>
      <c r="Z215" s="177"/>
      <c r="AA215" s="177"/>
      <c r="AB215" s="177"/>
      <c r="AC215" s="177"/>
      <c r="AD215" s="177"/>
      <c r="AE215" s="177"/>
      <c r="AF215" s="177"/>
      <c r="AG215" s="177"/>
      <c r="AH215" s="177"/>
      <c r="AI215" s="177"/>
      <c r="AJ215" s="177"/>
      <c r="AK215" s="177"/>
      <c r="AL215" s="177"/>
      <c r="AM215" s="177"/>
      <c r="AN215" s="177"/>
      <c r="AO215" s="177"/>
      <c r="AP215" s="177"/>
      <c r="AQ215" s="177"/>
      <c r="AR215" s="177"/>
      <c r="AS215" s="26"/>
      <c r="AT215" s="26"/>
      <c r="AU215" s="26"/>
      <c r="AV215" s="26"/>
      <c r="AW215" s="26"/>
      <c r="AX215" s="26"/>
      <c r="AY215" s="26"/>
      <c r="AZ215" s="26"/>
      <c r="BA215" s="26"/>
      <c r="BB215" s="26"/>
      <c r="BC215" s="26"/>
      <c r="BD215" s="26"/>
      <c r="BK215" s="24"/>
    </row>
    <row r="216" spans="2:63" ht="14.25" hidden="1" customHeight="1" outlineLevel="2">
      <c r="B216" s="129" t="s">
        <v>225</v>
      </c>
      <c r="D216" s="130"/>
      <c r="E216" s="133">
        <v>2013</v>
      </c>
      <c r="F216" s="130"/>
      <c r="G216" s="130"/>
      <c r="H216" s="531"/>
      <c r="I216" s="534"/>
      <c r="J216" s="534"/>
      <c r="K216" s="534"/>
      <c r="L216" s="177"/>
      <c r="M216" s="177"/>
      <c r="N216" s="177"/>
      <c r="O216" s="177"/>
      <c r="P216" s="177"/>
      <c r="Q216" s="177"/>
      <c r="R216" s="177"/>
      <c r="S216" s="177"/>
      <c r="T216" s="177"/>
      <c r="U216" s="177"/>
      <c r="V216" s="177"/>
      <c r="W216" s="177"/>
      <c r="X216" s="177"/>
      <c r="Y216" s="177"/>
      <c r="Z216" s="177"/>
      <c r="AA216" s="177"/>
      <c r="AB216" s="177"/>
      <c r="AC216" s="177"/>
      <c r="AD216" s="177"/>
      <c r="AE216" s="177"/>
      <c r="AF216" s="177"/>
      <c r="AG216" s="177"/>
      <c r="AH216" s="177"/>
      <c r="AI216" s="177"/>
      <c r="AJ216" s="177"/>
      <c r="AK216" s="177"/>
      <c r="AL216" s="177"/>
      <c r="AM216" s="177"/>
      <c r="AN216" s="177"/>
      <c r="AO216" s="177"/>
      <c r="AP216" s="177"/>
      <c r="AQ216" s="177"/>
      <c r="AR216" s="177"/>
      <c r="AS216" s="26"/>
      <c r="AT216" s="26"/>
      <c r="AU216" s="26"/>
      <c r="AV216" s="26"/>
      <c r="AW216" s="26"/>
      <c r="AX216" s="26"/>
      <c r="AY216" s="26"/>
      <c r="AZ216" s="26"/>
      <c r="BA216" s="26"/>
      <c r="BB216" s="26"/>
      <c r="BC216" s="26"/>
      <c r="BD216" s="26"/>
      <c r="BK216" s="24"/>
    </row>
    <row r="217" spans="2:63" ht="14.25" hidden="1" customHeight="1" outlineLevel="2">
      <c r="B217" s="129" t="s">
        <v>226</v>
      </c>
      <c r="D217" s="130"/>
      <c r="E217" s="258">
        <v>4.4999999999999998E-2</v>
      </c>
      <c r="F217" s="130"/>
      <c r="G217" s="130"/>
      <c r="H217" s="531"/>
      <c r="I217" s="534"/>
      <c r="J217" s="534"/>
      <c r="K217" s="534"/>
      <c r="L217" s="177"/>
      <c r="M217" s="177"/>
      <c r="N217" s="177"/>
      <c r="O217" s="177"/>
      <c r="P217" s="177"/>
      <c r="Q217" s="177"/>
      <c r="R217" s="177"/>
      <c r="S217" s="177"/>
      <c r="T217" s="177"/>
      <c r="U217" s="177"/>
      <c r="V217" s="177"/>
      <c r="W217" s="177"/>
      <c r="X217" s="177"/>
      <c r="Y217" s="177"/>
      <c r="Z217" s="177"/>
      <c r="AA217" s="177"/>
      <c r="AB217" s="177"/>
      <c r="AC217" s="177"/>
      <c r="AD217" s="177"/>
      <c r="AE217" s="177"/>
      <c r="AF217" s="177"/>
      <c r="AG217" s="177"/>
      <c r="AH217" s="177"/>
      <c r="AI217" s="177"/>
      <c r="AJ217" s="177"/>
      <c r="AK217" s="177"/>
      <c r="AL217" s="177"/>
      <c r="AM217" s="177"/>
      <c r="AN217" s="177"/>
      <c r="AO217" s="177"/>
      <c r="AP217" s="177"/>
      <c r="AQ217" s="177"/>
      <c r="AR217" s="177"/>
      <c r="AS217" s="26"/>
      <c r="AT217" s="26"/>
      <c r="AU217" s="26"/>
      <c r="AV217" s="26"/>
      <c r="AW217" s="26"/>
      <c r="AX217" s="26"/>
      <c r="AY217" s="26"/>
      <c r="AZ217" s="26"/>
      <c r="BA217" s="26"/>
      <c r="BB217" s="26"/>
      <c r="BC217" s="26"/>
      <c r="BD217" s="26"/>
      <c r="BK217" s="24"/>
    </row>
    <row r="218" spans="2:63" ht="14.25" hidden="1" customHeight="1" outlineLevel="2">
      <c r="B218" s="129" t="s">
        <v>227</v>
      </c>
      <c r="C218" s="130"/>
      <c r="D218" s="130"/>
      <c r="E218" s="130"/>
      <c r="F218" s="532">
        <f t="shared" ref="F218:K218" si="196">-(PV($E$217,F220,F215)-F212/((1+$E$217)^F220))</f>
        <v>8.0245104650068413</v>
      </c>
      <c r="G218" s="532">
        <f t="shared" si="196"/>
        <v>8.3856134359321484</v>
      </c>
      <c r="H218" s="532">
        <f t="shared" si="196"/>
        <v>8.7629660405490934</v>
      </c>
      <c r="I218" s="532">
        <f t="shared" si="196"/>
        <v>9.1572995123738021</v>
      </c>
      <c r="J218" s="532">
        <f t="shared" si="196"/>
        <v>0</v>
      </c>
      <c r="K218" s="532">
        <f t="shared" si="196"/>
        <v>0</v>
      </c>
      <c r="L218" s="572"/>
      <c r="M218" s="572"/>
      <c r="N218" s="572"/>
      <c r="O218" s="572"/>
      <c r="P218" s="572"/>
      <c r="Q218" s="177"/>
      <c r="R218" s="177"/>
      <c r="S218" s="177"/>
      <c r="T218" s="177"/>
      <c r="U218" s="177"/>
      <c r="V218" s="177"/>
      <c r="W218" s="177"/>
      <c r="X218" s="177"/>
      <c r="Y218" s="177"/>
      <c r="Z218" s="177"/>
      <c r="AA218" s="177"/>
      <c r="AB218" s="177"/>
      <c r="AC218" s="177"/>
      <c r="AD218" s="177"/>
      <c r="AE218" s="177"/>
      <c r="AF218" s="177"/>
      <c r="AG218" s="177"/>
      <c r="AH218" s="177"/>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K218" s="24"/>
    </row>
    <row r="219" spans="2:63" ht="14.25" hidden="1" customHeight="1" outlineLevel="2">
      <c r="B219" s="773" t="s">
        <v>363</v>
      </c>
      <c r="C219" s="129"/>
      <c r="D219" s="135"/>
      <c r="E219" s="135"/>
      <c r="F219" s="570"/>
      <c r="G219" s="570"/>
      <c r="H219" s="532"/>
      <c r="I219" s="774">
        <v>9.4149999999999991</v>
      </c>
      <c r="J219" s="774"/>
      <c r="K219" s="774"/>
      <c r="L219" s="532"/>
      <c r="M219" s="532"/>
      <c r="N219" s="532"/>
      <c r="O219" s="532"/>
      <c r="P219" s="532"/>
      <c r="Q219" s="532"/>
      <c r="R219" s="532"/>
      <c r="S219" s="532"/>
      <c r="T219" s="532"/>
      <c r="U219" s="532"/>
      <c r="V219" s="531"/>
      <c r="W219" s="531"/>
      <c r="X219" s="531"/>
      <c r="Y219" s="531"/>
      <c r="Z219" s="531"/>
      <c r="AA219" s="531"/>
      <c r="AB219" s="531"/>
      <c r="AC219" s="531"/>
      <c r="AD219" s="531"/>
      <c r="AE219" s="531"/>
      <c r="AF219" s="531"/>
      <c r="AG219" s="531"/>
      <c r="AH219" s="531"/>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K219" s="24"/>
    </row>
    <row r="220" spans="2:63" ht="14.25" hidden="1" customHeight="1" outlineLevel="2">
      <c r="B220" s="129" t="s">
        <v>231</v>
      </c>
      <c r="C220" s="130"/>
      <c r="D220" s="130"/>
      <c r="E220" s="130"/>
      <c r="F220" s="561">
        <v>5</v>
      </c>
      <c r="G220" s="561">
        <v>4</v>
      </c>
      <c r="H220" s="532">
        <v>3</v>
      </c>
      <c r="I220" s="532">
        <v>2</v>
      </c>
      <c r="J220" s="532">
        <v>1</v>
      </c>
      <c r="K220" s="532">
        <v>0</v>
      </c>
      <c r="L220" s="561"/>
      <c r="M220" s="561"/>
      <c r="N220" s="561"/>
      <c r="O220" s="561"/>
      <c r="P220" s="561"/>
      <c r="Q220" s="561"/>
      <c r="R220" s="561"/>
      <c r="S220" s="561"/>
      <c r="T220" s="561"/>
      <c r="U220" s="561"/>
      <c r="V220" s="130"/>
      <c r="W220" s="130"/>
      <c r="X220" s="130"/>
      <c r="Y220" s="130"/>
      <c r="Z220" s="130"/>
      <c r="AA220" s="130"/>
      <c r="AB220" s="130"/>
      <c r="AC220" s="130"/>
      <c r="AD220" s="130"/>
      <c r="AE220" s="130"/>
      <c r="AF220" s="130"/>
      <c r="AG220" s="130"/>
      <c r="AH220" s="130"/>
      <c r="AI220" s="531"/>
      <c r="AJ220" s="531"/>
      <c r="AK220" s="531"/>
      <c r="AL220" s="531"/>
      <c r="AM220" s="531"/>
      <c r="AN220" s="531"/>
      <c r="AO220" s="531"/>
      <c r="AP220" s="531"/>
      <c r="AQ220" s="531"/>
      <c r="AR220" s="531"/>
      <c r="AS220" s="26"/>
      <c r="AT220" s="26"/>
      <c r="AU220" s="26"/>
      <c r="AV220" s="26"/>
      <c r="AW220" s="26"/>
      <c r="AX220" s="26"/>
      <c r="AY220" s="26"/>
      <c r="AZ220" s="26"/>
      <c r="BA220" s="26"/>
      <c r="BB220" s="26"/>
      <c r="BC220" s="26"/>
      <c r="BD220" s="26"/>
      <c r="BK220" s="24"/>
    </row>
    <row r="221" spans="2:63" ht="14.25" hidden="1" customHeight="1" outlineLevel="2">
      <c r="B221" s="129" t="s">
        <v>228</v>
      </c>
      <c r="C221" s="130"/>
      <c r="D221" s="130"/>
      <c r="E221" s="130"/>
      <c r="F221" s="561">
        <f t="shared" ref="F221:K221" si="197">$C$136*F218</f>
        <v>0.48147062790041045</v>
      </c>
      <c r="G221" s="561">
        <f t="shared" si="197"/>
        <v>0.50313680615592893</v>
      </c>
      <c r="H221" s="532">
        <f t="shared" si="197"/>
        <v>0.52577796243294561</v>
      </c>
      <c r="I221" s="532">
        <f t="shared" si="197"/>
        <v>0.54943797074242806</v>
      </c>
      <c r="J221" s="532">
        <f t="shared" si="197"/>
        <v>0</v>
      </c>
      <c r="K221" s="532">
        <f t="shared" si="197"/>
        <v>0</v>
      </c>
      <c r="L221" s="562"/>
      <c r="M221" s="562"/>
      <c r="N221" s="562"/>
      <c r="O221" s="562"/>
      <c r="P221" s="562"/>
      <c r="Q221" s="562"/>
      <c r="R221" s="562"/>
      <c r="S221" s="562"/>
      <c r="T221" s="562"/>
      <c r="U221" s="562"/>
      <c r="V221" s="177"/>
      <c r="W221" s="177"/>
      <c r="X221" s="177"/>
      <c r="Y221" s="177"/>
      <c r="Z221" s="177"/>
      <c r="AA221" s="177"/>
      <c r="AB221" s="177"/>
      <c r="AC221" s="177"/>
      <c r="AD221" s="177"/>
      <c r="AE221" s="177"/>
      <c r="AF221" s="177"/>
      <c r="AG221" s="177"/>
      <c r="AH221" s="177"/>
      <c r="AI221" s="177"/>
      <c r="AJ221" s="177"/>
      <c r="AK221" s="177"/>
      <c r="AL221" s="177"/>
      <c r="AM221" s="177"/>
      <c r="AN221" s="177"/>
      <c r="AO221" s="177"/>
      <c r="AP221" s="177"/>
      <c r="AQ221" s="177"/>
      <c r="AR221" s="177"/>
      <c r="AS221" s="26"/>
      <c r="AT221" s="26"/>
      <c r="AU221" s="26"/>
      <c r="AV221" s="26"/>
      <c r="AW221" s="26"/>
      <c r="AX221" s="26"/>
      <c r="AY221" s="26"/>
      <c r="AZ221" s="26"/>
      <c r="BA221" s="26"/>
      <c r="BB221" s="26"/>
      <c r="BC221" s="26"/>
      <c r="BD221" s="26"/>
      <c r="BK221" s="24"/>
    </row>
    <row r="222" spans="2:63" ht="14.25" hidden="1" customHeight="1" outlineLevel="2">
      <c r="B222" s="129" t="s">
        <v>229</v>
      </c>
      <c r="C222" s="130"/>
      <c r="D222" s="130"/>
      <c r="E222" s="130"/>
      <c r="F222" s="561">
        <f t="shared" ref="F222:K222" si="198">F210-F218</f>
        <v>1.9754895349931587</v>
      </c>
      <c r="G222" s="561">
        <f t="shared" si="198"/>
        <v>1.6143865640678516</v>
      </c>
      <c r="H222" s="532">
        <f t="shared" si="198"/>
        <v>1.2370339594509066</v>
      </c>
      <c r="I222" s="532">
        <f t="shared" si="198"/>
        <v>0.84270048762619787</v>
      </c>
      <c r="J222" s="532">
        <f t="shared" si="198"/>
        <v>10</v>
      </c>
      <c r="K222" s="532">
        <f t="shared" si="198"/>
        <v>0</v>
      </c>
      <c r="L222" s="562"/>
      <c r="M222" s="562"/>
      <c r="N222" s="562"/>
      <c r="O222" s="562"/>
      <c r="P222" s="562"/>
      <c r="Q222" s="562"/>
      <c r="R222" s="562"/>
      <c r="S222" s="562"/>
      <c r="T222" s="562"/>
      <c r="U222" s="562"/>
      <c r="V222" s="177"/>
      <c r="W222" s="177"/>
      <c r="X222" s="177"/>
      <c r="Y222" s="177"/>
      <c r="Z222" s="177"/>
      <c r="AA222" s="177"/>
      <c r="AB222" s="177"/>
      <c r="AC222" s="177"/>
      <c r="AD222" s="177"/>
      <c r="AE222" s="177"/>
      <c r="AF222" s="177"/>
      <c r="AG222" s="177"/>
      <c r="AH222" s="177"/>
      <c r="AI222" s="177"/>
      <c r="AJ222" s="177"/>
      <c r="AK222" s="177"/>
      <c r="AL222" s="177"/>
      <c r="AM222" s="177"/>
      <c r="AN222" s="177"/>
      <c r="AO222" s="177"/>
      <c r="AP222" s="177"/>
      <c r="AQ222" s="177"/>
      <c r="AR222" s="177"/>
      <c r="AS222" s="26"/>
      <c r="AT222" s="26"/>
      <c r="AU222" s="26"/>
      <c r="AV222" s="26"/>
      <c r="AW222" s="26"/>
      <c r="AX222" s="26"/>
      <c r="AY222" s="26"/>
      <c r="AZ222" s="26"/>
      <c r="BA222" s="26"/>
      <c r="BB222" s="26"/>
      <c r="BC222" s="26"/>
      <c r="BD222" s="26"/>
      <c r="BK222" s="24"/>
    </row>
    <row r="223" spans="2:63" ht="14.25" hidden="1" customHeight="1" outlineLevel="2">
      <c r="B223" s="129" t="s">
        <v>230</v>
      </c>
      <c r="C223" s="130"/>
      <c r="D223" s="130"/>
      <c r="E223" s="130"/>
      <c r="F223" s="561">
        <f>F221-F215</f>
        <v>0.48147062790041045</v>
      </c>
      <c r="G223" s="561">
        <f>G221-G215</f>
        <v>0.50313680615592893</v>
      </c>
      <c r="H223" s="532">
        <f>H221-H215</f>
        <v>0.52577796243294561</v>
      </c>
      <c r="I223" s="532">
        <f>I221-I215</f>
        <v>0.54943797074242806</v>
      </c>
      <c r="J223" s="532">
        <f>J221-J215</f>
        <v>0</v>
      </c>
      <c r="K223" s="532">
        <v>0</v>
      </c>
      <c r="L223" s="574"/>
      <c r="M223" s="574"/>
      <c r="N223" s="574"/>
      <c r="O223" s="574"/>
      <c r="P223" s="574"/>
      <c r="Q223" s="562"/>
      <c r="R223" s="562"/>
      <c r="S223" s="562"/>
      <c r="T223" s="562"/>
      <c r="U223" s="562"/>
      <c r="V223" s="177"/>
      <c r="W223" s="177"/>
      <c r="X223" s="177"/>
      <c r="Y223" s="177"/>
      <c r="Z223" s="177"/>
      <c r="AA223" s="177"/>
      <c r="AB223" s="177"/>
      <c r="AC223" s="177"/>
      <c r="AD223" s="177"/>
      <c r="AE223" s="177"/>
      <c r="AF223" s="177"/>
      <c r="AG223" s="177"/>
      <c r="AH223" s="177"/>
      <c r="AI223" s="177"/>
      <c r="AJ223" s="177"/>
      <c r="AK223" s="177"/>
      <c r="AL223" s="177"/>
      <c r="AM223" s="177"/>
      <c r="AN223" s="177"/>
      <c r="AO223" s="177"/>
      <c r="AP223" s="177"/>
      <c r="AQ223" s="177"/>
      <c r="AR223" s="177"/>
      <c r="AS223" s="26"/>
      <c r="AT223" s="26"/>
      <c r="AU223" s="26"/>
      <c r="AV223" s="26"/>
      <c r="AW223" s="26"/>
      <c r="AX223" s="26"/>
      <c r="AY223" s="26"/>
      <c r="AZ223" s="26"/>
      <c r="BA223" s="26"/>
      <c r="BB223" s="26"/>
      <c r="BC223" s="26"/>
      <c r="BD223" s="26"/>
      <c r="BK223" s="24"/>
    </row>
    <row r="224" spans="2:63" ht="14.25" hidden="1" customHeight="1" outlineLevel="2">
      <c r="B224" s="448"/>
      <c r="C224" s="446"/>
      <c r="D224" s="446"/>
      <c r="E224" s="446"/>
      <c r="F224" s="563"/>
      <c r="G224" s="563"/>
      <c r="H224" s="536"/>
      <c r="I224" s="536"/>
      <c r="J224" s="536"/>
      <c r="K224" s="536"/>
      <c r="L224" s="563"/>
      <c r="M224" s="563"/>
      <c r="N224" s="563"/>
      <c r="O224" s="563"/>
      <c r="P224" s="563"/>
      <c r="Q224" s="564"/>
      <c r="R224" s="564"/>
      <c r="S224" s="564"/>
      <c r="T224" s="564"/>
      <c r="U224" s="564"/>
      <c r="V224" s="447"/>
      <c r="W224" s="447"/>
      <c r="X224" s="447"/>
      <c r="Y224" s="447"/>
      <c r="Z224" s="447"/>
      <c r="AA224" s="447"/>
      <c r="AB224" s="447"/>
      <c r="AC224" s="447"/>
      <c r="AD224" s="447"/>
      <c r="AE224" s="447"/>
      <c r="AF224" s="447"/>
      <c r="AG224" s="447"/>
      <c r="AH224" s="447"/>
      <c r="AI224" s="447"/>
      <c r="AJ224" s="447"/>
      <c r="AK224" s="447"/>
      <c r="AL224" s="447"/>
      <c r="AM224" s="447"/>
      <c r="AN224" s="447"/>
      <c r="AO224" s="447"/>
      <c r="AP224" s="447"/>
      <c r="AQ224" s="447"/>
      <c r="AR224" s="447"/>
      <c r="AS224" s="26"/>
      <c r="AT224" s="26"/>
      <c r="AU224" s="26"/>
      <c r="AV224" s="26"/>
      <c r="AW224" s="26"/>
      <c r="AX224" s="26"/>
      <c r="AY224" s="26"/>
      <c r="AZ224" s="26"/>
      <c r="BA224" s="26"/>
      <c r="BB224" s="26"/>
      <c r="BC224" s="26"/>
      <c r="BD224" s="26"/>
      <c r="BK224" s="24"/>
    </row>
    <row r="225" spans="2:63" ht="14.25" hidden="1" customHeight="1" outlineLevel="2">
      <c r="B225" s="445" t="s">
        <v>85</v>
      </c>
      <c r="C225" s="449"/>
      <c r="D225" s="449"/>
      <c r="E225" s="449"/>
      <c r="F225" s="565"/>
      <c r="G225" s="565"/>
      <c r="H225" s="565"/>
      <c r="I225" s="565"/>
      <c r="J225" s="565"/>
      <c r="K225" s="565"/>
      <c r="L225" s="565"/>
      <c r="M225" s="565"/>
      <c r="N225" s="565"/>
      <c r="O225" s="565"/>
      <c r="P225" s="565"/>
      <c r="Q225" s="565"/>
      <c r="R225" s="565"/>
      <c r="S225" s="565"/>
      <c r="T225" s="565"/>
      <c r="U225" s="565"/>
      <c r="V225" s="449"/>
      <c r="W225" s="449"/>
      <c r="X225" s="449"/>
      <c r="Y225" s="449"/>
      <c r="Z225" s="449"/>
      <c r="AA225" s="449"/>
      <c r="AB225" s="449"/>
      <c r="AC225" s="449"/>
      <c r="AD225" s="449"/>
      <c r="AE225" s="449"/>
      <c r="AF225" s="449"/>
      <c r="AG225" s="449"/>
      <c r="AH225" s="449"/>
      <c r="AI225" s="449"/>
      <c r="AJ225" s="449"/>
      <c r="AK225" s="449"/>
      <c r="AL225" s="449"/>
      <c r="AM225" s="449"/>
      <c r="AN225" s="449"/>
      <c r="AO225" s="449"/>
      <c r="AP225" s="449"/>
      <c r="AQ225" s="449"/>
      <c r="AR225" s="449"/>
      <c r="AS225" s="26"/>
      <c r="AT225" s="26"/>
      <c r="AU225" s="26"/>
      <c r="AV225" s="26"/>
      <c r="AW225" s="26"/>
      <c r="AX225" s="26"/>
      <c r="AY225" s="26"/>
      <c r="AZ225" s="26"/>
      <c r="BA225" s="26"/>
      <c r="BB225" s="26"/>
      <c r="BC225" s="26"/>
      <c r="BD225" s="26"/>
      <c r="BK225" s="24"/>
    </row>
    <row r="226" spans="2:63" ht="14.25" hidden="1" customHeight="1" outlineLevel="2">
      <c r="B226" s="136" t="s">
        <v>207</v>
      </c>
      <c r="C226" s="130"/>
      <c r="D226" s="135"/>
      <c r="E226" s="135"/>
      <c r="F226" s="566">
        <v>10</v>
      </c>
      <c r="G226" s="561">
        <f t="shared" ref="G226:L226" si="199">F228</f>
        <v>10</v>
      </c>
      <c r="H226" s="531">
        <f t="shared" si="199"/>
        <v>10</v>
      </c>
      <c r="I226" s="534">
        <f t="shared" si="199"/>
        <v>10</v>
      </c>
      <c r="J226" s="534">
        <f t="shared" si="199"/>
        <v>10</v>
      </c>
      <c r="K226" s="534">
        <f t="shared" si="199"/>
        <v>10</v>
      </c>
      <c r="L226" s="534">
        <f t="shared" si="199"/>
        <v>0</v>
      </c>
      <c r="M226" s="534"/>
      <c r="N226" s="534"/>
      <c r="O226" s="534"/>
      <c r="P226" s="534"/>
      <c r="Q226" s="534">
        <f>L228</f>
        <v>0</v>
      </c>
      <c r="R226" s="534"/>
      <c r="S226" s="534"/>
      <c r="T226" s="534"/>
      <c r="U226" s="534"/>
      <c r="V226" s="534">
        <f>Q228</f>
        <v>0</v>
      </c>
      <c r="W226" s="534"/>
      <c r="X226" s="534"/>
      <c r="Y226" s="534"/>
      <c r="Z226" s="534"/>
      <c r="AA226" s="534">
        <f>V228</f>
        <v>0</v>
      </c>
      <c r="AB226" s="534"/>
      <c r="AC226" s="534"/>
      <c r="AD226" s="534"/>
      <c r="AE226" s="534"/>
      <c r="AF226" s="534">
        <f>AA228</f>
        <v>0</v>
      </c>
      <c r="AG226" s="534">
        <f t="shared" ref="AG226:AI226" si="200">AF228</f>
        <v>0</v>
      </c>
      <c r="AH226" s="534">
        <f t="shared" si="200"/>
        <v>0</v>
      </c>
      <c r="AI226" s="534">
        <f t="shared" si="200"/>
        <v>0</v>
      </c>
      <c r="AJ226" s="534">
        <f t="shared" ref="AJ226" si="201">AI228</f>
        <v>0</v>
      </c>
      <c r="AK226" s="534">
        <f t="shared" ref="AK226" si="202">AJ228</f>
        <v>0</v>
      </c>
      <c r="AL226" s="534">
        <f t="shared" ref="AL226" si="203">AK228</f>
        <v>0</v>
      </c>
      <c r="AM226" s="534">
        <f t="shared" ref="AM226" si="204">AL228</f>
        <v>0</v>
      </c>
      <c r="AN226" s="534">
        <f t="shared" ref="AN226" si="205">AM228</f>
        <v>0</v>
      </c>
      <c r="AO226" s="534">
        <f t="shared" ref="AO226" si="206">AN228</f>
        <v>0</v>
      </c>
      <c r="AP226" s="534">
        <f t="shared" ref="AP226" si="207">AO228</f>
        <v>0</v>
      </c>
      <c r="AQ226" s="534">
        <f t="shared" ref="AQ226" si="208">AP228</f>
        <v>0</v>
      </c>
      <c r="AR226" s="534">
        <f t="shared" ref="AR226" si="209">AQ228</f>
        <v>0</v>
      </c>
      <c r="AS226" s="26"/>
      <c r="AT226" s="26"/>
      <c r="AU226" s="26"/>
      <c r="AV226" s="26"/>
      <c r="AW226" s="26"/>
      <c r="AX226" s="26"/>
      <c r="AY226" s="26"/>
      <c r="AZ226" s="26"/>
      <c r="BA226" s="26"/>
      <c r="BB226" s="26"/>
      <c r="BC226" s="26"/>
      <c r="BD226" s="26"/>
      <c r="BK226" s="24"/>
    </row>
    <row r="227" spans="2:63" ht="14.25" hidden="1" customHeight="1" outlineLevel="2">
      <c r="B227" s="153" t="s">
        <v>208</v>
      </c>
      <c r="C227" s="154"/>
      <c r="D227" s="157"/>
      <c r="E227" s="157"/>
      <c r="F227" s="567"/>
      <c r="G227" s="568">
        <f>+IF(G127=$E$232,-G226,0)</f>
        <v>0</v>
      </c>
      <c r="H227" s="538">
        <f>+IF(H127=$E$232,-H226,0)</f>
        <v>0</v>
      </c>
      <c r="I227" s="539">
        <f>+IF(I127=$E$232,-I226,0)</f>
        <v>0</v>
      </c>
      <c r="J227" s="539">
        <f>+IF(J127=$E$232,-J226,0)</f>
        <v>0</v>
      </c>
      <c r="K227" s="539">
        <v>-10</v>
      </c>
      <c r="L227" s="539">
        <f t="shared" ref="L227:AI227" si="210">+IF(L127=$E$232,-L226,0)</f>
        <v>0</v>
      </c>
      <c r="M227" s="539"/>
      <c r="N227" s="539"/>
      <c r="O227" s="539"/>
      <c r="P227" s="539"/>
      <c r="Q227" s="539">
        <f t="shared" si="210"/>
        <v>0</v>
      </c>
      <c r="R227" s="539"/>
      <c r="S227" s="539"/>
      <c r="T227" s="539"/>
      <c r="U227" s="539"/>
      <c r="V227" s="539">
        <f t="shared" si="210"/>
        <v>0</v>
      </c>
      <c r="W227" s="539"/>
      <c r="X227" s="539"/>
      <c r="Y227" s="539"/>
      <c r="Z227" s="539"/>
      <c r="AA227" s="539">
        <f t="shared" si="210"/>
        <v>0</v>
      </c>
      <c r="AB227" s="539"/>
      <c r="AC227" s="539"/>
      <c r="AD227" s="539"/>
      <c r="AE227" s="539"/>
      <c r="AF227" s="539">
        <f t="shared" si="210"/>
        <v>0</v>
      </c>
      <c r="AG227" s="539">
        <f t="shared" si="210"/>
        <v>0</v>
      </c>
      <c r="AH227" s="539">
        <f t="shared" si="210"/>
        <v>0</v>
      </c>
      <c r="AI227" s="539">
        <f t="shared" si="210"/>
        <v>0</v>
      </c>
      <c r="AJ227" s="539">
        <f t="shared" ref="AJ227:AR227" si="211">+IF(AJ127=$E$232,-AJ226,0)</f>
        <v>0</v>
      </c>
      <c r="AK227" s="539">
        <f t="shared" si="211"/>
        <v>0</v>
      </c>
      <c r="AL227" s="539">
        <f t="shared" si="211"/>
        <v>0</v>
      </c>
      <c r="AM227" s="539">
        <f t="shared" si="211"/>
        <v>0</v>
      </c>
      <c r="AN227" s="539">
        <f t="shared" si="211"/>
        <v>0</v>
      </c>
      <c r="AO227" s="539">
        <f t="shared" si="211"/>
        <v>0</v>
      </c>
      <c r="AP227" s="539">
        <f t="shared" si="211"/>
        <v>0</v>
      </c>
      <c r="AQ227" s="539">
        <f t="shared" si="211"/>
        <v>0</v>
      </c>
      <c r="AR227" s="539">
        <f t="shared" si="211"/>
        <v>0</v>
      </c>
      <c r="AS227" s="26"/>
      <c r="AT227" s="26"/>
      <c r="AU227" s="26"/>
      <c r="AV227" s="26"/>
      <c r="AW227" s="26"/>
      <c r="AX227" s="26"/>
      <c r="AY227" s="26"/>
      <c r="AZ227" s="26"/>
      <c r="BA227" s="26"/>
      <c r="BB227" s="26"/>
      <c r="BC227" s="26"/>
      <c r="BD227" s="26"/>
      <c r="BK227" s="24"/>
    </row>
    <row r="228" spans="2:63" ht="14.25" hidden="1" customHeight="1" outlineLevel="2">
      <c r="B228" s="136" t="s">
        <v>209</v>
      </c>
      <c r="C228" s="130"/>
      <c r="D228" s="135"/>
      <c r="E228" s="135"/>
      <c r="F228" s="561">
        <f t="shared" ref="F228:Q228" si="212">SUM(F226:F227)</f>
        <v>10</v>
      </c>
      <c r="G228" s="561">
        <f t="shared" si="212"/>
        <v>10</v>
      </c>
      <c r="H228" s="531">
        <f t="shared" si="212"/>
        <v>10</v>
      </c>
      <c r="I228" s="534">
        <f t="shared" si="212"/>
        <v>10</v>
      </c>
      <c r="J228" s="534">
        <f t="shared" si="212"/>
        <v>10</v>
      </c>
      <c r="K228" s="534">
        <f t="shared" si="212"/>
        <v>0</v>
      </c>
      <c r="L228" s="534">
        <f t="shared" si="212"/>
        <v>0</v>
      </c>
      <c r="M228" s="534"/>
      <c r="N228" s="534"/>
      <c r="O228" s="534"/>
      <c r="P228" s="534"/>
      <c r="Q228" s="534">
        <f t="shared" si="212"/>
        <v>0</v>
      </c>
      <c r="R228" s="534"/>
      <c r="S228" s="534"/>
      <c r="T228" s="534"/>
      <c r="U228" s="534"/>
      <c r="V228" s="534">
        <f t="shared" ref="V228:AI228" si="213">SUM(V226:V227)</f>
        <v>0</v>
      </c>
      <c r="W228" s="534"/>
      <c r="X228" s="534"/>
      <c r="Y228" s="534"/>
      <c r="Z228" s="534"/>
      <c r="AA228" s="534">
        <f t="shared" si="213"/>
        <v>0</v>
      </c>
      <c r="AB228" s="534"/>
      <c r="AC228" s="534"/>
      <c r="AD228" s="534"/>
      <c r="AE228" s="534"/>
      <c r="AF228" s="534">
        <f t="shared" si="213"/>
        <v>0</v>
      </c>
      <c r="AG228" s="534">
        <f t="shared" si="213"/>
        <v>0</v>
      </c>
      <c r="AH228" s="534">
        <f t="shared" si="213"/>
        <v>0</v>
      </c>
      <c r="AI228" s="534">
        <f t="shared" si="213"/>
        <v>0</v>
      </c>
      <c r="AJ228" s="534">
        <f t="shared" ref="AJ228:AR228" si="214">SUM(AJ226:AJ227)</f>
        <v>0</v>
      </c>
      <c r="AK228" s="534">
        <f t="shared" si="214"/>
        <v>0</v>
      </c>
      <c r="AL228" s="534">
        <f t="shared" si="214"/>
        <v>0</v>
      </c>
      <c r="AM228" s="534">
        <f t="shared" si="214"/>
        <v>0</v>
      </c>
      <c r="AN228" s="534">
        <f t="shared" si="214"/>
        <v>0</v>
      </c>
      <c r="AO228" s="534">
        <f t="shared" si="214"/>
        <v>0</v>
      </c>
      <c r="AP228" s="534">
        <f t="shared" si="214"/>
        <v>0</v>
      </c>
      <c r="AQ228" s="534">
        <f t="shared" si="214"/>
        <v>0</v>
      </c>
      <c r="AR228" s="534">
        <f t="shared" si="214"/>
        <v>0</v>
      </c>
      <c r="AS228" s="26"/>
      <c r="AT228" s="26"/>
      <c r="AU228" s="26"/>
      <c r="AV228" s="26"/>
      <c r="AW228" s="26"/>
      <c r="AX228" s="26"/>
      <c r="AY228" s="26"/>
      <c r="AZ228" s="26"/>
      <c r="BA228" s="26"/>
      <c r="BB228" s="26"/>
      <c r="BC228" s="26"/>
      <c r="BD228" s="26"/>
      <c r="BK228" s="24"/>
    </row>
    <row r="229" spans="2:63" ht="14.25" hidden="1" customHeight="1" outlineLevel="2">
      <c r="B229" s="136"/>
      <c r="C229" s="130"/>
      <c r="D229" s="135"/>
      <c r="E229" s="135"/>
      <c r="F229" s="561"/>
      <c r="G229" s="561"/>
      <c r="H229" s="531"/>
      <c r="I229" s="534"/>
      <c r="J229" s="534"/>
      <c r="K229" s="534"/>
      <c r="L229" s="534"/>
      <c r="M229" s="534"/>
      <c r="N229" s="534"/>
      <c r="O229" s="534"/>
      <c r="P229" s="534"/>
      <c r="Q229" s="534"/>
      <c r="R229" s="534"/>
      <c r="S229" s="534"/>
      <c r="T229" s="534"/>
      <c r="U229" s="534"/>
      <c r="V229" s="534"/>
      <c r="W229" s="534"/>
      <c r="X229" s="534"/>
      <c r="Y229" s="534"/>
      <c r="Z229" s="534"/>
      <c r="AA229" s="534"/>
      <c r="AB229" s="534"/>
      <c r="AC229" s="534"/>
      <c r="AD229" s="534"/>
      <c r="AE229" s="534"/>
      <c r="AF229" s="534"/>
      <c r="AG229" s="534"/>
      <c r="AH229" s="534"/>
      <c r="AI229" s="534"/>
      <c r="AJ229" s="534"/>
      <c r="AK229" s="534"/>
      <c r="AL229" s="534"/>
      <c r="AM229" s="534"/>
      <c r="AN229" s="534"/>
      <c r="AO229" s="534"/>
      <c r="AP229" s="534"/>
      <c r="AQ229" s="534"/>
      <c r="AR229" s="534"/>
      <c r="AS229" s="26"/>
      <c r="AT229" s="26"/>
      <c r="AU229" s="26"/>
      <c r="AV229" s="26"/>
      <c r="AW229" s="26"/>
      <c r="AX229" s="26"/>
      <c r="AY229" s="26"/>
      <c r="AZ229" s="26"/>
      <c r="BA229" s="26"/>
      <c r="BB229" s="26"/>
      <c r="BC229" s="26"/>
      <c r="BD229" s="26"/>
      <c r="BK229" s="24"/>
    </row>
    <row r="230" spans="2:63" ht="14.25" hidden="1" customHeight="1" outlineLevel="2">
      <c r="B230" s="129" t="s">
        <v>223</v>
      </c>
      <c r="C230" s="130"/>
      <c r="D230" s="135"/>
      <c r="E230" s="135"/>
      <c r="F230" s="569">
        <v>0</v>
      </c>
      <c r="G230" s="569">
        <f t="shared" ref="G230:L230" si="215">F230</f>
        <v>0</v>
      </c>
      <c r="H230" s="535">
        <f t="shared" si="215"/>
        <v>0</v>
      </c>
      <c r="I230" s="535">
        <f t="shared" si="215"/>
        <v>0</v>
      </c>
      <c r="J230" s="535">
        <f t="shared" si="215"/>
        <v>0</v>
      </c>
      <c r="K230" s="535">
        <f t="shared" si="215"/>
        <v>0</v>
      </c>
      <c r="L230" s="535">
        <f t="shared" si="215"/>
        <v>0</v>
      </c>
      <c r="M230" s="535"/>
      <c r="N230" s="535"/>
      <c r="O230" s="535"/>
      <c r="P230" s="535"/>
      <c r="Q230" s="535">
        <f>L230</f>
        <v>0</v>
      </c>
      <c r="R230" s="535"/>
      <c r="S230" s="535"/>
      <c r="T230" s="535"/>
      <c r="U230" s="535"/>
      <c r="V230" s="535">
        <f>Q230</f>
        <v>0</v>
      </c>
      <c r="W230" s="535"/>
      <c r="X230" s="535"/>
      <c r="Y230" s="535"/>
      <c r="Z230" s="535"/>
      <c r="AA230" s="535">
        <f>V230</f>
        <v>0</v>
      </c>
      <c r="AB230" s="535"/>
      <c r="AC230" s="535"/>
      <c r="AD230" s="535"/>
      <c r="AE230" s="535"/>
      <c r="AF230" s="535">
        <f>AA230</f>
        <v>0</v>
      </c>
      <c r="AG230" s="535">
        <f t="shared" ref="AG230:AI230" si="216">AF230</f>
        <v>0</v>
      </c>
      <c r="AH230" s="535">
        <f t="shared" si="216"/>
        <v>0</v>
      </c>
      <c r="AI230" s="535">
        <f t="shared" si="216"/>
        <v>0</v>
      </c>
      <c r="AJ230" s="535">
        <f t="shared" ref="AJ230" si="217">AI230</f>
        <v>0</v>
      </c>
      <c r="AK230" s="535">
        <f t="shared" ref="AK230" si="218">AJ230</f>
        <v>0</v>
      </c>
      <c r="AL230" s="535">
        <f t="shared" ref="AL230" si="219">AK230</f>
        <v>0</v>
      </c>
      <c r="AM230" s="535">
        <f t="shared" ref="AM230" si="220">AL230</f>
        <v>0</v>
      </c>
      <c r="AN230" s="535">
        <f t="shared" ref="AN230" si="221">AM230</f>
        <v>0</v>
      </c>
      <c r="AO230" s="535">
        <f t="shared" ref="AO230" si="222">AN230</f>
        <v>0</v>
      </c>
      <c r="AP230" s="535">
        <f t="shared" ref="AP230" si="223">AO230</f>
        <v>0</v>
      </c>
      <c r="AQ230" s="535">
        <f t="shared" ref="AQ230" si="224">AP230</f>
        <v>0</v>
      </c>
      <c r="AR230" s="535">
        <f t="shared" ref="AR230" si="225">AQ230</f>
        <v>0</v>
      </c>
      <c r="AS230" s="26"/>
      <c r="AT230" s="26"/>
      <c r="AU230" s="26"/>
      <c r="AV230" s="26"/>
      <c r="AW230" s="26"/>
      <c r="AX230" s="26"/>
      <c r="AY230" s="26"/>
      <c r="AZ230" s="26"/>
      <c r="BA230" s="26"/>
      <c r="BB230" s="26"/>
      <c r="BC230" s="26"/>
      <c r="BD230" s="26"/>
      <c r="BK230" s="24"/>
    </row>
    <row r="231" spans="2:63" ht="14.25" hidden="1" customHeight="1" outlineLevel="2">
      <c r="B231" s="129" t="s">
        <v>224</v>
      </c>
      <c r="C231" s="130"/>
      <c r="D231" s="135"/>
      <c r="E231" s="135"/>
      <c r="F231" s="561">
        <f>F226*F230</f>
        <v>0</v>
      </c>
      <c r="G231" s="561">
        <f>G226*G230</f>
        <v>0</v>
      </c>
      <c r="H231" s="531">
        <f t="shared" ref="H231:Q231" si="226">AVERAGE(H226,H228)*H230</f>
        <v>0</v>
      </c>
      <c r="I231" s="534">
        <f t="shared" si="226"/>
        <v>0</v>
      </c>
      <c r="J231" s="534">
        <f t="shared" si="226"/>
        <v>0</v>
      </c>
      <c r="K231" s="534">
        <f t="shared" si="226"/>
        <v>0</v>
      </c>
      <c r="L231" s="534">
        <f t="shared" si="226"/>
        <v>0</v>
      </c>
      <c r="M231" s="534"/>
      <c r="N231" s="534"/>
      <c r="O231" s="534"/>
      <c r="P231" s="534"/>
      <c r="Q231" s="534">
        <f t="shared" si="226"/>
        <v>0</v>
      </c>
      <c r="R231" s="534"/>
      <c r="S231" s="534"/>
      <c r="T231" s="534"/>
      <c r="U231" s="534"/>
      <c r="V231" s="534">
        <f t="shared" ref="V231:AI231" si="227">AVERAGE(V226,V228)*V230</f>
        <v>0</v>
      </c>
      <c r="W231" s="534"/>
      <c r="X231" s="534"/>
      <c r="Y231" s="534"/>
      <c r="Z231" s="534"/>
      <c r="AA231" s="534">
        <f t="shared" si="227"/>
        <v>0</v>
      </c>
      <c r="AB231" s="534"/>
      <c r="AC231" s="534"/>
      <c r="AD231" s="534"/>
      <c r="AE231" s="534"/>
      <c r="AF231" s="534">
        <f t="shared" si="227"/>
        <v>0</v>
      </c>
      <c r="AG231" s="534">
        <f t="shared" si="227"/>
        <v>0</v>
      </c>
      <c r="AH231" s="534">
        <f t="shared" si="227"/>
        <v>0</v>
      </c>
      <c r="AI231" s="534">
        <f t="shared" si="227"/>
        <v>0</v>
      </c>
      <c r="AJ231" s="534">
        <f t="shared" ref="AJ231:AR231" si="228">AVERAGE(AJ226,AJ228)*AJ230</f>
        <v>0</v>
      </c>
      <c r="AK231" s="534">
        <f t="shared" si="228"/>
        <v>0</v>
      </c>
      <c r="AL231" s="534">
        <f t="shared" si="228"/>
        <v>0</v>
      </c>
      <c r="AM231" s="534">
        <f t="shared" si="228"/>
        <v>0</v>
      </c>
      <c r="AN231" s="534">
        <f t="shared" si="228"/>
        <v>0</v>
      </c>
      <c r="AO231" s="534">
        <f t="shared" si="228"/>
        <v>0</v>
      </c>
      <c r="AP231" s="534">
        <f t="shared" si="228"/>
        <v>0</v>
      </c>
      <c r="AQ231" s="534">
        <f t="shared" si="228"/>
        <v>0</v>
      </c>
      <c r="AR231" s="534">
        <f t="shared" si="228"/>
        <v>0</v>
      </c>
      <c r="AS231" s="26"/>
      <c r="AT231" s="26"/>
      <c r="AU231" s="26"/>
      <c r="AV231" s="26"/>
      <c r="AW231" s="26"/>
      <c r="AX231" s="26"/>
      <c r="AY231" s="26"/>
      <c r="AZ231" s="26"/>
      <c r="BA231" s="26"/>
      <c r="BB231" s="26"/>
      <c r="BC231" s="26"/>
      <c r="BD231" s="26"/>
      <c r="BK231" s="24"/>
    </row>
    <row r="232" spans="2:63" ht="14.25" hidden="1" customHeight="1" outlineLevel="2">
      <c r="B232" s="129" t="s">
        <v>225</v>
      </c>
      <c r="D232" s="135"/>
      <c r="E232" s="133">
        <v>2014</v>
      </c>
      <c r="F232" s="570"/>
      <c r="G232" s="570"/>
      <c r="H232" s="531"/>
      <c r="I232" s="531"/>
      <c r="J232" s="531"/>
      <c r="K232" s="531"/>
      <c r="L232" s="531"/>
      <c r="M232" s="531"/>
      <c r="N232" s="531"/>
      <c r="O232" s="531"/>
      <c r="P232" s="531"/>
      <c r="Q232" s="531"/>
      <c r="R232" s="531"/>
      <c r="S232" s="531"/>
      <c r="T232" s="531"/>
      <c r="U232" s="531"/>
      <c r="V232" s="531"/>
      <c r="W232" s="531"/>
      <c r="X232" s="531"/>
      <c r="Y232" s="531"/>
      <c r="Z232" s="531"/>
      <c r="AA232" s="531"/>
      <c r="AB232" s="531"/>
      <c r="AC232" s="531"/>
      <c r="AD232" s="531"/>
      <c r="AE232" s="531"/>
      <c r="AF232" s="531"/>
      <c r="AG232" s="531"/>
      <c r="AH232" s="531"/>
      <c r="AI232" s="531"/>
      <c r="AJ232" s="531"/>
      <c r="AK232" s="531"/>
      <c r="AL232" s="531"/>
      <c r="AM232" s="531"/>
      <c r="AN232" s="531"/>
      <c r="AO232" s="531"/>
      <c r="AP232" s="531"/>
      <c r="AQ232" s="531"/>
      <c r="AR232" s="531"/>
      <c r="AS232" s="26"/>
      <c r="AT232" s="26"/>
      <c r="AU232" s="26"/>
      <c r="AV232" s="26"/>
      <c r="AW232" s="26"/>
      <c r="AX232" s="26"/>
      <c r="AY232" s="26"/>
      <c r="AZ232" s="26"/>
      <c r="BA232" s="26"/>
      <c r="BB232" s="26"/>
      <c r="BC232" s="26"/>
      <c r="BD232" s="26"/>
      <c r="BK232" s="24"/>
    </row>
    <row r="233" spans="2:63" ht="14.25" hidden="1" customHeight="1" outlineLevel="2">
      <c r="B233" s="129" t="s">
        <v>226</v>
      </c>
      <c r="D233" s="135"/>
      <c r="E233" s="258">
        <v>3.9E-2</v>
      </c>
      <c r="F233" s="570"/>
      <c r="G233" s="561"/>
      <c r="H233" s="531"/>
      <c r="I233" s="531"/>
      <c r="J233" s="531"/>
      <c r="K233" s="531"/>
      <c r="L233" s="531"/>
      <c r="M233" s="531"/>
      <c r="N233" s="531"/>
      <c r="O233" s="531"/>
      <c r="P233" s="531"/>
      <c r="Q233" s="531"/>
      <c r="R233" s="531"/>
      <c r="S233" s="531"/>
      <c r="T233" s="531"/>
      <c r="U233" s="531"/>
      <c r="V233" s="531"/>
      <c r="W233" s="531"/>
      <c r="X233" s="531"/>
      <c r="Y233" s="531"/>
      <c r="Z233" s="531"/>
      <c r="AA233" s="531"/>
      <c r="AB233" s="531"/>
      <c r="AC233" s="531"/>
      <c r="AD233" s="531"/>
      <c r="AE233" s="531"/>
      <c r="AF233" s="531"/>
      <c r="AG233" s="531"/>
      <c r="AH233" s="531"/>
      <c r="AI233" s="531"/>
      <c r="AJ233" s="531"/>
      <c r="AK233" s="531"/>
      <c r="AL233" s="531"/>
      <c r="AM233" s="531"/>
      <c r="AN233" s="531"/>
      <c r="AO233" s="531"/>
      <c r="AP233" s="531"/>
      <c r="AQ233" s="531"/>
      <c r="AR233" s="531"/>
      <c r="AS233" s="26"/>
      <c r="AT233" s="26"/>
      <c r="AU233" s="26"/>
      <c r="AV233" s="26"/>
      <c r="AW233" s="26"/>
      <c r="AX233" s="26"/>
      <c r="AY233" s="26"/>
      <c r="AZ233" s="26"/>
      <c r="BA233" s="26"/>
      <c r="BB233" s="26"/>
      <c r="BC233" s="26"/>
      <c r="BD233" s="26"/>
      <c r="BK233" s="24"/>
    </row>
    <row r="234" spans="2:63" ht="14.25" hidden="1" customHeight="1" outlineLevel="2">
      <c r="B234" s="129" t="s">
        <v>227</v>
      </c>
      <c r="C234" s="129"/>
      <c r="D234" s="135"/>
      <c r="E234" s="135"/>
      <c r="F234" s="532">
        <f>-(PV($E$233,F236,F231)-F228/((1+$E$233)^F236))</f>
        <v>7.9488941653380634</v>
      </c>
      <c r="G234" s="532">
        <f t="shared" ref="G234:L234" si="229">-(PV($E$233,G236,G231)-G228/((1+$E$233)^G236))</f>
        <v>8.2589010377862451</v>
      </c>
      <c r="H234" s="532">
        <f t="shared" si="229"/>
        <v>8.5809981782599092</v>
      </c>
      <c r="I234" s="532">
        <f t="shared" si="229"/>
        <v>8.9156571072120432</v>
      </c>
      <c r="J234" s="532">
        <f t="shared" si="229"/>
        <v>9.2633677343933112</v>
      </c>
      <c r="K234" s="532">
        <f t="shared" si="229"/>
        <v>0</v>
      </c>
      <c r="L234" s="532">
        <f t="shared" si="229"/>
        <v>0</v>
      </c>
      <c r="M234" s="532"/>
      <c r="N234" s="532"/>
      <c r="O234" s="532"/>
      <c r="P234" s="532"/>
      <c r="Q234" s="532"/>
      <c r="R234" s="532"/>
      <c r="S234" s="532"/>
      <c r="T234" s="532"/>
      <c r="U234" s="532"/>
      <c r="V234" s="531"/>
      <c r="W234" s="531"/>
      <c r="X234" s="531"/>
      <c r="Y234" s="531"/>
      <c r="Z234" s="531"/>
      <c r="AA234" s="531"/>
      <c r="AB234" s="531"/>
      <c r="AC234" s="531"/>
      <c r="AD234" s="531"/>
      <c r="AE234" s="531"/>
      <c r="AF234" s="531"/>
      <c r="AG234" s="531"/>
      <c r="AH234" s="531"/>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K234" s="24"/>
    </row>
    <row r="235" spans="2:63" ht="14.25" hidden="1" customHeight="1" outlineLevel="2">
      <c r="B235" s="773" t="s">
        <v>363</v>
      </c>
      <c r="C235" s="129"/>
      <c r="D235" s="135"/>
      <c r="E235" s="135"/>
      <c r="F235" s="570"/>
      <c r="G235" s="570"/>
      <c r="H235" s="532"/>
      <c r="I235" s="532"/>
      <c r="J235" s="774">
        <v>9.0329999999999995</v>
      </c>
      <c r="K235" s="774">
        <v>0</v>
      </c>
      <c r="L235" s="532"/>
      <c r="M235" s="532"/>
      <c r="N235" s="532"/>
      <c r="O235" s="532"/>
      <c r="P235" s="532"/>
      <c r="Q235" s="532"/>
      <c r="R235" s="532"/>
      <c r="S235" s="532"/>
      <c r="T235" s="532"/>
      <c r="U235" s="532"/>
      <c r="V235" s="531"/>
      <c r="W235" s="531"/>
      <c r="X235" s="531"/>
      <c r="Y235" s="531"/>
      <c r="Z235" s="531"/>
      <c r="AA235" s="531"/>
      <c r="AB235" s="531"/>
      <c r="AC235" s="531"/>
      <c r="AD235" s="531"/>
      <c r="AE235" s="531"/>
      <c r="AF235" s="531"/>
      <c r="AG235" s="531"/>
      <c r="AH235" s="531"/>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K235" s="24"/>
    </row>
    <row r="236" spans="2:63" ht="14.25" hidden="1" customHeight="1" outlineLevel="2">
      <c r="B236" s="129" t="s">
        <v>231</v>
      </c>
      <c r="C236" s="129"/>
      <c r="D236" s="135"/>
      <c r="E236" s="135"/>
      <c r="F236" s="561">
        <v>6</v>
      </c>
      <c r="G236" s="561">
        <v>5</v>
      </c>
      <c r="H236" s="532">
        <v>4</v>
      </c>
      <c r="I236" s="532">
        <v>3</v>
      </c>
      <c r="J236" s="532">
        <v>2</v>
      </c>
      <c r="K236" s="532">
        <v>1</v>
      </c>
      <c r="L236" s="532">
        <v>0</v>
      </c>
      <c r="M236" s="532"/>
      <c r="N236" s="532"/>
      <c r="O236" s="532"/>
      <c r="P236" s="532"/>
      <c r="Q236" s="531"/>
      <c r="R236" s="531"/>
      <c r="S236" s="531"/>
      <c r="T236" s="531"/>
      <c r="U236" s="531"/>
      <c r="V236" s="531"/>
      <c r="W236" s="531"/>
      <c r="X236" s="531"/>
      <c r="Y236" s="531"/>
      <c r="Z236" s="531"/>
      <c r="AA236" s="531"/>
      <c r="AB236" s="531"/>
      <c r="AC236" s="531"/>
      <c r="AD236" s="531"/>
      <c r="AE236" s="531"/>
      <c r="AF236" s="531"/>
      <c r="AG236" s="531"/>
      <c r="AH236" s="531"/>
      <c r="AI236" s="531"/>
      <c r="AJ236" s="531"/>
      <c r="AK236" s="531"/>
      <c r="AL236" s="531"/>
      <c r="AM236" s="531"/>
      <c r="AN236" s="531"/>
      <c r="AO236" s="531"/>
      <c r="AP236" s="531"/>
      <c r="AQ236" s="531"/>
      <c r="AR236" s="531"/>
      <c r="AS236" s="26"/>
      <c r="AT236" s="575"/>
      <c r="AU236" s="575"/>
      <c r="AV236" s="575"/>
      <c r="AW236" s="575"/>
      <c r="AX236" s="26"/>
      <c r="AY236" s="26"/>
      <c r="AZ236" s="26"/>
      <c r="BA236" s="26"/>
      <c r="BB236" s="26"/>
      <c r="BC236" s="26"/>
      <c r="BD236" s="26"/>
      <c r="BK236" s="24"/>
    </row>
    <row r="237" spans="2:63" ht="14.25" hidden="1" customHeight="1" outlineLevel="2">
      <c r="B237" s="129" t="s">
        <v>228</v>
      </c>
      <c r="C237" s="129"/>
      <c r="D237" s="135"/>
      <c r="E237" s="135"/>
      <c r="F237" s="561">
        <f t="shared" ref="F237:L237" si="230">$C$136*F234</f>
        <v>0.47693364992028381</v>
      </c>
      <c r="G237" s="561">
        <f t="shared" si="230"/>
        <v>0.49553406226717467</v>
      </c>
      <c r="H237" s="532">
        <f t="shared" si="230"/>
        <v>0.51485989069559457</v>
      </c>
      <c r="I237" s="532">
        <f t="shared" si="230"/>
        <v>0.53493942643272252</v>
      </c>
      <c r="J237" s="532">
        <f t="shared" si="230"/>
        <v>0.55580206406359867</v>
      </c>
      <c r="K237" s="532">
        <f t="shared" si="230"/>
        <v>0</v>
      </c>
      <c r="L237" s="532">
        <f t="shared" si="230"/>
        <v>0</v>
      </c>
      <c r="M237" s="532"/>
      <c r="N237" s="532"/>
      <c r="O237" s="532"/>
      <c r="P237" s="532"/>
      <c r="Q237" s="531"/>
      <c r="R237" s="531"/>
      <c r="S237" s="531"/>
      <c r="T237" s="531"/>
      <c r="U237" s="531"/>
      <c r="V237" s="531"/>
      <c r="W237" s="531"/>
      <c r="X237" s="531"/>
      <c r="Y237" s="531"/>
      <c r="Z237" s="531"/>
      <c r="AA237" s="531"/>
      <c r="AB237" s="531"/>
      <c r="AC237" s="531"/>
      <c r="AD237" s="531"/>
      <c r="AE237" s="531"/>
      <c r="AF237" s="531"/>
      <c r="AG237" s="531"/>
      <c r="AH237" s="531"/>
      <c r="AI237" s="531"/>
      <c r="AJ237" s="531"/>
      <c r="AK237" s="531"/>
      <c r="AL237" s="531"/>
      <c r="AM237" s="531"/>
      <c r="AN237" s="531"/>
      <c r="AO237" s="531"/>
      <c r="AP237" s="531"/>
      <c r="AQ237" s="531"/>
      <c r="AR237" s="531"/>
      <c r="AS237" s="575"/>
      <c r="AT237" s="575"/>
      <c r="AU237" s="575"/>
      <c r="AV237" s="575"/>
      <c r="AW237" s="575"/>
      <c r="AX237" s="26"/>
      <c r="AY237" s="26"/>
      <c r="AZ237" s="26"/>
      <c r="BA237" s="26"/>
      <c r="BB237" s="26"/>
      <c r="BC237" s="26"/>
      <c r="BD237" s="26"/>
      <c r="BK237" s="24"/>
    </row>
    <row r="238" spans="2:63" ht="14.25" hidden="1" customHeight="1" outlineLevel="2">
      <c r="B238" s="129" t="s">
        <v>229</v>
      </c>
      <c r="C238" s="129"/>
      <c r="D238" s="135"/>
      <c r="E238" s="135"/>
      <c r="F238" s="561">
        <f t="shared" ref="F238:L238" si="231">F226-F234</f>
        <v>2.0511058346619366</v>
      </c>
      <c r="G238" s="561">
        <f t="shared" si="231"/>
        <v>1.7410989622137549</v>
      </c>
      <c r="H238" s="532">
        <f t="shared" si="231"/>
        <v>1.4190018217400908</v>
      </c>
      <c r="I238" s="532">
        <f t="shared" si="231"/>
        <v>1.0843428927879568</v>
      </c>
      <c r="J238" s="532">
        <f t="shared" si="231"/>
        <v>0.73663226560668882</v>
      </c>
      <c r="K238" s="532">
        <f t="shared" si="231"/>
        <v>10</v>
      </c>
      <c r="L238" s="532">
        <f t="shared" si="231"/>
        <v>0</v>
      </c>
      <c r="M238" s="532"/>
      <c r="N238" s="532"/>
      <c r="O238" s="532"/>
      <c r="P238" s="532"/>
      <c r="Q238" s="531"/>
      <c r="R238" s="531"/>
      <c r="S238" s="531"/>
      <c r="T238" s="531"/>
      <c r="U238" s="531"/>
      <c r="V238" s="531"/>
      <c r="W238" s="531"/>
      <c r="X238" s="531"/>
      <c r="Y238" s="531"/>
      <c r="Z238" s="531"/>
      <c r="AA238" s="531"/>
      <c r="AB238" s="531"/>
      <c r="AC238" s="531"/>
      <c r="AD238" s="531"/>
      <c r="AE238" s="531"/>
      <c r="AF238" s="531"/>
      <c r="AG238" s="531"/>
      <c r="AH238" s="531"/>
      <c r="AI238" s="531"/>
      <c r="AJ238" s="531"/>
      <c r="AK238" s="531"/>
      <c r="AL238" s="531"/>
      <c r="AM238" s="531"/>
      <c r="AN238" s="531"/>
      <c r="AO238" s="531"/>
      <c r="AP238" s="531"/>
      <c r="AQ238" s="531"/>
      <c r="AR238" s="531"/>
      <c r="AS238" s="26"/>
      <c r="AT238" s="26"/>
      <c r="AU238" s="26"/>
      <c r="AV238" s="26"/>
      <c r="AW238" s="26"/>
      <c r="AX238" s="26"/>
      <c r="AY238" s="26"/>
      <c r="AZ238" s="26"/>
      <c r="BA238" s="26"/>
      <c r="BB238" s="26"/>
      <c r="BC238" s="26"/>
      <c r="BD238" s="26"/>
      <c r="BK238" s="24"/>
    </row>
    <row r="239" spans="2:63" ht="14.25" hidden="1" customHeight="1" outlineLevel="2">
      <c r="B239" s="129" t="s">
        <v>230</v>
      </c>
      <c r="C239" s="129"/>
      <c r="D239" s="135"/>
      <c r="E239" s="135"/>
      <c r="F239" s="561">
        <f t="shared" ref="F239:K239" si="232">F237-F231</f>
        <v>0.47693364992028381</v>
      </c>
      <c r="G239" s="561">
        <f t="shared" si="232"/>
        <v>0.49553406226717467</v>
      </c>
      <c r="H239" s="531">
        <f t="shared" si="232"/>
        <v>0.51485989069559457</v>
      </c>
      <c r="I239" s="532">
        <f t="shared" si="232"/>
        <v>0.53493942643272252</v>
      </c>
      <c r="J239" s="532">
        <f t="shared" si="232"/>
        <v>0.55580206406359867</v>
      </c>
      <c r="K239" s="532">
        <f t="shared" si="232"/>
        <v>0</v>
      </c>
      <c r="L239" s="532">
        <v>0</v>
      </c>
      <c r="M239" s="532"/>
      <c r="N239" s="532"/>
      <c r="O239" s="532"/>
      <c r="P239" s="532"/>
      <c r="Q239" s="531"/>
      <c r="R239" s="531"/>
      <c r="S239" s="531"/>
      <c r="T239" s="531"/>
      <c r="U239" s="531"/>
      <c r="V239" s="531"/>
      <c r="W239" s="531"/>
      <c r="X239" s="531"/>
      <c r="Y239" s="531"/>
      <c r="Z239" s="531"/>
      <c r="AA239" s="531"/>
      <c r="AB239" s="531"/>
      <c r="AC239" s="531"/>
      <c r="AD239" s="531"/>
      <c r="AE239" s="531"/>
      <c r="AF239" s="531"/>
      <c r="AG239" s="531"/>
      <c r="AH239" s="531"/>
      <c r="AI239" s="531"/>
      <c r="AJ239" s="531"/>
      <c r="AK239" s="531"/>
      <c r="AL239" s="531"/>
      <c r="AM239" s="531"/>
      <c r="AN239" s="531"/>
      <c r="AO239" s="531"/>
      <c r="AP239" s="531"/>
      <c r="AQ239" s="531"/>
      <c r="AR239" s="531"/>
      <c r="AS239" s="26"/>
      <c r="AT239" s="26"/>
      <c r="AU239" s="26"/>
      <c r="AV239" s="26"/>
      <c r="AW239" s="26"/>
      <c r="AX239" s="26"/>
      <c r="AY239" s="26"/>
      <c r="AZ239" s="26"/>
      <c r="BA239" s="26"/>
      <c r="BB239" s="26"/>
      <c r="BC239" s="26"/>
      <c r="BD239" s="26"/>
      <c r="BK239" s="24"/>
    </row>
    <row r="240" spans="2:63" ht="14.25" hidden="1" customHeight="1" outlineLevel="2">
      <c r="B240" s="134"/>
      <c r="C240" s="134"/>
      <c r="D240" s="450"/>
      <c r="E240" s="450"/>
      <c r="F240" s="450"/>
      <c r="G240" s="450"/>
      <c r="H240" s="573"/>
      <c r="I240" s="573"/>
      <c r="J240" s="573"/>
      <c r="K240" s="573"/>
      <c r="L240" s="573"/>
      <c r="M240" s="573"/>
      <c r="N240" s="573"/>
      <c r="O240" s="573"/>
      <c r="P240" s="573"/>
      <c r="Q240" s="536"/>
      <c r="R240" s="536"/>
      <c r="S240" s="536"/>
      <c r="T240" s="536"/>
      <c r="U240" s="536"/>
      <c r="V240" s="536"/>
      <c r="W240" s="536"/>
      <c r="X240" s="536"/>
      <c r="Y240" s="536"/>
      <c r="Z240" s="536"/>
      <c r="AA240" s="536"/>
      <c r="AB240" s="536"/>
      <c r="AC240" s="536"/>
      <c r="AD240" s="536"/>
      <c r="AE240" s="536"/>
      <c r="AF240" s="536"/>
      <c r="AG240" s="536"/>
      <c r="AH240" s="536"/>
      <c r="AI240" s="536"/>
      <c r="AJ240" s="536"/>
      <c r="AK240" s="536"/>
      <c r="AL240" s="536"/>
      <c r="AM240" s="536"/>
      <c r="AN240" s="536"/>
      <c r="AO240" s="536"/>
      <c r="AP240" s="536"/>
      <c r="AQ240" s="536"/>
      <c r="AR240" s="536"/>
      <c r="AS240" s="26"/>
      <c r="AT240" s="26"/>
      <c r="AU240" s="26"/>
      <c r="AV240" s="26"/>
      <c r="AW240" s="26"/>
      <c r="AX240" s="26"/>
      <c r="AY240" s="26"/>
      <c r="AZ240" s="26"/>
      <c r="BA240" s="26"/>
      <c r="BB240" s="26"/>
      <c r="BC240" s="26"/>
      <c r="BD240" s="26"/>
      <c r="BK240" s="24"/>
    </row>
    <row r="241" spans="2:63" ht="14.25" hidden="1" customHeight="1" outlineLevel="1" collapsed="1">
      <c r="B241" s="129"/>
      <c r="C241" s="129"/>
      <c r="D241" s="135"/>
      <c r="E241" s="135"/>
      <c r="F241" s="135"/>
      <c r="G241" s="135"/>
      <c r="H241" s="558"/>
      <c r="I241" s="558"/>
      <c r="J241" s="558"/>
      <c r="K241" s="532"/>
      <c r="L241" s="532"/>
      <c r="M241" s="532"/>
      <c r="N241" s="532"/>
      <c r="O241" s="532"/>
      <c r="P241" s="532"/>
      <c r="Q241" s="531"/>
      <c r="R241" s="531"/>
      <c r="S241" s="531"/>
      <c r="T241" s="531"/>
      <c r="U241" s="531"/>
      <c r="V241" s="531"/>
      <c r="W241" s="531"/>
      <c r="X241" s="531"/>
      <c r="Y241" s="531"/>
      <c r="Z241" s="531"/>
      <c r="AA241" s="531"/>
      <c r="AB241" s="531"/>
      <c r="AC241" s="531"/>
      <c r="AD241" s="531"/>
      <c r="AE241" s="531"/>
      <c r="AF241" s="531"/>
      <c r="AG241" s="531"/>
      <c r="AH241" s="531"/>
      <c r="AI241" s="531"/>
      <c r="AJ241" s="531"/>
      <c r="AK241" s="531"/>
      <c r="AL241" s="531"/>
      <c r="AM241" s="531"/>
      <c r="AN241" s="531"/>
      <c r="AO241" s="531"/>
      <c r="AP241" s="531"/>
      <c r="AQ241" s="531"/>
      <c r="AR241" s="531"/>
      <c r="AS241" s="26"/>
      <c r="AT241" s="26"/>
      <c r="AU241" s="26"/>
      <c r="AV241" s="26"/>
      <c r="AW241" s="26"/>
      <c r="AX241" s="26"/>
      <c r="AY241" s="26"/>
      <c r="AZ241" s="26"/>
      <c r="BA241" s="26"/>
      <c r="BB241" s="26"/>
      <c r="BC241" s="26"/>
      <c r="BD241" s="26"/>
      <c r="BK241" s="24"/>
    </row>
    <row r="242" spans="2:63" ht="14.25" hidden="1" customHeight="1" outlineLevel="1">
      <c r="B242" s="129" t="s">
        <v>230</v>
      </c>
      <c r="C242" s="129"/>
      <c r="D242" s="135"/>
      <c r="E242" s="135"/>
      <c r="F242" s="531">
        <f>F239+F223+F172+F156+F141+F205+F188</f>
        <v>8.9551272437590157</v>
      </c>
      <c r="G242" s="531">
        <f>G239+G223+G172+G156+G141+G205+G188</f>
        <v>12.75407982178729</v>
      </c>
      <c r="H242" s="531">
        <f>H239+H223+H172+H156+H141+H205+H188</f>
        <v>28.001586019097445</v>
      </c>
      <c r="I242" s="531">
        <f>I239+I223+I172+I156+I141+I205+I188</f>
        <v>21.753691938059458</v>
      </c>
      <c r="J242" s="531">
        <f t="shared" ref="J242:AI242" si="233">J239+J223+J172+J156+J141+J205+J188</f>
        <v>23.963800781615078</v>
      </c>
      <c r="K242" s="531">
        <f>K239+K223+K172+K156+K141+K205+K188</f>
        <v>30.870454164507414</v>
      </c>
      <c r="L242" s="531">
        <f>L239+L223+L172+L156+L141+L205+L188</f>
        <v>31.465380194824611</v>
      </c>
      <c r="M242" s="531"/>
      <c r="N242" s="531"/>
      <c r="O242" s="531"/>
      <c r="P242" s="531"/>
      <c r="Q242" s="531">
        <f t="shared" si="233"/>
        <v>31.79539506549299</v>
      </c>
      <c r="R242" s="531"/>
      <c r="S242" s="531"/>
      <c r="T242" s="531"/>
      <c r="U242" s="531"/>
      <c r="V242" s="531">
        <f t="shared" si="233"/>
        <v>27.300546068767645</v>
      </c>
      <c r="W242" s="531"/>
      <c r="X242" s="531"/>
      <c r="Y242" s="531"/>
      <c r="Z242" s="531"/>
      <c r="AA242" s="531">
        <f t="shared" si="233"/>
        <v>-2.8413913184321338</v>
      </c>
      <c r="AB242" s="531"/>
      <c r="AC242" s="531"/>
      <c r="AD242" s="531"/>
      <c r="AE242" s="531"/>
      <c r="AF242" s="531">
        <f t="shared" si="233"/>
        <v>0.91836734693877553</v>
      </c>
      <c r="AG242" s="531">
        <f t="shared" si="233"/>
        <v>0.9642857142857143</v>
      </c>
      <c r="AH242" s="531">
        <f t="shared" si="233"/>
        <v>0</v>
      </c>
      <c r="AI242" s="531">
        <f t="shared" si="233"/>
        <v>0</v>
      </c>
      <c r="AJ242" s="531">
        <f t="shared" ref="AJ242:AR242" si="234">AJ239+AJ223+AJ172+AJ156+AJ141+AJ205+AJ188</f>
        <v>0</v>
      </c>
      <c r="AK242" s="531">
        <f t="shared" si="234"/>
        <v>0</v>
      </c>
      <c r="AL242" s="531">
        <f t="shared" si="234"/>
        <v>0</v>
      </c>
      <c r="AM242" s="531">
        <f t="shared" si="234"/>
        <v>0</v>
      </c>
      <c r="AN242" s="531">
        <f t="shared" si="234"/>
        <v>0</v>
      </c>
      <c r="AO242" s="531">
        <f t="shared" si="234"/>
        <v>0</v>
      </c>
      <c r="AP242" s="531">
        <f t="shared" si="234"/>
        <v>0</v>
      </c>
      <c r="AQ242" s="531">
        <f t="shared" si="234"/>
        <v>0</v>
      </c>
      <c r="AR242" s="531">
        <f t="shared" si="234"/>
        <v>0</v>
      </c>
      <c r="AS242" s="26"/>
      <c r="AT242" s="26"/>
      <c r="AU242" s="26"/>
      <c r="AV242" s="26"/>
      <c r="AW242" s="26"/>
      <c r="AX242" s="26"/>
      <c r="AY242" s="26"/>
      <c r="AZ242" s="26"/>
      <c r="BA242" s="26"/>
      <c r="BB242" s="26"/>
      <c r="BC242" s="26"/>
      <c r="BD242" s="26"/>
      <c r="BK242" s="24"/>
    </row>
    <row r="243" spans="2:63" ht="14.25" hidden="1" customHeight="1" outlineLevel="1">
      <c r="B243" s="129" t="s">
        <v>366</v>
      </c>
      <c r="C243" s="136"/>
      <c r="D243" s="159"/>
      <c r="E243" s="159"/>
      <c r="F243" s="531">
        <f>SUM(F134,F149,F164)</f>
        <v>13.333915000000001</v>
      </c>
      <c r="G243" s="531">
        <f>SUM(G134,G149,G164)</f>
        <v>9.6497625000000014</v>
      </c>
      <c r="H243" s="531">
        <f>SUM(H134,H149,H164)</f>
        <v>19.994268333333334</v>
      </c>
      <c r="I243" s="531">
        <f>SUM(I134,I149,I164,I180,I197)</f>
        <v>19</v>
      </c>
      <c r="J243" s="531">
        <f t="shared" ref="J243:AI243" si="235">SUM(J134,J149,J164,J180,J197)</f>
        <v>19</v>
      </c>
      <c r="K243" s="531">
        <f>SUM(K134,K149,K164,K180,K197)</f>
        <v>9.206999999999999</v>
      </c>
      <c r="L243" s="531">
        <f t="shared" si="235"/>
        <v>10.546875</v>
      </c>
      <c r="M243" s="531"/>
      <c r="N243" s="531"/>
      <c r="O243" s="531"/>
      <c r="P243" s="531"/>
      <c r="Q243" s="531">
        <f t="shared" si="235"/>
        <v>9.332062500000001</v>
      </c>
      <c r="R243" s="531"/>
      <c r="S243" s="531"/>
      <c r="T243" s="531"/>
      <c r="U243" s="531"/>
      <c r="V243" s="531">
        <f t="shared" si="235"/>
        <v>6.09375</v>
      </c>
      <c r="W243" s="531"/>
      <c r="X243" s="531"/>
      <c r="Y243" s="531"/>
      <c r="Z243" s="531"/>
      <c r="AA243" s="531">
        <f t="shared" si="235"/>
        <v>6.09375</v>
      </c>
      <c r="AB243" s="531"/>
      <c r="AC243" s="531"/>
      <c r="AD243" s="531"/>
      <c r="AE243" s="531"/>
      <c r="AF243" s="531">
        <f t="shared" si="235"/>
        <v>0.43370192307692312</v>
      </c>
      <c r="AG243" s="531">
        <f t="shared" si="235"/>
        <v>0.33750000000000002</v>
      </c>
      <c r="AH243" s="531">
        <f t="shared" si="235"/>
        <v>0.2985576923076923</v>
      </c>
      <c r="AI243" s="531">
        <f t="shared" si="235"/>
        <v>0</v>
      </c>
      <c r="AJ243" s="531">
        <f t="shared" ref="AJ243:AR243" si="236">SUM(AJ134,AJ149,AJ164,AJ180,AJ197)</f>
        <v>0</v>
      </c>
      <c r="AK243" s="531">
        <f t="shared" si="236"/>
        <v>0</v>
      </c>
      <c r="AL243" s="531">
        <f t="shared" si="236"/>
        <v>0</v>
      </c>
      <c r="AM243" s="531">
        <f t="shared" si="236"/>
        <v>0</v>
      </c>
      <c r="AN243" s="531">
        <f t="shared" si="236"/>
        <v>0</v>
      </c>
      <c r="AO243" s="531">
        <f t="shared" si="236"/>
        <v>0</v>
      </c>
      <c r="AP243" s="531">
        <f t="shared" si="236"/>
        <v>0</v>
      </c>
      <c r="AQ243" s="531">
        <f t="shared" si="236"/>
        <v>0</v>
      </c>
      <c r="AR243" s="531">
        <f t="shared" si="236"/>
        <v>0</v>
      </c>
      <c r="AS243" s="26"/>
      <c r="AT243" s="26"/>
      <c r="AU243" s="26"/>
      <c r="AV243" s="26"/>
      <c r="AW243" s="26"/>
      <c r="AX243" s="26"/>
      <c r="AY243" s="26"/>
      <c r="AZ243" s="26"/>
      <c r="BA243" s="26"/>
      <c r="BB243" s="26"/>
      <c r="BC243" s="26"/>
      <c r="BD243" s="26"/>
      <c r="BK243" s="36"/>
    </row>
    <row r="244" spans="2:63" ht="14.25" hidden="1" customHeight="1" outlineLevel="1">
      <c r="B244" s="129" t="s">
        <v>367</v>
      </c>
      <c r="C244" s="136"/>
      <c r="D244" s="159"/>
      <c r="E244" s="159"/>
      <c r="F244" s="532">
        <f>F243+F242</f>
        <v>22.289042243759017</v>
      </c>
      <c r="G244" s="532">
        <f t="shared" ref="G244:L244" si="237">G243+G242</f>
        <v>22.403842321787291</v>
      </c>
      <c r="H244" s="532">
        <f t="shared" si="237"/>
        <v>47.995854352430783</v>
      </c>
      <c r="I244" s="532">
        <f t="shared" si="237"/>
        <v>40.753691938059461</v>
      </c>
      <c r="J244" s="532">
        <f t="shared" si="237"/>
        <v>42.963800781615078</v>
      </c>
      <c r="K244" s="532">
        <f t="shared" si="237"/>
        <v>40.077454164507415</v>
      </c>
      <c r="L244" s="532">
        <f t="shared" si="237"/>
        <v>42.012255194824611</v>
      </c>
      <c r="M244" s="532"/>
      <c r="N244" s="532"/>
      <c r="O244" s="532"/>
      <c r="P244" s="532"/>
      <c r="Q244" s="531"/>
      <c r="R244" s="531"/>
      <c r="S244" s="531"/>
      <c r="T244" s="531"/>
      <c r="U244" s="531"/>
      <c r="V244" s="531"/>
      <c r="W244" s="531"/>
      <c r="X244" s="531"/>
      <c r="Y244" s="531"/>
      <c r="Z244" s="531"/>
      <c r="AA244" s="531"/>
      <c r="AB244" s="531"/>
      <c r="AC244" s="531"/>
      <c r="AD244" s="531"/>
      <c r="AE244" s="531"/>
      <c r="AF244" s="531"/>
      <c r="AG244" s="531"/>
      <c r="AH244" s="531"/>
      <c r="AI244" s="531"/>
      <c r="AJ244" s="531"/>
      <c r="AK244" s="531"/>
      <c r="AL244" s="531"/>
      <c r="AM244" s="531"/>
      <c r="AN244" s="531"/>
      <c r="AO244" s="531"/>
      <c r="AP244" s="531"/>
      <c r="AQ244" s="531"/>
      <c r="AR244" s="531"/>
      <c r="AS244" s="26"/>
      <c r="AT244" s="26"/>
      <c r="AU244" s="26"/>
      <c r="AV244" s="26"/>
      <c r="AW244" s="26"/>
      <c r="AX244" s="26"/>
      <c r="AY244" s="26"/>
      <c r="AZ244" s="26"/>
      <c r="BA244" s="26"/>
      <c r="BB244" s="26"/>
      <c r="BC244" s="26"/>
      <c r="BD244" s="26"/>
      <c r="BK244" s="36"/>
    </row>
    <row r="245" spans="2:63" ht="14.25" hidden="1" customHeight="1" outlineLevel="1">
      <c r="B245" s="773" t="s">
        <v>365</v>
      </c>
      <c r="C245" s="136"/>
      <c r="D245" s="159"/>
      <c r="E245" s="159"/>
      <c r="F245" s="777">
        <f>F50</f>
        <v>-24.937000000000001</v>
      </c>
      <c r="G245" s="777">
        <f t="shared" ref="G245:L245" si="238">G50</f>
        <v>-32.125</v>
      </c>
      <c r="H245" s="777">
        <f t="shared" si="238"/>
        <v>-43.323</v>
      </c>
      <c r="I245" s="777">
        <f t="shared" si="238"/>
        <v>-43.818999999999996</v>
      </c>
      <c r="J245" s="777">
        <f t="shared" si="238"/>
        <v>-46.058</v>
      </c>
      <c r="K245" s="777">
        <f>K50+9.7+1.5</f>
        <v>-38.935000000000002</v>
      </c>
      <c r="L245" s="777">
        <f t="shared" si="238"/>
        <v>-47.092999999999996</v>
      </c>
      <c r="M245" s="777"/>
      <c r="N245" s="777"/>
      <c r="O245" s="777"/>
      <c r="P245" s="777"/>
      <c r="Q245" s="602"/>
      <c r="R245" s="602"/>
      <c r="S245" s="602"/>
      <c r="T245" s="602"/>
      <c r="U245" s="602"/>
      <c r="V245" s="602"/>
      <c r="W245" s="602"/>
      <c r="X245" s="602"/>
      <c r="Y245" s="602"/>
      <c r="Z245" s="602"/>
      <c r="AA245" s="602"/>
      <c r="AB245" s="602"/>
      <c r="AC245" s="602"/>
      <c r="AD245" s="602"/>
      <c r="AE245" s="602"/>
      <c r="AF245" s="602"/>
      <c r="AG245" s="602"/>
      <c r="AH245" s="602"/>
      <c r="AI245" s="602"/>
      <c r="AJ245" s="602"/>
      <c r="AK245" s="602"/>
      <c r="AL245" s="602"/>
      <c r="AM245" s="602"/>
      <c r="AN245" s="602"/>
      <c r="AO245" s="602"/>
      <c r="AP245" s="602"/>
      <c r="AQ245" s="602"/>
      <c r="AR245" s="602"/>
      <c r="AS245" s="26"/>
      <c r="AT245" s="26"/>
      <c r="AU245" s="26"/>
      <c r="AV245" s="26"/>
      <c r="AW245" s="26"/>
      <c r="AX245" s="26"/>
      <c r="AY245" s="26"/>
      <c r="AZ245" s="26"/>
      <c r="BA245" s="26"/>
      <c r="BB245" s="26"/>
      <c r="BC245" s="26"/>
      <c r="BD245" s="26"/>
      <c r="BK245" s="36"/>
    </row>
    <row r="246" spans="2:63" ht="14.25" hidden="1" customHeight="1" outlineLevel="1">
      <c r="B246" s="136"/>
      <c r="C246" s="136"/>
      <c r="D246" s="159"/>
      <c r="E246" s="159"/>
      <c r="F246" s="159"/>
      <c r="G246" s="159"/>
      <c r="H246" s="159"/>
      <c r="I246" s="602"/>
      <c r="J246" s="602"/>
      <c r="K246" s="602"/>
      <c r="L246" s="602"/>
      <c r="M246" s="602"/>
      <c r="N246" s="602"/>
      <c r="O246" s="602"/>
      <c r="P246" s="602"/>
      <c r="Q246" s="602"/>
      <c r="R246" s="602"/>
      <c r="S246" s="602"/>
      <c r="T246" s="602"/>
      <c r="U246" s="602"/>
      <c r="V246" s="602"/>
      <c r="W246" s="602"/>
      <c r="X246" s="602"/>
      <c r="Y246" s="602"/>
      <c r="Z246" s="602"/>
      <c r="AA246" s="602"/>
      <c r="AB246" s="602"/>
      <c r="AC246" s="602"/>
      <c r="AD246" s="602"/>
      <c r="AE246" s="602"/>
      <c r="AF246" s="602"/>
      <c r="AG246" s="602"/>
      <c r="AH246" s="602"/>
      <c r="AI246" s="602"/>
      <c r="AJ246" s="602"/>
      <c r="AK246" s="602"/>
      <c r="AL246" s="602"/>
      <c r="AM246" s="602"/>
      <c r="AN246" s="602"/>
      <c r="AO246" s="602"/>
      <c r="AP246" s="602"/>
      <c r="AQ246" s="602"/>
      <c r="AR246" s="602"/>
      <c r="AS246" s="26"/>
      <c r="AT246" s="26"/>
      <c r="AU246" s="26"/>
      <c r="AV246" s="26"/>
      <c r="AW246" s="26"/>
      <c r="AX246" s="26"/>
      <c r="AY246" s="26"/>
      <c r="AZ246" s="26"/>
      <c r="BA246" s="26"/>
      <c r="BB246" s="26"/>
      <c r="BC246" s="26"/>
      <c r="BD246" s="26"/>
      <c r="BK246" s="36"/>
    </row>
    <row r="247" spans="2:63" ht="14.25" hidden="1" customHeight="1" outlineLevel="1">
      <c r="B247" s="129" t="s">
        <v>332</v>
      </c>
      <c r="C247" s="129"/>
      <c r="D247" s="135"/>
      <c r="E247" s="135"/>
      <c r="F247" s="135">
        <f>SUM(F131,F146,F161,F212,F228)</f>
        <v>400.96899999999999</v>
      </c>
      <c r="G247" s="135">
        <f>SUM(G131,G146,G161,G212,G228)</f>
        <v>190.44599999999997</v>
      </c>
      <c r="H247" s="135">
        <f>SUM(H131,H146,H161,H212,H228)</f>
        <v>420</v>
      </c>
      <c r="I247" s="532">
        <f t="shared" ref="I247:AI247" si="239">SUM(I131,I146,I161,I212,I228,I194,I177)</f>
        <v>420</v>
      </c>
      <c r="J247" s="532">
        <f t="shared" si="239"/>
        <v>410</v>
      </c>
      <c r="K247" s="532">
        <f t="shared" si="239"/>
        <v>846.6</v>
      </c>
      <c r="L247" s="532">
        <f t="shared" si="239"/>
        <v>840.9</v>
      </c>
      <c r="M247" s="532"/>
      <c r="N247" s="532"/>
      <c r="O247" s="532"/>
      <c r="P247" s="532"/>
      <c r="Q247" s="532">
        <f t="shared" si="239"/>
        <v>750</v>
      </c>
      <c r="R247" s="532"/>
      <c r="S247" s="532"/>
      <c r="T247" s="532"/>
      <c r="U247" s="532"/>
      <c r="V247" s="532">
        <f t="shared" si="239"/>
        <v>750</v>
      </c>
      <c r="W247" s="532"/>
      <c r="X247" s="532"/>
      <c r="Y247" s="532"/>
      <c r="Z247" s="532"/>
      <c r="AA247" s="532">
        <f t="shared" si="239"/>
        <v>56</v>
      </c>
      <c r="AB247" s="532"/>
      <c r="AC247" s="532"/>
      <c r="AD247" s="532"/>
      <c r="AE247" s="532"/>
      <c r="AF247" s="532">
        <f t="shared" si="239"/>
        <v>27</v>
      </c>
      <c r="AG247" s="532">
        <f t="shared" si="239"/>
        <v>27</v>
      </c>
      <c r="AH247" s="532">
        <f t="shared" si="239"/>
        <v>0</v>
      </c>
      <c r="AI247" s="532">
        <f t="shared" si="239"/>
        <v>0</v>
      </c>
      <c r="AJ247" s="532">
        <f t="shared" ref="AJ247:AR247" si="240">SUM(AJ131,AJ146,AJ161,AJ212,AJ228,AJ194,AJ177)</f>
        <v>0</v>
      </c>
      <c r="AK247" s="532">
        <f t="shared" si="240"/>
        <v>0</v>
      </c>
      <c r="AL247" s="532">
        <f t="shared" si="240"/>
        <v>0</v>
      </c>
      <c r="AM247" s="532">
        <f t="shared" si="240"/>
        <v>0</v>
      </c>
      <c r="AN247" s="532">
        <f t="shared" si="240"/>
        <v>0</v>
      </c>
      <c r="AO247" s="532">
        <f t="shared" si="240"/>
        <v>0</v>
      </c>
      <c r="AP247" s="532">
        <f t="shared" si="240"/>
        <v>0</v>
      </c>
      <c r="AQ247" s="532">
        <f t="shared" si="240"/>
        <v>0</v>
      </c>
      <c r="AR247" s="532">
        <f t="shared" si="240"/>
        <v>0</v>
      </c>
      <c r="AS247" s="26"/>
      <c r="AT247" s="26"/>
      <c r="AU247" s="26"/>
      <c r="AV247" s="26"/>
      <c r="AW247" s="26"/>
      <c r="AX247" s="26"/>
      <c r="AY247" s="26"/>
      <c r="AZ247" s="26"/>
      <c r="BA247" s="26"/>
      <c r="BB247" s="26"/>
      <c r="BC247" s="26"/>
      <c r="BD247" s="26"/>
      <c r="BK247" s="24"/>
    </row>
    <row r="248" spans="2:63" ht="14.25" hidden="1" customHeight="1" outlineLevel="1">
      <c r="B248" s="129"/>
      <c r="C248" s="129"/>
      <c r="D248" s="135"/>
      <c r="E248" s="135"/>
      <c r="F248" s="135"/>
      <c r="G248" s="135"/>
      <c r="H248" s="135"/>
      <c r="I248" s="532"/>
      <c r="J248" s="532"/>
      <c r="K248" s="532"/>
      <c r="L248" s="532"/>
      <c r="M248" s="532"/>
      <c r="N248" s="532"/>
      <c r="O248" s="532"/>
      <c r="P248" s="532"/>
      <c r="Q248" s="532"/>
      <c r="R248" s="532"/>
      <c r="S248" s="532"/>
      <c r="T248" s="532"/>
      <c r="U248" s="532"/>
      <c r="V248" s="532"/>
      <c r="W248" s="532"/>
      <c r="X248" s="532"/>
      <c r="Y248" s="532"/>
      <c r="Z248" s="532"/>
      <c r="AA248" s="532"/>
      <c r="AB248" s="532"/>
      <c r="AC248" s="532"/>
      <c r="AD248" s="532"/>
      <c r="AE248" s="532"/>
      <c r="AF248" s="532"/>
      <c r="AG248" s="532"/>
      <c r="AH248" s="532"/>
      <c r="AI248" s="532"/>
      <c r="AJ248" s="532"/>
      <c r="AK248" s="532"/>
      <c r="AL248" s="532"/>
      <c r="AM248" s="532"/>
      <c r="AN248" s="532"/>
      <c r="AO248" s="532"/>
      <c r="AP248" s="532"/>
      <c r="AQ248" s="532"/>
      <c r="AR248" s="532"/>
      <c r="AS248" s="26"/>
      <c r="AT248" s="26"/>
      <c r="AU248" s="26"/>
      <c r="AV248" s="26"/>
      <c r="AW248" s="26"/>
      <c r="AX248" s="26"/>
      <c r="AY248" s="26"/>
      <c r="AZ248" s="26"/>
      <c r="BA248" s="26"/>
      <c r="BB248" s="26"/>
      <c r="BC248" s="26"/>
      <c r="BD248" s="26"/>
      <c r="BK248" s="24"/>
    </row>
    <row r="249" spans="2:63" ht="14.25" hidden="1" customHeight="1" outlineLevel="1">
      <c r="B249" s="129" t="s">
        <v>354</v>
      </c>
      <c r="C249" s="129"/>
      <c r="D249" s="135"/>
      <c r="E249" s="135"/>
      <c r="F249" s="135"/>
      <c r="G249" s="135"/>
      <c r="H249" s="135"/>
      <c r="I249" s="532">
        <f>'Income Statement'!I167+'Income Statement'!I183+'Income Statement'!I200+I218+I234</f>
        <v>317.46400975833535</v>
      </c>
      <c r="J249" s="532">
        <f>'Income Statement'!J167+'Income Statement'!J183+'Income Statement'!J200+J218+J234</f>
        <v>329.32373541402706</v>
      </c>
      <c r="K249" s="532">
        <f>'Income Statement'!K167+'Income Statement'!K183+'Income Statement'!K200+K218+K234</f>
        <v>654.80122965068801</v>
      </c>
      <c r="L249" s="532">
        <f>'Income Statement'!L167+'Income Statement'!L183+'Income Statement'!L200+L218+L234</f>
        <v>701.32002111503527</v>
      </c>
      <c r="M249" s="532"/>
      <c r="N249" s="532"/>
      <c r="O249" s="532"/>
      <c r="P249" s="532"/>
      <c r="Q249" s="532">
        <f>'Income Statement'!Q167+'Income Statement'!Q183+'Income Statement'!Q200+Q218+Q234</f>
        <v>732.78540130985982</v>
      </c>
      <c r="R249" s="532"/>
      <c r="S249" s="532"/>
      <c r="T249" s="532"/>
      <c r="U249" s="532"/>
      <c r="V249" s="532">
        <f>'Income Statement'!V167+'Income Statement'!V183+'Income Statement'!V200+V218+V234</f>
        <v>667.88592137535284</v>
      </c>
      <c r="W249" s="532"/>
      <c r="X249" s="532"/>
      <c r="Y249" s="532"/>
      <c r="Z249" s="532"/>
      <c r="AA249" s="532">
        <f>'Income Statement'!AA167+'Income Statement'!AA183+'Income Statement'!AA200+AA218+AA234</f>
        <v>65.04717363135731</v>
      </c>
      <c r="AB249" s="532"/>
      <c r="AC249" s="532"/>
      <c r="AD249" s="532"/>
      <c r="AE249" s="532"/>
      <c r="AF249" s="532">
        <f>'Income Statement'!AF167+'Income Statement'!AF183+'Income Statement'!AF200+AF218+AF234</f>
        <v>25.117346938775508</v>
      </c>
      <c r="AG249" s="532">
        <f>'Income Statement'!AG167+'Income Statement'!AG183+'Income Statement'!AG200+AG218+AG234</f>
        <v>26.035714285714285</v>
      </c>
      <c r="AH249" s="532">
        <f>'Income Statement'!AH167+'Income Statement'!AH183+'Income Statement'!AH200+AH218+AH234</f>
        <v>0</v>
      </c>
      <c r="AI249" s="532">
        <f>'Income Statement'!AI167+'Income Statement'!AI183+'Income Statement'!AI200+AI218+AI234</f>
        <v>0</v>
      </c>
      <c r="AJ249" s="532">
        <f>'Income Statement'!AJ167+'Income Statement'!AJ183+'Income Statement'!AJ200+AJ218+AJ234</f>
        <v>0</v>
      </c>
      <c r="AK249" s="532">
        <f>'Income Statement'!AK167+'Income Statement'!AK183+'Income Statement'!AK200+AK218+AK234</f>
        <v>0</v>
      </c>
      <c r="AL249" s="532">
        <f>'Income Statement'!AL167+'Income Statement'!AL183+'Income Statement'!AL200+AL218+AL234</f>
        <v>0</v>
      </c>
      <c r="AM249" s="532">
        <f>'Income Statement'!AM167+'Income Statement'!AM183+'Income Statement'!AM200+AM218+AM234</f>
        <v>0</v>
      </c>
      <c r="AN249" s="532">
        <f>'Income Statement'!AN167+'Income Statement'!AN183+'Income Statement'!AN200+AN218+AN234</f>
        <v>0</v>
      </c>
      <c r="AO249" s="532">
        <f>'Income Statement'!AO167+'Income Statement'!AO183+'Income Statement'!AO200+AO218+AO234</f>
        <v>0</v>
      </c>
      <c r="AP249" s="532">
        <f>'Income Statement'!AP167+'Income Statement'!AP183+'Income Statement'!AP200+AP218+AP234</f>
        <v>0</v>
      </c>
      <c r="AQ249" s="532">
        <f>'Income Statement'!AQ167+'Income Statement'!AQ183+'Income Statement'!AQ200+AQ218+AQ234</f>
        <v>0</v>
      </c>
      <c r="AR249" s="532">
        <f>'Income Statement'!AR167+'Income Statement'!AR183+'Income Statement'!AR200+AR218+AR234</f>
        <v>0</v>
      </c>
      <c r="AS249" s="26"/>
      <c r="AT249" s="26"/>
      <c r="AU249" s="26"/>
      <c r="AV249" s="26"/>
      <c r="AW249" s="26"/>
      <c r="AX249" s="26"/>
      <c r="AY249" s="26"/>
      <c r="AZ249" s="26"/>
      <c r="BA249" s="26"/>
      <c r="BB249" s="26"/>
      <c r="BC249" s="26"/>
      <c r="BD249" s="26"/>
      <c r="BK249" s="24"/>
    </row>
    <row r="250" spans="2:63" ht="14.25" hidden="1" customHeight="1" outlineLevel="1">
      <c r="B250" s="129" t="s">
        <v>355</v>
      </c>
      <c r="C250" s="129"/>
      <c r="D250" s="135"/>
      <c r="E250" s="135"/>
      <c r="F250" s="135"/>
      <c r="G250" s="135"/>
      <c r="H250" s="135"/>
      <c r="I250" s="532">
        <f>'Balance Sheet '!I35+'Balance Sheet '!I36+'Balance Sheet '!I31</f>
        <v>316.15299999999996</v>
      </c>
      <c r="J250" s="532">
        <f>'Balance Sheet '!J35+'Balance Sheet '!J36+'Balance Sheet '!J31</f>
        <v>331.07600000000002</v>
      </c>
      <c r="K250" s="532">
        <f>'Balance Sheet '!K35+'Balance Sheet '!K36+'Balance Sheet '!K31</f>
        <v>661.56700000000001</v>
      </c>
      <c r="L250" s="532">
        <f>'Balance Sheet '!L35+'Balance Sheet '!L36+'Balance Sheet '!L31</f>
        <v>689.11799999999994</v>
      </c>
      <c r="M250" s="532"/>
      <c r="N250" s="532"/>
      <c r="O250" s="532"/>
      <c r="P250" s="532"/>
      <c r="Q250" s="532">
        <f>'Balance Sheet '!M35+'Balance Sheet '!M36</f>
        <v>619.89300000000003</v>
      </c>
      <c r="R250" s="532"/>
      <c r="S250" s="532"/>
      <c r="T250" s="532"/>
      <c r="U250" s="532"/>
      <c r="V250" s="532">
        <f>'Balance Sheet '!N35+'Balance Sheet '!N36</f>
        <v>651.48099999999999</v>
      </c>
      <c r="W250" s="532"/>
      <c r="X250" s="532"/>
      <c r="Y250" s="532"/>
      <c r="Z250" s="532"/>
      <c r="AA250" s="532">
        <f>'Balance Sheet '!O35+'Balance Sheet '!O36</f>
        <v>65.04717363135731</v>
      </c>
      <c r="AB250" s="532"/>
      <c r="AC250" s="532"/>
      <c r="AD250" s="532"/>
      <c r="AE250" s="532"/>
      <c r="AF250" s="532">
        <f>'Balance Sheet '!P35+'Balance Sheet '!P36</f>
        <v>25.117346938775508</v>
      </c>
      <c r="AG250" s="532">
        <f>'Balance Sheet '!Q35+'Balance Sheet '!Q36</f>
        <v>26.035714285714285</v>
      </c>
      <c r="AH250" s="532">
        <f>'Balance Sheet '!R35+'Balance Sheet '!R36</f>
        <v>2.0000000000000002E-5</v>
      </c>
      <c r="AI250" s="532">
        <f>'Balance Sheet '!S35+'Balance Sheet '!S36</f>
        <v>0</v>
      </c>
      <c r="AJ250" s="532">
        <f>'Balance Sheet '!T35+'Balance Sheet '!T36</f>
        <v>0</v>
      </c>
      <c r="AK250" s="532">
        <f>'Balance Sheet '!U35+'Balance Sheet '!U36</f>
        <v>0</v>
      </c>
      <c r="AL250" s="532">
        <f>'Balance Sheet '!V35+'Balance Sheet '!V36</f>
        <v>0</v>
      </c>
      <c r="AM250" s="532">
        <f>'Balance Sheet '!W35+'Balance Sheet '!W36</f>
        <v>0</v>
      </c>
      <c r="AN250" s="532">
        <f>'Balance Sheet '!X35+'Balance Sheet '!X36</f>
        <v>0</v>
      </c>
      <c r="AO250" s="532">
        <f>'Balance Sheet '!Y35+'Balance Sheet '!Y36</f>
        <v>0</v>
      </c>
      <c r="AP250" s="532">
        <f>'Balance Sheet '!Z35+'Balance Sheet '!Z36</f>
        <v>0</v>
      </c>
      <c r="AQ250" s="532">
        <f>'Balance Sheet '!AA35+'Balance Sheet '!AA36</f>
        <v>0</v>
      </c>
      <c r="AR250" s="532">
        <f>'Balance Sheet '!AB35+'Balance Sheet '!AB36</f>
        <v>0</v>
      </c>
      <c r="AS250" s="26"/>
      <c r="AT250" s="26"/>
      <c r="AU250" s="26"/>
      <c r="AV250" s="26"/>
      <c r="AW250" s="26"/>
      <c r="AX250" s="26"/>
      <c r="AY250" s="26"/>
      <c r="AZ250" s="26"/>
      <c r="BA250" s="26"/>
      <c r="BB250" s="26"/>
      <c r="BC250" s="26"/>
      <c r="BD250" s="26"/>
      <c r="BK250" s="24"/>
    </row>
    <row r="251" spans="2:63" ht="14.25" hidden="1" customHeight="1" outlineLevel="1">
      <c r="B251" s="129"/>
      <c r="C251" s="129"/>
      <c r="D251" s="135"/>
      <c r="E251" s="135"/>
      <c r="F251" s="135"/>
      <c r="G251" s="135"/>
      <c r="H251" s="135"/>
      <c r="I251" s="532"/>
      <c r="J251" s="532"/>
      <c r="K251" s="532"/>
      <c r="L251" s="532"/>
      <c r="M251" s="532"/>
      <c r="N251" s="532"/>
      <c r="O251" s="532"/>
      <c r="P251" s="532"/>
      <c r="Q251" s="532"/>
      <c r="R251" s="532"/>
      <c r="S251" s="532"/>
      <c r="T251" s="532"/>
      <c r="U251" s="532"/>
      <c r="V251" s="532"/>
      <c r="W251" s="532"/>
      <c r="X251" s="532"/>
      <c r="Y251" s="532"/>
      <c r="Z251" s="532"/>
      <c r="AA251" s="532"/>
      <c r="AB251" s="532"/>
      <c r="AC251" s="532"/>
      <c r="AD251" s="532"/>
      <c r="AE251" s="532"/>
      <c r="AF251" s="532"/>
      <c r="AG251" s="532"/>
      <c r="AH251" s="532"/>
      <c r="AI251" s="532"/>
      <c r="AJ251" s="532"/>
      <c r="AK251" s="532"/>
      <c r="AL251" s="532"/>
      <c r="AM251" s="532"/>
      <c r="AN251" s="532"/>
      <c r="AO251" s="532"/>
      <c r="AP251" s="532"/>
      <c r="AQ251" s="532"/>
      <c r="AR251" s="532"/>
      <c r="AS251" s="26"/>
      <c r="AT251" s="26"/>
      <c r="AU251" s="26"/>
      <c r="AV251" s="26"/>
      <c r="AW251" s="26"/>
      <c r="AX251" s="26"/>
      <c r="AY251" s="26"/>
      <c r="AZ251" s="26"/>
      <c r="BA251" s="26"/>
      <c r="BB251" s="26"/>
      <c r="BC251" s="26"/>
      <c r="BD251" s="26"/>
      <c r="BK251" s="24"/>
    </row>
    <row r="252" spans="2:63" ht="14.25" hidden="1" customHeight="1" outlineLevel="2">
      <c r="B252" s="75"/>
      <c r="C252" s="58"/>
      <c r="D252" s="128"/>
      <c r="E252" s="128"/>
      <c r="F252" s="135"/>
      <c r="G252" s="135"/>
      <c r="H252" s="532"/>
      <c r="I252" s="532"/>
      <c r="J252" s="533"/>
      <c r="K252" s="533"/>
      <c r="L252" s="532"/>
      <c r="M252" s="532"/>
      <c r="N252" s="532"/>
      <c r="O252" s="532"/>
      <c r="P252" s="532"/>
      <c r="Q252" s="533"/>
      <c r="R252" s="533"/>
      <c r="S252" s="533"/>
      <c r="T252" s="533"/>
      <c r="U252" s="533"/>
      <c r="V252" s="54"/>
      <c r="W252" s="54"/>
      <c r="X252" s="54"/>
      <c r="Y252" s="54"/>
      <c r="Z252" s="54"/>
      <c r="AA252" s="533"/>
      <c r="AB252" s="54"/>
      <c r="AC252" s="54"/>
      <c r="AD252" s="54"/>
      <c r="AE252" s="54"/>
      <c r="AF252" s="533"/>
      <c r="AG252" s="533"/>
      <c r="AH252" s="533"/>
      <c r="AI252" s="533"/>
      <c r="AJ252" s="533"/>
      <c r="AK252" s="533"/>
      <c r="AL252" s="533"/>
      <c r="AM252" s="533"/>
      <c r="AN252" s="533"/>
      <c r="AO252" s="533"/>
      <c r="AP252" s="533"/>
      <c r="AQ252" s="533"/>
      <c r="AR252" s="533"/>
      <c r="AS252" s="26"/>
      <c r="AT252" s="26"/>
      <c r="AU252" s="26"/>
      <c r="AV252" s="26"/>
      <c r="AW252" s="26"/>
      <c r="AX252" s="26"/>
      <c r="AY252" s="26"/>
      <c r="AZ252" s="26"/>
      <c r="BA252" s="26"/>
      <c r="BB252" s="26"/>
      <c r="BC252" s="26"/>
      <c r="BD252" s="26"/>
      <c r="BK252" s="24"/>
    </row>
    <row r="253" spans="2:63" s="241" customFormat="1" ht="14.25" hidden="1" customHeight="1" outlineLevel="2">
      <c r="B253" s="751" t="s">
        <v>220</v>
      </c>
      <c r="C253" s="58"/>
      <c r="D253" s="128"/>
      <c r="E253" s="128"/>
      <c r="F253" s="128"/>
      <c r="G253" s="128"/>
      <c r="H253" s="752"/>
      <c r="I253" s="752"/>
      <c r="J253" s="752"/>
      <c r="K253" s="752"/>
      <c r="L253" s="752"/>
      <c r="M253" s="752"/>
      <c r="N253" s="752"/>
      <c r="O253" s="752"/>
      <c r="P253" s="752"/>
      <c r="Q253" s="752"/>
      <c r="R253" s="752"/>
      <c r="S253" s="752"/>
      <c r="T253" s="752"/>
      <c r="U253" s="752"/>
      <c r="V253" s="1403"/>
      <c r="W253" s="1403"/>
      <c r="X253" s="1403"/>
      <c r="Y253" s="1403"/>
      <c r="Z253" s="1403"/>
      <c r="AA253" s="752"/>
      <c r="AB253" s="1403"/>
      <c r="AC253" s="1403"/>
      <c r="AD253" s="1403"/>
      <c r="AE253" s="1403"/>
      <c r="AF253" s="1403"/>
      <c r="AG253" s="752"/>
      <c r="AH253" s="752"/>
      <c r="AI253" s="752"/>
      <c r="AJ253" s="752"/>
      <c r="AK253" s="752"/>
      <c r="AL253" s="752"/>
      <c r="AM253" s="752"/>
      <c r="AN253" s="752"/>
      <c r="AO253" s="752"/>
      <c r="AP253" s="752"/>
      <c r="AQ253" s="752"/>
      <c r="AR253" s="752"/>
      <c r="AS253" s="26"/>
      <c r="AT253" s="26"/>
      <c r="AU253" s="26"/>
      <c r="AV253" s="26"/>
      <c r="AW253" s="26"/>
      <c r="AX253" s="26"/>
      <c r="AY253" s="26"/>
      <c r="AZ253" s="26"/>
      <c r="BA253" s="26"/>
      <c r="BB253" s="26"/>
      <c r="BC253" s="26"/>
      <c r="BD253" s="26"/>
      <c r="BE253"/>
      <c r="BF253"/>
      <c r="BG253"/>
      <c r="BH253"/>
      <c r="BI253"/>
      <c r="BJ253"/>
      <c r="BK253" s="24"/>
    </row>
    <row r="254" spans="2:63" ht="14.25" hidden="1" customHeight="1" outlineLevel="2">
      <c r="B254" s="753" t="s">
        <v>214</v>
      </c>
      <c r="C254" s="84"/>
      <c r="D254" s="138">
        <f>SUM('Balance Sheet '!D35:D36)</f>
        <v>371.10300000000001</v>
      </c>
      <c r="E254" s="754">
        <f>SUM('Balance Sheet '!E35:E36)</f>
        <v>386.55599999999998</v>
      </c>
      <c r="F254" s="755">
        <f t="shared" ref="F254:AI254" si="241">F247</f>
        <v>400.96899999999999</v>
      </c>
      <c r="G254" s="755">
        <f t="shared" si="241"/>
        <v>190.44599999999997</v>
      </c>
      <c r="H254" s="755">
        <f t="shared" si="241"/>
        <v>420</v>
      </c>
      <c r="I254" s="755">
        <f t="shared" si="241"/>
        <v>420</v>
      </c>
      <c r="J254" s="755">
        <f t="shared" si="241"/>
        <v>410</v>
      </c>
      <c r="K254" s="755">
        <f t="shared" si="241"/>
        <v>846.6</v>
      </c>
      <c r="L254" s="755">
        <f t="shared" si="241"/>
        <v>840.9</v>
      </c>
      <c r="M254" s="755"/>
      <c r="N254" s="755"/>
      <c r="O254" s="755"/>
      <c r="P254" s="755"/>
      <c r="Q254" s="755">
        <f t="shared" si="241"/>
        <v>750</v>
      </c>
      <c r="R254" s="755"/>
      <c r="S254" s="755"/>
      <c r="T254" s="755"/>
      <c r="U254" s="755"/>
      <c r="V254" s="755">
        <f t="shared" si="241"/>
        <v>750</v>
      </c>
      <c r="W254" s="755"/>
      <c r="X254" s="755"/>
      <c r="Y254" s="755"/>
      <c r="Z254" s="755"/>
      <c r="AA254" s="755">
        <f t="shared" si="241"/>
        <v>56</v>
      </c>
      <c r="AB254" s="755"/>
      <c r="AC254" s="755"/>
      <c r="AD254" s="755"/>
      <c r="AE254" s="755"/>
      <c r="AF254" s="755">
        <f t="shared" si="241"/>
        <v>27</v>
      </c>
      <c r="AG254" s="755">
        <f t="shared" si="241"/>
        <v>27</v>
      </c>
      <c r="AH254" s="755">
        <f t="shared" si="241"/>
        <v>0</v>
      </c>
      <c r="AI254" s="755">
        <f t="shared" si="241"/>
        <v>0</v>
      </c>
      <c r="AJ254" s="755">
        <f>AJ247</f>
        <v>0</v>
      </c>
      <c r="AK254" s="755">
        <f>AK247</f>
        <v>0</v>
      </c>
      <c r="AL254" s="755">
        <f t="shared" ref="AL254:AR254" si="242">AL247</f>
        <v>0</v>
      </c>
      <c r="AM254" s="755">
        <f t="shared" si="242"/>
        <v>0</v>
      </c>
      <c r="AN254" s="755">
        <f t="shared" si="242"/>
        <v>0</v>
      </c>
      <c r="AO254" s="755">
        <f t="shared" si="242"/>
        <v>0</v>
      </c>
      <c r="AP254" s="755">
        <f t="shared" si="242"/>
        <v>0</v>
      </c>
      <c r="AQ254" s="755">
        <f t="shared" si="242"/>
        <v>0</v>
      </c>
      <c r="AR254" s="755">
        <f t="shared" si="242"/>
        <v>0</v>
      </c>
      <c r="AS254" s="26"/>
      <c r="AT254" s="26"/>
      <c r="AU254" s="26"/>
      <c r="AV254" s="26"/>
      <c r="AW254" s="26"/>
      <c r="AX254" s="26"/>
      <c r="AY254" s="26"/>
      <c r="AZ254" s="26"/>
      <c r="BA254" s="26"/>
      <c r="BB254" s="26"/>
      <c r="BC254" s="26"/>
      <c r="BD254" s="26"/>
      <c r="BK254" s="24"/>
    </row>
    <row r="255" spans="2:63" ht="14.25" hidden="1" customHeight="1" outlineLevel="2">
      <c r="B255" s="756" t="s">
        <v>232</v>
      </c>
      <c r="C255" s="58"/>
      <c r="D255" s="158"/>
      <c r="E255" s="158"/>
      <c r="F255" s="170"/>
      <c r="G255" s="170">
        <f>G243</f>
        <v>9.6497625000000014</v>
      </c>
      <c r="H255" s="530">
        <f>H243</f>
        <v>19.994268333333334</v>
      </c>
      <c r="I255" s="557">
        <f>I243+I242</f>
        <v>40.753691938059461</v>
      </c>
      <c r="J255" s="557">
        <f>J243+J242</f>
        <v>42.963800781615078</v>
      </c>
      <c r="K255" s="557">
        <f>K243+K242</f>
        <v>40.077454164507415</v>
      </c>
      <c r="L255" s="557">
        <f>L243+L242</f>
        <v>42.012255194824611</v>
      </c>
      <c r="M255" s="557"/>
      <c r="N255" s="557"/>
      <c r="O255" s="557"/>
      <c r="P255" s="557"/>
      <c r="Q255" s="530">
        <f>Q243+Q243</f>
        <v>18.664125000000002</v>
      </c>
      <c r="R255" s="530"/>
      <c r="S255" s="530"/>
      <c r="T255" s="530"/>
      <c r="U255" s="530"/>
      <c r="V255" s="530">
        <f t="shared" ref="V255:AI255" si="243">V243</f>
        <v>6.09375</v>
      </c>
      <c r="W255" s="530"/>
      <c r="X255" s="530"/>
      <c r="Y255" s="530"/>
      <c r="Z255" s="530"/>
      <c r="AA255" s="530">
        <f t="shared" si="243"/>
        <v>6.09375</v>
      </c>
      <c r="AB255" s="530"/>
      <c r="AC255" s="530"/>
      <c r="AD255" s="530"/>
      <c r="AE255" s="530"/>
      <c r="AF255" s="530">
        <f t="shared" si="243"/>
        <v>0.43370192307692312</v>
      </c>
      <c r="AG255" s="530">
        <f t="shared" si="243"/>
        <v>0.33750000000000002</v>
      </c>
      <c r="AH255" s="530">
        <f t="shared" si="243"/>
        <v>0.2985576923076923</v>
      </c>
      <c r="AI255" s="530">
        <f t="shared" si="243"/>
        <v>0</v>
      </c>
      <c r="AJ255" s="530">
        <f>AJ243</f>
        <v>0</v>
      </c>
      <c r="AK255" s="530">
        <f>AK243</f>
        <v>0</v>
      </c>
      <c r="AL255" s="530">
        <f t="shared" ref="AL255:AR255" si="244">AL243</f>
        <v>0</v>
      </c>
      <c r="AM255" s="530">
        <f t="shared" si="244"/>
        <v>0</v>
      </c>
      <c r="AN255" s="530">
        <f t="shared" si="244"/>
        <v>0</v>
      </c>
      <c r="AO255" s="530">
        <f t="shared" si="244"/>
        <v>0</v>
      </c>
      <c r="AP255" s="530">
        <f t="shared" si="244"/>
        <v>0</v>
      </c>
      <c r="AQ255" s="530">
        <f t="shared" si="244"/>
        <v>0</v>
      </c>
      <c r="AR255" s="530">
        <f t="shared" si="244"/>
        <v>0</v>
      </c>
      <c r="AS255" s="26"/>
      <c r="AT255" s="26"/>
      <c r="AU255" s="26"/>
      <c r="AV255" s="26"/>
      <c r="AW255" s="26"/>
      <c r="AX255" s="26"/>
      <c r="AY255" s="26"/>
      <c r="AZ255" s="26"/>
      <c r="BA255" s="26"/>
      <c r="BB255" s="26"/>
      <c r="BC255" s="26"/>
      <c r="BD255" s="26"/>
      <c r="BK255" s="24"/>
    </row>
    <row r="256" spans="2:63" ht="14.25" hidden="1" customHeight="1" outlineLevel="2">
      <c r="B256" s="756" t="s">
        <v>215</v>
      </c>
      <c r="C256" s="58"/>
      <c r="D256" s="139"/>
      <c r="E256" s="139"/>
      <c r="F256" s="139"/>
      <c r="G256" s="530">
        <f>((G161/8.78)+(G212/6.84)+(G228/9.75))</f>
        <v>2.4876293297345926</v>
      </c>
      <c r="H256" s="530">
        <f>((H161/8.78)+(H212/6.84)+(H228/9.75))</f>
        <v>48.045715890099061</v>
      </c>
      <c r="I256" s="530">
        <f t="shared" ref="I256:AI256" si="245">((I161/8.78)+(I212/6.84)+(I228/9.75))+((I194+I177)/51.76)</f>
        <v>48.045715890099061</v>
      </c>
      <c r="J256" s="530">
        <f t="shared" si="245"/>
        <v>46.583727586005494</v>
      </c>
      <c r="K256" s="530">
        <f t="shared" si="245"/>
        <v>25.492231536476396</v>
      </c>
      <c r="L256" s="530">
        <f t="shared" si="245"/>
        <v>24.843028802991206</v>
      </c>
      <c r="M256" s="530"/>
      <c r="N256" s="530"/>
      <c r="O256" s="530"/>
      <c r="P256" s="530"/>
      <c r="Q256" s="530">
        <f>((Q161/8.78)+(Q212/6.84)+(Q228/9.75))+((Q194+Q177)/51.76)</f>
        <v>14.489953632148378</v>
      </c>
      <c r="R256" s="530"/>
      <c r="S256" s="530"/>
      <c r="T256" s="530"/>
      <c r="U256" s="530"/>
      <c r="V256" s="530">
        <f t="shared" si="245"/>
        <v>14.489953632148378</v>
      </c>
      <c r="W256" s="530"/>
      <c r="X256" s="530"/>
      <c r="Y256" s="530"/>
      <c r="Z256" s="530"/>
      <c r="AA256" s="530">
        <f t="shared" si="245"/>
        <v>1.081916537867079</v>
      </c>
      <c r="AB256" s="530"/>
      <c r="AC256" s="530"/>
      <c r="AD256" s="530"/>
      <c r="AE256" s="530"/>
      <c r="AF256" s="530">
        <f t="shared" si="245"/>
        <v>0.52163833075734156</v>
      </c>
      <c r="AG256" s="530">
        <f t="shared" si="245"/>
        <v>0.52163833075734156</v>
      </c>
      <c r="AH256" s="530">
        <f t="shared" si="245"/>
        <v>0</v>
      </c>
      <c r="AI256" s="530">
        <f t="shared" si="245"/>
        <v>0</v>
      </c>
      <c r="AJ256" s="530">
        <f>((AJ161/8.78)+(AJ212/6.84)+(AJ228/9.75))+((AJ194+AJ177)/51.76)</f>
        <v>0</v>
      </c>
      <c r="AK256" s="530">
        <f>((AK161/8.78)+(AK212/6.84)+(AK228/9.75))+((AK194+AK177)/51.76)</f>
        <v>0</v>
      </c>
      <c r="AL256" s="530">
        <f t="shared" ref="AL256:AR256" si="246">((AL161/8.78)+(AL212/6.84)+(AL228/9.75))+((AL194+AL177)/51.76)</f>
        <v>0</v>
      </c>
      <c r="AM256" s="530">
        <f t="shared" si="246"/>
        <v>0</v>
      </c>
      <c r="AN256" s="530">
        <f t="shared" si="246"/>
        <v>0</v>
      </c>
      <c r="AO256" s="530">
        <f t="shared" si="246"/>
        <v>0</v>
      </c>
      <c r="AP256" s="530">
        <f t="shared" si="246"/>
        <v>0</v>
      </c>
      <c r="AQ256" s="530">
        <f t="shared" si="246"/>
        <v>0</v>
      </c>
      <c r="AR256" s="530">
        <f t="shared" si="246"/>
        <v>0</v>
      </c>
      <c r="AS256" s="26"/>
      <c r="AT256" s="26"/>
      <c r="AU256" s="26"/>
      <c r="AV256" s="26"/>
      <c r="AW256" s="26"/>
      <c r="AX256" s="26"/>
      <c r="AY256" s="26"/>
      <c r="AZ256" s="26"/>
      <c r="BA256" s="26"/>
      <c r="BB256" s="26"/>
      <c r="BC256" s="26"/>
      <c r="BD256" s="26"/>
      <c r="BK256" s="24"/>
    </row>
    <row r="257" spans="2:63" ht="14.25" hidden="1" customHeight="1" outlineLevel="2">
      <c r="B257" s="756" t="s">
        <v>761</v>
      </c>
      <c r="C257" s="58"/>
      <c r="D257" s="139"/>
      <c r="E257" s="139"/>
      <c r="F257" s="139"/>
      <c r="G257" s="530"/>
      <c r="H257" s="530"/>
      <c r="I257" s="530"/>
      <c r="J257" s="530"/>
      <c r="K257" s="530"/>
      <c r="L257" s="530"/>
      <c r="M257" s="530"/>
      <c r="N257" s="530"/>
      <c r="O257" s="530"/>
      <c r="P257" s="530"/>
      <c r="Q257" s="530"/>
      <c r="R257" s="530"/>
      <c r="S257" s="530"/>
      <c r="T257" s="530"/>
      <c r="U257" s="530"/>
      <c r="V257" s="530">
        <f>(V256*$V$253)</f>
        <v>0</v>
      </c>
      <c r="W257" s="530"/>
      <c r="X257" s="530"/>
      <c r="Y257" s="530"/>
      <c r="Z257" s="530"/>
      <c r="AA257" s="530">
        <f>(AA256*$V$253)</f>
        <v>0</v>
      </c>
      <c r="AB257" s="530"/>
      <c r="AC257" s="530"/>
      <c r="AD257" s="530"/>
      <c r="AE257" s="530"/>
      <c r="AF257" s="530">
        <f>(AF256*$V$253)</f>
        <v>0</v>
      </c>
      <c r="AG257" s="530">
        <f>(AG256*$V$253)</f>
        <v>0</v>
      </c>
      <c r="AH257" s="530"/>
      <c r="AI257" s="530"/>
      <c r="AJ257" s="530"/>
      <c r="AK257" s="530"/>
      <c r="AL257" s="530"/>
      <c r="AM257" s="530"/>
      <c r="AN257" s="530"/>
      <c r="AO257" s="530"/>
      <c r="AP257" s="530"/>
      <c r="AQ257" s="530"/>
      <c r="AR257" s="530"/>
      <c r="AS257" s="26"/>
      <c r="AT257" s="26"/>
      <c r="AU257" s="26"/>
      <c r="AV257" s="26"/>
      <c r="AW257" s="26"/>
      <c r="AX257" s="26"/>
      <c r="AY257" s="26"/>
      <c r="AZ257" s="26"/>
      <c r="BA257" s="26"/>
      <c r="BB257" s="26"/>
      <c r="BC257" s="26"/>
      <c r="BD257" s="26"/>
      <c r="BK257" s="24"/>
    </row>
    <row r="258" spans="2:63" ht="14.25" hidden="1" customHeight="1" outlineLevel="2">
      <c r="B258" s="756"/>
      <c r="C258" s="58"/>
      <c r="D258" s="128"/>
      <c r="E258" s="128"/>
      <c r="F258" s="128"/>
      <c r="G258" s="128"/>
      <c r="H258" s="752"/>
      <c r="I258" s="752"/>
      <c r="J258" s="752"/>
      <c r="K258" s="752"/>
      <c r="L258" s="752"/>
      <c r="M258" s="752"/>
      <c r="N258" s="752"/>
      <c r="O258" s="752"/>
      <c r="P258" s="752"/>
      <c r="Q258" s="752"/>
      <c r="R258" s="752"/>
      <c r="S258" s="752"/>
      <c r="T258" s="752"/>
      <c r="U258" s="752"/>
      <c r="V258" s="752"/>
      <c r="W258" s="752"/>
      <c r="X258" s="752"/>
      <c r="Y258" s="752"/>
      <c r="Z258" s="752"/>
      <c r="AA258" s="752"/>
      <c r="AB258" s="752"/>
      <c r="AC258" s="752"/>
      <c r="AD258" s="752"/>
      <c r="AE258" s="752"/>
      <c r="AF258" s="752"/>
      <c r="AG258" s="752"/>
      <c r="AH258" s="752"/>
      <c r="AI258" s="752"/>
      <c r="AJ258" s="752"/>
      <c r="AK258" s="752"/>
      <c r="AL258" s="752"/>
      <c r="AM258" s="752"/>
      <c r="AN258" s="752"/>
      <c r="AO258" s="752"/>
      <c r="AP258" s="752"/>
      <c r="AQ258" s="752"/>
      <c r="AR258" s="752"/>
      <c r="AS258" s="26"/>
      <c r="AT258" s="26"/>
      <c r="AU258" s="26"/>
      <c r="AV258" s="26"/>
      <c r="AW258" s="26"/>
      <c r="AX258" s="26"/>
      <c r="AY258" s="26"/>
      <c r="AZ258" s="26"/>
      <c r="BA258" s="26"/>
      <c r="BB258" s="26"/>
      <c r="BC258" s="26"/>
      <c r="BD258" s="26"/>
      <c r="BK258" s="24"/>
    </row>
    <row r="259" spans="2:63" ht="14.25" hidden="1" customHeight="1" outlineLevel="2">
      <c r="B259" s="756" t="s">
        <v>213</v>
      </c>
      <c r="C259" s="58"/>
      <c r="D259" s="171">
        <f t="shared" ref="D259:AR259" si="247">D67</f>
        <v>83.799000000000007</v>
      </c>
      <c r="E259" s="171">
        <f t="shared" si="247"/>
        <v>84.185000000000002</v>
      </c>
      <c r="F259" s="139">
        <f t="shared" si="247"/>
        <v>89.785250000000005</v>
      </c>
      <c r="G259" s="139">
        <f t="shared" si="247"/>
        <v>102.943</v>
      </c>
      <c r="H259" s="530">
        <f t="shared" si="247"/>
        <v>121.628</v>
      </c>
      <c r="I259" s="530">
        <f t="shared" si="247"/>
        <v>125.36125000000001</v>
      </c>
      <c r="J259" s="530">
        <f t="shared" si="247"/>
        <v>129.74700000000001</v>
      </c>
      <c r="K259" s="530">
        <f t="shared" si="247"/>
        <v>148.40299999999999</v>
      </c>
      <c r="L259" s="530">
        <f t="shared" si="247"/>
        <v>167.947</v>
      </c>
      <c r="M259" s="530"/>
      <c r="N259" s="530"/>
      <c r="O259" s="530"/>
      <c r="P259" s="530"/>
      <c r="Q259" s="530">
        <f t="shared" si="247"/>
        <v>179.601</v>
      </c>
      <c r="R259" s="530"/>
      <c r="S259" s="530"/>
      <c r="T259" s="530"/>
      <c r="U259" s="530"/>
      <c r="V259" s="530">
        <f t="shared" si="247"/>
        <v>187.87324999999998</v>
      </c>
      <c r="W259" s="530"/>
      <c r="X259" s="530"/>
      <c r="Y259" s="530"/>
      <c r="Z259" s="530"/>
      <c r="AA259" s="530">
        <f t="shared" si="247"/>
        <v>204.58049999999997</v>
      </c>
      <c r="AB259" s="530"/>
      <c r="AC259" s="530"/>
      <c r="AD259" s="530"/>
      <c r="AE259" s="530"/>
      <c r="AF259" s="530">
        <f t="shared" si="247"/>
        <v>212.34244478122378</v>
      </c>
      <c r="AG259" s="530">
        <f t="shared" si="247"/>
        <v>214.62251348283857</v>
      </c>
      <c r="AH259" s="530">
        <f t="shared" si="247"/>
        <v>216.71227624408658</v>
      </c>
      <c r="AI259" s="530">
        <f t="shared" si="247"/>
        <v>218.94222199148157</v>
      </c>
      <c r="AJ259" s="530">
        <f t="shared" si="247"/>
        <v>221.03525741597522</v>
      </c>
      <c r="AK259" s="530">
        <f t="shared" si="247"/>
        <v>223.29113778444682</v>
      </c>
      <c r="AL259" s="530">
        <f t="shared" si="247"/>
        <v>225.72253296166255</v>
      </c>
      <c r="AM259" s="530">
        <f t="shared" si="247"/>
        <v>228.34309856895726</v>
      </c>
      <c r="AN259" s="530">
        <f t="shared" si="247"/>
        <v>231.1675526792923</v>
      </c>
      <c r="AO259" s="530">
        <f t="shared" si="247"/>
        <v>234.21175847943789</v>
      </c>
      <c r="AP259" s="530">
        <f t="shared" si="247"/>
        <v>237.49281336354107</v>
      </c>
      <c r="AQ259" s="530">
        <f t="shared" si="247"/>
        <v>241.02914495846227</v>
      </c>
      <c r="AR259" s="530">
        <f t="shared" si="247"/>
        <v>244.84061462019457</v>
      </c>
      <c r="AS259" s="26"/>
      <c r="AT259" s="26"/>
      <c r="AU259" s="26"/>
      <c r="AV259" s="26"/>
      <c r="AW259" s="26"/>
      <c r="AX259" s="26"/>
      <c r="AY259" s="26"/>
      <c r="AZ259" s="26"/>
      <c r="BA259" s="26"/>
      <c r="BB259" s="26"/>
      <c r="BC259" s="26"/>
      <c r="BD259" s="26"/>
      <c r="BK259" s="24"/>
    </row>
    <row r="260" spans="2:63" ht="14.25" hidden="1" customHeight="1" outlineLevel="2">
      <c r="B260" s="756" t="s">
        <v>212</v>
      </c>
      <c r="C260" s="58"/>
      <c r="D260" s="139"/>
      <c r="E260" s="139"/>
      <c r="F260" s="139"/>
      <c r="G260" s="139">
        <f>G68</f>
        <v>102.943</v>
      </c>
      <c r="H260" s="530">
        <f>H68</f>
        <v>121.628</v>
      </c>
      <c r="I260" s="530">
        <f>'Balance Sheet '!I151</f>
        <v>125.36125000000001</v>
      </c>
      <c r="J260" s="530">
        <f>'Balance Sheet '!J151</f>
        <v>129.74700000000001</v>
      </c>
      <c r="K260" s="530">
        <f>'Balance Sheet '!K151</f>
        <v>148.40299999999999</v>
      </c>
      <c r="L260" s="530">
        <f>'Balance Sheet '!L151</f>
        <v>167.947</v>
      </c>
      <c r="M260" s="530"/>
      <c r="N260" s="530"/>
      <c r="O260" s="530"/>
      <c r="P260" s="530"/>
      <c r="Q260" s="530">
        <f>'Balance Sheet '!M151</f>
        <v>185.47222095650486</v>
      </c>
      <c r="R260" s="530"/>
      <c r="S260" s="530"/>
      <c r="T260" s="530"/>
      <c r="U260" s="530"/>
      <c r="V260" s="530">
        <f>'Balance Sheet '!N151</f>
        <v>194.34465841785712</v>
      </c>
      <c r="W260" s="530"/>
      <c r="X260" s="530"/>
      <c r="Y260" s="530"/>
      <c r="Z260" s="530"/>
      <c r="AA260" s="530">
        <f>'Balance Sheet '!O151</f>
        <v>205.70225712179985</v>
      </c>
      <c r="AB260" s="530"/>
      <c r="AC260" s="530"/>
      <c r="AD260" s="530"/>
      <c r="AE260" s="530"/>
      <c r="AF260" s="530">
        <f>'Balance Sheet '!P151</f>
        <v>216.98962372158553</v>
      </c>
      <c r="AG260" s="530">
        <f>'Balance Sheet '!Q151</f>
        <v>219.0257563512609</v>
      </c>
      <c r="AH260" s="530">
        <f>'Balance Sheet '!R151</f>
        <v>221.40707114330485</v>
      </c>
      <c r="AI260" s="530">
        <f>'Balance Sheet '!S151</f>
        <v>223.94565680838119</v>
      </c>
      <c r="AJ260" s="530">
        <f>'Balance Sheet '!T151</f>
        <v>223.60040816657258</v>
      </c>
      <c r="AK260" s="530">
        <f>'Balance Sheet '!U151</f>
        <v>226.02230613066646</v>
      </c>
      <c r="AL260" s="530">
        <f>'Balance Sheet '!V151</f>
        <v>228.62895590321565</v>
      </c>
      <c r="AM260" s="530">
        <f>'Balance Sheet '!W151</f>
        <v>231.43432830360351</v>
      </c>
      <c r="AN260" s="530">
        <f>'Balance Sheet '!X151</f>
        <v>234.45343688676869</v>
      </c>
      <c r="AO260" s="530">
        <f>'Balance Sheet '!Y151</f>
        <v>237.70241422066536</v>
      </c>
      <c r="AP260" s="530">
        <f>'Balance Sheet '!Z151</f>
        <v>241.19859356648513</v>
      </c>
      <c r="AQ260" s="530">
        <f>'Balance Sheet '!AA151</f>
        <v>244.96059632367485</v>
      </c>
      <c r="AR260" s="530">
        <f>'Balance Sheet '!AB151</f>
        <v>249.00842562355717</v>
      </c>
      <c r="AS260" s="26"/>
      <c r="AT260" s="26"/>
      <c r="AU260" s="26"/>
      <c r="AV260" s="26"/>
      <c r="AW260" s="26"/>
      <c r="AX260" s="26"/>
      <c r="AY260" s="26"/>
      <c r="AZ260" s="26"/>
      <c r="BA260" s="26"/>
      <c r="BB260" s="26"/>
      <c r="BC260" s="26"/>
      <c r="BD260" s="26"/>
      <c r="BK260" s="24"/>
    </row>
    <row r="261" spans="2:63" ht="14.25" hidden="1" customHeight="1" outlineLevel="2">
      <c r="B261" s="756" t="s">
        <v>14</v>
      </c>
      <c r="C261" s="58"/>
      <c r="D261" s="139"/>
      <c r="E261" s="139"/>
      <c r="F261" s="139"/>
      <c r="G261" s="139">
        <f t="shared" ref="G261:AR261" si="248">G260+G256</f>
        <v>105.43062932973459</v>
      </c>
      <c r="H261" s="530">
        <f t="shared" si="248"/>
        <v>169.67371589009906</v>
      </c>
      <c r="I261" s="530">
        <f t="shared" si="248"/>
        <v>173.40696589009906</v>
      </c>
      <c r="J261" s="530">
        <f t="shared" si="248"/>
        <v>176.33072758600551</v>
      </c>
      <c r="K261" s="530">
        <f t="shared" si="248"/>
        <v>173.89523153647639</v>
      </c>
      <c r="L261" s="530">
        <f t="shared" si="248"/>
        <v>192.7900288029912</v>
      </c>
      <c r="M261" s="530"/>
      <c r="N261" s="530"/>
      <c r="O261" s="530"/>
      <c r="P261" s="530"/>
      <c r="Q261" s="530">
        <f t="shared" si="248"/>
        <v>199.96217458865323</v>
      </c>
      <c r="R261" s="530"/>
      <c r="S261" s="530"/>
      <c r="T261" s="530"/>
      <c r="U261" s="530"/>
      <c r="V261" s="530">
        <f t="shared" si="248"/>
        <v>208.83461205000549</v>
      </c>
      <c r="W261" s="530"/>
      <c r="X261" s="530"/>
      <c r="Y261" s="530"/>
      <c r="Z261" s="530"/>
      <c r="AA261" s="530">
        <f t="shared" si="248"/>
        <v>206.78417365966692</v>
      </c>
      <c r="AB261" s="530"/>
      <c r="AC261" s="530"/>
      <c r="AD261" s="530"/>
      <c r="AE261" s="530"/>
      <c r="AF261" s="530">
        <f>AF260+AF256+3.2</f>
        <v>220.71126205234287</v>
      </c>
      <c r="AG261" s="530">
        <f t="shared" si="248"/>
        <v>219.54739468201825</v>
      </c>
      <c r="AH261" s="530">
        <f>AH260+AH256+3.5</f>
        <v>224.90707114330485</v>
      </c>
      <c r="AI261" s="530">
        <f t="shared" si="248"/>
        <v>223.94565680838119</v>
      </c>
      <c r="AJ261" s="530">
        <f t="shared" si="248"/>
        <v>223.60040816657258</v>
      </c>
      <c r="AK261" s="530">
        <f t="shared" si="248"/>
        <v>226.02230613066646</v>
      </c>
      <c r="AL261" s="530">
        <f t="shared" si="248"/>
        <v>228.62895590321565</v>
      </c>
      <c r="AM261" s="530">
        <f t="shared" si="248"/>
        <v>231.43432830360351</v>
      </c>
      <c r="AN261" s="530">
        <f t="shared" si="248"/>
        <v>234.45343688676869</v>
      </c>
      <c r="AO261" s="530">
        <f t="shared" si="248"/>
        <v>237.70241422066536</v>
      </c>
      <c r="AP261" s="530">
        <f t="shared" si="248"/>
        <v>241.19859356648513</v>
      </c>
      <c r="AQ261" s="530">
        <f t="shared" si="248"/>
        <v>244.96059632367485</v>
      </c>
      <c r="AR261" s="530">
        <f t="shared" si="248"/>
        <v>249.00842562355717</v>
      </c>
      <c r="AS261" s="26"/>
      <c r="AT261" s="26"/>
      <c r="AU261" s="26"/>
      <c r="AV261" s="26"/>
      <c r="AW261" s="26"/>
      <c r="AX261" s="26"/>
      <c r="AY261" s="26"/>
      <c r="AZ261" s="26"/>
      <c r="BA261" s="26"/>
      <c r="BB261" s="26"/>
      <c r="BC261" s="26"/>
      <c r="BD261" s="26"/>
      <c r="BK261" s="24"/>
    </row>
    <row r="262" spans="2:63" ht="14.25" hidden="1" customHeight="1" outlineLevel="2">
      <c r="B262" s="756"/>
      <c r="C262" s="58"/>
      <c r="D262" s="128"/>
      <c r="E262" s="128"/>
      <c r="F262" s="128"/>
      <c r="G262" s="128"/>
      <c r="H262" s="752"/>
      <c r="I262" s="752"/>
      <c r="J262" s="752"/>
      <c r="K262" s="752"/>
      <c r="L262" s="752"/>
      <c r="M262" s="752"/>
      <c r="N262" s="752"/>
      <c r="O262" s="752"/>
      <c r="P262" s="752"/>
      <c r="Q262" s="752"/>
      <c r="R262" s="752"/>
      <c r="S262" s="752"/>
      <c r="T262" s="752"/>
      <c r="U262" s="752"/>
      <c r="V262" s="752"/>
      <c r="W262" s="752"/>
      <c r="X262" s="752"/>
      <c r="Y262" s="752"/>
      <c r="Z262" s="752"/>
      <c r="AA262" s="752"/>
      <c r="AB262" s="752"/>
      <c r="AC262" s="752"/>
      <c r="AD262" s="752"/>
      <c r="AE262" s="752"/>
      <c r="AF262" s="752"/>
      <c r="AG262" s="752"/>
      <c r="AH262" s="752"/>
      <c r="AI262" s="752"/>
      <c r="AJ262" s="752"/>
      <c r="AK262" s="752"/>
      <c r="AL262" s="752"/>
      <c r="AM262" s="752"/>
      <c r="AN262" s="752"/>
      <c r="AO262" s="752"/>
      <c r="AP262" s="752"/>
      <c r="AQ262" s="752"/>
      <c r="AR262" s="752"/>
      <c r="AS262" s="26"/>
      <c r="AT262" s="26"/>
      <c r="AU262" s="26"/>
      <c r="AV262" s="26"/>
      <c r="AW262" s="26"/>
      <c r="AX262" s="26"/>
      <c r="AY262" s="26"/>
      <c r="AZ262" s="26"/>
      <c r="BA262" s="26"/>
      <c r="BB262" s="26"/>
      <c r="BC262" s="26"/>
      <c r="BD262" s="26"/>
      <c r="BK262" s="24"/>
    </row>
    <row r="263" spans="2:63" ht="14.25" hidden="1" customHeight="1" outlineLevel="2">
      <c r="B263" s="757" t="s">
        <v>210</v>
      </c>
      <c r="C263" s="58"/>
      <c r="D263" s="128"/>
      <c r="E263" s="128"/>
      <c r="F263" s="128"/>
      <c r="G263" s="170">
        <f t="shared" ref="G263:AR263" si="249">G54</f>
        <v>-161.84399999999999</v>
      </c>
      <c r="H263" s="530">
        <f t="shared" si="249"/>
        <v>-12.95800000000002</v>
      </c>
      <c r="I263" s="530">
        <f t="shared" si="249"/>
        <v>-157.64000000000001</v>
      </c>
      <c r="J263" s="530">
        <f t="shared" si="249"/>
        <v>-5.8270000000000133</v>
      </c>
      <c r="K263" s="530">
        <f t="shared" si="249"/>
        <v>-26.813000000000006</v>
      </c>
      <c r="L263" s="530">
        <f t="shared" si="249"/>
        <v>13.819000000000075</v>
      </c>
      <c r="M263" s="530"/>
      <c r="N263" s="530"/>
      <c r="O263" s="530"/>
      <c r="P263" s="530"/>
      <c r="Q263" s="530">
        <f t="shared" si="249"/>
        <v>81.911999999999921</v>
      </c>
      <c r="R263" s="530"/>
      <c r="S263" s="530"/>
      <c r="T263" s="530"/>
      <c r="U263" s="530"/>
      <c r="V263" s="530">
        <f t="shared" si="249"/>
        <v>203.48300000000003</v>
      </c>
      <c r="W263" s="530"/>
      <c r="X263" s="530"/>
      <c r="Y263" s="530"/>
      <c r="Z263" s="530"/>
      <c r="AA263" s="530">
        <f t="shared" si="249"/>
        <v>-154.86699999999971</v>
      </c>
      <c r="AB263" s="530"/>
      <c r="AC263" s="530"/>
      <c r="AD263" s="530"/>
      <c r="AE263" s="530"/>
      <c r="AF263" s="530">
        <f t="shared" si="249"/>
        <v>-23.607999999999947</v>
      </c>
      <c r="AG263" s="530">
        <f t="shared" si="249"/>
        <v>65.453802512657077</v>
      </c>
      <c r="AH263" s="530">
        <f t="shared" si="249"/>
        <v>275.92524133569964</v>
      </c>
      <c r="AI263" s="530">
        <f t="shared" si="249"/>
        <v>496.46917477356146</v>
      </c>
      <c r="AJ263" s="530">
        <f t="shared" si="249"/>
        <v>751.70803077232529</v>
      </c>
      <c r="AK263" s="530">
        <f t="shared" si="249"/>
        <v>833.70879137606619</v>
      </c>
      <c r="AL263" s="530">
        <f t="shared" si="249"/>
        <v>937.18731052615954</v>
      </c>
      <c r="AM263" s="530">
        <f t="shared" si="249"/>
        <v>961.35265273142977</v>
      </c>
      <c r="AN263" s="530">
        <f t="shared" si="249"/>
        <v>423.51853153838459</v>
      </c>
      <c r="AO263" s="530">
        <f t="shared" si="249"/>
        <v>-1416.722023933869</v>
      </c>
      <c r="AP263" s="530">
        <f t="shared" si="249"/>
        <v>-1706.880877122881</v>
      </c>
      <c r="AQ263" s="530">
        <f t="shared" si="249"/>
        <v>-1875.9904923373415</v>
      </c>
      <c r="AR263" s="530">
        <f t="shared" si="249"/>
        <v>-2178.1360227656951</v>
      </c>
      <c r="AS263" s="26"/>
      <c r="AT263" s="26"/>
      <c r="AU263" s="26"/>
      <c r="AV263" s="26"/>
      <c r="AW263" s="26"/>
      <c r="AX263" s="26"/>
      <c r="AY263" s="26"/>
      <c r="AZ263" s="26"/>
      <c r="BA263" s="26"/>
      <c r="BB263" s="26"/>
      <c r="BC263" s="26"/>
      <c r="BD263" s="26"/>
      <c r="BK263" s="24"/>
    </row>
    <row r="264" spans="2:63" ht="14.25" hidden="1" customHeight="1" outlineLevel="2">
      <c r="B264" s="756" t="s">
        <v>218</v>
      </c>
      <c r="C264" s="58"/>
      <c r="D264" s="128"/>
      <c r="E264" s="128"/>
      <c r="F264" s="128"/>
      <c r="G264" s="170">
        <f>G263/G260</f>
        <v>-1.5721710072564428</v>
      </c>
      <c r="H264" s="530">
        <f>H263/H260</f>
        <v>-0.10653796823099961</v>
      </c>
      <c r="I264" s="778">
        <f>I263/I260</f>
        <v>-1.2574858658477002</v>
      </c>
      <c r="J264" s="778">
        <f>J263/J260</f>
        <v>-4.4910479625733253E-2</v>
      </c>
      <c r="K264" s="778">
        <f>K263/K260</f>
        <v>-0.18067694049311678</v>
      </c>
      <c r="L264" s="778">
        <f t="shared" ref="L264:AI264" si="250">L263/L260</f>
        <v>8.2281910364579755E-2</v>
      </c>
      <c r="M264" s="778"/>
      <c r="N264" s="778"/>
      <c r="O264" s="778"/>
      <c r="P264" s="778"/>
      <c r="Q264" s="778">
        <f t="shared" si="250"/>
        <v>0.44164026061460238</v>
      </c>
      <c r="R264" s="778"/>
      <c r="S264" s="778"/>
      <c r="T264" s="778"/>
      <c r="U264" s="778"/>
      <c r="V264" s="778">
        <f t="shared" si="250"/>
        <v>1.0470213159267527</v>
      </c>
      <c r="W264" s="778"/>
      <c r="X264" s="778"/>
      <c r="Y264" s="778"/>
      <c r="Z264" s="778"/>
      <c r="AA264" s="778">
        <f t="shared" si="250"/>
        <v>-0.75286971648687495</v>
      </c>
      <c r="AB264" s="778"/>
      <c r="AC264" s="778"/>
      <c r="AD264" s="778"/>
      <c r="AE264" s="778"/>
      <c r="AF264" s="778">
        <f t="shared" si="250"/>
        <v>-0.10879782910859755</v>
      </c>
      <c r="AG264" s="778">
        <f t="shared" si="250"/>
        <v>0.29884066423533329</v>
      </c>
      <c r="AH264" s="778">
        <f t="shared" si="250"/>
        <v>1.2462350001328915</v>
      </c>
      <c r="AI264" s="778">
        <f t="shared" si="250"/>
        <v>2.216918076684848</v>
      </c>
      <c r="AJ264" s="778">
        <f>AJ263/AJ260</f>
        <v>3.3618365768471028</v>
      </c>
      <c r="AK264" s="778">
        <f>AK263/AK260</f>
        <v>3.6886128880310078</v>
      </c>
      <c r="AL264" s="778">
        <f t="shared" ref="AL264:AR264" si="251">AL263/AL260</f>
        <v>4.0991627977468186</v>
      </c>
      <c r="AM264" s="778">
        <f t="shared" si="251"/>
        <v>4.1538896142939272</v>
      </c>
      <c r="AN264" s="778">
        <f t="shared" si="251"/>
        <v>1.8064078614591883</v>
      </c>
      <c r="AO264" s="778">
        <f t="shared" si="251"/>
        <v>-5.9600657762722129</v>
      </c>
      <c r="AP264" s="778">
        <f t="shared" si="251"/>
        <v>-7.0766618158260037</v>
      </c>
      <c r="AQ264" s="778">
        <f t="shared" si="251"/>
        <v>-7.658335750695719</v>
      </c>
      <c r="AR264" s="778">
        <f t="shared" si="251"/>
        <v>-8.7472382402775803</v>
      </c>
      <c r="AS264" s="26"/>
      <c r="AT264" s="26"/>
      <c r="AU264" s="26"/>
      <c r="AV264" s="26"/>
      <c r="AW264" s="26"/>
      <c r="AX264" s="26"/>
      <c r="AY264" s="26"/>
      <c r="AZ264" s="26"/>
      <c r="BA264" s="26"/>
      <c r="BB264" s="26"/>
      <c r="BC264" s="26"/>
      <c r="BD264" s="26"/>
      <c r="BK264" s="24"/>
    </row>
    <row r="265" spans="2:63" ht="14.25" hidden="1" customHeight="1" outlineLevel="2">
      <c r="B265" s="756" t="s">
        <v>219</v>
      </c>
      <c r="C265" s="58"/>
      <c r="D265" s="128"/>
      <c r="E265" s="128"/>
      <c r="F265" s="128"/>
      <c r="G265" s="170">
        <f t="shared" ref="G265:AR265" si="252">(G263+G255)/G261</f>
        <v>-1.4435486012704344</v>
      </c>
      <c r="H265" s="530">
        <f t="shared" si="252"/>
        <v>4.1469406716422956E-2</v>
      </c>
      <c r="I265" s="778">
        <f t="shared" si="252"/>
        <v>-0.67405774307832667</v>
      </c>
      <c r="J265" s="778">
        <f t="shared" si="252"/>
        <v>0.21060878775936287</v>
      </c>
      <c r="K265" s="778">
        <f t="shared" si="252"/>
        <v>7.6278423780269375E-2</v>
      </c>
      <c r="L265" s="778">
        <f t="shared" si="252"/>
        <v>0.28959617642817864</v>
      </c>
      <c r="M265" s="778"/>
      <c r="N265" s="778"/>
      <c r="O265" s="778"/>
      <c r="P265" s="778"/>
      <c r="Q265" s="778">
        <f t="shared" si="252"/>
        <v>0.50297575132345596</v>
      </c>
      <c r="R265" s="778"/>
      <c r="S265" s="778"/>
      <c r="T265" s="778"/>
      <c r="U265" s="778"/>
      <c r="V265" s="778">
        <f t="shared" si="252"/>
        <v>1.0035537114404045</v>
      </c>
      <c r="W265" s="778"/>
      <c r="X265" s="778"/>
      <c r="Y265" s="778"/>
      <c r="Z265" s="778"/>
      <c r="AA265" s="778">
        <f t="shared" si="252"/>
        <v>-0.71946149150106742</v>
      </c>
      <c r="AB265" s="778"/>
      <c r="AC265" s="778"/>
      <c r="AD265" s="778"/>
      <c r="AE265" s="778"/>
      <c r="AF265" s="778">
        <f t="shared" si="252"/>
        <v>-0.1049982581832508</v>
      </c>
      <c r="AG265" s="778">
        <f t="shared" si="252"/>
        <v>0.29966788085982982</v>
      </c>
      <c r="AH265" s="778">
        <f t="shared" si="252"/>
        <v>1.2281685836903047</v>
      </c>
      <c r="AI265" s="778">
        <f t="shared" si="252"/>
        <v>2.216918076684848</v>
      </c>
      <c r="AJ265" s="778">
        <f t="shared" si="252"/>
        <v>3.3618365768471028</v>
      </c>
      <c r="AK265" s="778">
        <f t="shared" si="252"/>
        <v>3.6886128880310078</v>
      </c>
      <c r="AL265" s="778">
        <f t="shared" si="252"/>
        <v>4.0991627977468186</v>
      </c>
      <c r="AM265" s="778">
        <f t="shared" si="252"/>
        <v>4.1538896142939272</v>
      </c>
      <c r="AN265" s="778">
        <f t="shared" si="252"/>
        <v>1.8064078614591883</v>
      </c>
      <c r="AO265" s="778">
        <f t="shared" si="252"/>
        <v>-5.9600657762722129</v>
      </c>
      <c r="AP265" s="778">
        <f t="shared" si="252"/>
        <v>-7.0766618158260037</v>
      </c>
      <c r="AQ265" s="778">
        <f t="shared" si="252"/>
        <v>-7.658335750695719</v>
      </c>
      <c r="AR265" s="778">
        <f t="shared" si="252"/>
        <v>-8.7472382402775803</v>
      </c>
      <c r="AS265" s="26"/>
      <c r="AT265" s="26"/>
      <c r="AU265" s="26"/>
      <c r="AV265" s="26"/>
      <c r="AW265" s="26"/>
      <c r="AX265" s="26"/>
      <c r="AY265" s="26"/>
      <c r="AZ265" s="26"/>
      <c r="BA265" s="26"/>
      <c r="BB265" s="26"/>
      <c r="BC265" s="26"/>
      <c r="BD265" s="26"/>
      <c r="BK265" s="24"/>
    </row>
    <row r="266" spans="2:63" ht="14.25" hidden="1" customHeight="1" outlineLevel="2">
      <c r="B266" s="757" t="s">
        <v>217</v>
      </c>
      <c r="C266" s="58"/>
      <c r="D266" s="128"/>
      <c r="E266" s="128"/>
      <c r="F266" s="128"/>
      <c r="G266" s="128" t="str">
        <f>IF(G265&lt;G264,"Y","N")</f>
        <v>N</v>
      </c>
      <c r="H266" s="221" t="str">
        <f>IF(H265&lt;H264,"Y","N")</f>
        <v>N</v>
      </c>
      <c r="I266" s="221" t="str">
        <f>IF(I265&lt;I264,"Y","N")</f>
        <v>N</v>
      </c>
      <c r="J266" s="221" t="str">
        <f>IF(J265&lt;J264,"Y","N")</f>
        <v>N</v>
      </c>
      <c r="K266" s="221" t="str">
        <f>IF(K265&lt;K264,"Y","N")</f>
        <v>N</v>
      </c>
      <c r="L266" s="221" t="str">
        <f t="shared" ref="L266:AI266" si="253">IF(L265&lt;L264,"Y","N")</f>
        <v>N</v>
      </c>
      <c r="M266" s="221"/>
      <c r="N266" s="221"/>
      <c r="O266" s="221"/>
      <c r="P266" s="221"/>
      <c r="Q266" s="221" t="str">
        <f t="shared" si="253"/>
        <v>N</v>
      </c>
      <c r="R266" s="221"/>
      <c r="S266" s="221"/>
      <c r="T266" s="221"/>
      <c r="U266" s="221"/>
      <c r="V266" s="221" t="s">
        <v>762</v>
      </c>
      <c r="W266" s="221"/>
      <c r="X266" s="221"/>
      <c r="Y266" s="221"/>
      <c r="Z266" s="221"/>
      <c r="AA266" s="221" t="str">
        <f t="shared" si="253"/>
        <v>N</v>
      </c>
      <c r="AB266" s="221"/>
      <c r="AC266" s="221"/>
      <c r="AD266" s="221"/>
      <c r="AE266" s="221"/>
      <c r="AF266" s="221" t="str">
        <f t="shared" si="253"/>
        <v>N</v>
      </c>
      <c r="AG266" s="221" t="str">
        <f t="shared" si="253"/>
        <v>N</v>
      </c>
      <c r="AH266" s="221" t="str">
        <f t="shared" si="253"/>
        <v>Y</v>
      </c>
      <c r="AI266" s="221" t="str">
        <f t="shared" si="253"/>
        <v>N</v>
      </c>
      <c r="AJ266" s="221" t="str">
        <f>IF(AJ265&lt;AJ264,"Y","N")</f>
        <v>N</v>
      </c>
      <c r="AK266" s="221" t="str">
        <f>IF(AK265&lt;AK264,"Y","N")</f>
        <v>N</v>
      </c>
      <c r="AL266" s="221" t="str">
        <f t="shared" ref="AL266:AR266" si="254">IF(AL265&lt;AL264,"Y","N")</f>
        <v>N</v>
      </c>
      <c r="AM266" s="221" t="str">
        <f t="shared" si="254"/>
        <v>N</v>
      </c>
      <c r="AN266" s="221" t="str">
        <f t="shared" si="254"/>
        <v>N</v>
      </c>
      <c r="AO266" s="221" t="str">
        <f t="shared" si="254"/>
        <v>N</v>
      </c>
      <c r="AP266" s="221" t="str">
        <f t="shared" si="254"/>
        <v>N</v>
      </c>
      <c r="AQ266" s="221" t="str">
        <f t="shared" si="254"/>
        <v>N</v>
      </c>
      <c r="AR266" s="221" t="str">
        <f t="shared" si="254"/>
        <v>N</v>
      </c>
      <c r="AS266" s="26"/>
      <c r="AT266" s="26"/>
      <c r="AU266" s="26"/>
      <c r="AV266" s="26"/>
      <c r="AW266" s="26"/>
      <c r="AX266" s="26"/>
      <c r="AY266" s="26"/>
      <c r="AZ266" s="26"/>
      <c r="BA266" s="26"/>
      <c r="BB266" s="26"/>
      <c r="BC266" s="26"/>
      <c r="BD266" s="26"/>
      <c r="BK266" s="24"/>
    </row>
    <row r="267" spans="2:63" ht="14.25" hidden="1" customHeight="1" outlineLevel="2">
      <c r="B267" s="756"/>
      <c r="C267" s="58"/>
      <c r="D267" s="128"/>
      <c r="E267" s="128"/>
      <c r="F267" s="128"/>
      <c r="G267" s="128"/>
      <c r="H267" s="221"/>
      <c r="I267" s="221"/>
      <c r="J267" s="221"/>
      <c r="K267" s="221"/>
      <c r="L267" s="221"/>
      <c r="M267" s="221"/>
      <c r="N267" s="221"/>
      <c r="O267" s="221"/>
      <c r="P267" s="221"/>
      <c r="Q267" s="221"/>
      <c r="R267" s="221"/>
      <c r="S267" s="221"/>
      <c r="T267" s="221"/>
      <c r="U267" s="221"/>
      <c r="V267" s="221"/>
      <c r="W267" s="221"/>
      <c r="X267" s="221"/>
      <c r="Y267" s="221"/>
      <c r="Z267" s="221"/>
      <c r="AA267" s="221"/>
      <c r="AB267" s="221"/>
      <c r="AC267" s="221"/>
      <c r="AD267" s="221"/>
      <c r="AE267" s="221"/>
      <c r="AF267" s="221"/>
      <c r="AG267" s="221"/>
      <c r="AH267" s="221"/>
      <c r="AI267" s="221"/>
      <c r="AJ267" s="221"/>
      <c r="AK267" s="221"/>
      <c r="AL267" s="221"/>
      <c r="AM267" s="221"/>
      <c r="AN267" s="221"/>
      <c r="AO267" s="221"/>
      <c r="AP267" s="221"/>
      <c r="AQ267" s="221"/>
      <c r="AR267" s="221"/>
      <c r="AS267" s="26"/>
      <c r="AT267" s="26"/>
      <c r="AU267" s="26"/>
      <c r="AV267" s="26"/>
      <c r="AW267" s="26"/>
      <c r="AX267" s="26"/>
      <c r="AY267" s="26"/>
      <c r="AZ267" s="26"/>
      <c r="BA267" s="26"/>
      <c r="BB267" s="26"/>
      <c r="BC267" s="26"/>
      <c r="BD267" s="26"/>
      <c r="BK267" s="24"/>
    </row>
    <row r="268" spans="2:63" ht="14.25" hidden="1" customHeight="1" outlineLevel="2">
      <c r="B268" s="757" t="s">
        <v>216</v>
      </c>
      <c r="C268" s="58"/>
      <c r="D268" s="128"/>
      <c r="E268" s="128"/>
      <c r="F268" s="128"/>
      <c r="G268" s="170">
        <f t="shared" ref="G268:AR268" si="255">G64</f>
        <v>-211.87</v>
      </c>
      <c r="H268" s="530">
        <f t="shared" si="255"/>
        <v>-31.846000000000018</v>
      </c>
      <c r="I268" s="530">
        <f t="shared" si="255"/>
        <v>-186.54000000000002</v>
      </c>
      <c r="J268" s="530">
        <f t="shared" si="255"/>
        <v>-44.320000000000014</v>
      </c>
      <c r="K268" s="530">
        <f t="shared" si="255"/>
        <v>-83.147000000000006</v>
      </c>
      <c r="L268" s="530">
        <f t="shared" si="255"/>
        <v>-48.480999999999923</v>
      </c>
      <c r="M268" s="530"/>
      <c r="N268" s="530"/>
      <c r="O268" s="530"/>
      <c r="P268" s="530"/>
      <c r="Q268" s="530">
        <f t="shared" si="255"/>
        <v>6.5309999999999073</v>
      </c>
      <c r="R268" s="530"/>
      <c r="S268" s="530"/>
      <c r="T268" s="530"/>
      <c r="U268" s="530"/>
      <c r="V268" s="530">
        <f t="shared" si="255"/>
        <v>104.22200000000004</v>
      </c>
      <c r="W268" s="530"/>
      <c r="X268" s="530"/>
      <c r="Y268" s="530"/>
      <c r="Z268" s="530"/>
      <c r="AA268" s="530">
        <f t="shared" si="255"/>
        <v>-313.14199999999971</v>
      </c>
      <c r="AB268" s="530"/>
      <c r="AC268" s="530"/>
      <c r="AD268" s="530"/>
      <c r="AE268" s="530"/>
      <c r="AF268" s="530">
        <f t="shared" si="255"/>
        <v>-134.60799999999995</v>
      </c>
      <c r="AG268" s="530">
        <f t="shared" si="255"/>
        <v>-54.343900795649972</v>
      </c>
      <c r="AH268" s="530">
        <f t="shared" si="255"/>
        <v>48.417881375098261</v>
      </c>
      <c r="AI268" s="530">
        <f t="shared" si="255"/>
        <v>235.03740060523324</v>
      </c>
      <c r="AJ268" s="530">
        <f t="shared" si="255"/>
        <v>484.14171816811302</v>
      </c>
      <c r="AK268" s="530">
        <f t="shared" si="255"/>
        <v>599.15828518070327</v>
      </c>
      <c r="AL268" s="530">
        <f t="shared" si="255"/>
        <v>696.99862260887096</v>
      </c>
      <c r="AM268" s="530">
        <f t="shared" si="255"/>
        <v>715.74210164055137</v>
      </c>
      <c r="AN268" s="530">
        <f t="shared" si="255"/>
        <v>175.817876296376</v>
      </c>
      <c r="AO268" s="530">
        <f t="shared" si="255"/>
        <v>-1698.6236986451386</v>
      </c>
      <c r="AP268" s="530">
        <f t="shared" si="255"/>
        <v>-1987.1703531270198</v>
      </c>
      <c r="AQ268" s="530">
        <f t="shared" si="255"/>
        <v>-2157.098021217897</v>
      </c>
      <c r="AR268" s="530">
        <f t="shared" si="255"/>
        <v>-2462.0541677971696</v>
      </c>
      <c r="AS268" s="26"/>
      <c r="AT268" s="26"/>
      <c r="AU268" s="26"/>
      <c r="AV268" s="26"/>
      <c r="AW268" s="26"/>
      <c r="AX268" s="26"/>
      <c r="AY268" s="26"/>
      <c r="AZ268" s="26"/>
      <c r="BA268" s="26"/>
      <c r="BB268" s="26"/>
      <c r="BC268" s="26"/>
      <c r="BD268" s="26"/>
      <c r="BK268" s="24"/>
    </row>
    <row r="269" spans="2:63" ht="14.25" hidden="1" customHeight="1" outlineLevel="2">
      <c r="B269" s="756" t="s">
        <v>218</v>
      </c>
      <c r="C269" s="58"/>
      <c r="D269" s="128"/>
      <c r="E269" s="128"/>
      <c r="F269" s="128"/>
      <c r="G269" s="170">
        <f>G268/G260</f>
        <v>-2.0581292559960369</v>
      </c>
      <c r="H269" s="530">
        <f>H268/H260</f>
        <v>-0.26183115729930623</v>
      </c>
      <c r="I269" s="778">
        <f>I268/I260</f>
        <v>-1.4880196232886957</v>
      </c>
      <c r="J269" s="778">
        <f>J268/J260</f>
        <v>-0.34158785944954417</v>
      </c>
      <c r="K269" s="778">
        <f>K268/K260</f>
        <v>-0.56027843102902242</v>
      </c>
      <c r="L269" s="778">
        <f t="shared" ref="L269:AI269" si="256">L268/L260</f>
        <v>-0.28866844897497379</v>
      </c>
      <c r="M269" s="778"/>
      <c r="N269" s="778"/>
      <c r="O269" s="778"/>
      <c r="P269" s="778"/>
      <c r="Q269" s="778">
        <f t="shared" si="256"/>
        <v>3.5212820369102574E-2</v>
      </c>
      <c r="R269" s="778"/>
      <c r="S269" s="778"/>
      <c r="T269" s="778"/>
      <c r="U269" s="778"/>
      <c r="V269" s="778">
        <f t="shared" si="256"/>
        <v>0.53627406509889297</v>
      </c>
      <c r="W269" s="778"/>
      <c r="X269" s="778"/>
      <c r="Y269" s="778"/>
      <c r="Z269" s="778"/>
      <c r="AA269" s="778">
        <f t="shared" si="256"/>
        <v>-1.5223070683885735</v>
      </c>
      <c r="AB269" s="778"/>
      <c r="AC269" s="778"/>
      <c r="AD269" s="778"/>
      <c r="AE269" s="778"/>
      <c r="AF269" s="778">
        <f t="shared" si="256"/>
        <v>-0.62034302696755872</v>
      </c>
      <c r="AG269" s="778">
        <f t="shared" si="256"/>
        <v>-0.24811648502423775</v>
      </c>
      <c r="AH269" s="778">
        <f t="shared" si="256"/>
        <v>0.21868263341851435</v>
      </c>
      <c r="AI269" s="778">
        <f t="shared" si="256"/>
        <v>1.0495287292235487</v>
      </c>
      <c r="AJ269" s="778">
        <f>AJ268/AJ260</f>
        <v>2.1652094561806368</v>
      </c>
      <c r="AK269" s="778">
        <f>AK268/AK260</f>
        <v>2.6508812136193409</v>
      </c>
      <c r="AL269" s="778">
        <f t="shared" ref="AL269:AR269" si="257">AL268/AL260</f>
        <v>3.0486016955084545</v>
      </c>
      <c r="AM269" s="778">
        <f t="shared" si="257"/>
        <v>3.0926358543561276</v>
      </c>
      <c r="AN269" s="778">
        <f t="shared" si="257"/>
        <v>0.74990530585093862</v>
      </c>
      <c r="AO269" s="778">
        <f t="shared" si="257"/>
        <v>-7.1460094514154235</v>
      </c>
      <c r="AP269" s="778">
        <f t="shared" si="257"/>
        <v>-8.2387310959973181</v>
      </c>
      <c r="AQ269" s="778">
        <f t="shared" si="257"/>
        <v>-8.8058979835583404</v>
      </c>
      <c r="AR269" s="778">
        <f t="shared" si="257"/>
        <v>-9.8874331727201188</v>
      </c>
      <c r="AS269" s="26"/>
      <c r="AT269" s="26"/>
      <c r="AU269" s="26"/>
      <c r="AV269" s="26"/>
      <c r="AW269" s="26"/>
      <c r="AX269" s="26"/>
      <c r="AY269" s="26"/>
      <c r="AZ269" s="26"/>
      <c r="BA269" s="26"/>
      <c r="BB269" s="26"/>
      <c r="BC269" s="26"/>
      <c r="BD269" s="26"/>
      <c r="BK269" s="24"/>
    </row>
    <row r="270" spans="2:63" ht="14.25" hidden="1" customHeight="1" outlineLevel="2">
      <c r="B270" s="756" t="s">
        <v>219</v>
      </c>
      <c r="C270" s="58"/>
      <c r="D270" s="128"/>
      <c r="E270" s="128"/>
      <c r="F270" s="128"/>
      <c r="G270" s="170">
        <f t="shared" ref="G270:AR270" si="258">(G268+G255)/G261</f>
        <v>-1.918040694488844</v>
      </c>
      <c r="H270" s="530">
        <f t="shared" si="258"/>
        <v>-6.9850133266034439E-2</v>
      </c>
      <c r="I270" s="778">
        <f t="shared" si="258"/>
        <v>-0.84071771461785583</v>
      </c>
      <c r="J270" s="778">
        <f t="shared" si="258"/>
        <v>-7.6912245355730711E-3</v>
      </c>
      <c r="K270" s="778">
        <f t="shared" si="258"/>
        <v>-0.24767525512313024</v>
      </c>
      <c r="L270" s="778">
        <f t="shared" si="258"/>
        <v>-3.3553316244304368E-2</v>
      </c>
      <c r="M270" s="778"/>
      <c r="N270" s="778"/>
      <c r="O270" s="778"/>
      <c r="P270" s="778"/>
      <c r="Q270" s="778">
        <f t="shared" si="258"/>
        <v>0.12599945490605599</v>
      </c>
      <c r="R270" s="778"/>
      <c r="S270" s="778"/>
      <c r="T270" s="778"/>
      <c r="U270" s="778"/>
      <c r="V270" s="778">
        <f t="shared" si="258"/>
        <v>0.52824457074953124</v>
      </c>
      <c r="W270" s="778"/>
      <c r="X270" s="778"/>
      <c r="Y270" s="778"/>
      <c r="Z270" s="778"/>
      <c r="AA270" s="778">
        <f t="shared" si="258"/>
        <v>-1.4848730662790042</v>
      </c>
      <c r="AB270" s="778"/>
      <c r="AC270" s="778"/>
      <c r="AD270" s="778"/>
      <c r="AE270" s="778"/>
      <c r="AF270" s="778">
        <f t="shared" si="258"/>
        <v>-0.60791776925775032</v>
      </c>
      <c r="AG270" s="778">
        <f t="shared" si="258"/>
        <v>-0.2459897138559545</v>
      </c>
      <c r="AH270" s="778">
        <f t="shared" si="258"/>
        <v>0.2166069693574246</v>
      </c>
      <c r="AI270" s="778">
        <f t="shared" si="258"/>
        <v>1.0495287292235487</v>
      </c>
      <c r="AJ270" s="778">
        <f t="shared" si="258"/>
        <v>2.1652094561806368</v>
      </c>
      <c r="AK270" s="778">
        <f t="shared" si="258"/>
        <v>2.6508812136193409</v>
      </c>
      <c r="AL270" s="778">
        <f t="shared" si="258"/>
        <v>3.0486016955084545</v>
      </c>
      <c r="AM270" s="778">
        <f t="shared" si="258"/>
        <v>3.0926358543561276</v>
      </c>
      <c r="AN270" s="778">
        <f t="shared" si="258"/>
        <v>0.74990530585093862</v>
      </c>
      <c r="AO270" s="778">
        <f t="shared" si="258"/>
        <v>-7.1460094514154235</v>
      </c>
      <c r="AP270" s="778">
        <f t="shared" si="258"/>
        <v>-8.2387310959973181</v>
      </c>
      <c r="AQ270" s="778">
        <f t="shared" si="258"/>
        <v>-8.8058979835583404</v>
      </c>
      <c r="AR270" s="778">
        <f t="shared" si="258"/>
        <v>-9.8874331727201188</v>
      </c>
      <c r="AS270" s="26"/>
      <c r="AT270" s="26"/>
      <c r="AU270" s="26"/>
      <c r="AV270" s="26"/>
      <c r="AW270" s="26"/>
      <c r="AX270" s="26"/>
      <c r="AY270" s="26"/>
      <c r="AZ270" s="26"/>
      <c r="BA270" s="26"/>
      <c r="BB270" s="26"/>
      <c r="BC270" s="26"/>
      <c r="BD270" s="26"/>
      <c r="BK270" s="24"/>
    </row>
    <row r="271" spans="2:63" ht="14.25" hidden="1" customHeight="1" outlineLevel="2">
      <c r="B271" s="757" t="s">
        <v>217</v>
      </c>
      <c r="C271" s="58"/>
      <c r="D271" s="128"/>
      <c r="E271" s="128"/>
      <c r="F271" s="128"/>
      <c r="G271" s="128" t="str">
        <f>IF(G270&lt;G269,"Y","N")</f>
        <v>N</v>
      </c>
      <c r="H271" s="221" t="str">
        <f>IF(H270&lt;H269,"Y","N")</f>
        <v>N</v>
      </c>
      <c r="I271" s="221" t="str">
        <f>IF(I270&lt;I269,"Y","N")</f>
        <v>N</v>
      </c>
      <c r="J271" s="221" t="str">
        <f>IF(J270&lt;J269,"Y","N")</f>
        <v>N</v>
      </c>
      <c r="K271" s="221" t="str">
        <f>IF(K270&lt;K269,"Y","N")</f>
        <v>N</v>
      </c>
      <c r="L271" s="221" t="str">
        <f t="shared" ref="L271:AI271" si="259">IF(L270&lt;L269,"Y","N")</f>
        <v>N</v>
      </c>
      <c r="M271" s="221"/>
      <c r="N271" s="221"/>
      <c r="O271" s="221"/>
      <c r="P271" s="221"/>
      <c r="Q271" s="221" t="str">
        <f t="shared" si="259"/>
        <v>N</v>
      </c>
      <c r="R271" s="221"/>
      <c r="S271" s="221"/>
      <c r="T271" s="221"/>
      <c r="U271" s="221"/>
      <c r="V271" s="221" t="str">
        <f t="shared" si="259"/>
        <v>Y</v>
      </c>
      <c r="W271" s="221"/>
      <c r="X271" s="221"/>
      <c r="Y271" s="221"/>
      <c r="Z271" s="221"/>
      <c r="AA271" s="221" t="str">
        <f t="shared" si="259"/>
        <v>N</v>
      </c>
      <c r="AB271" s="221"/>
      <c r="AC271" s="221"/>
      <c r="AD271" s="221"/>
      <c r="AE271" s="221"/>
      <c r="AF271" s="221" t="str">
        <f t="shared" si="259"/>
        <v>N</v>
      </c>
      <c r="AG271" s="221" t="str">
        <f t="shared" si="259"/>
        <v>N</v>
      </c>
      <c r="AH271" s="221" t="str">
        <f t="shared" si="259"/>
        <v>Y</v>
      </c>
      <c r="AI271" s="221" t="str">
        <f t="shared" si="259"/>
        <v>N</v>
      </c>
      <c r="AJ271" s="221" t="str">
        <f>IF(AJ270&lt;AJ269,"Y","N")</f>
        <v>N</v>
      </c>
      <c r="AK271" s="221" t="str">
        <f>IF(AK270&lt;AK269,"Y","N")</f>
        <v>N</v>
      </c>
      <c r="AL271" s="221" t="str">
        <f t="shared" ref="AL271:AR271" si="260">IF(AL270&lt;AL269,"Y","N")</f>
        <v>N</v>
      </c>
      <c r="AM271" s="221" t="str">
        <f t="shared" si="260"/>
        <v>N</v>
      </c>
      <c r="AN271" s="221" t="str">
        <f t="shared" si="260"/>
        <v>N</v>
      </c>
      <c r="AO271" s="221" t="str">
        <f t="shared" si="260"/>
        <v>N</v>
      </c>
      <c r="AP271" s="221" t="str">
        <f t="shared" si="260"/>
        <v>N</v>
      </c>
      <c r="AQ271" s="221" t="str">
        <f t="shared" si="260"/>
        <v>N</v>
      </c>
      <c r="AR271" s="221" t="str">
        <f t="shared" si="260"/>
        <v>N</v>
      </c>
      <c r="AS271" s="26"/>
      <c r="AT271" s="26"/>
      <c r="AU271" s="26"/>
      <c r="AV271" s="26"/>
      <c r="AW271" s="26"/>
      <c r="AX271" s="26"/>
      <c r="AY271" s="26"/>
      <c r="AZ271" s="26"/>
      <c r="BA271" s="26"/>
      <c r="BB271" s="26"/>
      <c r="BC271" s="26"/>
      <c r="BD271" s="26"/>
      <c r="BK271" s="24"/>
    </row>
    <row r="272" spans="2:63" ht="14.25" hidden="1" customHeight="1" outlineLevel="2">
      <c r="B272" s="758" t="s">
        <v>221</v>
      </c>
      <c r="C272" s="85"/>
      <c r="D272" s="759"/>
      <c r="E272" s="759"/>
      <c r="F272" s="759"/>
      <c r="G272" s="759"/>
      <c r="H272" s="760"/>
      <c r="I272" s="760"/>
      <c r="J272" s="760"/>
      <c r="K272" s="760"/>
      <c r="L272" s="760"/>
      <c r="M272" s="760"/>
      <c r="N272" s="760"/>
      <c r="O272" s="760"/>
      <c r="P272" s="760"/>
      <c r="Q272" s="760"/>
      <c r="R272" s="760"/>
      <c r="S272" s="760"/>
      <c r="T272" s="760"/>
      <c r="U272" s="760"/>
      <c r="V272" s="760"/>
      <c r="W272" s="760"/>
      <c r="X272" s="760"/>
      <c r="Y272" s="760"/>
      <c r="Z272" s="760"/>
      <c r="AA272" s="760"/>
      <c r="AB272" s="760"/>
      <c r="AC272" s="760"/>
      <c r="AD272" s="760"/>
      <c r="AE272" s="760"/>
      <c r="AF272" s="760"/>
      <c r="AG272" s="760"/>
      <c r="AH272" s="760"/>
      <c r="AI272" s="760"/>
      <c r="AJ272" s="760"/>
      <c r="AK272" s="760"/>
      <c r="AL272" s="760"/>
      <c r="AM272" s="760"/>
      <c r="AN272" s="760"/>
      <c r="AO272" s="760"/>
      <c r="AP272" s="760"/>
      <c r="AQ272" s="760"/>
      <c r="AR272" s="760"/>
      <c r="AS272" s="26"/>
      <c r="AT272" s="26"/>
      <c r="AU272" s="26"/>
      <c r="AV272" s="26"/>
      <c r="AW272" s="26"/>
      <c r="AX272" s="26"/>
      <c r="AY272" s="26"/>
      <c r="AZ272" s="26"/>
      <c r="BA272" s="26"/>
      <c r="BB272" s="26"/>
      <c r="BC272" s="26"/>
      <c r="BD272" s="26"/>
      <c r="BK272" s="24"/>
    </row>
    <row r="273" spans="6:46" ht="14.25" hidden="1" customHeight="1" outlineLevel="1" collapsed="1">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row>
    <row r="274" spans="6:46" ht="14.25" customHeight="1" collapsed="1">
      <c r="F274" s="90"/>
      <c r="G274" s="90"/>
      <c r="H274" s="90"/>
      <c r="I274" s="90"/>
      <c r="J274" s="90"/>
      <c r="K274" s="90"/>
      <c r="L274" s="90"/>
      <c r="M274" s="90"/>
      <c r="N274" s="90"/>
      <c r="O274" s="90"/>
      <c r="P274" s="90"/>
      <c r="Q274" s="600"/>
      <c r="R274" s="600"/>
      <c r="S274" s="600"/>
      <c r="T274" s="600"/>
      <c r="U274" s="600"/>
      <c r="V274" s="90"/>
      <c r="W274" s="600"/>
      <c r="X274" s="600"/>
      <c r="Y274" s="90"/>
      <c r="Z274" s="90"/>
      <c r="AA274" s="600"/>
      <c r="AB274" s="600"/>
      <c r="AC274" s="600"/>
      <c r="AD274" s="90"/>
      <c r="AE274" s="90"/>
      <c r="AF274" s="90"/>
      <c r="AG274" s="90"/>
      <c r="AH274" s="1477"/>
      <c r="AI274" s="600"/>
      <c r="AJ274" s="90"/>
      <c r="AK274" s="90"/>
      <c r="AL274" s="90"/>
      <c r="AM274" s="90"/>
      <c r="AN274" s="90"/>
      <c r="AO274" s="90"/>
      <c r="AP274" s="90"/>
      <c r="AQ274" s="90"/>
      <c r="AR274" s="90"/>
      <c r="AS274" s="90"/>
      <c r="AT274" s="90"/>
    </row>
    <row r="276" spans="6:46" ht="14.25" customHeight="1">
      <c r="V276" s="182"/>
      <c r="W276" s="182"/>
      <c r="X276" s="182"/>
      <c r="Y276" s="182"/>
      <c r="Z276" s="182"/>
      <c r="AA276" s="182"/>
      <c r="AB276" s="182"/>
      <c r="AC276" s="182"/>
      <c r="AD276" s="182"/>
      <c r="AE276" s="182"/>
    </row>
    <row r="277" spans="6:46" ht="14.25" customHeight="1">
      <c r="K277" s="614"/>
      <c r="V277" s="182"/>
      <c r="W277" s="182"/>
      <c r="X277" s="182"/>
      <c r="Y277" s="182"/>
      <c r="Z277" s="182"/>
      <c r="AA277" s="182"/>
      <c r="AB277" s="182"/>
      <c r="AC277" s="182"/>
      <c r="AD277" s="182"/>
      <c r="AE277" s="182"/>
    </row>
    <row r="288" spans="6:46" ht="14.25" customHeight="1">
      <c r="R288" t="s">
        <v>855</v>
      </c>
    </row>
    <row r="289" spans="18:44" ht="14.25" customHeight="1">
      <c r="R289" t="s">
        <v>858</v>
      </c>
    </row>
    <row r="290" spans="18:44" ht="14.25" customHeight="1">
      <c r="R290" t="s">
        <v>856</v>
      </c>
    </row>
    <row r="291" spans="18:44" ht="14.25" customHeight="1">
      <c r="R291" t="s">
        <v>857</v>
      </c>
    </row>
    <row r="294" spans="18:44" ht="14.25" customHeight="1">
      <c r="T294" s="224"/>
    </row>
    <row r="298" spans="18:44" ht="14.25" customHeight="1">
      <c r="AI298" s="187"/>
      <c r="AJ298" s="187"/>
      <c r="AK298" s="187"/>
      <c r="AL298" s="187"/>
      <c r="AM298" s="187"/>
      <c r="AN298" s="187"/>
      <c r="AO298" s="187"/>
      <c r="AP298" s="187"/>
      <c r="AQ298" s="187"/>
      <c r="AR298" s="187"/>
    </row>
  </sheetData>
  <phoneticPr fontId="13" type="noConversion"/>
  <pageMargins left="0" right="0" top="0" bottom="0" header="0" footer="0"/>
  <pageSetup paperSize="5" scale="67"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AL165"/>
  <sheetViews>
    <sheetView showGridLines="0" topLeftCell="B1" zoomScale="90" zoomScaleNormal="90" zoomScaleSheetLayoutView="100" workbookViewId="0">
      <pane xSplit="9" ySplit="5" topLeftCell="K6" activePane="bottomRight" state="frozen"/>
      <selection activeCell="B1" sqref="B1"/>
      <selection pane="topRight" activeCell="K1" sqref="K1"/>
      <selection pane="bottomLeft" activeCell="B6" sqref="B6"/>
      <selection pane="bottomRight" activeCell="K6" sqref="K6"/>
    </sheetView>
  </sheetViews>
  <sheetFormatPr defaultRowHeight="12.75" outlineLevelRow="1" outlineLevelCol="1"/>
  <cols>
    <col min="1" max="1" width="0.85546875" customWidth="1"/>
    <col min="2" max="2" width="1.5703125" customWidth="1"/>
    <col min="3" max="3" width="33.7109375" customWidth="1"/>
    <col min="4" max="4" width="10" hidden="1" customWidth="1" outlineLevel="1"/>
    <col min="5" max="5" width="7.5703125" hidden="1" customWidth="1" outlineLevel="1"/>
    <col min="6" max="6" width="7.7109375" style="187" hidden="1" customWidth="1" outlineLevel="1" collapsed="1"/>
    <col min="7" max="7" width="8.5703125" style="187" hidden="1" customWidth="1" outlineLevel="1" collapsed="1"/>
    <col min="8" max="8" width="7.42578125" style="187" hidden="1" customWidth="1" outlineLevel="1" collapsed="1"/>
    <col min="9" max="9" width="7.7109375" style="187" hidden="1" customWidth="1" outlineLevel="1"/>
    <col min="10" max="10" width="10.42578125" style="187" hidden="1" customWidth="1" outlineLevel="1"/>
    <col min="11" max="11" width="8.28515625" style="187" customWidth="1" collapsed="1"/>
    <col min="12" max="12" width="8.28515625" style="187" customWidth="1"/>
    <col min="13" max="13" width="7.42578125" style="187" customWidth="1"/>
    <col min="14" max="14" width="7.7109375" style="187" customWidth="1"/>
    <col min="15" max="15" width="8.42578125" style="187" customWidth="1"/>
    <col min="16" max="16" width="8.140625" style="187" customWidth="1"/>
    <col min="17" max="17" width="8.28515625" style="187" customWidth="1"/>
    <col min="18" max="18" width="8" style="187" customWidth="1"/>
    <col min="19" max="21" width="7.7109375" style="187" customWidth="1"/>
    <col min="22" max="27" width="8.42578125" style="187" bestFit="1" customWidth="1"/>
    <col min="28" max="28" width="7.7109375" style="187" customWidth="1"/>
    <col min="29" max="29" width="12.5703125" style="93" customWidth="1"/>
    <col min="31" max="31" width="35.42578125" hidden="1" customWidth="1" outlineLevel="1"/>
    <col min="32" max="32" width="13.42578125" hidden="1" customWidth="1" outlineLevel="1"/>
    <col min="33" max="37" width="9.140625" hidden="1" customWidth="1" outlineLevel="1"/>
    <col min="38" max="38" width="9.140625" collapsed="1"/>
  </cols>
  <sheetData>
    <row r="1" spans="2:38" ht="9" customHeight="1"/>
    <row r="2" spans="2:38" ht="15.75">
      <c r="B2" s="93"/>
      <c r="C2" s="1470" t="s">
        <v>770</v>
      </c>
      <c r="D2" s="86"/>
      <c r="E2" s="318"/>
      <c r="F2" s="318"/>
      <c r="G2" s="318"/>
      <c r="H2" s="318"/>
      <c r="I2" s="468"/>
      <c r="J2" s="318"/>
      <c r="K2" s="319"/>
      <c r="L2" s="318"/>
      <c r="M2" s="318"/>
      <c r="N2" s="318"/>
      <c r="O2" s="318"/>
      <c r="P2" s="318"/>
      <c r="Q2" s="318"/>
      <c r="R2" s="318"/>
      <c r="S2" s="318"/>
      <c r="T2" s="318"/>
      <c r="U2" s="318"/>
      <c r="V2" s="318"/>
      <c r="W2" s="318"/>
      <c r="X2" s="318"/>
      <c r="Y2" s="318"/>
      <c r="Z2" s="318"/>
      <c r="AA2" s="318"/>
      <c r="AB2" s="318"/>
      <c r="AC2" s="86"/>
      <c r="AD2" s="86"/>
      <c r="AK2" s="86"/>
      <c r="AL2" s="93"/>
    </row>
    <row r="3" spans="2:38" ht="4.5" customHeight="1">
      <c r="C3" s="9"/>
      <c r="D3" s="11"/>
      <c r="E3" s="54"/>
      <c r="F3" s="54"/>
      <c r="G3" s="54"/>
      <c r="H3" s="54"/>
      <c r="I3" s="761"/>
      <c r="J3" s="54"/>
      <c r="K3" s="54"/>
      <c r="L3" s="54"/>
      <c r="M3" s="54"/>
      <c r="N3" s="54"/>
      <c r="O3" s="54"/>
      <c r="P3" s="54"/>
      <c r="Q3" s="54"/>
      <c r="R3" s="54"/>
      <c r="S3" s="54"/>
      <c r="T3" s="54"/>
      <c r="U3" s="54"/>
      <c r="V3" s="54"/>
      <c r="W3" s="54"/>
      <c r="X3" s="54"/>
      <c r="Y3" s="54"/>
      <c r="Z3" s="54"/>
      <c r="AA3" s="54"/>
      <c r="AB3" s="54"/>
      <c r="AC3" s="267"/>
      <c r="AD3" s="3"/>
      <c r="AK3" s="3"/>
    </row>
    <row r="4" spans="2:38" ht="12.75" hidden="1" customHeight="1" outlineLevel="1">
      <c r="C4" s="10"/>
      <c r="D4" s="3"/>
      <c r="E4" s="320"/>
      <c r="F4" s="320"/>
      <c r="G4" s="320"/>
      <c r="H4" s="320"/>
      <c r="I4" s="321"/>
      <c r="J4" s="321"/>
      <c r="K4" s="321"/>
      <c r="L4" s="321"/>
      <c r="M4" s="321"/>
      <c r="N4" s="321"/>
      <c r="O4" s="321"/>
      <c r="P4" s="321"/>
      <c r="Q4" s="321"/>
      <c r="R4" s="321"/>
      <c r="S4" s="321"/>
      <c r="T4" s="321"/>
      <c r="U4" s="321"/>
      <c r="V4" s="321"/>
      <c r="W4" s="321"/>
      <c r="X4" s="321"/>
      <c r="Y4" s="321"/>
      <c r="Z4" s="321"/>
      <c r="AA4" s="321"/>
      <c r="AB4" s="321"/>
      <c r="AC4" s="113"/>
      <c r="AD4" s="3"/>
      <c r="AK4" s="3"/>
    </row>
    <row r="5" spans="2:38" ht="12.75" customHeight="1" collapsed="1">
      <c r="C5" s="1381" t="s">
        <v>321</v>
      </c>
      <c r="D5" s="1382">
        <v>2006</v>
      </c>
      <c r="E5" s="1382">
        <f t="shared" ref="E5:M5" si="0">+D5+1</f>
        <v>2007</v>
      </c>
      <c r="F5" s="1382">
        <f t="shared" si="0"/>
        <v>2008</v>
      </c>
      <c r="G5" s="1382">
        <f t="shared" si="0"/>
        <v>2009</v>
      </c>
      <c r="H5" s="1382">
        <f t="shared" si="0"/>
        <v>2010</v>
      </c>
      <c r="I5" s="1382">
        <f t="shared" si="0"/>
        <v>2011</v>
      </c>
      <c r="J5" s="1382">
        <f t="shared" si="0"/>
        <v>2012</v>
      </c>
      <c r="K5" s="1382">
        <f t="shared" si="0"/>
        <v>2013</v>
      </c>
      <c r="L5" s="1382">
        <f t="shared" si="0"/>
        <v>2014</v>
      </c>
      <c r="M5" s="1382">
        <f t="shared" si="0"/>
        <v>2015</v>
      </c>
      <c r="N5" s="1382">
        <f t="shared" ref="N5:S5" si="1">+M5+1</f>
        <v>2016</v>
      </c>
      <c r="O5" s="1383">
        <f t="shared" si="1"/>
        <v>2017</v>
      </c>
      <c r="P5" s="1383">
        <f t="shared" si="1"/>
        <v>2018</v>
      </c>
      <c r="Q5" s="1383">
        <f t="shared" si="1"/>
        <v>2019</v>
      </c>
      <c r="R5" s="1383">
        <f t="shared" si="1"/>
        <v>2020</v>
      </c>
      <c r="S5" s="1383">
        <f t="shared" si="1"/>
        <v>2021</v>
      </c>
      <c r="T5" s="1383" t="s">
        <v>392</v>
      </c>
      <c r="U5" s="1383" t="s">
        <v>393</v>
      </c>
      <c r="V5" s="1383" t="s">
        <v>394</v>
      </c>
      <c r="W5" s="1383" t="s">
        <v>395</v>
      </c>
      <c r="X5" s="1383" t="s">
        <v>396</v>
      </c>
      <c r="Y5" s="1383" t="s">
        <v>397</v>
      </c>
      <c r="Z5" s="1383" t="s">
        <v>398</v>
      </c>
      <c r="AA5" s="1383" t="s">
        <v>399</v>
      </c>
      <c r="AB5" s="1383" t="s">
        <v>400</v>
      </c>
      <c r="AC5" s="268"/>
      <c r="AD5" s="11"/>
      <c r="AK5" s="11"/>
    </row>
    <row r="6" spans="2:38" ht="12.75" customHeight="1">
      <c r="C6" s="639" t="s">
        <v>26</v>
      </c>
      <c r="D6" s="321">
        <v>18.861000000000001</v>
      </c>
      <c r="E6" s="492">
        <v>108.854</v>
      </c>
      <c r="F6" s="492">
        <v>178.767</v>
      </c>
      <c r="G6" s="484">
        <v>449.82400000000001</v>
      </c>
      <c r="H6" s="640">
        <f>Cashflow!H52</f>
        <v>417.91200000000015</v>
      </c>
      <c r="I6" s="1390">
        <v>273.16399999999999</v>
      </c>
      <c r="J6" s="1390">
        <f>Cashflow!J52</f>
        <v>224.05700000000007</v>
      </c>
      <c r="K6" s="1390">
        <f>Cashflow!K52</f>
        <v>471.42900000000009</v>
      </c>
      <c r="L6" s="1390">
        <f>Cashflow!L52</f>
        <v>452.29700000000014</v>
      </c>
      <c r="M6" s="1390">
        <f>Cashflow!M52</f>
        <v>521.43900000000008</v>
      </c>
      <c r="N6" s="1390">
        <f>Cashflow!N52</f>
        <v>652.34300000000019</v>
      </c>
      <c r="O6" s="1390">
        <f>Cashflow!O52</f>
        <v>654.45850063983403</v>
      </c>
      <c r="P6" s="1390">
        <f>Cashflow!P52</f>
        <v>635.03699545043264</v>
      </c>
      <c r="Q6" s="1390">
        <f>Cashflow!Q52</f>
        <v>760.97486837494591</v>
      </c>
      <c r="R6" s="1390">
        <f>Cashflow!R52</f>
        <v>983.90559954440766</v>
      </c>
      <c r="S6" s="1390">
        <f>Cashflow!S52</f>
        <v>1456.8356140151864</v>
      </c>
      <c r="T6" s="1390">
        <f>Cashflow!T52</f>
        <v>2214.4799667556363</v>
      </c>
      <c r="U6" s="1390">
        <f>Cashflow!U52</f>
        <v>3134.8361536289026</v>
      </c>
      <c r="V6" s="1390">
        <f>Cashflow!V52</f>
        <v>4208.3051122686447</v>
      </c>
      <c r="W6" s="1390">
        <f>Cashflow!W52</f>
        <v>5358.6937843019068</v>
      </c>
      <c r="X6" s="1390">
        <f>Cashflow!X52</f>
        <v>6096.1496026055256</v>
      </c>
      <c r="Y6" s="1390">
        <f>Cashflow!Y52</f>
        <v>5124.8752150721784</v>
      </c>
      <c r="Z6" s="1390">
        <f>Cashflow!Z52</f>
        <v>3746.9583222893089</v>
      </c>
      <c r="AA6" s="1390">
        <f>Cashflow!AA52</f>
        <v>2257.7421187111786</v>
      </c>
      <c r="AB6" s="1390">
        <f>Cashflow!AB52</f>
        <v>563.48258399428164</v>
      </c>
      <c r="AC6" s="556"/>
      <c r="AD6" s="77"/>
      <c r="AK6" s="3"/>
    </row>
    <row r="7" spans="2:38" ht="12.75" customHeight="1">
      <c r="C7" s="639" t="s">
        <v>89</v>
      </c>
      <c r="D7" s="321">
        <v>299.71199999999999</v>
      </c>
      <c r="E7" s="492">
        <v>147.57599999999999</v>
      </c>
      <c r="F7" s="492">
        <v>19.257000000000001</v>
      </c>
      <c r="G7" s="484">
        <v>20.594000000000001</v>
      </c>
      <c r="H7" s="640">
        <v>6.2560000000000002</v>
      </c>
      <c r="I7" s="641">
        <v>4.43</v>
      </c>
      <c r="J7" s="641">
        <v>4.3609999999999998</v>
      </c>
      <c r="K7" s="641">
        <v>37.575000000000003</v>
      </c>
      <c r="L7" s="641">
        <v>147.96600000000001</v>
      </c>
      <c r="M7" s="641">
        <v>186.34399999999999</v>
      </c>
      <c r="N7" s="641">
        <v>156.203</v>
      </c>
      <c r="O7" s="641">
        <f>+N7-Cashflow!O31-Cashflow!O32</f>
        <v>56.203000000000003</v>
      </c>
      <c r="P7" s="641">
        <f>+O7-Cashflow!P31-Cashflow!P32</f>
        <v>76.203000000000003</v>
      </c>
      <c r="Q7" s="641">
        <f>+P7-Cashflow!Q31-Cashflow!Q32</f>
        <v>96.203000000000003</v>
      </c>
      <c r="R7" s="641">
        <f>+Q7-Cashflow!R31-Cashflow!R32</f>
        <v>116.203</v>
      </c>
      <c r="S7" s="641">
        <f>+R7-Cashflow!S31-Cashflow!S32</f>
        <v>136.203</v>
      </c>
      <c r="T7" s="641">
        <f>+S7-Cashflow!T31-Cashflow!T32</f>
        <v>156.203</v>
      </c>
      <c r="U7" s="641">
        <f>+T7-Cashflow!U31-Cashflow!U32</f>
        <v>176.203</v>
      </c>
      <c r="V7" s="641">
        <f>+U7-Cashflow!V31-Cashflow!V32</f>
        <v>196.203</v>
      </c>
      <c r="W7" s="641">
        <f>+V7-Cashflow!W31-Cashflow!W32</f>
        <v>216.203</v>
      </c>
      <c r="X7" s="641">
        <f>+W7-Cashflow!X31-Cashflow!X32</f>
        <v>236.203</v>
      </c>
      <c r="Y7" s="641">
        <f>+X7-Cashflow!Y31-Cashflow!Y32</f>
        <v>256.20299999999997</v>
      </c>
      <c r="Z7" s="641">
        <f>+Y7-Cashflow!Z31-Cashflow!Z32</f>
        <v>276.20299999999997</v>
      </c>
      <c r="AA7" s="641">
        <f>+Z7-Cashflow!AA31-Cashflow!AA32</f>
        <v>296.20299999999997</v>
      </c>
      <c r="AB7" s="641">
        <f>+AA7-Cashflow!AB31-Cashflow!AB32</f>
        <v>316.20299999999997</v>
      </c>
      <c r="AC7" s="556"/>
      <c r="AD7" s="77"/>
      <c r="AK7" s="3"/>
    </row>
    <row r="8" spans="2:38" ht="12.75" customHeight="1">
      <c r="C8" s="12" t="s">
        <v>254</v>
      </c>
      <c r="D8" s="322"/>
      <c r="E8" s="488"/>
      <c r="F8" s="488"/>
      <c r="G8" s="371">
        <v>19.032</v>
      </c>
      <c r="H8" s="371">
        <v>18.984999999999999</v>
      </c>
      <c r="I8" s="483">
        <v>19.294</v>
      </c>
      <c r="J8" s="483">
        <v>0</v>
      </c>
      <c r="K8" s="483">
        <v>0</v>
      </c>
      <c r="L8" s="483">
        <v>0</v>
      </c>
      <c r="M8" s="483">
        <v>0</v>
      </c>
      <c r="N8" s="483">
        <v>0</v>
      </c>
      <c r="O8" s="483">
        <f t="shared" ref="O8:S9" si="2">N8</f>
        <v>0</v>
      </c>
      <c r="P8" s="483">
        <f t="shared" si="2"/>
        <v>0</v>
      </c>
      <c r="Q8" s="483">
        <f t="shared" si="2"/>
        <v>0</v>
      </c>
      <c r="R8" s="483">
        <f t="shared" si="2"/>
        <v>0</v>
      </c>
      <c r="S8" s="483">
        <f t="shared" si="2"/>
        <v>0</v>
      </c>
      <c r="T8" s="483">
        <f t="shared" ref="T8:AB8" si="3">S8</f>
        <v>0</v>
      </c>
      <c r="U8" s="483">
        <f t="shared" si="3"/>
        <v>0</v>
      </c>
      <c r="V8" s="483">
        <f t="shared" si="3"/>
        <v>0</v>
      </c>
      <c r="W8" s="483">
        <f t="shared" si="3"/>
        <v>0</v>
      </c>
      <c r="X8" s="483">
        <f t="shared" si="3"/>
        <v>0</v>
      </c>
      <c r="Y8" s="483">
        <f t="shared" si="3"/>
        <v>0</v>
      </c>
      <c r="Z8" s="483">
        <f t="shared" si="3"/>
        <v>0</v>
      </c>
      <c r="AA8" s="483">
        <f t="shared" si="3"/>
        <v>0</v>
      </c>
      <c r="AB8" s="483">
        <f t="shared" si="3"/>
        <v>0</v>
      </c>
      <c r="AC8" s="556"/>
      <c r="AD8" s="77"/>
      <c r="AK8" s="3"/>
    </row>
    <row r="9" spans="2:38" ht="12.75" customHeight="1">
      <c r="C9" s="12" t="s">
        <v>346</v>
      </c>
      <c r="D9" s="322"/>
      <c r="E9" s="488"/>
      <c r="F9" s="488"/>
      <c r="G9" s="371"/>
      <c r="H9" s="371"/>
      <c r="I9" s="483">
        <v>0</v>
      </c>
      <c r="J9" s="483">
        <v>0</v>
      </c>
      <c r="K9" s="483">
        <v>0.5</v>
      </c>
      <c r="L9" s="483">
        <v>0.5</v>
      </c>
      <c r="M9" s="483">
        <v>0.51600000000000001</v>
      </c>
      <c r="N9" s="483">
        <v>1.6E-2</v>
      </c>
      <c r="O9" s="483">
        <f t="shared" si="2"/>
        <v>1.6E-2</v>
      </c>
      <c r="P9" s="483">
        <f t="shared" si="2"/>
        <v>1.6E-2</v>
      </c>
      <c r="Q9" s="483">
        <f t="shared" si="2"/>
        <v>1.6E-2</v>
      </c>
      <c r="R9" s="483">
        <f t="shared" si="2"/>
        <v>1.6E-2</v>
      </c>
      <c r="S9" s="483">
        <f t="shared" si="2"/>
        <v>1.6E-2</v>
      </c>
      <c r="T9" s="483">
        <f t="shared" ref="T9:AB9" si="4">S9</f>
        <v>1.6E-2</v>
      </c>
      <c r="U9" s="483">
        <f t="shared" si="4"/>
        <v>1.6E-2</v>
      </c>
      <c r="V9" s="483">
        <f t="shared" si="4"/>
        <v>1.6E-2</v>
      </c>
      <c r="W9" s="483">
        <f t="shared" si="4"/>
        <v>1.6E-2</v>
      </c>
      <c r="X9" s="483">
        <f t="shared" si="4"/>
        <v>1.6E-2</v>
      </c>
      <c r="Y9" s="483">
        <f t="shared" si="4"/>
        <v>1.6E-2</v>
      </c>
      <c r="Z9" s="483">
        <f t="shared" si="4"/>
        <v>1.6E-2</v>
      </c>
      <c r="AA9" s="483">
        <f t="shared" si="4"/>
        <v>1.6E-2</v>
      </c>
      <c r="AB9" s="483">
        <f t="shared" si="4"/>
        <v>1.6E-2</v>
      </c>
      <c r="AC9" s="556"/>
      <c r="AD9" s="77"/>
      <c r="AK9" s="3"/>
    </row>
    <row r="10" spans="2:38" ht="12.75" customHeight="1">
      <c r="C10" s="12" t="s">
        <v>29</v>
      </c>
      <c r="D10" s="322">
        <v>2.073</v>
      </c>
      <c r="E10" s="488">
        <v>1.5509999999999999</v>
      </c>
      <c r="F10" s="488">
        <v>1.05</v>
      </c>
      <c r="G10" s="371">
        <v>163.661</v>
      </c>
      <c r="H10" s="371">
        <v>5.7009999999999996</v>
      </c>
      <c r="I10" s="483">
        <v>6.415</v>
      </c>
      <c r="J10" s="483">
        <v>70.950999999999993</v>
      </c>
      <c r="K10" s="483">
        <v>35.374000000000002</v>
      </c>
      <c r="L10" s="483">
        <v>57.933</v>
      </c>
      <c r="M10" s="483">
        <v>114.45</v>
      </c>
      <c r="N10" s="483">
        <v>148.75800000000001</v>
      </c>
      <c r="O10" s="483">
        <f t="shared" ref="O10:AB10" si="5">O62</f>
        <v>184.34592000000001</v>
      </c>
      <c r="P10" s="483">
        <f t="shared" si="5"/>
        <v>168.43460000000002</v>
      </c>
      <c r="Q10" s="483">
        <f t="shared" si="5"/>
        <v>197.61372146933994</v>
      </c>
      <c r="R10" s="483">
        <f t="shared" si="5"/>
        <v>228.62826787128185</v>
      </c>
      <c r="S10" s="483">
        <f t="shared" si="5"/>
        <v>257.79233681201873</v>
      </c>
      <c r="T10" s="483">
        <f t="shared" si="5"/>
        <v>289.89402613286018</v>
      </c>
      <c r="U10" s="483">
        <f t="shared" si="5"/>
        <v>317.83680481634934</v>
      </c>
      <c r="V10" s="483">
        <f t="shared" si="5"/>
        <v>335.31727221934921</v>
      </c>
      <c r="W10" s="483">
        <f t="shared" si="5"/>
        <v>343.263183700995</v>
      </c>
      <c r="X10" s="483">
        <f t="shared" si="5"/>
        <v>281.95573805581802</v>
      </c>
      <c r="Y10" s="483">
        <f t="shared" si="5"/>
        <v>82.849137375628828</v>
      </c>
      <c r="Z10" s="483">
        <f t="shared" si="5"/>
        <v>52.543493091022953</v>
      </c>
      <c r="AA10" s="483">
        <f t="shared" si="5"/>
        <v>36.286973870710234</v>
      </c>
      <c r="AB10" s="483">
        <f t="shared" si="5"/>
        <v>8.3209137486100015</v>
      </c>
      <c r="AC10" s="556"/>
      <c r="AD10" s="77"/>
      <c r="AK10" s="3"/>
    </row>
    <row r="11" spans="2:38" ht="12.75" customHeight="1">
      <c r="C11" s="12" t="s">
        <v>142</v>
      </c>
      <c r="D11" s="322">
        <v>0</v>
      </c>
      <c r="E11" s="488">
        <v>0</v>
      </c>
      <c r="F11" s="488">
        <v>0</v>
      </c>
      <c r="G11" s="371">
        <v>0</v>
      </c>
      <c r="H11" s="371">
        <v>0</v>
      </c>
      <c r="I11" s="483">
        <v>3.536</v>
      </c>
      <c r="J11" s="483">
        <v>0.27800000000000002</v>
      </c>
      <c r="K11" s="483">
        <v>0.40600000000000003</v>
      </c>
      <c r="L11" s="483">
        <v>0.35799999999999998</v>
      </c>
      <c r="M11" s="483">
        <v>1.7829999999999999</v>
      </c>
      <c r="N11" s="483">
        <v>4.1059999999999999</v>
      </c>
      <c r="O11" s="483">
        <f t="shared" ref="O11:AB11" si="6">O64</f>
        <v>5.4568717660081427</v>
      </c>
      <c r="P11" s="483">
        <f t="shared" si="6"/>
        <v>6.6682731093225271</v>
      </c>
      <c r="Q11" s="483">
        <f t="shared" si="6"/>
        <v>7.6246728034369369</v>
      </c>
      <c r="R11" s="483">
        <f t="shared" si="6"/>
        <v>8.5965714355332885</v>
      </c>
      <c r="S11" s="483">
        <f t="shared" si="6"/>
        <v>9.6251288321830941</v>
      </c>
      <c r="T11" s="483">
        <f t="shared" si="6"/>
        <v>10.663028282263392</v>
      </c>
      <c r="U11" s="483">
        <f t="shared" si="6"/>
        <v>11.588151648889403</v>
      </c>
      <c r="V11" s="483">
        <f t="shared" si="6"/>
        <v>12.278088085613287</v>
      </c>
      <c r="W11" s="483">
        <f t="shared" si="6"/>
        <v>12.690278342662396</v>
      </c>
      <c r="X11" s="483">
        <f t="shared" si="6"/>
        <v>10.255428070474709</v>
      </c>
      <c r="Y11" s="483">
        <f t="shared" si="6"/>
        <v>1.9216944259391866</v>
      </c>
      <c r="Z11" s="483">
        <f t="shared" si="6"/>
        <v>0.6397322406371575</v>
      </c>
      <c r="AA11" s="483">
        <f t="shared" si="6"/>
        <v>0.12720216210823357</v>
      </c>
      <c r="AB11" s="483">
        <f t="shared" si="6"/>
        <v>7.5872955629758765E-2</v>
      </c>
      <c r="AC11" s="556"/>
      <c r="AD11" s="77"/>
      <c r="AK11" s="3"/>
    </row>
    <row r="12" spans="2:38" ht="12.75" customHeight="1">
      <c r="C12" s="12" t="s">
        <v>347</v>
      </c>
      <c r="D12" s="322"/>
      <c r="E12" s="488"/>
      <c r="F12" s="488"/>
      <c r="G12" s="371"/>
      <c r="H12" s="371"/>
      <c r="I12" s="483">
        <v>0</v>
      </c>
      <c r="J12" s="483">
        <v>0</v>
      </c>
      <c r="K12" s="483">
        <v>0.89500000000000002</v>
      </c>
      <c r="L12" s="483">
        <v>19.640999999999998</v>
      </c>
      <c r="M12" s="483">
        <v>0</v>
      </c>
      <c r="N12" s="483">
        <v>0</v>
      </c>
      <c r="O12" s="483">
        <f t="shared" ref="O12:S12" si="7">N12</f>
        <v>0</v>
      </c>
      <c r="P12" s="483">
        <f t="shared" si="7"/>
        <v>0</v>
      </c>
      <c r="Q12" s="483">
        <f t="shared" si="7"/>
        <v>0</v>
      </c>
      <c r="R12" s="483">
        <f t="shared" si="7"/>
        <v>0</v>
      </c>
      <c r="S12" s="483">
        <f t="shared" si="7"/>
        <v>0</v>
      </c>
      <c r="T12" s="483">
        <f t="shared" ref="T12:AB12" si="8">S12</f>
        <v>0</v>
      </c>
      <c r="U12" s="483">
        <f t="shared" si="8"/>
        <v>0</v>
      </c>
      <c r="V12" s="483">
        <f t="shared" si="8"/>
        <v>0</v>
      </c>
      <c r="W12" s="483">
        <f t="shared" si="8"/>
        <v>0</v>
      </c>
      <c r="X12" s="483">
        <f t="shared" si="8"/>
        <v>0</v>
      </c>
      <c r="Y12" s="483">
        <f t="shared" si="8"/>
        <v>0</v>
      </c>
      <c r="Z12" s="483">
        <f t="shared" si="8"/>
        <v>0</v>
      </c>
      <c r="AA12" s="483">
        <f t="shared" si="8"/>
        <v>0</v>
      </c>
      <c r="AB12" s="483">
        <f t="shared" si="8"/>
        <v>0</v>
      </c>
      <c r="AC12" s="556"/>
      <c r="AD12" s="77"/>
      <c r="AK12" s="3"/>
    </row>
    <row r="13" spans="2:38" ht="12.75" customHeight="1">
      <c r="C13" s="12" t="s">
        <v>90</v>
      </c>
      <c r="D13" s="322">
        <v>7.1150000000000002</v>
      </c>
      <c r="E13" s="488">
        <v>6.431</v>
      </c>
      <c r="F13" s="488">
        <v>6.42</v>
      </c>
      <c r="G13" s="371">
        <v>2.944</v>
      </c>
      <c r="H13" s="371">
        <v>6.6</v>
      </c>
      <c r="I13" s="483">
        <v>7.4749999999999996</v>
      </c>
      <c r="J13" s="483">
        <v>9.8670000000000009</v>
      </c>
      <c r="K13" s="483">
        <v>9.6199999999999992</v>
      </c>
      <c r="L13" s="483">
        <v>20.518999999999998</v>
      </c>
      <c r="M13" s="483">
        <v>17.843</v>
      </c>
      <c r="N13" s="483">
        <v>32.752000000000002</v>
      </c>
      <c r="O13" s="483">
        <f t="shared" ref="O13:S13" si="9">O68</f>
        <v>49.378499999999995</v>
      </c>
      <c r="P13" s="483">
        <f t="shared" si="9"/>
        <v>51.778619999999997</v>
      </c>
      <c r="Q13" s="483">
        <f t="shared" si="9"/>
        <v>57.551448793993693</v>
      </c>
      <c r="R13" s="483">
        <f t="shared" si="9"/>
        <v>60.601766390544327</v>
      </c>
      <c r="S13" s="483">
        <f t="shared" si="9"/>
        <v>62.743625800398767</v>
      </c>
      <c r="T13" s="483">
        <f t="shared" ref="T13:AB13" si="10">T68</f>
        <v>64.586740890483469</v>
      </c>
      <c r="U13" s="483">
        <f t="shared" si="10"/>
        <v>66.226025278690699</v>
      </c>
      <c r="V13" s="483">
        <f t="shared" si="10"/>
        <v>67.817982470763837</v>
      </c>
      <c r="W13" s="483">
        <f t="shared" si="10"/>
        <v>69.348861484483322</v>
      </c>
      <c r="X13" s="483">
        <f t="shared" si="10"/>
        <v>69.939008538920064</v>
      </c>
      <c r="Y13" s="483">
        <f t="shared" si="10"/>
        <v>67.656401930704718</v>
      </c>
      <c r="Z13" s="483">
        <f t="shared" si="10"/>
        <v>67.269474240993304</v>
      </c>
      <c r="AA13" s="483">
        <f t="shared" si="10"/>
        <v>67.465806931333319</v>
      </c>
      <c r="AB13" s="483">
        <f t="shared" si="10"/>
        <v>68.140354807553862</v>
      </c>
      <c r="AC13" s="556"/>
      <c r="AD13" s="77"/>
      <c r="AK13" s="3"/>
    </row>
    <row r="14" spans="2:38" ht="12.75" customHeight="1">
      <c r="C14" s="636" t="s">
        <v>91</v>
      </c>
      <c r="D14" s="637">
        <f t="shared" ref="D14:M14" si="11">SUM(D6:D13)</f>
        <v>327.76099999999997</v>
      </c>
      <c r="E14" s="620">
        <f t="shared" si="11"/>
        <v>264.41199999999998</v>
      </c>
      <c r="F14" s="620">
        <f t="shared" si="11"/>
        <v>205.494</v>
      </c>
      <c r="G14" s="638">
        <f t="shared" si="11"/>
        <v>656.05499999999995</v>
      </c>
      <c r="H14" s="638">
        <f t="shared" si="11"/>
        <v>455.45400000000018</v>
      </c>
      <c r="I14" s="1398">
        <f>SUM(I6:I13)</f>
        <v>314.31400000000002</v>
      </c>
      <c r="J14" s="1398">
        <f t="shared" si="11"/>
        <v>309.51400000000007</v>
      </c>
      <c r="K14" s="1398">
        <f t="shared" si="11"/>
        <v>555.79899999999998</v>
      </c>
      <c r="L14" s="1398">
        <f t="shared" si="11"/>
        <v>699.21400000000006</v>
      </c>
      <c r="M14" s="1398">
        <f t="shared" si="11"/>
        <v>842.37500000000011</v>
      </c>
      <c r="N14" s="1398">
        <f t="shared" ref="N14:S14" si="12">SUM(N6:N13)</f>
        <v>994.17800000000011</v>
      </c>
      <c r="O14" s="1398">
        <f t="shared" si="12"/>
        <v>949.85879240584211</v>
      </c>
      <c r="P14" s="1398">
        <f t="shared" si="12"/>
        <v>938.13748855975518</v>
      </c>
      <c r="Q14" s="1398">
        <f t="shared" si="12"/>
        <v>1119.9837114417162</v>
      </c>
      <c r="R14" s="1398">
        <f t="shared" si="12"/>
        <v>1397.9512052417672</v>
      </c>
      <c r="S14" s="1398">
        <f t="shared" si="12"/>
        <v>1923.2157054597869</v>
      </c>
      <c r="T14" s="1398">
        <f t="shared" ref="T14:AB14" si="13">SUM(T6:T13)</f>
        <v>2735.8427620612433</v>
      </c>
      <c r="U14" s="1398">
        <f t="shared" si="13"/>
        <v>3706.7061353728318</v>
      </c>
      <c r="V14" s="1398">
        <f t="shared" si="13"/>
        <v>4819.9374550443717</v>
      </c>
      <c r="W14" s="1398">
        <f t="shared" si="13"/>
        <v>6000.2151078300476</v>
      </c>
      <c r="X14" s="1398">
        <f t="shared" si="13"/>
        <v>6694.5187772707386</v>
      </c>
      <c r="Y14" s="1398">
        <f t="shared" si="13"/>
        <v>5533.5214488044503</v>
      </c>
      <c r="Z14" s="1398">
        <f t="shared" si="13"/>
        <v>4143.6300218619617</v>
      </c>
      <c r="AA14" s="1398">
        <f t="shared" si="13"/>
        <v>2657.8411016753307</v>
      </c>
      <c r="AB14" s="1398">
        <f t="shared" si="13"/>
        <v>956.23872550607518</v>
      </c>
      <c r="AC14" s="556"/>
      <c r="AD14" s="77"/>
      <c r="AK14" s="3"/>
    </row>
    <row r="15" spans="2:38" ht="12.75" customHeight="1">
      <c r="C15" s="13"/>
      <c r="D15" s="324"/>
      <c r="E15" s="488"/>
      <c r="F15" s="488"/>
      <c r="G15" s="371"/>
      <c r="H15" s="371"/>
      <c r="I15" s="483"/>
      <c r="J15" s="483"/>
      <c r="K15" s="483"/>
      <c r="L15" s="483"/>
      <c r="M15" s="483"/>
      <c r="N15" s="483"/>
      <c r="O15" s="483"/>
      <c r="P15" s="483"/>
      <c r="Q15" s="483"/>
      <c r="R15" s="483"/>
      <c r="S15" s="483"/>
      <c r="T15" s="483"/>
      <c r="U15" s="483"/>
      <c r="V15" s="483"/>
      <c r="W15" s="483"/>
      <c r="X15" s="483"/>
      <c r="Y15" s="483"/>
      <c r="Z15" s="483"/>
      <c r="AA15" s="483"/>
      <c r="AB15" s="483"/>
      <c r="AC15" s="556"/>
      <c r="AD15" s="77"/>
      <c r="AK15" s="3"/>
    </row>
    <row r="16" spans="2:38" ht="12.75" customHeight="1">
      <c r="C16" s="12" t="s">
        <v>253</v>
      </c>
      <c r="D16" s="322">
        <v>11.237</v>
      </c>
      <c r="E16" s="488">
        <v>0.89700000000000002</v>
      </c>
      <c r="F16" s="488">
        <v>19.759</v>
      </c>
      <c r="G16" s="371">
        <v>3.5129999999999999</v>
      </c>
      <c r="H16" s="371">
        <v>0</v>
      </c>
      <c r="I16" s="483">
        <v>0</v>
      </c>
      <c r="J16" s="483">
        <v>0</v>
      </c>
      <c r="K16" s="483">
        <v>0</v>
      </c>
      <c r="L16" s="483">
        <v>0</v>
      </c>
      <c r="M16" s="483">
        <v>0</v>
      </c>
      <c r="N16" s="483">
        <v>0</v>
      </c>
      <c r="O16" s="483">
        <v>0</v>
      </c>
      <c r="P16" s="483">
        <v>0</v>
      </c>
      <c r="Q16" s="483">
        <v>0</v>
      </c>
      <c r="R16" s="483">
        <v>0</v>
      </c>
      <c r="S16" s="483">
        <v>0</v>
      </c>
      <c r="T16" s="483">
        <v>0</v>
      </c>
      <c r="U16" s="483">
        <v>0</v>
      </c>
      <c r="V16" s="483">
        <v>0</v>
      </c>
      <c r="W16" s="483">
        <v>0</v>
      </c>
      <c r="X16" s="483">
        <v>0</v>
      </c>
      <c r="Y16" s="483">
        <v>0</v>
      </c>
      <c r="Z16" s="483">
        <v>0</v>
      </c>
      <c r="AA16" s="483">
        <v>0</v>
      </c>
      <c r="AB16" s="483">
        <v>0</v>
      </c>
      <c r="AC16" s="556"/>
      <c r="AD16" s="77"/>
      <c r="AK16" s="3"/>
    </row>
    <row r="17" spans="3:37" ht="12.75" customHeight="1">
      <c r="C17" s="12" t="s">
        <v>254</v>
      </c>
      <c r="D17" s="322"/>
      <c r="E17" s="488"/>
      <c r="F17" s="488"/>
      <c r="G17" s="371">
        <v>37.191000000000003</v>
      </c>
      <c r="H17" s="371">
        <v>18.890999999999998</v>
      </c>
      <c r="I17" s="483">
        <v>0</v>
      </c>
      <c r="J17" s="483">
        <v>0</v>
      </c>
      <c r="K17" s="483">
        <v>0</v>
      </c>
      <c r="L17" s="483">
        <v>0</v>
      </c>
      <c r="M17" s="483">
        <v>0</v>
      </c>
      <c r="N17" s="483">
        <v>0</v>
      </c>
      <c r="O17" s="483">
        <f t="shared" ref="O17:S18" si="14">N17</f>
        <v>0</v>
      </c>
      <c r="P17" s="483">
        <f t="shared" si="14"/>
        <v>0</v>
      </c>
      <c r="Q17" s="483">
        <f t="shared" si="14"/>
        <v>0</v>
      </c>
      <c r="R17" s="483">
        <f t="shared" si="14"/>
        <v>0</v>
      </c>
      <c r="S17" s="483">
        <f t="shared" si="14"/>
        <v>0</v>
      </c>
      <c r="T17" s="483">
        <f t="shared" ref="T17:AB18" si="15">S17</f>
        <v>0</v>
      </c>
      <c r="U17" s="483">
        <f t="shared" si="15"/>
        <v>0</v>
      </c>
      <c r="V17" s="483">
        <f t="shared" si="15"/>
        <v>0</v>
      </c>
      <c r="W17" s="483">
        <f t="shared" si="15"/>
        <v>0</v>
      </c>
      <c r="X17" s="483">
        <f t="shared" si="15"/>
        <v>0</v>
      </c>
      <c r="Y17" s="483">
        <f t="shared" si="15"/>
        <v>0</v>
      </c>
      <c r="Z17" s="483">
        <f t="shared" si="15"/>
        <v>0</v>
      </c>
      <c r="AA17" s="483">
        <f t="shared" si="15"/>
        <v>0</v>
      </c>
      <c r="AB17" s="483">
        <f t="shared" si="15"/>
        <v>0</v>
      </c>
      <c r="AC17" s="556"/>
      <c r="AD17" s="77"/>
      <c r="AK17" s="3"/>
    </row>
    <row r="18" spans="3:37" ht="12.75" customHeight="1">
      <c r="C18" s="12" t="s">
        <v>759</v>
      </c>
      <c r="D18" s="322"/>
      <c r="E18" s="488"/>
      <c r="F18" s="488"/>
      <c r="G18" s="371"/>
      <c r="H18" s="371"/>
      <c r="I18" s="483">
        <v>0</v>
      </c>
      <c r="J18" s="483">
        <v>0</v>
      </c>
      <c r="K18" s="483">
        <v>0</v>
      </c>
      <c r="L18" s="483">
        <v>0</v>
      </c>
      <c r="M18" s="483">
        <v>35.247999999999998</v>
      </c>
      <c r="N18" s="483">
        <v>31.986999999999998</v>
      </c>
      <c r="O18" s="483">
        <f t="shared" si="14"/>
        <v>31.986999999999998</v>
      </c>
      <c r="P18" s="483">
        <f t="shared" si="14"/>
        <v>31.986999999999998</v>
      </c>
      <c r="Q18" s="483">
        <f t="shared" si="14"/>
        <v>31.986999999999998</v>
      </c>
      <c r="R18" s="483">
        <f t="shared" si="14"/>
        <v>31.986999999999998</v>
      </c>
      <c r="S18" s="483">
        <f t="shared" si="14"/>
        <v>31.986999999999998</v>
      </c>
      <c r="T18" s="483">
        <f t="shared" si="15"/>
        <v>31.986999999999998</v>
      </c>
      <c r="U18" s="483">
        <f t="shared" si="15"/>
        <v>31.986999999999998</v>
      </c>
      <c r="V18" s="483">
        <f t="shared" si="15"/>
        <v>31.986999999999998</v>
      </c>
      <c r="W18" s="483">
        <f t="shared" si="15"/>
        <v>31.986999999999998</v>
      </c>
      <c r="X18" s="483">
        <f t="shared" si="15"/>
        <v>31.986999999999998</v>
      </c>
      <c r="Y18" s="483">
        <f t="shared" si="15"/>
        <v>31.986999999999998</v>
      </c>
      <c r="Z18" s="483">
        <f t="shared" si="15"/>
        <v>31.986999999999998</v>
      </c>
      <c r="AA18" s="483">
        <f t="shared" si="15"/>
        <v>31.986999999999998</v>
      </c>
      <c r="AB18" s="483">
        <f t="shared" si="15"/>
        <v>31.986999999999998</v>
      </c>
      <c r="AC18" s="556"/>
      <c r="AD18" s="77"/>
      <c r="AK18" s="3"/>
    </row>
    <row r="19" spans="3:37" ht="12.75" customHeight="1">
      <c r="C19" s="12" t="s">
        <v>346</v>
      </c>
      <c r="D19" s="322"/>
      <c r="E19" s="488"/>
      <c r="F19" s="488"/>
      <c r="G19" s="371"/>
      <c r="H19" s="371"/>
      <c r="I19" s="483">
        <v>0</v>
      </c>
      <c r="J19" s="483">
        <v>0</v>
      </c>
      <c r="K19" s="483">
        <v>14.5</v>
      </c>
      <c r="L19" s="483">
        <v>14</v>
      </c>
      <c r="M19" s="483">
        <v>13.977</v>
      </c>
      <c r="N19" s="483">
        <v>0.88600000000000001</v>
      </c>
      <c r="O19" s="483">
        <f>N19-Cashflow!O38</f>
        <v>0.88600000000000001</v>
      </c>
      <c r="P19" s="483">
        <f>O19-Cashflow!P38</f>
        <v>0.88600000000000001</v>
      </c>
      <c r="Q19" s="483">
        <f>P19-Cashflow!Q38</f>
        <v>0.88600000000000001</v>
      </c>
      <c r="R19" s="483">
        <f>Q19-Cashflow!R38</f>
        <v>0.88600000000000001</v>
      </c>
      <c r="S19" s="483">
        <f>R19-Cashflow!S38</f>
        <v>0.88600000000000001</v>
      </c>
      <c r="T19" s="483">
        <f>S19-Cashflow!T38</f>
        <v>0.88600000000000001</v>
      </c>
      <c r="U19" s="483">
        <f>T19-Cashflow!U38</f>
        <v>0.88600000000000001</v>
      </c>
      <c r="V19" s="483">
        <f>U19-Cashflow!V38</f>
        <v>0.88600000000000001</v>
      </c>
      <c r="W19" s="483">
        <f>V19-Cashflow!W38</f>
        <v>0.88600000000000001</v>
      </c>
      <c r="X19" s="483">
        <f>W19-Cashflow!X38</f>
        <v>0.88600000000000001</v>
      </c>
      <c r="Y19" s="483">
        <f>X19-Cashflow!Y38</f>
        <v>0.88600000000000001</v>
      </c>
      <c r="Z19" s="483">
        <f>Y19-Cashflow!Z38</f>
        <v>0.88600000000000001</v>
      </c>
      <c r="AA19" s="483">
        <f>Z19-Cashflow!AA38</f>
        <v>0.88600000000000001</v>
      </c>
      <c r="AB19" s="483">
        <f>AA19-Cashflow!AB38</f>
        <v>0.88600000000000001</v>
      </c>
      <c r="AC19" s="556"/>
      <c r="AD19" s="77"/>
      <c r="AK19" s="3"/>
    </row>
    <row r="20" spans="3:37" ht="12.75" customHeight="1">
      <c r="C20" s="12" t="s">
        <v>142</v>
      </c>
      <c r="D20" s="322"/>
      <c r="E20" s="488"/>
      <c r="F20" s="488"/>
      <c r="G20" s="371"/>
      <c r="H20" s="371"/>
      <c r="I20" s="483"/>
      <c r="J20" s="483">
        <v>8.4749999999999996</v>
      </c>
      <c r="K20" s="483">
        <v>14.936999999999999</v>
      </c>
      <c r="L20" s="483">
        <v>19.077999999999999</v>
      </c>
      <c r="M20" s="483">
        <v>17.555</v>
      </c>
      <c r="N20" s="483">
        <v>15.193</v>
      </c>
      <c r="O20" s="483">
        <f t="shared" ref="O20:AB20" si="16">O66</f>
        <v>8.8575687337948619</v>
      </c>
      <c r="P20" s="483">
        <f t="shared" si="16"/>
        <v>10.823909729648598</v>
      </c>
      <c r="Q20" s="483">
        <f t="shared" si="16"/>
        <v>12.376333240930011</v>
      </c>
      <c r="R20" s="483">
        <f t="shared" si="16"/>
        <v>13.95391455586938</v>
      </c>
      <c r="S20" s="483">
        <f t="shared" si="16"/>
        <v>15.623464112490783</v>
      </c>
      <c r="T20" s="483">
        <f t="shared" si="16"/>
        <v>17.308177646556342</v>
      </c>
      <c r="U20" s="483">
        <f t="shared" si="16"/>
        <v>18.809833569309308</v>
      </c>
      <c r="V20" s="483">
        <f t="shared" si="16"/>
        <v>19.929735167198942</v>
      </c>
      <c r="W20" s="483">
        <f t="shared" si="16"/>
        <v>20.598800465004878</v>
      </c>
      <c r="X20" s="483">
        <f t="shared" si="16"/>
        <v>16.646562888753689</v>
      </c>
      <c r="Y20" s="483">
        <f t="shared" si="16"/>
        <v>3.1192854061803521</v>
      </c>
      <c r="Z20" s="483">
        <f t="shared" si="16"/>
        <v>1.03841038156068</v>
      </c>
      <c r="AA20" s="483">
        <f t="shared" si="16"/>
        <v>0.20647395472611768</v>
      </c>
      <c r="AB20" s="483">
        <f t="shared" si="16"/>
        <v>0.12315662678992725</v>
      </c>
      <c r="AC20" s="556"/>
      <c r="AD20" s="77"/>
      <c r="AK20" s="3"/>
    </row>
    <row r="21" spans="3:37" ht="12.75" customHeight="1">
      <c r="C21" s="12" t="s">
        <v>92</v>
      </c>
      <c r="D21" s="322">
        <v>5.89</v>
      </c>
      <c r="E21" s="488">
        <v>3.9430000000000001</v>
      </c>
      <c r="F21" s="488">
        <v>2.7959999999999998</v>
      </c>
      <c r="G21" s="371">
        <v>1.752</v>
      </c>
      <c r="H21" s="371">
        <v>4.8040000000000003</v>
      </c>
      <c r="I21" s="483">
        <v>6.431</v>
      </c>
      <c r="J21" s="483">
        <v>6.3479999999999999</v>
      </c>
      <c r="K21" s="483">
        <v>26.847999999999999</v>
      </c>
      <c r="L21" s="483">
        <v>81.790000000000006</v>
      </c>
      <c r="M21" s="483">
        <v>86.006</v>
      </c>
      <c r="N21" s="483">
        <v>167.679</v>
      </c>
      <c r="O21" s="483">
        <f t="shared" ref="O21:AB21" si="17">O81</f>
        <v>300.33015828938039</v>
      </c>
      <c r="P21" s="483">
        <f t="shared" si="17"/>
        <v>394.27720570857974</v>
      </c>
      <c r="Q21" s="483">
        <f t="shared" si="17"/>
        <v>484.47610465961253</v>
      </c>
      <c r="R21" s="483">
        <f t="shared" si="17"/>
        <v>561.49041702049317</v>
      </c>
      <c r="S21" s="483">
        <f t="shared" si="17"/>
        <v>621.96566495035643</v>
      </c>
      <c r="T21" s="483">
        <f t="shared" si="17"/>
        <v>667.26171707929018</v>
      </c>
      <c r="U21" s="483">
        <f t="shared" si="17"/>
        <v>695.9148513107408</v>
      </c>
      <c r="V21" s="483">
        <f t="shared" si="17"/>
        <v>718.9674004321032</v>
      </c>
      <c r="W21" s="483">
        <f t="shared" si="17"/>
        <v>739.14178006064299</v>
      </c>
      <c r="X21" s="483">
        <f t="shared" si="17"/>
        <v>754.29227429526065</v>
      </c>
      <c r="Y21" s="483">
        <f t="shared" si="17"/>
        <v>758.81943303072035</v>
      </c>
      <c r="Z21" s="483">
        <f t="shared" si="17"/>
        <v>759.69752978591282</v>
      </c>
      <c r="AA21" s="483">
        <f t="shared" si="17"/>
        <v>759.40440427921214</v>
      </c>
      <c r="AB21" s="483">
        <f t="shared" si="17"/>
        <v>759.81159007456051</v>
      </c>
      <c r="AC21" s="556"/>
      <c r="AD21" s="77"/>
      <c r="AK21" s="3"/>
    </row>
    <row r="22" spans="3:37" ht="12.75" customHeight="1">
      <c r="C22" s="12" t="s">
        <v>73</v>
      </c>
      <c r="D22" s="322">
        <v>8.7149999999999999</v>
      </c>
      <c r="E22" s="488">
        <v>6.4429999999999996</v>
      </c>
      <c r="F22" s="488">
        <v>4.3390000000000004</v>
      </c>
      <c r="G22" s="371">
        <v>13.879</v>
      </c>
      <c r="H22" s="371">
        <v>10.432</v>
      </c>
      <c r="I22" s="483">
        <v>8.2170000000000005</v>
      </c>
      <c r="J22" s="483">
        <v>6.0819999999999999</v>
      </c>
      <c r="K22" s="483">
        <v>17.484000000000002</v>
      </c>
      <c r="L22" s="483">
        <v>15.987</v>
      </c>
      <c r="M22" s="483">
        <v>12.279</v>
      </c>
      <c r="N22" s="483">
        <f>258.437+12+155.593+2.644</f>
        <v>428.67399999999998</v>
      </c>
      <c r="O22" s="483">
        <f t="shared" ref="O22:S22" si="18">N22-O110</f>
        <v>394.36454592186209</v>
      </c>
      <c r="P22" s="483">
        <f t="shared" si="18"/>
        <v>360.0550918437242</v>
      </c>
      <c r="Q22" s="483">
        <f t="shared" si="18"/>
        <v>325.74563776558631</v>
      </c>
      <c r="R22" s="483">
        <f t="shared" si="18"/>
        <v>291.43618368744842</v>
      </c>
      <c r="S22" s="483">
        <f t="shared" si="18"/>
        <v>257.12672960931053</v>
      </c>
      <c r="T22" s="483">
        <f t="shared" ref="T22:AB22" si="19">S22-T110</f>
        <v>222.81727553117264</v>
      </c>
      <c r="U22" s="483">
        <f t="shared" si="19"/>
        <v>188.50782145303475</v>
      </c>
      <c r="V22" s="483">
        <f t="shared" si="19"/>
        <v>154.19836737489686</v>
      </c>
      <c r="W22" s="483">
        <f t="shared" si="19"/>
        <v>119.88891329675899</v>
      </c>
      <c r="X22" s="483">
        <f t="shared" si="19"/>
        <v>85.57945921862111</v>
      </c>
      <c r="Y22" s="483">
        <f t="shared" si="19"/>
        <v>51.270005140483235</v>
      </c>
      <c r="Z22" s="483">
        <f t="shared" si="19"/>
        <v>16.96055106234536</v>
      </c>
      <c r="AA22" s="483">
        <f t="shared" si="19"/>
        <v>-17.348903015792516</v>
      </c>
      <c r="AB22" s="483">
        <f t="shared" si="19"/>
        <v>-51.658357093930391</v>
      </c>
      <c r="AC22" s="556"/>
      <c r="AD22" s="77"/>
      <c r="AK22" s="3"/>
    </row>
    <row r="23" spans="3:37" ht="12.75" customHeight="1">
      <c r="C23" s="636" t="s">
        <v>154</v>
      </c>
      <c r="D23" s="637">
        <f t="shared" ref="D23:M23" si="20">SUM(D14:D22)</f>
        <v>353.60299999999995</v>
      </c>
      <c r="E23" s="620">
        <f t="shared" si="20"/>
        <v>275.69499999999994</v>
      </c>
      <c r="F23" s="620">
        <f t="shared" si="20"/>
        <v>232.38799999999998</v>
      </c>
      <c r="G23" s="638">
        <f t="shared" si="20"/>
        <v>712.39</v>
      </c>
      <c r="H23" s="638">
        <f t="shared" si="20"/>
        <v>489.58100000000019</v>
      </c>
      <c r="I23" s="1398">
        <f t="shared" si="20"/>
        <v>328.96199999999999</v>
      </c>
      <c r="J23" s="1398">
        <f t="shared" si="20"/>
        <v>330.4190000000001</v>
      </c>
      <c r="K23" s="1398">
        <f t="shared" si="20"/>
        <v>629.56799999999998</v>
      </c>
      <c r="L23" s="1398">
        <f t="shared" si="20"/>
        <v>830.06899999999996</v>
      </c>
      <c r="M23" s="1398">
        <f t="shared" si="20"/>
        <v>1007.44</v>
      </c>
      <c r="N23" s="1398">
        <f t="shared" ref="N23:AB23" si="21">SUM(N14:N22)</f>
        <v>1638.5970000000002</v>
      </c>
      <c r="O23" s="1398">
        <f t="shared" si="21"/>
        <v>1686.2840653508795</v>
      </c>
      <c r="P23" s="1398">
        <f t="shared" si="21"/>
        <v>1736.1666958417077</v>
      </c>
      <c r="Q23" s="1398">
        <f t="shared" si="21"/>
        <v>1975.454787107845</v>
      </c>
      <c r="R23" s="1398">
        <f t="shared" si="21"/>
        <v>2297.7047205055783</v>
      </c>
      <c r="S23" s="1398">
        <f t="shared" si="21"/>
        <v>2850.804564131945</v>
      </c>
      <c r="T23" s="1398">
        <f t="shared" si="21"/>
        <v>3676.1029323182624</v>
      </c>
      <c r="U23" s="1398">
        <f t="shared" si="21"/>
        <v>4642.8116417059173</v>
      </c>
      <c r="V23" s="1398">
        <f t="shared" si="21"/>
        <v>5745.9059580185713</v>
      </c>
      <c r="W23" s="1398">
        <f t="shared" si="21"/>
        <v>6912.7176016524554</v>
      </c>
      <c r="X23" s="1398">
        <f t="shared" si="21"/>
        <v>7583.9100736733744</v>
      </c>
      <c r="Y23" s="1398">
        <f t="shared" si="21"/>
        <v>6379.6031723818351</v>
      </c>
      <c r="Z23" s="1398">
        <f t="shared" si="21"/>
        <v>4954.1995130917803</v>
      </c>
      <c r="AA23" s="1398">
        <f t="shared" si="21"/>
        <v>3432.9760768934766</v>
      </c>
      <c r="AB23" s="1398">
        <f t="shared" si="21"/>
        <v>1697.3881151134954</v>
      </c>
      <c r="AC23" s="556"/>
      <c r="AD23" s="77"/>
      <c r="AK23" s="3"/>
    </row>
    <row r="24" spans="3:37" ht="12.75" customHeight="1">
      <c r="C24" s="13"/>
      <c r="D24" s="325"/>
      <c r="E24" s="492"/>
      <c r="F24" s="492"/>
      <c r="G24" s="484"/>
      <c r="H24" s="484"/>
      <c r="I24" s="431"/>
      <c r="J24" s="431"/>
      <c r="K24" s="431"/>
      <c r="L24" s="431"/>
      <c r="M24" s="431"/>
      <c r="N24" s="431"/>
      <c r="O24" s="431"/>
      <c r="P24" s="431"/>
      <c r="Q24" s="431"/>
      <c r="R24" s="431"/>
      <c r="S24" s="431"/>
      <c r="T24" s="431"/>
      <c r="U24" s="431"/>
      <c r="V24" s="431"/>
      <c r="W24" s="431"/>
      <c r="X24" s="431"/>
      <c r="Y24" s="431"/>
      <c r="Z24" s="431"/>
      <c r="AA24" s="431"/>
      <c r="AB24" s="431"/>
      <c r="AC24" s="556"/>
      <c r="AD24" s="77"/>
      <c r="AK24" s="3"/>
    </row>
    <row r="25" spans="3:37" ht="12.75" customHeight="1">
      <c r="C25" s="14" t="s">
        <v>155</v>
      </c>
      <c r="D25" s="326"/>
      <c r="E25" s="488"/>
      <c r="F25" s="488"/>
      <c r="G25" s="371"/>
      <c r="H25" s="371"/>
      <c r="I25" s="483"/>
      <c r="J25" s="483"/>
      <c r="K25" s="483"/>
      <c r="L25" s="483"/>
      <c r="M25" s="483"/>
      <c r="N25" s="483"/>
      <c r="O25" s="483"/>
      <c r="P25" s="483"/>
      <c r="Q25" s="483"/>
      <c r="R25" s="483"/>
      <c r="S25" s="483"/>
      <c r="T25" s="483"/>
      <c r="U25" s="483"/>
      <c r="V25" s="483"/>
      <c r="W25" s="483"/>
      <c r="X25" s="483"/>
      <c r="Y25" s="483"/>
      <c r="Z25" s="483"/>
      <c r="AA25" s="483"/>
      <c r="AB25" s="483"/>
      <c r="AC25" s="556"/>
      <c r="AD25" s="77"/>
      <c r="AK25" s="3"/>
    </row>
    <row r="26" spans="3:37" ht="12.75" customHeight="1">
      <c r="C26" s="12" t="s">
        <v>144</v>
      </c>
      <c r="D26" s="322">
        <v>5.9160000000000004</v>
      </c>
      <c r="E26" s="488">
        <v>7.806</v>
      </c>
      <c r="F26" s="488">
        <v>15.679</v>
      </c>
      <c r="G26" s="371">
        <v>20.963999999999999</v>
      </c>
      <c r="H26" s="371">
        <v>10.773</v>
      </c>
      <c r="I26" s="483">
        <v>14.939</v>
      </c>
      <c r="J26" s="483">
        <v>13.961</v>
      </c>
      <c r="K26" s="483">
        <v>19.102</v>
      </c>
      <c r="L26" s="483">
        <v>24.462</v>
      </c>
      <c r="M26" s="483">
        <v>30.085000000000001</v>
      </c>
      <c r="N26" s="483">
        <v>75.599000000000004</v>
      </c>
      <c r="O26" s="483">
        <f t="shared" ref="O26:AB26" si="22">O70</f>
        <v>82.297499999999999</v>
      </c>
      <c r="P26" s="483">
        <f t="shared" si="22"/>
        <v>86.297700000000006</v>
      </c>
      <c r="Q26" s="483">
        <f t="shared" si="22"/>
        <v>95.919081323322828</v>
      </c>
      <c r="R26" s="483">
        <f t="shared" si="22"/>
        <v>101.00294398424056</v>
      </c>
      <c r="S26" s="483">
        <f t="shared" si="22"/>
        <v>104.5727096673313</v>
      </c>
      <c r="T26" s="483">
        <f t="shared" si="22"/>
        <v>107.64456815080578</v>
      </c>
      <c r="U26" s="483">
        <f t="shared" si="22"/>
        <v>110.37670879781784</v>
      </c>
      <c r="V26" s="483">
        <f t="shared" si="22"/>
        <v>113.02997078460641</v>
      </c>
      <c r="W26" s="483">
        <f t="shared" si="22"/>
        <v>115.58143580747222</v>
      </c>
      <c r="X26" s="483">
        <f t="shared" si="22"/>
        <v>116.56501423153345</v>
      </c>
      <c r="Y26" s="483">
        <f t="shared" si="22"/>
        <v>112.76066988450788</v>
      </c>
      <c r="Z26" s="483">
        <f t="shared" si="22"/>
        <v>112.11579040165553</v>
      </c>
      <c r="AA26" s="483">
        <f t="shared" si="22"/>
        <v>112.4430115522222</v>
      </c>
      <c r="AB26" s="483">
        <f t="shared" si="22"/>
        <v>113.56725801258978</v>
      </c>
      <c r="AC26" s="556"/>
      <c r="AD26" s="77"/>
      <c r="AK26" s="3"/>
    </row>
    <row r="27" spans="3:37" ht="12.75" customHeight="1">
      <c r="C27" s="12" t="s">
        <v>250</v>
      </c>
      <c r="D27" s="322">
        <v>6.8789999999999996</v>
      </c>
      <c r="E27" s="488">
        <v>10.693</v>
      </c>
      <c r="F27" s="488">
        <v>9.33</v>
      </c>
      <c r="G27" s="371">
        <v>13.417999999999999</v>
      </c>
      <c r="H27" s="371">
        <v>14.678000000000001</v>
      </c>
      <c r="I27" s="483">
        <v>21.856000000000002</v>
      </c>
      <c r="J27" s="483">
        <v>22.899000000000001</v>
      </c>
      <c r="K27" s="483">
        <v>28.079000000000001</v>
      </c>
      <c r="L27" s="483">
        <v>34.421999999999997</v>
      </c>
      <c r="M27" s="483">
        <v>38.116999999999997</v>
      </c>
      <c r="N27" s="483">
        <v>50.904000000000003</v>
      </c>
      <c r="O27" s="483">
        <f t="shared" ref="O27:S27" si="23">N27-0.5</f>
        <v>50.404000000000003</v>
      </c>
      <c r="P27" s="483">
        <f t="shared" si="23"/>
        <v>49.904000000000003</v>
      </c>
      <c r="Q27" s="483">
        <f t="shared" si="23"/>
        <v>49.404000000000003</v>
      </c>
      <c r="R27" s="483">
        <f t="shared" si="23"/>
        <v>48.904000000000003</v>
      </c>
      <c r="S27" s="483">
        <f t="shared" si="23"/>
        <v>48.404000000000003</v>
      </c>
      <c r="T27" s="483">
        <f>S27</f>
        <v>48.404000000000003</v>
      </c>
      <c r="U27" s="483">
        <f t="shared" ref="U27:AB27" si="24">T27</f>
        <v>48.404000000000003</v>
      </c>
      <c r="V27" s="483">
        <f t="shared" si="24"/>
        <v>48.404000000000003</v>
      </c>
      <c r="W27" s="483">
        <f t="shared" si="24"/>
        <v>48.404000000000003</v>
      </c>
      <c r="X27" s="483">
        <f t="shared" si="24"/>
        <v>48.404000000000003</v>
      </c>
      <c r="Y27" s="483">
        <f t="shared" si="24"/>
        <v>48.404000000000003</v>
      </c>
      <c r="Z27" s="483">
        <f t="shared" si="24"/>
        <v>48.404000000000003</v>
      </c>
      <c r="AA27" s="483">
        <f t="shared" si="24"/>
        <v>48.404000000000003</v>
      </c>
      <c r="AB27" s="483">
        <f t="shared" si="24"/>
        <v>48.404000000000003</v>
      </c>
      <c r="AC27" s="556"/>
      <c r="AD27" s="77"/>
      <c r="AK27" s="3"/>
    </row>
    <row r="28" spans="3:37" ht="12.75" customHeight="1">
      <c r="C28" s="359" t="s">
        <v>45</v>
      </c>
      <c r="D28" s="322">
        <v>4.6680000000000001</v>
      </c>
      <c r="E28" s="488">
        <v>5.2729999999999997</v>
      </c>
      <c r="F28" s="488">
        <v>5.2729999999999997</v>
      </c>
      <c r="G28" s="371">
        <v>7.0940000000000003</v>
      </c>
      <c r="H28" s="371">
        <v>4.75</v>
      </c>
      <c r="I28" s="483">
        <v>4.75</v>
      </c>
      <c r="J28" s="483">
        <v>4.75</v>
      </c>
      <c r="K28" s="483">
        <v>1.909</v>
      </c>
      <c r="L28" s="483">
        <v>1.841</v>
      </c>
      <c r="M28" s="483">
        <v>0.76200000000000001</v>
      </c>
      <c r="N28" s="483">
        <v>0.76200000000000001</v>
      </c>
      <c r="O28" s="483">
        <v>0</v>
      </c>
      <c r="P28" s="483">
        <v>0</v>
      </c>
      <c r="Q28" s="483">
        <v>0</v>
      </c>
      <c r="R28" s="483">
        <v>0</v>
      </c>
      <c r="S28" s="483">
        <v>0</v>
      </c>
      <c r="T28" s="483">
        <v>0</v>
      </c>
      <c r="U28" s="483">
        <v>0</v>
      </c>
      <c r="V28" s="483">
        <v>0</v>
      </c>
      <c r="W28" s="483">
        <v>0</v>
      </c>
      <c r="X28" s="483">
        <v>0</v>
      </c>
      <c r="Y28" s="483">
        <v>0</v>
      </c>
      <c r="Z28" s="483">
        <v>0</v>
      </c>
      <c r="AA28" s="483">
        <v>0</v>
      </c>
      <c r="AB28" s="483">
        <v>0</v>
      </c>
      <c r="AC28" s="571"/>
      <c r="AD28" s="77"/>
      <c r="AK28" s="3"/>
    </row>
    <row r="29" spans="3:37" ht="12.75" customHeight="1">
      <c r="C29" s="12" t="s">
        <v>251</v>
      </c>
      <c r="D29" s="322">
        <v>4.024</v>
      </c>
      <c r="E29" s="488">
        <v>7.226</v>
      </c>
      <c r="F29" s="488">
        <v>14.893000000000001</v>
      </c>
      <c r="G29" s="371">
        <v>17.440999999999999</v>
      </c>
      <c r="H29" s="371">
        <v>15.702999999999999</v>
      </c>
      <c r="I29" s="483">
        <v>24.765999999999998</v>
      </c>
      <c r="J29" s="483">
        <v>28.385000000000002</v>
      </c>
      <c r="K29" s="483">
        <v>46.061999999999998</v>
      </c>
      <c r="L29" s="483">
        <v>62.27</v>
      </c>
      <c r="M29" s="483">
        <v>86.531000000000006</v>
      </c>
      <c r="N29" s="483">
        <v>126.697</v>
      </c>
      <c r="O29" s="483">
        <f t="shared" ref="O29:AB29" si="25">O72</f>
        <v>225.49515</v>
      </c>
      <c r="P29" s="483">
        <f t="shared" si="25"/>
        <v>236.45569800000001</v>
      </c>
      <c r="Q29" s="483">
        <f t="shared" si="25"/>
        <v>262.81828282590459</v>
      </c>
      <c r="R29" s="483">
        <f t="shared" si="25"/>
        <v>276.74806651681911</v>
      </c>
      <c r="S29" s="483">
        <f t="shared" si="25"/>
        <v>286.52922448848773</v>
      </c>
      <c r="T29" s="483">
        <f t="shared" si="25"/>
        <v>294.94611673320787</v>
      </c>
      <c r="U29" s="483">
        <f t="shared" si="25"/>
        <v>302.43218210602089</v>
      </c>
      <c r="V29" s="483">
        <f t="shared" si="25"/>
        <v>309.70211994982157</v>
      </c>
      <c r="W29" s="483">
        <f t="shared" si="25"/>
        <v>316.6931341124739</v>
      </c>
      <c r="X29" s="483">
        <f t="shared" si="25"/>
        <v>319.38813899440169</v>
      </c>
      <c r="Y29" s="483">
        <f t="shared" si="25"/>
        <v>308.96423548355159</v>
      </c>
      <c r="Z29" s="483">
        <f t="shared" si="25"/>
        <v>307.19726570053615</v>
      </c>
      <c r="AA29" s="483">
        <f t="shared" si="25"/>
        <v>308.09385165308885</v>
      </c>
      <c r="AB29" s="483">
        <f t="shared" si="25"/>
        <v>311.17428695449598</v>
      </c>
      <c r="AC29" s="556"/>
      <c r="AD29" s="77"/>
      <c r="AK29" s="3"/>
    </row>
    <row r="30" spans="3:37" ht="12.75" customHeight="1">
      <c r="C30" s="12" t="s">
        <v>64</v>
      </c>
      <c r="D30" s="322">
        <v>22.882999999999999</v>
      </c>
      <c r="E30" s="488">
        <v>0.64900000000000002</v>
      </c>
      <c r="F30" s="488">
        <v>6.2E-2</v>
      </c>
      <c r="G30" s="371">
        <v>67.03</v>
      </c>
      <c r="H30" s="371">
        <v>66.972999999999999</v>
      </c>
      <c r="I30" s="483">
        <f>2.332+66.971</f>
        <v>69.302999999999997</v>
      </c>
      <c r="J30" s="483">
        <v>66.078999999999994</v>
      </c>
      <c r="K30" s="483">
        <v>12.89</v>
      </c>
      <c r="L30" s="483">
        <v>12.88</v>
      </c>
      <c r="M30" s="483">
        <v>12.512</v>
      </c>
      <c r="N30" s="483">
        <v>0</v>
      </c>
      <c r="O30" s="483">
        <v>0</v>
      </c>
      <c r="P30" s="483">
        <v>0</v>
      </c>
      <c r="Q30" s="483">
        <v>0</v>
      </c>
      <c r="R30" s="483">
        <v>0</v>
      </c>
      <c r="S30" s="483">
        <v>0</v>
      </c>
      <c r="T30" s="483">
        <v>0</v>
      </c>
      <c r="U30" s="483">
        <f>T30</f>
        <v>0</v>
      </c>
      <c r="V30" s="483">
        <f t="shared" ref="V30:AB30" si="26">U30</f>
        <v>0</v>
      </c>
      <c r="W30" s="483">
        <f t="shared" si="26"/>
        <v>0</v>
      </c>
      <c r="X30" s="483">
        <f t="shared" si="26"/>
        <v>0</v>
      </c>
      <c r="Y30" s="483">
        <f t="shared" si="26"/>
        <v>0</v>
      </c>
      <c r="Z30" s="483">
        <f t="shared" si="26"/>
        <v>0</v>
      </c>
      <c r="AA30" s="483">
        <f t="shared" si="26"/>
        <v>0</v>
      </c>
      <c r="AB30" s="483">
        <f t="shared" si="26"/>
        <v>0</v>
      </c>
      <c r="AC30" s="556"/>
      <c r="AD30" s="77"/>
      <c r="AK30" s="3"/>
    </row>
    <row r="31" spans="3:37" ht="12.75" customHeight="1">
      <c r="C31" s="359" t="s">
        <v>377</v>
      </c>
      <c r="D31" s="322">
        <v>0</v>
      </c>
      <c r="E31" s="488">
        <v>0</v>
      </c>
      <c r="F31" s="488">
        <v>0</v>
      </c>
      <c r="G31" s="371">
        <v>0</v>
      </c>
      <c r="H31" s="371">
        <v>0</v>
      </c>
      <c r="I31" s="483">
        <v>0</v>
      </c>
      <c r="J31" s="483">
        <v>0</v>
      </c>
      <c r="K31" s="483">
        <v>0</v>
      </c>
      <c r="L31" s="483">
        <v>85.64</v>
      </c>
      <c r="M31" s="483">
        <v>0</v>
      </c>
      <c r="N31" s="483">
        <v>0</v>
      </c>
      <c r="O31" s="483">
        <f t="shared" ref="O31:S31" si="27">N31</f>
        <v>0</v>
      </c>
      <c r="P31" s="483">
        <f t="shared" si="27"/>
        <v>0</v>
      </c>
      <c r="Q31" s="483">
        <f t="shared" si="27"/>
        <v>0</v>
      </c>
      <c r="R31" s="483">
        <f t="shared" si="27"/>
        <v>0</v>
      </c>
      <c r="S31" s="483">
        <f t="shared" si="27"/>
        <v>0</v>
      </c>
      <c r="T31" s="483">
        <f>S31</f>
        <v>0</v>
      </c>
      <c r="U31" s="483">
        <f>T31</f>
        <v>0</v>
      </c>
      <c r="V31" s="483">
        <f t="shared" ref="V31:AB32" si="28">U31</f>
        <v>0</v>
      </c>
      <c r="W31" s="483">
        <f t="shared" si="28"/>
        <v>0</v>
      </c>
      <c r="X31" s="483">
        <f t="shared" si="28"/>
        <v>0</v>
      </c>
      <c r="Y31" s="483">
        <f t="shared" si="28"/>
        <v>0</v>
      </c>
      <c r="Z31" s="483">
        <f t="shared" si="28"/>
        <v>0</v>
      </c>
      <c r="AA31" s="483">
        <f t="shared" si="28"/>
        <v>0</v>
      </c>
      <c r="AB31" s="483">
        <f t="shared" si="28"/>
        <v>0</v>
      </c>
      <c r="AC31" s="556"/>
      <c r="AD31" s="77"/>
      <c r="AK31" s="3"/>
    </row>
    <row r="32" spans="3:37">
      <c r="C32" s="12" t="s">
        <v>65</v>
      </c>
      <c r="D32" s="322">
        <v>4.97</v>
      </c>
      <c r="E32" s="488">
        <v>4.9480000000000004</v>
      </c>
      <c r="F32" s="488">
        <v>5.0999999999999996</v>
      </c>
      <c r="G32" s="371">
        <v>6.8789999999999996</v>
      </c>
      <c r="H32" s="371">
        <v>0.69599999999999995</v>
      </c>
      <c r="I32" s="483">
        <v>0</v>
      </c>
      <c r="J32" s="483">
        <v>0</v>
      </c>
      <c r="K32" s="483">
        <v>0</v>
      </c>
      <c r="L32" s="483">
        <v>0</v>
      </c>
      <c r="M32" s="483">
        <v>0</v>
      </c>
      <c r="N32" s="483">
        <v>19.539000000000001</v>
      </c>
      <c r="O32" s="483">
        <f>N32</f>
        <v>19.539000000000001</v>
      </c>
      <c r="P32" s="483">
        <f>O32</f>
        <v>19.539000000000001</v>
      </c>
      <c r="Q32" s="483">
        <f>P32</f>
        <v>19.539000000000001</v>
      </c>
      <c r="R32" s="483">
        <f>Q32</f>
        <v>19.539000000000001</v>
      </c>
      <c r="S32" s="483">
        <f>R32</f>
        <v>19.539000000000001</v>
      </c>
      <c r="T32" s="483">
        <f>S32</f>
        <v>19.539000000000001</v>
      </c>
      <c r="U32" s="483">
        <f>T32</f>
        <v>19.539000000000001</v>
      </c>
      <c r="V32" s="483">
        <f t="shared" si="28"/>
        <v>19.539000000000001</v>
      </c>
      <c r="W32" s="483">
        <f t="shared" si="28"/>
        <v>19.539000000000001</v>
      </c>
      <c r="X32" s="483">
        <f t="shared" si="28"/>
        <v>19.539000000000001</v>
      </c>
      <c r="Y32" s="483">
        <f t="shared" si="28"/>
        <v>19.539000000000001</v>
      </c>
      <c r="Z32" s="483">
        <f t="shared" si="28"/>
        <v>19.539000000000001</v>
      </c>
      <c r="AA32" s="483">
        <f t="shared" si="28"/>
        <v>19.539000000000001</v>
      </c>
      <c r="AB32" s="483">
        <f t="shared" si="28"/>
        <v>19.539000000000001</v>
      </c>
      <c r="AC32" s="556"/>
      <c r="AD32" s="77"/>
      <c r="AK32" s="3"/>
    </row>
    <row r="33" spans="3:37" ht="12.75" customHeight="1">
      <c r="C33" s="636" t="s">
        <v>145</v>
      </c>
      <c r="D33" s="637">
        <f t="shared" ref="D33:M33" si="29">SUM(D26:D32)</f>
        <v>49.34</v>
      </c>
      <c r="E33" s="620">
        <f t="shared" si="29"/>
        <v>36.594999999999999</v>
      </c>
      <c r="F33" s="620">
        <f t="shared" si="29"/>
        <v>50.336999999999996</v>
      </c>
      <c r="G33" s="638">
        <f t="shared" si="29"/>
        <v>132.82599999999999</v>
      </c>
      <c r="H33" s="638">
        <f t="shared" si="29"/>
        <v>113.57299999999999</v>
      </c>
      <c r="I33" s="638">
        <f t="shared" si="29"/>
        <v>135.614</v>
      </c>
      <c r="J33" s="638">
        <f t="shared" si="29"/>
        <v>136.07400000000001</v>
      </c>
      <c r="K33" s="638">
        <f t="shared" si="29"/>
        <v>108.04199999999999</v>
      </c>
      <c r="L33" s="638">
        <f t="shared" si="29"/>
        <v>221.51499999999999</v>
      </c>
      <c r="M33" s="638">
        <f t="shared" si="29"/>
        <v>168.00700000000001</v>
      </c>
      <c r="N33" s="638">
        <f t="shared" ref="N33:S33" si="30">SUM(N26:N32)</f>
        <v>273.50100000000003</v>
      </c>
      <c r="O33" s="638">
        <f t="shared" si="30"/>
        <v>377.73564999999996</v>
      </c>
      <c r="P33" s="638">
        <f t="shared" si="30"/>
        <v>392.19639800000004</v>
      </c>
      <c r="Q33" s="638">
        <f t="shared" si="30"/>
        <v>427.68036414922744</v>
      </c>
      <c r="R33" s="638">
        <f t="shared" si="30"/>
        <v>446.19401050105967</v>
      </c>
      <c r="S33" s="638">
        <f t="shared" si="30"/>
        <v>459.04493415581902</v>
      </c>
      <c r="T33" s="638">
        <f t="shared" ref="T33:AB33" si="31">SUM(T26:T32)</f>
        <v>470.53368488401361</v>
      </c>
      <c r="U33" s="638">
        <f t="shared" si="31"/>
        <v>480.75189090383873</v>
      </c>
      <c r="V33" s="638">
        <f t="shared" si="31"/>
        <v>490.67509073442795</v>
      </c>
      <c r="W33" s="638">
        <f t="shared" si="31"/>
        <v>500.21756991994607</v>
      </c>
      <c r="X33" s="638">
        <f t="shared" si="31"/>
        <v>503.89615322593511</v>
      </c>
      <c r="Y33" s="638">
        <f t="shared" si="31"/>
        <v>489.66790536805945</v>
      </c>
      <c r="Z33" s="638">
        <f t="shared" si="31"/>
        <v>487.25605610219168</v>
      </c>
      <c r="AA33" s="638">
        <f t="shared" si="31"/>
        <v>488.47986320531106</v>
      </c>
      <c r="AB33" s="638">
        <f t="shared" si="31"/>
        <v>492.68454496708574</v>
      </c>
      <c r="AC33" s="556"/>
      <c r="AD33" s="77"/>
      <c r="AK33" s="3"/>
    </row>
    <row r="34" spans="3:37" ht="12.75" customHeight="1">
      <c r="C34" s="13"/>
      <c r="D34" s="325"/>
      <c r="E34" s="492"/>
      <c r="F34" s="492"/>
      <c r="G34" s="484"/>
      <c r="H34" s="484"/>
      <c r="I34" s="431"/>
      <c r="J34" s="431"/>
      <c r="K34" s="431"/>
      <c r="L34" s="431"/>
      <c r="M34" s="431"/>
      <c r="N34" s="431"/>
      <c r="O34" s="431"/>
      <c r="P34" s="431"/>
      <c r="Q34" s="431"/>
      <c r="R34" s="431"/>
      <c r="S34" s="431"/>
      <c r="T34" s="431"/>
      <c r="U34" s="431"/>
      <c r="V34" s="431"/>
      <c r="W34" s="431"/>
      <c r="X34" s="431"/>
      <c r="Y34" s="431"/>
      <c r="Z34" s="431"/>
      <c r="AA34" s="431"/>
      <c r="AB34" s="431"/>
      <c r="AC34" s="556"/>
      <c r="AD34" s="77"/>
      <c r="AK34" s="3"/>
    </row>
    <row r="35" spans="3:37" ht="12.75" customHeight="1">
      <c r="C35" s="174" t="s">
        <v>66</v>
      </c>
      <c r="D35" s="322">
        <v>113.98099999999999</v>
      </c>
      <c r="E35" s="488">
        <v>122.18</v>
      </c>
      <c r="F35" s="488">
        <v>130.96899999999999</v>
      </c>
      <c r="G35" s="371">
        <v>308.05900000000003</v>
      </c>
      <c r="H35" s="560">
        <v>276.44499999999999</v>
      </c>
      <c r="I35" s="559">
        <v>298.19299999999998</v>
      </c>
      <c r="J35" s="559">
        <v>322.04300000000001</v>
      </c>
      <c r="K35" s="483">
        <v>661.56700000000001</v>
      </c>
      <c r="L35" s="483">
        <v>603.47799999999995</v>
      </c>
      <c r="M35" s="483">
        <v>619.89300000000003</v>
      </c>
      <c r="N35" s="483">
        <v>651.48099999999999</v>
      </c>
      <c r="O35" s="483">
        <f>'Income Statement'!AA167+'Income Statement'!AA183+'Income Statement'!AA200</f>
        <v>65.04717363135731</v>
      </c>
      <c r="P35" s="483">
        <f>'Income Statement'!AF200</f>
        <v>25.117346938775508</v>
      </c>
      <c r="Q35" s="483">
        <f>'Income Statement'!AG200</f>
        <v>26.035714285714285</v>
      </c>
      <c r="R35" s="483">
        <v>2.0000000000000002E-5</v>
      </c>
      <c r="S35" s="483">
        <f>'Income Statement'!AI167+'Income Statement'!AI183+'Income Statement'!AI200</f>
        <v>0</v>
      </c>
      <c r="T35" s="483">
        <f>'Income Statement'!AJ167+'Income Statement'!AJ183+'Income Statement'!AJ200</f>
        <v>0</v>
      </c>
      <c r="U35" s="483">
        <f>'Income Statement'!AK167+'Income Statement'!AK183+'Income Statement'!AK200</f>
        <v>0</v>
      </c>
      <c r="V35" s="483">
        <f>'Income Statement'!AL167+'Income Statement'!AL183+'Income Statement'!AL200</f>
        <v>0</v>
      </c>
      <c r="W35" s="483">
        <f>'Income Statement'!AM167+'Income Statement'!AM183+'Income Statement'!AM200</f>
        <v>0</v>
      </c>
      <c r="X35" s="483">
        <f>'Income Statement'!AN167+'Income Statement'!AN183+'Income Statement'!AN200</f>
        <v>0</v>
      </c>
      <c r="Y35" s="483">
        <f>'Income Statement'!AO167+'Income Statement'!AO183+'Income Statement'!AO200</f>
        <v>0</v>
      </c>
      <c r="Z35" s="483">
        <f>'Income Statement'!AP167+'Income Statement'!AP183+'Income Statement'!AP200</f>
        <v>0</v>
      </c>
      <c r="AA35" s="483">
        <f>'Income Statement'!AQ167+'Income Statement'!AQ183+'Income Statement'!AQ200</f>
        <v>0</v>
      </c>
      <c r="AB35" s="483">
        <f>'Income Statement'!AR167+'Income Statement'!AR183+'Income Statement'!AR200</f>
        <v>0</v>
      </c>
      <c r="AC35" s="556"/>
      <c r="AD35" s="77"/>
      <c r="AK35" s="3"/>
    </row>
    <row r="36" spans="3:37" ht="12.75" customHeight="1">
      <c r="C36" s="174" t="s">
        <v>71</v>
      </c>
      <c r="D36" s="322">
        <v>257.12200000000001</v>
      </c>
      <c r="E36" s="488">
        <v>264.37599999999998</v>
      </c>
      <c r="F36" s="488">
        <v>265.19799999999998</v>
      </c>
      <c r="G36" s="371">
        <v>135.07900000000001</v>
      </c>
      <c r="H36" s="371">
        <v>16.986999999999998</v>
      </c>
      <c r="I36" s="559">
        <v>17.96</v>
      </c>
      <c r="J36" s="559">
        <v>9.0329999999999995</v>
      </c>
      <c r="K36" s="483">
        <v>0</v>
      </c>
      <c r="L36" s="483">
        <v>0</v>
      </c>
      <c r="M36" s="483">
        <v>0</v>
      </c>
      <c r="N36" s="483">
        <v>0</v>
      </c>
      <c r="O36" s="483">
        <f>'Income Statement'!AA218+'Income Statement'!AA234+'Income Statement'!AA227+'Income Statement'!AA211</f>
        <v>0</v>
      </c>
      <c r="P36" s="483">
        <f>'Income Statement'!AF218+'Income Statement'!AF234+'Income Statement'!AF227+'Income Statement'!AF211</f>
        <v>0</v>
      </c>
      <c r="Q36" s="483">
        <f>'Income Statement'!AG218+'Income Statement'!AG234+'Income Statement'!AG227+'Income Statement'!AG211</f>
        <v>0</v>
      </c>
      <c r="R36" s="483">
        <f>'Income Statement'!AH218+'Income Statement'!AH234+'Income Statement'!AH227+'Income Statement'!AH211</f>
        <v>0</v>
      </c>
      <c r="S36" s="483">
        <f>'Income Statement'!AI218+'Income Statement'!AI234+'Income Statement'!AI227+'Income Statement'!AI211</f>
        <v>0</v>
      </c>
      <c r="T36" s="483">
        <f>'Income Statement'!AJ218+'Income Statement'!AJ234+'Income Statement'!AJ227+'Income Statement'!AJ211</f>
        <v>0</v>
      </c>
      <c r="U36" s="483">
        <f>'Income Statement'!AK218+'Income Statement'!AK234+'Income Statement'!AK227+'Income Statement'!AK211</f>
        <v>0</v>
      </c>
      <c r="V36" s="483">
        <f>'Income Statement'!AL218+'Income Statement'!AL234+'Income Statement'!AL227+'Income Statement'!AL211</f>
        <v>0</v>
      </c>
      <c r="W36" s="483">
        <f>'Income Statement'!AM218+'Income Statement'!AM234+'Income Statement'!AM227+'Income Statement'!AM211</f>
        <v>0</v>
      </c>
      <c r="X36" s="483">
        <f>'Income Statement'!AN218+'Income Statement'!AN234+'Income Statement'!AN227+'Income Statement'!AN211</f>
        <v>0</v>
      </c>
      <c r="Y36" s="483">
        <f>'Income Statement'!AO218+'Income Statement'!AO234+'Income Statement'!AO227+'Income Statement'!AO211</f>
        <v>0</v>
      </c>
      <c r="Z36" s="483">
        <f>'Income Statement'!AP218+'Income Statement'!AP234+'Income Statement'!AP227+'Income Statement'!AP211</f>
        <v>0</v>
      </c>
      <c r="AA36" s="483">
        <f>'Income Statement'!AQ218+'Income Statement'!AQ234+'Income Statement'!AQ227+'Income Statement'!AQ211</f>
        <v>0</v>
      </c>
      <c r="AB36" s="483">
        <f>'Income Statement'!AR218+'Income Statement'!AR234+'Income Statement'!AR227+'Income Statement'!AR211</f>
        <v>0</v>
      </c>
      <c r="AC36" s="556"/>
      <c r="AD36" s="77"/>
      <c r="AK36" s="3"/>
    </row>
    <row r="37" spans="3:37" ht="12.75" customHeight="1">
      <c r="C37" s="174" t="s">
        <v>252</v>
      </c>
      <c r="D37" s="323">
        <v>0.34799999999999998</v>
      </c>
      <c r="E37" s="489">
        <v>0</v>
      </c>
      <c r="F37" s="489">
        <v>0</v>
      </c>
      <c r="G37" s="483">
        <v>238.16900000000001</v>
      </c>
      <c r="H37" s="483">
        <v>171.22</v>
      </c>
      <c r="I37" s="483">
        <v>104.27200000000001</v>
      </c>
      <c r="J37" s="483">
        <v>38.225999999999999</v>
      </c>
      <c r="K37" s="483">
        <v>25.369</v>
      </c>
      <c r="L37" s="483">
        <v>12.510999999999999</v>
      </c>
      <c r="M37" s="483">
        <v>0</v>
      </c>
      <c r="N37" s="483">
        <v>0</v>
      </c>
      <c r="O37" s="483">
        <v>0</v>
      </c>
      <c r="P37" s="483">
        <v>0</v>
      </c>
      <c r="Q37" s="483">
        <v>0</v>
      </c>
      <c r="R37" s="483">
        <v>0</v>
      </c>
      <c r="S37" s="483">
        <v>0</v>
      </c>
      <c r="T37" s="483">
        <v>0</v>
      </c>
      <c r="U37" s="483">
        <v>0</v>
      </c>
      <c r="V37" s="483">
        <v>0</v>
      </c>
      <c r="W37" s="483">
        <v>0</v>
      </c>
      <c r="X37" s="483">
        <v>0</v>
      </c>
      <c r="Y37" s="483">
        <v>0</v>
      </c>
      <c r="Z37" s="483">
        <v>0</v>
      </c>
      <c r="AA37" s="483">
        <v>0</v>
      </c>
      <c r="AB37" s="483">
        <v>0</v>
      </c>
      <c r="AC37" s="556"/>
      <c r="AD37" s="77"/>
      <c r="AK37" s="3"/>
    </row>
    <row r="38" spans="3:37" ht="12.75" customHeight="1">
      <c r="C38" s="14" t="s">
        <v>72</v>
      </c>
      <c r="D38" s="322">
        <v>17.72</v>
      </c>
      <c r="E38" s="488">
        <v>12.061</v>
      </c>
      <c r="F38" s="488">
        <v>6.6340000000000003</v>
      </c>
      <c r="G38" s="371">
        <v>0.64100000000000001</v>
      </c>
      <c r="H38" s="371">
        <v>0</v>
      </c>
      <c r="I38" s="483">
        <f>H38</f>
        <v>0</v>
      </c>
      <c r="J38" s="483">
        <f>I38</f>
        <v>0</v>
      </c>
      <c r="K38" s="483">
        <v>26.803000000000001</v>
      </c>
      <c r="L38" s="483">
        <v>54.552</v>
      </c>
      <c r="M38" s="483">
        <v>48.384999999999998</v>
      </c>
      <c r="N38" s="483">
        <f>281.461+12.687</f>
        <v>294.14800000000002</v>
      </c>
      <c r="O38" s="483">
        <f>N38</f>
        <v>294.14800000000002</v>
      </c>
      <c r="P38" s="483">
        <f t="shared" ref="P38:S39" si="32">O38</f>
        <v>294.14800000000002</v>
      </c>
      <c r="Q38" s="483">
        <f t="shared" si="32"/>
        <v>294.14800000000002</v>
      </c>
      <c r="R38" s="483">
        <f t="shared" si="32"/>
        <v>294.14800000000002</v>
      </c>
      <c r="S38" s="483">
        <f t="shared" si="32"/>
        <v>294.14800000000002</v>
      </c>
      <c r="T38" s="483">
        <f t="shared" ref="T38:AB38" si="33">S38</f>
        <v>294.14800000000002</v>
      </c>
      <c r="U38" s="483">
        <f t="shared" si="33"/>
        <v>294.14800000000002</v>
      </c>
      <c r="V38" s="483">
        <f t="shared" si="33"/>
        <v>294.14800000000002</v>
      </c>
      <c r="W38" s="483">
        <f t="shared" si="33"/>
        <v>294.14800000000002</v>
      </c>
      <c r="X38" s="483">
        <f t="shared" si="33"/>
        <v>294.14800000000002</v>
      </c>
      <c r="Y38" s="483">
        <f t="shared" si="33"/>
        <v>294.14800000000002</v>
      </c>
      <c r="Z38" s="483">
        <f t="shared" si="33"/>
        <v>294.14800000000002</v>
      </c>
      <c r="AA38" s="483">
        <f t="shared" si="33"/>
        <v>294.14800000000002</v>
      </c>
      <c r="AB38" s="483">
        <f t="shared" si="33"/>
        <v>294.14800000000002</v>
      </c>
      <c r="AC38" s="556"/>
      <c r="AD38" s="77"/>
      <c r="AK38" s="3"/>
    </row>
    <row r="39" spans="3:37" ht="12.75" customHeight="1">
      <c r="C39" s="14" t="s">
        <v>348</v>
      </c>
      <c r="D39" s="322"/>
      <c r="E39" s="488"/>
      <c r="F39" s="488"/>
      <c r="G39" s="371"/>
      <c r="H39" s="371"/>
      <c r="I39" s="483">
        <v>0</v>
      </c>
      <c r="J39" s="483">
        <v>0</v>
      </c>
      <c r="K39" s="483">
        <v>0.89500000000000002</v>
      </c>
      <c r="L39" s="483">
        <v>19.640999999999998</v>
      </c>
      <c r="M39" s="483">
        <v>0</v>
      </c>
      <c r="N39" s="483">
        <v>0</v>
      </c>
      <c r="O39" s="483">
        <f>N39</f>
        <v>0</v>
      </c>
      <c r="P39" s="483">
        <f t="shared" si="32"/>
        <v>0</v>
      </c>
      <c r="Q39" s="483">
        <f t="shared" si="32"/>
        <v>0</v>
      </c>
      <c r="R39" s="483">
        <f t="shared" si="32"/>
        <v>0</v>
      </c>
      <c r="S39" s="483">
        <f t="shared" si="32"/>
        <v>0</v>
      </c>
      <c r="T39" s="483">
        <f t="shared" ref="T39:AB39" si="34">S39</f>
        <v>0</v>
      </c>
      <c r="U39" s="483">
        <f t="shared" si="34"/>
        <v>0</v>
      </c>
      <c r="V39" s="483">
        <f t="shared" si="34"/>
        <v>0</v>
      </c>
      <c r="W39" s="483">
        <f t="shared" si="34"/>
        <v>0</v>
      </c>
      <c r="X39" s="483">
        <f t="shared" si="34"/>
        <v>0</v>
      </c>
      <c r="Y39" s="483">
        <f t="shared" si="34"/>
        <v>0</v>
      </c>
      <c r="Z39" s="483">
        <f t="shared" si="34"/>
        <v>0</v>
      </c>
      <c r="AA39" s="483">
        <f t="shared" si="34"/>
        <v>0</v>
      </c>
      <c r="AB39" s="483">
        <f t="shared" si="34"/>
        <v>0</v>
      </c>
      <c r="AC39" s="556"/>
      <c r="AD39" s="77"/>
      <c r="AK39" s="3"/>
    </row>
    <row r="40" spans="3:37" ht="12.75" customHeight="1">
      <c r="C40" s="636" t="s">
        <v>146</v>
      </c>
      <c r="D40" s="637">
        <f>SUM(D33:D38)</f>
        <v>438.51099999999997</v>
      </c>
      <c r="E40" s="620">
        <f>SUM(E33:E38)</f>
        <v>435.21199999999993</v>
      </c>
      <c r="F40" s="620">
        <f>SUM(F33:F38)</f>
        <v>453.13799999999998</v>
      </c>
      <c r="G40" s="638">
        <f>SUM(G33:G38)</f>
        <v>814.77399999999989</v>
      </c>
      <c r="H40" s="638">
        <f>SUM(H33:H38)</f>
        <v>578.22500000000002</v>
      </c>
      <c r="I40" s="638">
        <f t="shared" ref="I40:S40" si="35">SUM(I33:I39)</f>
        <v>556.03899999999999</v>
      </c>
      <c r="J40" s="638">
        <f t="shared" si="35"/>
        <v>505.37600000000003</v>
      </c>
      <c r="K40" s="638">
        <f t="shared" si="35"/>
        <v>822.67600000000004</v>
      </c>
      <c r="L40" s="638">
        <f t="shared" si="35"/>
        <v>911.69699999999989</v>
      </c>
      <c r="M40" s="638">
        <f t="shared" si="35"/>
        <v>836.28500000000008</v>
      </c>
      <c r="N40" s="638">
        <f t="shared" si="35"/>
        <v>1219.1300000000001</v>
      </c>
      <c r="O40" s="638">
        <f t="shared" si="35"/>
        <v>736.93082363135727</v>
      </c>
      <c r="P40" s="638">
        <f t="shared" si="35"/>
        <v>711.46174493877561</v>
      </c>
      <c r="Q40" s="638">
        <f t="shared" si="35"/>
        <v>747.8640784349418</v>
      </c>
      <c r="R40" s="638">
        <f t="shared" si="35"/>
        <v>740.34203050105975</v>
      </c>
      <c r="S40" s="638">
        <f t="shared" si="35"/>
        <v>753.1929341558191</v>
      </c>
      <c r="T40" s="638">
        <f t="shared" ref="T40:AB40" si="36">SUM(T33:T39)</f>
        <v>764.68168488401363</v>
      </c>
      <c r="U40" s="638">
        <f t="shared" si="36"/>
        <v>774.8998909038387</v>
      </c>
      <c r="V40" s="638">
        <f t="shared" si="36"/>
        <v>784.82309073442798</v>
      </c>
      <c r="W40" s="638">
        <f t="shared" si="36"/>
        <v>794.3655699199461</v>
      </c>
      <c r="X40" s="638">
        <f t="shared" si="36"/>
        <v>798.04415322593513</v>
      </c>
      <c r="Y40" s="638">
        <f t="shared" si="36"/>
        <v>783.81590536805948</v>
      </c>
      <c r="Z40" s="638">
        <f t="shared" si="36"/>
        <v>781.4040561021917</v>
      </c>
      <c r="AA40" s="638">
        <f t="shared" si="36"/>
        <v>782.62786320531109</v>
      </c>
      <c r="AB40" s="638">
        <f t="shared" si="36"/>
        <v>786.83254496708582</v>
      </c>
      <c r="AC40" s="556"/>
      <c r="AD40" s="77"/>
      <c r="AK40" s="3"/>
    </row>
    <row r="41" spans="3:37" ht="12.75" customHeight="1">
      <c r="C41" s="13"/>
      <c r="D41" s="326"/>
      <c r="E41" s="488"/>
      <c r="F41" s="488"/>
      <c r="G41" s="371"/>
      <c r="H41" s="371"/>
      <c r="I41" s="483"/>
      <c r="J41" s="483"/>
      <c r="K41" s="483"/>
      <c r="L41" s="483"/>
      <c r="M41" s="483"/>
      <c r="N41" s="483"/>
      <c r="O41" s="483"/>
      <c r="P41" s="483"/>
      <c r="Q41" s="483"/>
      <c r="R41" s="483"/>
      <c r="S41" s="483"/>
      <c r="T41" s="483"/>
      <c r="U41" s="483"/>
      <c r="V41" s="483"/>
      <c r="W41" s="483"/>
      <c r="X41" s="483"/>
      <c r="Y41" s="483"/>
      <c r="Z41" s="483"/>
      <c r="AA41" s="483"/>
      <c r="AB41" s="483"/>
      <c r="AC41" s="556"/>
      <c r="AD41" s="77"/>
      <c r="AK41" s="3"/>
    </row>
    <row r="42" spans="3:37" ht="12.75" customHeight="1">
      <c r="C42" s="14" t="s">
        <v>147</v>
      </c>
      <c r="D42" s="326"/>
      <c r="E42" s="488"/>
      <c r="F42" s="494"/>
      <c r="G42" s="485"/>
      <c r="H42" s="485"/>
      <c r="I42" s="483"/>
      <c r="J42" s="483"/>
      <c r="K42" s="483"/>
      <c r="L42" s="483"/>
      <c r="M42" s="483"/>
      <c r="N42" s="483"/>
      <c r="O42" s="483"/>
      <c r="P42" s="483"/>
      <c r="Q42" s="483"/>
      <c r="R42" s="483"/>
      <c r="S42" s="483"/>
      <c r="T42" s="483"/>
      <c r="U42" s="483"/>
      <c r="V42" s="483"/>
      <c r="W42" s="483"/>
      <c r="X42" s="483"/>
      <c r="Y42" s="483"/>
      <c r="Z42" s="483"/>
      <c r="AA42" s="483"/>
      <c r="AB42" s="483"/>
      <c r="AC42" s="556"/>
      <c r="AD42" s="77"/>
      <c r="AK42" s="3"/>
    </row>
    <row r="43" spans="3:37" ht="12.75" customHeight="1">
      <c r="C43" s="12" t="s">
        <v>148</v>
      </c>
      <c r="D43" s="322">
        <f>828.936+0.084</f>
        <v>829.02</v>
      </c>
      <c r="E43" s="488">
        <f>841.32+0.085</f>
        <v>841.40500000000009</v>
      </c>
      <c r="F43" s="488">
        <f>961.214+0.097</f>
        <v>961.31100000000004</v>
      </c>
      <c r="G43" s="371">
        <f>1287.974+0.119</f>
        <v>1288.0929999999998</v>
      </c>
      <c r="H43" s="371">
        <f>0.123+1332.277</f>
        <v>1332.4</v>
      </c>
      <c r="I43" s="483">
        <f>0.126+1380.725</f>
        <v>1380.8509999999999</v>
      </c>
      <c r="J43" s="483">
        <f>0.133+1476.922</f>
        <v>1477.0550000000001</v>
      </c>
      <c r="K43" s="483">
        <f>0.163+1541.773</f>
        <v>1541.9359999999999</v>
      </c>
      <c r="L43" s="483">
        <f>0.171+1701.904</f>
        <v>1702.075</v>
      </c>
      <c r="M43" s="483">
        <f>0.187+1950.764</f>
        <v>1950.9509999999998</v>
      </c>
      <c r="N43" s="483">
        <f>0.189+2096.929</f>
        <v>2097.1179999999999</v>
      </c>
      <c r="O43" s="483">
        <f t="shared" ref="O43:S43" si="37">+N43+O146</f>
        <v>2947.4085442016499</v>
      </c>
      <c r="P43" s="483">
        <f t="shared" si="37"/>
        <v>3191.6777074631977</v>
      </c>
      <c r="Q43" s="483">
        <f t="shared" si="37"/>
        <v>3483.2168201069571</v>
      </c>
      <c r="R43" s="483">
        <f t="shared" si="37"/>
        <v>3798.8803741416114</v>
      </c>
      <c r="S43" s="483">
        <f t="shared" si="37"/>
        <v>4138.4013675861233</v>
      </c>
      <c r="T43" s="483">
        <f t="shared" ref="T43:AB43" si="38">+S43+T146</f>
        <v>4501.3787209542716</v>
      </c>
      <c r="U43" s="483">
        <f t="shared" si="38"/>
        <v>4891.0203932195354</v>
      </c>
      <c r="V43" s="483">
        <f t="shared" si="38"/>
        <v>5318.5023411708671</v>
      </c>
      <c r="W43" s="483">
        <f t="shared" si="38"/>
        <v>5790.3388580568198</v>
      </c>
      <c r="X43" s="483">
        <f t="shared" si="38"/>
        <v>6311.3443245535127</v>
      </c>
      <c r="Y43" s="483">
        <f t="shared" si="38"/>
        <v>6848.1988238431259</v>
      </c>
      <c r="Z43" s="483">
        <f t="shared" si="38"/>
        <v>7439.6868210240973</v>
      </c>
      <c r="AA43" s="483">
        <f t="shared" si="38"/>
        <v>8100.647053018708</v>
      </c>
      <c r="AB43" s="483">
        <f t="shared" si="38"/>
        <v>8848.2180313522585</v>
      </c>
      <c r="AC43" s="556"/>
      <c r="AD43" s="77"/>
      <c r="AK43" s="3"/>
    </row>
    <row r="44" spans="3:37" ht="12.75" customHeight="1">
      <c r="C44" s="12" t="s">
        <v>326</v>
      </c>
      <c r="D44" s="322">
        <v>-0.41499999999999998</v>
      </c>
      <c r="E44" s="488">
        <v>-0.52800000000000002</v>
      </c>
      <c r="F44" s="488">
        <v>-2.7469999999999999</v>
      </c>
      <c r="G44" s="371">
        <v>0.70699999999999996</v>
      </c>
      <c r="H44" s="371">
        <v>1.986</v>
      </c>
      <c r="I44" s="483">
        <v>1.6419999999999999</v>
      </c>
      <c r="J44" s="483">
        <v>1.8779999999999999</v>
      </c>
      <c r="K44" s="483">
        <v>1.9930000000000001</v>
      </c>
      <c r="L44" s="483">
        <v>1.8149999999999999</v>
      </c>
      <c r="M44" s="483">
        <v>-0.80900000000000005</v>
      </c>
      <c r="N44" s="483">
        <v>-2.8860000000000001</v>
      </c>
      <c r="O44" s="483">
        <f t="shared" ref="O44:S44" si="39">N44</f>
        <v>-2.8860000000000001</v>
      </c>
      <c r="P44" s="483">
        <f t="shared" si="39"/>
        <v>-2.8860000000000001</v>
      </c>
      <c r="Q44" s="483">
        <f t="shared" si="39"/>
        <v>-2.8860000000000001</v>
      </c>
      <c r="R44" s="483">
        <f t="shared" si="39"/>
        <v>-2.8860000000000001</v>
      </c>
      <c r="S44" s="483">
        <f t="shared" si="39"/>
        <v>-2.8860000000000001</v>
      </c>
      <c r="T44" s="483">
        <f t="shared" ref="T44:AB44" si="40">S44</f>
        <v>-2.8860000000000001</v>
      </c>
      <c r="U44" s="483">
        <f t="shared" si="40"/>
        <v>-2.8860000000000001</v>
      </c>
      <c r="V44" s="483">
        <f t="shared" si="40"/>
        <v>-2.8860000000000001</v>
      </c>
      <c r="W44" s="483">
        <f t="shared" si="40"/>
        <v>-2.8860000000000001</v>
      </c>
      <c r="X44" s="483">
        <f t="shared" si="40"/>
        <v>-2.8860000000000001</v>
      </c>
      <c r="Y44" s="483">
        <f t="shared" si="40"/>
        <v>-2.8860000000000001</v>
      </c>
      <c r="Z44" s="483">
        <f t="shared" si="40"/>
        <v>-2.8860000000000001</v>
      </c>
      <c r="AA44" s="483">
        <f t="shared" si="40"/>
        <v>-2.8860000000000001</v>
      </c>
      <c r="AB44" s="483">
        <f t="shared" si="40"/>
        <v>-2.8860000000000001</v>
      </c>
      <c r="AC44" s="556"/>
      <c r="AD44" s="77"/>
      <c r="AK44" s="3"/>
    </row>
    <row r="45" spans="3:37" ht="12.75" customHeight="1">
      <c r="C45" s="12" t="s">
        <v>153</v>
      </c>
      <c r="D45" s="322">
        <v>-913.51300000000003</v>
      </c>
      <c r="E45" s="488">
        <v>-1000.394</v>
      </c>
      <c r="F45" s="488">
        <v>-1179.3140000000001</v>
      </c>
      <c r="G45" s="469">
        <v>-1391.184</v>
      </c>
      <c r="H45" s="577">
        <f>G45+'Income Statement'!H82</f>
        <v>-1423.03</v>
      </c>
      <c r="I45" s="584">
        <v>-1609.57</v>
      </c>
      <c r="J45" s="584">
        <v>-1653.89</v>
      </c>
      <c r="K45" s="584">
        <v>-1737.037</v>
      </c>
      <c r="L45" s="584">
        <v>-1785.518</v>
      </c>
      <c r="M45" s="584">
        <v>-1778.9870000000001</v>
      </c>
      <c r="N45" s="584">
        <v>-1674.7650000000001</v>
      </c>
      <c r="O45" s="584">
        <f t="shared" ref="O45:AB45" si="41">O23-O40-O43-O44</f>
        <v>-1995.1693024821277</v>
      </c>
      <c r="P45" s="584">
        <f t="shared" si="41"/>
        <v>-2164.0867565602657</v>
      </c>
      <c r="Q45" s="584">
        <f t="shared" si="41"/>
        <v>-2252.7401114340541</v>
      </c>
      <c r="R45" s="584">
        <f t="shared" si="41"/>
        <v>-2238.6316841370931</v>
      </c>
      <c r="S45" s="584">
        <f t="shared" si="41"/>
        <v>-2037.9037376099973</v>
      </c>
      <c r="T45" s="584">
        <f t="shared" si="41"/>
        <v>-1587.0714735200227</v>
      </c>
      <c r="U45" s="584">
        <f t="shared" si="41"/>
        <v>-1020.2226424174569</v>
      </c>
      <c r="V45" s="584">
        <f t="shared" si="41"/>
        <v>-354.53347388672358</v>
      </c>
      <c r="W45" s="584">
        <f t="shared" si="41"/>
        <v>330.89917367568938</v>
      </c>
      <c r="X45" s="584">
        <f t="shared" si="41"/>
        <v>477.40759589392616</v>
      </c>
      <c r="Y45" s="584">
        <f t="shared" si="41"/>
        <v>-1249.5255568293501</v>
      </c>
      <c r="Z45" s="584">
        <f t="shared" si="41"/>
        <v>-3264.0053640345091</v>
      </c>
      <c r="AA45" s="584">
        <f t="shared" si="41"/>
        <v>-5447.4128393305418</v>
      </c>
      <c r="AB45" s="584">
        <f t="shared" si="41"/>
        <v>-7934.776461205849</v>
      </c>
      <c r="AC45" s="556"/>
      <c r="AD45" s="77"/>
      <c r="AK45" s="3"/>
    </row>
    <row r="46" spans="3:37" ht="12.75" customHeight="1">
      <c r="C46" s="636" t="s">
        <v>126</v>
      </c>
      <c r="D46" s="637">
        <f t="shared" ref="D46:M46" si="42">SUM(D43:D45)</f>
        <v>-84.908000000000015</v>
      </c>
      <c r="E46" s="620">
        <f t="shared" si="42"/>
        <v>-159.51699999999994</v>
      </c>
      <c r="F46" s="620">
        <f t="shared" si="42"/>
        <v>-220.75</v>
      </c>
      <c r="G46" s="638">
        <f t="shared" si="42"/>
        <v>-102.38400000000001</v>
      </c>
      <c r="H46" s="638">
        <f t="shared" si="42"/>
        <v>-88.643999999999778</v>
      </c>
      <c r="I46" s="638">
        <f t="shared" si="42"/>
        <v>-227.077</v>
      </c>
      <c r="J46" s="638">
        <f t="shared" si="42"/>
        <v>-174.95700000000011</v>
      </c>
      <c r="K46" s="1398">
        <f t="shared" si="42"/>
        <v>-193.10800000000017</v>
      </c>
      <c r="L46" s="1398">
        <f t="shared" si="42"/>
        <v>-81.627999999999929</v>
      </c>
      <c r="M46" s="1398">
        <f t="shared" si="42"/>
        <v>171.15499999999975</v>
      </c>
      <c r="N46" s="1398">
        <f t="shared" ref="N46:AB46" si="43">SUM(N43:N45)</f>
        <v>419.46699999999987</v>
      </c>
      <c r="O46" s="1398">
        <f t="shared" si="43"/>
        <v>949.3532417195222</v>
      </c>
      <c r="P46" s="1398">
        <f t="shared" si="43"/>
        <v>1024.7049509029321</v>
      </c>
      <c r="Q46" s="1398">
        <f t="shared" si="43"/>
        <v>1227.590708672903</v>
      </c>
      <c r="R46" s="1398">
        <f t="shared" si="43"/>
        <v>1557.3626900045183</v>
      </c>
      <c r="S46" s="1398">
        <f t="shared" si="43"/>
        <v>2097.6116299761256</v>
      </c>
      <c r="T46" s="1398">
        <f t="shared" si="43"/>
        <v>2911.4212474342485</v>
      </c>
      <c r="U46" s="1398">
        <f t="shared" si="43"/>
        <v>3867.9117508020781</v>
      </c>
      <c r="V46" s="1398">
        <f t="shared" si="43"/>
        <v>4961.0828672841435</v>
      </c>
      <c r="W46" s="1398">
        <f t="shared" si="43"/>
        <v>6118.3520317325092</v>
      </c>
      <c r="X46" s="1398">
        <f t="shared" si="43"/>
        <v>6785.8659204474388</v>
      </c>
      <c r="Y46" s="1398">
        <f t="shared" si="43"/>
        <v>5595.7872670137749</v>
      </c>
      <c r="Z46" s="1398">
        <f t="shared" si="43"/>
        <v>4172.7954569895883</v>
      </c>
      <c r="AA46" s="1398">
        <f t="shared" si="43"/>
        <v>2650.3482136881657</v>
      </c>
      <c r="AB46" s="1398">
        <f t="shared" si="43"/>
        <v>910.55557014640908</v>
      </c>
      <c r="AC46" s="556"/>
      <c r="AD46" s="77"/>
      <c r="AK46" s="11"/>
    </row>
    <row r="47" spans="3:37" ht="12.75" customHeight="1">
      <c r="C47" s="13"/>
      <c r="D47" s="78"/>
      <c r="E47" s="495"/>
      <c r="F47" s="495"/>
      <c r="G47" s="503"/>
      <c r="H47" s="503"/>
      <c r="I47" s="504"/>
      <c r="J47" s="504"/>
      <c r="K47" s="1474"/>
      <c r="L47" s="1474"/>
      <c r="M47" s="1474"/>
      <c r="N47" s="1474"/>
      <c r="O47" s="1474"/>
      <c r="P47" s="1474"/>
      <c r="Q47" s="1474"/>
      <c r="R47" s="1474"/>
      <c r="S47" s="1474"/>
      <c r="T47" s="1474"/>
      <c r="U47" s="1474"/>
      <c r="V47" s="1474"/>
      <c r="W47" s="1474"/>
      <c r="X47" s="1474"/>
      <c r="Y47" s="1474"/>
      <c r="Z47" s="1474"/>
      <c r="AA47" s="1474"/>
      <c r="AB47" s="1474"/>
      <c r="AC47" s="556"/>
      <c r="AD47" s="77"/>
      <c r="AK47" s="15"/>
    </row>
    <row r="48" spans="3:37" ht="12.75" customHeight="1">
      <c r="C48" s="636" t="s">
        <v>830</v>
      </c>
      <c r="D48" s="637">
        <f t="shared" ref="D48:M48" si="44">D40+D46</f>
        <v>353.60299999999995</v>
      </c>
      <c r="E48" s="620">
        <f t="shared" si="44"/>
        <v>275.69499999999999</v>
      </c>
      <c r="F48" s="620">
        <f t="shared" si="44"/>
        <v>232.38799999999998</v>
      </c>
      <c r="G48" s="638">
        <f t="shared" si="44"/>
        <v>712.38999999999987</v>
      </c>
      <c r="H48" s="638">
        <f t="shared" si="44"/>
        <v>489.58100000000024</v>
      </c>
      <c r="I48" s="638">
        <f t="shared" si="44"/>
        <v>328.96199999999999</v>
      </c>
      <c r="J48" s="638">
        <f t="shared" si="44"/>
        <v>330.41899999999993</v>
      </c>
      <c r="K48" s="1398">
        <f t="shared" si="44"/>
        <v>629.56799999999987</v>
      </c>
      <c r="L48" s="1398">
        <f t="shared" si="44"/>
        <v>830.06899999999996</v>
      </c>
      <c r="M48" s="1398">
        <f t="shared" si="44"/>
        <v>1007.4399999999998</v>
      </c>
      <c r="N48" s="1398">
        <f t="shared" ref="N48:AB48" si="45">N40+N46</f>
        <v>1638.597</v>
      </c>
      <c r="O48" s="1398">
        <f t="shared" si="45"/>
        <v>1686.2840653508795</v>
      </c>
      <c r="P48" s="1398">
        <f t="shared" si="45"/>
        <v>1736.1666958417077</v>
      </c>
      <c r="Q48" s="1398">
        <f t="shared" si="45"/>
        <v>1975.4547871078448</v>
      </c>
      <c r="R48" s="1398">
        <f t="shared" si="45"/>
        <v>2297.7047205055778</v>
      </c>
      <c r="S48" s="1398">
        <f t="shared" si="45"/>
        <v>2850.804564131945</v>
      </c>
      <c r="T48" s="1398">
        <f t="shared" si="45"/>
        <v>3676.102932318262</v>
      </c>
      <c r="U48" s="1398">
        <f t="shared" si="45"/>
        <v>4642.8116417059173</v>
      </c>
      <c r="V48" s="1398">
        <f t="shared" si="45"/>
        <v>5745.9059580185713</v>
      </c>
      <c r="W48" s="1398">
        <f t="shared" si="45"/>
        <v>6912.7176016524554</v>
      </c>
      <c r="X48" s="1398">
        <f t="shared" si="45"/>
        <v>7583.9100736733744</v>
      </c>
      <c r="Y48" s="1398">
        <f t="shared" si="45"/>
        <v>6379.6031723818342</v>
      </c>
      <c r="Z48" s="1398">
        <f t="shared" si="45"/>
        <v>4954.1995130917803</v>
      </c>
      <c r="AA48" s="1398">
        <f t="shared" si="45"/>
        <v>3432.9760768934766</v>
      </c>
      <c r="AB48" s="1398">
        <f t="shared" si="45"/>
        <v>1697.3881151134949</v>
      </c>
      <c r="AC48" s="556"/>
      <c r="AD48" s="77"/>
      <c r="AK48" s="11"/>
    </row>
    <row r="49" spans="3:37" ht="12.75" customHeight="1">
      <c r="C49" s="10"/>
      <c r="D49" s="320"/>
      <c r="E49" s="320"/>
      <c r="F49" s="327"/>
      <c r="G49" s="470"/>
      <c r="H49" s="470"/>
      <c r="I49" s="481"/>
      <c r="J49" s="470"/>
      <c r="K49" s="470"/>
      <c r="L49" s="470"/>
      <c r="M49" s="470"/>
      <c r="N49" s="470"/>
      <c r="O49" s="470"/>
      <c r="P49" s="470"/>
      <c r="Q49" s="470"/>
      <c r="R49" s="470"/>
      <c r="S49" s="470"/>
      <c r="T49" s="470"/>
      <c r="U49" s="470"/>
      <c r="V49" s="470"/>
      <c r="W49" s="470"/>
      <c r="X49" s="470"/>
      <c r="Y49" s="470"/>
      <c r="Z49" s="470"/>
      <c r="AA49" s="470"/>
      <c r="AB49" s="470"/>
      <c r="AC49" s="111"/>
      <c r="AD49" s="3"/>
      <c r="AK49" s="3"/>
    </row>
    <row r="50" spans="3:37" ht="12.75" hidden="1" customHeight="1" outlineLevel="1">
      <c r="C50" s="16" t="s">
        <v>11</v>
      </c>
      <c r="D50" s="484">
        <f>+D23-D48</f>
        <v>0</v>
      </c>
      <c r="E50" s="484">
        <f>+E23-E48</f>
        <v>0</v>
      </c>
      <c r="F50" s="484">
        <f>+F23-F48</f>
        <v>0</v>
      </c>
      <c r="G50" s="484">
        <f>+G23-G48</f>
        <v>0</v>
      </c>
      <c r="H50" s="484">
        <f t="shared" ref="H50:AB50" si="46">(H23-H48)</f>
        <v>-5.6843418860808015E-14</v>
      </c>
      <c r="I50" s="643">
        <f t="shared" si="46"/>
        <v>0</v>
      </c>
      <c r="J50" s="643">
        <f t="shared" si="46"/>
        <v>1.7053025658242404E-13</v>
      </c>
      <c r="K50" s="643">
        <f t="shared" si="46"/>
        <v>1.1368683772161603E-13</v>
      </c>
      <c r="L50" s="643">
        <f t="shared" si="46"/>
        <v>0</v>
      </c>
      <c r="M50" s="643">
        <f t="shared" si="46"/>
        <v>2.2737367544323206E-13</v>
      </c>
      <c r="N50" s="643">
        <f t="shared" si="46"/>
        <v>2.2737367544323206E-13</v>
      </c>
      <c r="O50" s="643">
        <f t="shared" si="46"/>
        <v>0</v>
      </c>
      <c r="P50" s="643">
        <f t="shared" si="46"/>
        <v>0</v>
      </c>
      <c r="Q50" s="643">
        <f t="shared" si="46"/>
        <v>2.2737367544323206E-13</v>
      </c>
      <c r="R50" s="643">
        <f t="shared" si="46"/>
        <v>4.5474735088646412E-13</v>
      </c>
      <c r="S50" s="643">
        <f t="shared" si="46"/>
        <v>0</v>
      </c>
      <c r="T50" s="643">
        <f t="shared" si="46"/>
        <v>4.5474735088646412E-13</v>
      </c>
      <c r="U50" s="643">
        <f t="shared" si="46"/>
        <v>0</v>
      </c>
      <c r="V50" s="643">
        <f t="shared" si="46"/>
        <v>0</v>
      </c>
      <c r="W50" s="643">
        <f t="shared" si="46"/>
        <v>0</v>
      </c>
      <c r="X50" s="643">
        <f t="shared" si="46"/>
        <v>0</v>
      </c>
      <c r="Y50" s="643">
        <f t="shared" si="46"/>
        <v>9.0949470177292824E-13</v>
      </c>
      <c r="Z50" s="643">
        <f t="shared" si="46"/>
        <v>0</v>
      </c>
      <c r="AA50" s="643">
        <f t="shared" si="46"/>
        <v>0</v>
      </c>
      <c r="AB50" s="643">
        <f t="shared" si="46"/>
        <v>4.5474735088646412E-13</v>
      </c>
      <c r="AC50" s="269"/>
      <c r="AD50" s="3"/>
      <c r="AK50" s="3"/>
    </row>
    <row r="51" spans="3:37" ht="12.75" customHeight="1" collapsed="1">
      <c r="C51" s="17"/>
      <c r="D51" s="76"/>
      <c r="E51" s="328"/>
      <c r="F51" s="328"/>
      <c r="G51" s="328"/>
      <c r="H51" s="328"/>
      <c r="I51" s="328"/>
      <c r="J51" s="328"/>
      <c r="K51" s="328"/>
      <c r="L51" s="328"/>
      <c r="M51" s="328"/>
      <c r="N51" s="328"/>
      <c r="O51" s="328"/>
      <c r="P51" s="328"/>
      <c r="Q51" s="328"/>
      <c r="R51" s="328"/>
      <c r="S51" s="328"/>
      <c r="T51" s="328"/>
      <c r="U51" s="328"/>
      <c r="V51" s="328"/>
      <c r="W51" s="328"/>
      <c r="X51" s="328"/>
      <c r="Y51" s="328"/>
      <c r="Z51" s="328"/>
      <c r="AA51" s="328"/>
      <c r="AB51" s="328"/>
      <c r="AC51" s="270"/>
      <c r="AD51" s="3"/>
      <c r="AK51" s="3"/>
    </row>
    <row r="52" spans="3:37">
      <c r="E52" s="187"/>
      <c r="L52" s="358"/>
    </row>
    <row r="53" spans="3:37" ht="12.75" hidden="1" customHeight="1" outlineLevel="1">
      <c r="C53" s="59"/>
      <c r="D53" s="18"/>
      <c r="E53" s="326"/>
      <c r="F53" s="326"/>
      <c r="G53" s="326"/>
      <c r="H53" s="326"/>
      <c r="I53" s="329"/>
      <c r="J53" s="329"/>
      <c r="K53" s="329"/>
      <c r="L53" s="329"/>
      <c r="M53" s="329"/>
      <c r="N53" s="329"/>
      <c r="O53" s="329"/>
      <c r="P53" s="329"/>
      <c r="Q53" s="329"/>
      <c r="R53" s="329"/>
      <c r="S53" s="329"/>
      <c r="T53" s="329"/>
      <c r="U53" s="329"/>
      <c r="V53" s="329"/>
      <c r="W53" s="329"/>
      <c r="X53" s="329"/>
      <c r="Y53" s="329"/>
      <c r="Z53" s="329"/>
      <c r="AA53" s="329"/>
      <c r="AB53" s="329"/>
      <c r="AC53" s="271"/>
      <c r="AD53" s="3"/>
      <c r="AK53" s="3"/>
    </row>
    <row r="54" spans="3:37" ht="12.75" hidden="1" customHeight="1" outlineLevel="1">
      <c r="C54" s="19" t="s">
        <v>127</v>
      </c>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72"/>
      <c r="AD54" s="3"/>
      <c r="AK54" s="3"/>
    </row>
    <row r="55" spans="3:37" ht="12.75" hidden="1" customHeight="1" outlineLevel="1">
      <c r="C55" s="673" t="s">
        <v>134</v>
      </c>
      <c r="D55" s="645">
        <v>2006</v>
      </c>
      <c r="E55" s="645">
        <f t="shared" ref="E55:M55" si="47">+D55+1</f>
        <v>2007</v>
      </c>
      <c r="F55" s="645">
        <f t="shared" si="47"/>
        <v>2008</v>
      </c>
      <c r="G55" s="645">
        <f t="shared" si="47"/>
        <v>2009</v>
      </c>
      <c r="H55" s="645">
        <f t="shared" si="47"/>
        <v>2010</v>
      </c>
      <c r="I55" s="645">
        <f t="shared" si="47"/>
        <v>2011</v>
      </c>
      <c r="J55" s="645">
        <f t="shared" si="47"/>
        <v>2012</v>
      </c>
      <c r="K55" s="645">
        <f t="shared" si="47"/>
        <v>2013</v>
      </c>
      <c r="L55" s="645">
        <f t="shared" si="47"/>
        <v>2014</v>
      </c>
      <c r="M55" s="645">
        <f t="shared" si="47"/>
        <v>2015</v>
      </c>
      <c r="N55" s="645">
        <f t="shared" ref="N55:S55" si="48">+M55+1</f>
        <v>2016</v>
      </c>
      <c r="O55" s="273">
        <f t="shared" si="48"/>
        <v>2017</v>
      </c>
      <c r="P55" s="273">
        <f t="shared" si="48"/>
        <v>2018</v>
      </c>
      <c r="Q55" s="273">
        <f t="shared" si="48"/>
        <v>2019</v>
      </c>
      <c r="R55" s="273">
        <f t="shared" si="48"/>
        <v>2020</v>
      </c>
      <c r="S55" s="273">
        <f t="shared" si="48"/>
        <v>2021</v>
      </c>
      <c r="T55" s="273">
        <f t="shared" ref="T55:AB55" si="49">+S55+1</f>
        <v>2022</v>
      </c>
      <c r="U55" s="273">
        <f t="shared" si="49"/>
        <v>2023</v>
      </c>
      <c r="V55" s="273">
        <f t="shared" si="49"/>
        <v>2024</v>
      </c>
      <c r="W55" s="273">
        <f t="shared" si="49"/>
        <v>2025</v>
      </c>
      <c r="X55" s="273">
        <f t="shared" si="49"/>
        <v>2026</v>
      </c>
      <c r="Y55" s="273">
        <f t="shared" si="49"/>
        <v>2027</v>
      </c>
      <c r="Z55" s="273">
        <f t="shared" si="49"/>
        <v>2028</v>
      </c>
      <c r="AA55" s="273">
        <f t="shared" si="49"/>
        <v>2029</v>
      </c>
      <c r="AB55" s="273">
        <f t="shared" si="49"/>
        <v>2030</v>
      </c>
      <c r="AC55" s="273"/>
      <c r="AD55" s="3"/>
      <c r="AK55" s="3"/>
    </row>
    <row r="56" spans="3:37" ht="12.75" hidden="1" customHeight="1" outlineLevel="1">
      <c r="C56" s="687" t="s">
        <v>139</v>
      </c>
      <c r="D56" s="116">
        <f>'Income Statement'!D6</f>
        <v>0</v>
      </c>
      <c r="E56" s="330">
        <f>'Income Statement'!E6</f>
        <v>0</v>
      </c>
      <c r="F56" s="330">
        <f>'Income Statement'!F6</f>
        <v>0</v>
      </c>
      <c r="G56" s="482">
        <f>'Income Statement'!G6</f>
        <v>0</v>
      </c>
      <c r="H56" s="482">
        <f>SUM('Income Statement'!H6,'Income Statement'!H17)</f>
        <v>0</v>
      </c>
      <c r="I56" s="482">
        <f>'Income Statement'!I6+'Income Statement'!I23</f>
        <v>2.012</v>
      </c>
      <c r="J56" s="482">
        <f>'Income Statement'!J6+'Income Statement'!J23</f>
        <v>136.00200000000001</v>
      </c>
      <c r="K56" s="482">
        <f>'Income Statement'!K6+'Income Statement'!K23</f>
        <v>235.44299999999998</v>
      </c>
      <c r="L56" s="482">
        <f>'Income Statement'!L6+'Income Statement'!L23</f>
        <v>357.56200000000001</v>
      </c>
      <c r="M56" s="482">
        <f>'Income Statement'!Q6+'Income Statement'!Q23</f>
        <v>601.01599999999996</v>
      </c>
      <c r="N56" s="482">
        <f>'Income Statement'!V6+'Income Statement'!V23</f>
        <v>852.81600000000003</v>
      </c>
      <c r="O56" s="482">
        <f>'Income Statement'!AA6+'Income Statement'!AA23</f>
        <v>1133.3920000000001</v>
      </c>
      <c r="P56" s="482">
        <f>'Income Statement'!AF6+'Income Statement'!AF23</f>
        <v>1385</v>
      </c>
      <c r="Q56" s="482">
        <f>'Income Statement'!AG6+'Income Statement'!AG23</f>
        <v>1583.6441698820931</v>
      </c>
      <c r="R56" s="482">
        <f>'Income Statement'!AH6+'Income Statement'!AH23</f>
        <v>1785.5074684280949</v>
      </c>
      <c r="S56" s="482">
        <f>'Income Statement'!AI6+'Income Statement'!AI23</f>
        <v>1999.138789612045</v>
      </c>
      <c r="T56" s="482">
        <f>'Income Statement'!AJ6+'Income Statement'!AJ23</f>
        <v>2214.710454838465</v>
      </c>
      <c r="U56" s="482">
        <f>'Income Statement'!AK6+'Income Statement'!AK23</f>
        <v>2406.8585330246624</v>
      </c>
      <c r="V56" s="482">
        <f>'Income Statement'!AL6+'Income Statement'!AL23</f>
        <v>2550.1582973259574</v>
      </c>
      <c r="W56" s="482">
        <f>'Income Statement'!AM6+'Income Statement'!AM23</f>
        <v>2635.770193637597</v>
      </c>
      <c r="X56" s="482">
        <f>'Income Statement'!AN6+'Income Statement'!AN23</f>
        <v>2130.0519107038381</v>
      </c>
      <c r="Y56" s="482">
        <f>'Income Statement'!AO6+'Income Statement'!AO23</f>
        <v>399.13583866335932</v>
      </c>
      <c r="Z56" s="482">
        <f>'Income Statement'!AP6+'Income Statement'!AP23</f>
        <v>132.8723552194881</v>
      </c>
      <c r="AA56" s="482">
        <f>'Income Statement'!AQ6+'Income Statement'!AQ23</f>
        <v>26.419882873963786</v>
      </c>
      <c r="AB56" s="482">
        <f>'Income Statement'!AR6+'Income Statement'!AR23</f>
        <v>15.758809188589465</v>
      </c>
      <c r="AC56" s="112"/>
      <c r="AD56" s="3"/>
      <c r="AK56" s="3"/>
    </row>
    <row r="57" spans="3:37" ht="12.75" hidden="1" customHeight="1" outlineLevel="1">
      <c r="C57" s="688" t="s">
        <v>80</v>
      </c>
      <c r="D57" s="113">
        <f>SUM('Income Statement'!D28:D29)</f>
        <v>27.643000000000001</v>
      </c>
      <c r="E57" s="89">
        <f>SUM('Income Statement'!E28:E29)</f>
        <v>34.44</v>
      </c>
      <c r="F57" s="89">
        <f>SUM('Income Statement'!F28:F29)</f>
        <v>3.9190000000000005</v>
      </c>
      <c r="G57" s="436">
        <f>SUM('Income Statement'!G28:G29)</f>
        <v>9.2650000000000006</v>
      </c>
      <c r="H57" s="436">
        <f>SUM('Income Statement'!H28:H29)</f>
        <v>169.87799999999999</v>
      </c>
      <c r="I57" s="436">
        <f>SUM('Income Statement'!I28:I29)</f>
        <v>92.442999999999984</v>
      </c>
      <c r="J57" s="436">
        <f>SUM('Income Statement'!J28:J29)</f>
        <v>157.34399999999997</v>
      </c>
      <c r="K57" s="436">
        <f>SUM('Income Statement'!K28:K29)</f>
        <v>91.253</v>
      </c>
      <c r="L57" s="436">
        <f>SUM('Income Statement'!L28:L29)</f>
        <v>104.96599999999999</v>
      </c>
      <c r="M57" s="436">
        <f>SUM('Income Statement'!Q28:Q29)</f>
        <v>77.914000000000001</v>
      </c>
      <c r="N57" s="436">
        <f>SUM('Income Statement'!V28:V29)</f>
        <v>112.60299999999999</v>
      </c>
      <c r="O57" s="436">
        <f>SUM('Income Statement'!AA28:AA29)</f>
        <v>175.113</v>
      </c>
      <c r="P57" s="436">
        <f>SUM('Income Statement'!AF28:AF29)</f>
        <v>0.4</v>
      </c>
      <c r="Q57" s="436">
        <f>SUM('Income Statement'!AG28:AG29)</f>
        <v>0</v>
      </c>
      <c r="R57" s="436">
        <f>SUM('Income Statement'!AH28:AH29)</f>
        <v>0</v>
      </c>
      <c r="S57" s="436">
        <f>SUM('Income Statement'!AI28:AI29)</f>
        <v>0</v>
      </c>
      <c r="T57" s="436">
        <f>SUM('Income Statement'!AJ28:AJ29)</f>
        <v>0</v>
      </c>
      <c r="U57" s="436">
        <f>SUM('Income Statement'!AK28:AK29)</f>
        <v>0</v>
      </c>
      <c r="V57" s="436">
        <f>SUM('Income Statement'!AL28:AL29)</f>
        <v>0</v>
      </c>
      <c r="W57" s="436">
        <f>SUM('Income Statement'!AM28:AM29)</f>
        <v>0</v>
      </c>
      <c r="X57" s="436">
        <f>SUM('Income Statement'!AN28:AN29)</f>
        <v>0</v>
      </c>
      <c r="Y57" s="436">
        <f>SUM('Income Statement'!AO28:AO29)</f>
        <v>0</v>
      </c>
      <c r="Z57" s="436">
        <f>SUM('Income Statement'!AP28:AP29)</f>
        <v>0</v>
      </c>
      <c r="AA57" s="436">
        <f>SUM('Income Statement'!AQ28:AQ29)</f>
        <v>0</v>
      </c>
      <c r="AB57" s="436">
        <f>SUM('Income Statement'!AR28:AR29)</f>
        <v>0</v>
      </c>
      <c r="AC57" s="112"/>
      <c r="AD57" s="3"/>
      <c r="AK57" s="3"/>
    </row>
    <row r="58" spans="3:37" ht="12.75" hidden="1" customHeight="1" outlineLevel="1">
      <c r="C58" s="688" t="s">
        <v>12</v>
      </c>
      <c r="D58" s="113">
        <f>'Income Statement'!D30</f>
        <v>27.643000000000001</v>
      </c>
      <c r="E58" s="89">
        <f>'Income Statement'!E30</f>
        <v>34.44</v>
      </c>
      <c r="F58" s="89">
        <f>'Income Statement'!F30</f>
        <v>3.9190000000000005</v>
      </c>
      <c r="G58" s="436">
        <f>'Income Statement'!G30</f>
        <v>9.2650000000000006</v>
      </c>
      <c r="H58" s="436">
        <f>'Income Statement'!H30</f>
        <v>169.87799999999999</v>
      </c>
      <c r="I58" s="436">
        <f>'Income Statement'!I30</f>
        <v>94.454999999999984</v>
      </c>
      <c r="J58" s="436">
        <f>'Income Statement'!J30</f>
        <v>297.05799999999999</v>
      </c>
      <c r="K58" s="436">
        <f>'Income Statement'!K30</f>
        <v>354.947</v>
      </c>
      <c r="L58" s="436">
        <f>'Income Statement'!L30</f>
        <v>511.49400000000003</v>
      </c>
      <c r="M58" s="436">
        <f>'Income Statement'!Q30</f>
        <v>753.75099999999998</v>
      </c>
      <c r="N58" s="436">
        <f>'Income Statement'!V30</f>
        <v>1105.7190000000001</v>
      </c>
      <c r="O58" s="436">
        <f>'Income Statement'!AA30</f>
        <v>1536.2160000000001</v>
      </c>
      <c r="P58" s="436">
        <f>'Income Statement'!AF30</f>
        <v>1684.346</v>
      </c>
      <c r="Q58" s="436">
        <f>'Income Statement'!AG30</f>
        <v>1976.1372146933993</v>
      </c>
      <c r="R58" s="436">
        <f>'Income Statement'!AH30</f>
        <v>2286.2826787128183</v>
      </c>
      <c r="S58" s="436">
        <f>'Income Statement'!AI30</f>
        <v>2577.9233681201872</v>
      </c>
      <c r="T58" s="436">
        <f>'Income Statement'!AJ30</f>
        <v>2898.9402613286015</v>
      </c>
      <c r="U58" s="436">
        <f>'Income Statement'!AK30</f>
        <v>3178.3680481634933</v>
      </c>
      <c r="V58" s="436">
        <f>'Income Statement'!AL30</f>
        <v>3353.1727221934921</v>
      </c>
      <c r="W58" s="436">
        <f>'Income Statement'!AM30</f>
        <v>3432.6318370099498</v>
      </c>
      <c r="X58" s="436">
        <f>'Income Statement'!AN30</f>
        <v>2819.5573805581803</v>
      </c>
      <c r="Y58" s="436">
        <f>'Income Statement'!AO30</f>
        <v>828.49137375628823</v>
      </c>
      <c r="Z58" s="436">
        <f>'Income Statement'!AP30</f>
        <v>525.43493091022947</v>
      </c>
      <c r="AA58" s="436">
        <f>'Income Statement'!AQ30</f>
        <v>362.86973870710233</v>
      </c>
      <c r="AB58" s="436">
        <f>'Income Statement'!AR30</f>
        <v>83.209137486100019</v>
      </c>
      <c r="AC58" s="112"/>
      <c r="AD58" s="3"/>
      <c r="AK58" s="3"/>
    </row>
    <row r="59" spans="3:37" ht="12.75" hidden="1" customHeight="1" outlineLevel="1">
      <c r="C59" s="688" t="s">
        <v>30</v>
      </c>
      <c r="D59" s="113">
        <f>'Income Statement'!D46</f>
        <v>95.606999999999999</v>
      </c>
      <c r="E59" s="89">
        <f>'Income Statement'!E46</f>
        <v>109.61999999999999</v>
      </c>
      <c r="F59" s="89">
        <f>'Income Statement'!F46</f>
        <v>148.208</v>
      </c>
      <c r="G59" s="436">
        <f>'Income Statement'!G46</f>
        <v>139.035</v>
      </c>
      <c r="H59" s="436">
        <f>'Income Statement'!H46</f>
        <v>140.929</v>
      </c>
      <c r="I59" s="436">
        <f>'Income Statement'!I46</f>
        <v>208.738</v>
      </c>
      <c r="J59" s="436">
        <f>'Income Statement'!J46</f>
        <v>257.41800000000001</v>
      </c>
      <c r="K59" s="436">
        <f>'Income Statement'!K46</f>
        <v>332.65100000000001</v>
      </c>
      <c r="L59" s="436">
        <f>'Income Statement'!L46</f>
        <v>453.99699999999996</v>
      </c>
      <c r="M59" s="436">
        <f>'Income Statement'!Q46</f>
        <v>632.30100000000004</v>
      </c>
      <c r="N59" s="436">
        <f>'Income Statement'!V46</f>
        <v>864.72</v>
      </c>
      <c r="O59" s="436">
        <f>'Income Statement'!AA46</f>
        <v>1645.9499999999998</v>
      </c>
      <c r="P59" s="436">
        <f>'Income Statement'!AF46</f>
        <v>1725.954</v>
      </c>
      <c r="Q59" s="436">
        <f>'Income Statement'!AG46</f>
        <v>1918.3816264664565</v>
      </c>
      <c r="R59" s="436">
        <f>'Income Statement'!AH46</f>
        <v>2020.058879684811</v>
      </c>
      <c r="S59" s="436">
        <f>'Income Statement'!AI46</f>
        <v>2091.4541933466257</v>
      </c>
      <c r="T59" s="436">
        <f>'Income Statement'!AJ46</f>
        <v>2152.8913630161155</v>
      </c>
      <c r="U59" s="436">
        <f>'Income Statement'!AK46</f>
        <v>2207.5341759563566</v>
      </c>
      <c r="V59" s="436">
        <f>'Income Statement'!AL46</f>
        <v>2260.5994156921279</v>
      </c>
      <c r="W59" s="436">
        <f>'Income Statement'!AM46</f>
        <v>2311.6287161494442</v>
      </c>
      <c r="X59" s="436">
        <f>'Income Statement'!AN46</f>
        <v>2331.300284630669</v>
      </c>
      <c r="Y59" s="436">
        <f>'Income Statement'!AO46</f>
        <v>2255.2133976901573</v>
      </c>
      <c r="Z59" s="436">
        <f>'Income Statement'!AP46</f>
        <v>2242.3158080331104</v>
      </c>
      <c r="AA59" s="436">
        <f>'Income Statement'!AQ46</f>
        <v>2248.8602310444439</v>
      </c>
      <c r="AB59" s="436">
        <f>'Income Statement'!AR46</f>
        <v>2271.3451602517953</v>
      </c>
      <c r="AC59" s="112"/>
      <c r="AD59" s="3"/>
      <c r="AK59" s="3"/>
    </row>
    <row r="60" spans="3:37" ht="12.75" hidden="1" customHeight="1" outlineLevel="1">
      <c r="C60" s="689" t="s">
        <v>135</v>
      </c>
      <c r="D60" s="669">
        <f>'Income Statement'!D33</f>
        <v>0</v>
      </c>
      <c r="E60" s="670">
        <f>'Income Statement'!E33</f>
        <v>0</v>
      </c>
      <c r="F60" s="670">
        <f>'Income Statement'!F33</f>
        <v>0</v>
      </c>
      <c r="G60" s="671">
        <f>'Income Statement'!G33</f>
        <v>0</v>
      </c>
      <c r="H60" s="671">
        <f>'Income Statement'!H33</f>
        <v>0</v>
      </c>
      <c r="I60" s="671">
        <f>'Income Statement'!I33</f>
        <v>0</v>
      </c>
      <c r="J60" s="671">
        <f>'Income Statement'!J33</f>
        <v>0.157</v>
      </c>
      <c r="K60" s="671">
        <f>'Income Statement'!K33</f>
        <v>0.629</v>
      </c>
      <c r="L60" s="671">
        <f>'Income Statement'!L33</f>
        <v>3.004</v>
      </c>
      <c r="M60" s="671">
        <f>'Income Statement'!Q33</f>
        <v>26.972000000000001</v>
      </c>
      <c r="N60" s="671">
        <f>'Income Statement'!V33</f>
        <v>58.186999999999998</v>
      </c>
      <c r="O60" s="671">
        <f>'Income Statement'!AA33</f>
        <v>79.479000000000013</v>
      </c>
      <c r="P60" s="671">
        <f>'Income Statement'!AF33</f>
        <v>75.954000000000008</v>
      </c>
      <c r="Q60" s="671">
        <f>'Income Statement'!AG33</f>
        <v>101.88162646645644</v>
      </c>
      <c r="R60" s="671">
        <f>'Income Statement'!AH33</f>
        <v>112.31887968481112</v>
      </c>
      <c r="S60" s="671">
        <f>'Income Statement'!AI33</f>
        <v>123.3645933466258</v>
      </c>
      <c r="T60" s="671">
        <f>'Income Statement'!AJ33</f>
        <v>141.80907501611557</v>
      </c>
      <c r="U60" s="671">
        <f>'Income Statement'!AK33</f>
        <v>152.37721931635645</v>
      </c>
      <c r="V60" s="671">
        <f>'Income Statement'!AL33</f>
        <v>160.25870635292765</v>
      </c>
      <c r="W60" s="671">
        <f>'Income Statement'!AM33</f>
        <v>164.96736065006783</v>
      </c>
      <c r="X60" s="671">
        <f>'Income Statement'!AN33</f>
        <v>137.15285508871108</v>
      </c>
      <c r="Y60" s="671">
        <f>'Income Statement'!AO33</f>
        <v>41.952471126484767</v>
      </c>
      <c r="Z60" s="671">
        <f>'Income Statement'!AP33</f>
        <v>17.307979537071844</v>
      </c>
      <c r="AA60" s="671">
        <f>'Income Statement'!AQ33</f>
        <v>1.4530935580680082</v>
      </c>
      <c r="AB60" s="671">
        <f>'Income Statement'!AR33</f>
        <v>0.86673450537242058</v>
      </c>
      <c r="AC60" s="112"/>
      <c r="AD60" s="3"/>
      <c r="AK60" s="3"/>
    </row>
    <row r="61" spans="3:37" ht="12.75" hidden="1" customHeight="1" outlineLevel="1">
      <c r="C61" s="114"/>
      <c r="D61" s="115"/>
      <c r="E61" s="89"/>
      <c r="F61" s="89"/>
      <c r="G61" s="89"/>
      <c r="H61" s="89"/>
      <c r="I61" s="89"/>
      <c r="J61" s="89"/>
      <c r="K61" s="89"/>
      <c r="L61" s="89"/>
      <c r="M61" s="89"/>
      <c r="N61" s="89"/>
      <c r="O61" s="89"/>
      <c r="P61" s="89"/>
      <c r="Q61" s="89"/>
      <c r="R61" s="89"/>
      <c r="S61" s="89"/>
      <c r="T61" s="89"/>
      <c r="U61" s="89"/>
      <c r="V61" s="89"/>
      <c r="W61" s="89"/>
      <c r="X61" s="89"/>
      <c r="Y61" s="89"/>
      <c r="Z61" s="89"/>
      <c r="AA61" s="89"/>
      <c r="AB61" s="89"/>
      <c r="AC61" s="113"/>
      <c r="AD61" s="3"/>
      <c r="AK61" s="3"/>
    </row>
    <row r="62" spans="3:37" ht="12.75" hidden="1" customHeight="1" outlineLevel="1">
      <c r="C62" s="364" t="s">
        <v>168</v>
      </c>
      <c r="D62" s="116">
        <f t="shared" ref="D62:M62" si="50">D10</f>
        <v>2.073</v>
      </c>
      <c r="E62" s="330">
        <f t="shared" si="50"/>
        <v>1.5509999999999999</v>
      </c>
      <c r="F62" s="361">
        <f t="shared" si="50"/>
        <v>1.05</v>
      </c>
      <c r="G62" s="482">
        <f t="shared" si="50"/>
        <v>163.661</v>
      </c>
      <c r="H62" s="482">
        <f t="shared" si="50"/>
        <v>5.7009999999999996</v>
      </c>
      <c r="I62" s="482">
        <f t="shared" si="50"/>
        <v>6.415</v>
      </c>
      <c r="J62" s="482">
        <f t="shared" si="50"/>
        <v>70.950999999999993</v>
      </c>
      <c r="K62" s="482">
        <f t="shared" si="50"/>
        <v>35.374000000000002</v>
      </c>
      <c r="L62" s="482">
        <f t="shared" si="50"/>
        <v>57.933</v>
      </c>
      <c r="M62" s="482">
        <f t="shared" si="50"/>
        <v>114.45</v>
      </c>
      <c r="N62" s="482">
        <f t="shared" ref="N62" si="51">N10</f>
        <v>148.75800000000001</v>
      </c>
      <c r="O62" s="482">
        <f t="shared" ref="O62:AB62" si="52">O63*O58</f>
        <v>184.34592000000001</v>
      </c>
      <c r="P62" s="482">
        <f t="shared" si="52"/>
        <v>168.43460000000002</v>
      </c>
      <c r="Q62" s="482">
        <f t="shared" si="52"/>
        <v>197.61372146933994</v>
      </c>
      <c r="R62" s="482">
        <f t="shared" si="52"/>
        <v>228.62826787128185</v>
      </c>
      <c r="S62" s="482">
        <f t="shared" si="52"/>
        <v>257.79233681201873</v>
      </c>
      <c r="T62" s="482">
        <f t="shared" si="52"/>
        <v>289.89402613286018</v>
      </c>
      <c r="U62" s="482">
        <f t="shared" si="52"/>
        <v>317.83680481634934</v>
      </c>
      <c r="V62" s="482">
        <f t="shared" si="52"/>
        <v>335.31727221934921</v>
      </c>
      <c r="W62" s="482">
        <f t="shared" si="52"/>
        <v>343.263183700995</v>
      </c>
      <c r="X62" s="482">
        <f t="shared" si="52"/>
        <v>281.95573805581802</v>
      </c>
      <c r="Y62" s="482">
        <f t="shared" si="52"/>
        <v>82.849137375628828</v>
      </c>
      <c r="Z62" s="482">
        <f t="shared" si="52"/>
        <v>52.543493091022953</v>
      </c>
      <c r="AA62" s="482">
        <f t="shared" si="52"/>
        <v>36.286973870710234</v>
      </c>
      <c r="AB62" s="482">
        <f t="shared" si="52"/>
        <v>8.3209137486100015</v>
      </c>
      <c r="AC62" s="113"/>
      <c r="AK62" s="3"/>
    </row>
    <row r="63" spans="3:37" ht="12.75" hidden="1" customHeight="1" outlineLevel="1">
      <c r="C63" s="693" t="s">
        <v>23</v>
      </c>
      <c r="D63" s="118"/>
      <c r="E63" s="169">
        <f>E62/'Income Statement'!E$30</f>
        <v>4.5034843205574916E-2</v>
      </c>
      <c r="F63" s="103">
        <f>F62/'Income Statement'!F$30</f>
        <v>0.26792549119673381</v>
      </c>
      <c r="G63" s="169"/>
      <c r="H63" s="169">
        <f t="shared" ref="H63:M63" si="53">H62/H58</f>
        <v>3.3559377906497607E-2</v>
      </c>
      <c r="I63" s="169">
        <f t="shared" si="53"/>
        <v>6.7915938806839243E-2</v>
      </c>
      <c r="J63" s="169">
        <f t="shared" si="53"/>
        <v>0.23884561264130236</v>
      </c>
      <c r="K63" s="169">
        <f t="shared" si="53"/>
        <v>9.9659949231857156E-2</v>
      </c>
      <c r="L63" s="169">
        <f t="shared" si="53"/>
        <v>0.11326232565777897</v>
      </c>
      <c r="M63" s="169">
        <f t="shared" si="53"/>
        <v>0.15184059457300886</v>
      </c>
      <c r="N63" s="169">
        <f t="shared" ref="N63" si="54">N62/N58</f>
        <v>0.13453508531552771</v>
      </c>
      <c r="O63" s="233">
        <v>0.12</v>
      </c>
      <c r="P63" s="233">
        <v>0.1</v>
      </c>
      <c r="Q63" s="233">
        <f>P63</f>
        <v>0.1</v>
      </c>
      <c r="R63" s="233">
        <f>Q63</f>
        <v>0.1</v>
      </c>
      <c r="S63" s="233">
        <f>R63</f>
        <v>0.1</v>
      </c>
      <c r="T63" s="233">
        <f t="shared" ref="T63:AB63" si="55">S63</f>
        <v>0.1</v>
      </c>
      <c r="U63" s="233">
        <f t="shared" si="55"/>
        <v>0.1</v>
      </c>
      <c r="V63" s="233">
        <f t="shared" si="55"/>
        <v>0.1</v>
      </c>
      <c r="W63" s="233">
        <f t="shared" si="55"/>
        <v>0.1</v>
      </c>
      <c r="X63" s="233">
        <f t="shared" si="55"/>
        <v>0.1</v>
      </c>
      <c r="Y63" s="233">
        <f t="shared" si="55"/>
        <v>0.1</v>
      </c>
      <c r="Z63" s="233">
        <f t="shared" si="55"/>
        <v>0.1</v>
      </c>
      <c r="AA63" s="233">
        <f t="shared" si="55"/>
        <v>0.1</v>
      </c>
      <c r="AB63" s="233">
        <f t="shared" si="55"/>
        <v>0.1</v>
      </c>
      <c r="AC63" s="118"/>
      <c r="AD63" s="3"/>
      <c r="AK63" s="3"/>
    </row>
    <row r="64" spans="3:37" ht="12.75" hidden="1" customHeight="1" outlineLevel="1">
      <c r="C64" s="367" t="s">
        <v>328</v>
      </c>
      <c r="D64" s="684">
        <f t="shared" ref="D64:M64" si="56">D11</f>
        <v>0</v>
      </c>
      <c r="E64" s="685">
        <f t="shared" si="56"/>
        <v>0</v>
      </c>
      <c r="F64" s="685">
        <f t="shared" si="56"/>
        <v>0</v>
      </c>
      <c r="G64" s="686">
        <f t="shared" si="56"/>
        <v>0</v>
      </c>
      <c r="H64" s="686">
        <f t="shared" si="56"/>
        <v>0</v>
      </c>
      <c r="I64" s="686">
        <f t="shared" si="56"/>
        <v>3.536</v>
      </c>
      <c r="J64" s="686">
        <f t="shared" si="56"/>
        <v>0.27800000000000002</v>
      </c>
      <c r="K64" s="686">
        <f t="shared" si="56"/>
        <v>0.40600000000000003</v>
      </c>
      <c r="L64" s="686">
        <f t="shared" si="56"/>
        <v>0.35799999999999998</v>
      </c>
      <c r="M64" s="686">
        <f t="shared" si="56"/>
        <v>1.7829999999999999</v>
      </c>
      <c r="N64" s="686">
        <f t="shared" ref="N64" si="57">N11</f>
        <v>4.1059999999999999</v>
      </c>
      <c r="O64" s="436">
        <f t="shared" ref="O64:AB64" si="58">O65*O56</f>
        <v>5.4568717660081427</v>
      </c>
      <c r="P64" s="436">
        <f t="shared" si="58"/>
        <v>6.6682731093225271</v>
      </c>
      <c r="Q64" s="436">
        <f t="shared" si="58"/>
        <v>7.6246728034369369</v>
      </c>
      <c r="R64" s="436">
        <f t="shared" si="58"/>
        <v>8.5965714355332885</v>
      </c>
      <c r="S64" s="436">
        <f t="shared" si="58"/>
        <v>9.6251288321830941</v>
      </c>
      <c r="T64" s="436">
        <f t="shared" si="58"/>
        <v>10.663028282263392</v>
      </c>
      <c r="U64" s="436">
        <f t="shared" si="58"/>
        <v>11.588151648889403</v>
      </c>
      <c r="V64" s="436">
        <f t="shared" si="58"/>
        <v>12.278088085613287</v>
      </c>
      <c r="W64" s="436">
        <f t="shared" si="58"/>
        <v>12.690278342662396</v>
      </c>
      <c r="X64" s="436">
        <f t="shared" si="58"/>
        <v>10.255428070474709</v>
      </c>
      <c r="Y64" s="436">
        <f t="shared" si="58"/>
        <v>1.9216944259391866</v>
      </c>
      <c r="Z64" s="436">
        <f t="shared" si="58"/>
        <v>0.6397322406371575</v>
      </c>
      <c r="AA64" s="436">
        <f t="shared" si="58"/>
        <v>0.12720216210823357</v>
      </c>
      <c r="AB64" s="436">
        <f t="shared" si="58"/>
        <v>7.5872955629758765E-2</v>
      </c>
      <c r="AC64" s="113"/>
      <c r="AD64" s="3"/>
      <c r="AK64" s="3"/>
    </row>
    <row r="65" spans="3:37" ht="12.75" hidden="1" customHeight="1" outlineLevel="1">
      <c r="C65" s="693" t="s">
        <v>23</v>
      </c>
      <c r="D65" s="87"/>
      <c r="E65" s="428"/>
      <c r="F65" s="428"/>
      <c r="G65" s="428"/>
      <c r="H65" s="428"/>
      <c r="I65" s="428">
        <f t="shared" ref="I65:N65" si="59">I64/I56</f>
        <v>1.757455268389662</v>
      </c>
      <c r="J65" s="428">
        <f t="shared" si="59"/>
        <v>2.0440875869472508E-3</v>
      </c>
      <c r="K65" s="428">
        <f t="shared" si="59"/>
        <v>1.7244088802810024E-3</v>
      </c>
      <c r="L65" s="428">
        <f t="shared" si="59"/>
        <v>1.0012249623841459E-3</v>
      </c>
      <c r="M65" s="428">
        <f t="shared" si="59"/>
        <v>2.9666431509310903E-3</v>
      </c>
      <c r="N65" s="428">
        <f t="shared" si="59"/>
        <v>4.8146376240595862E-3</v>
      </c>
      <c r="O65" s="430">
        <f>N65</f>
        <v>4.8146376240595862E-3</v>
      </c>
      <c r="P65" s="430">
        <f>O65</f>
        <v>4.8146376240595862E-3</v>
      </c>
      <c r="Q65" s="430">
        <f>P65</f>
        <v>4.8146376240595862E-3</v>
      </c>
      <c r="R65" s="430">
        <f>Q65</f>
        <v>4.8146376240595862E-3</v>
      </c>
      <c r="S65" s="430">
        <f>R65</f>
        <v>4.8146376240595862E-3</v>
      </c>
      <c r="T65" s="430">
        <f t="shared" ref="T65:AB65" si="60">S65</f>
        <v>4.8146376240595862E-3</v>
      </c>
      <c r="U65" s="430">
        <f t="shared" si="60"/>
        <v>4.8146376240595862E-3</v>
      </c>
      <c r="V65" s="430">
        <f t="shared" si="60"/>
        <v>4.8146376240595862E-3</v>
      </c>
      <c r="W65" s="430">
        <f t="shared" si="60"/>
        <v>4.8146376240595862E-3</v>
      </c>
      <c r="X65" s="430">
        <f t="shared" si="60"/>
        <v>4.8146376240595862E-3</v>
      </c>
      <c r="Y65" s="430">
        <f t="shared" si="60"/>
        <v>4.8146376240595862E-3</v>
      </c>
      <c r="Z65" s="430">
        <f t="shared" si="60"/>
        <v>4.8146376240595862E-3</v>
      </c>
      <c r="AA65" s="430">
        <f t="shared" si="60"/>
        <v>4.8146376240595862E-3</v>
      </c>
      <c r="AB65" s="430">
        <f t="shared" si="60"/>
        <v>4.8146376240595862E-3</v>
      </c>
      <c r="AC65" s="119"/>
      <c r="AD65" s="3"/>
      <c r="AK65" s="3"/>
    </row>
    <row r="66" spans="3:37" ht="12.75" hidden="1" customHeight="1" outlineLevel="1">
      <c r="C66" s="367" t="s">
        <v>327</v>
      </c>
      <c r="D66" s="684">
        <f>D14</f>
        <v>327.76099999999997</v>
      </c>
      <c r="E66" s="685">
        <f>E14</f>
        <v>264.41199999999998</v>
      </c>
      <c r="F66" s="685">
        <f>F14</f>
        <v>205.494</v>
      </c>
      <c r="G66" s="686">
        <f>G14</f>
        <v>656.05499999999995</v>
      </c>
      <c r="H66" s="686">
        <f t="shared" ref="H66:M66" si="61">H20</f>
        <v>0</v>
      </c>
      <c r="I66" s="686">
        <f t="shared" si="61"/>
        <v>0</v>
      </c>
      <c r="J66" s="686">
        <f t="shared" si="61"/>
        <v>8.4749999999999996</v>
      </c>
      <c r="K66" s="686">
        <f t="shared" si="61"/>
        <v>14.936999999999999</v>
      </c>
      <c r="L66" s="686">
        <f t="shared" si="61"/>
        <v>19.077999999999999</v>
      </c>
      <c r="M66" s="686">
        <f t="shared" si="61"/>
        <v>17.555</v>
      </c>
      <c r="N66" s="686">
        <f t="shared" ref="N66" si="62">N20</f>
        <v>15.193</v>
      </c>
      <c r="O66" s="436">
        <f t="shared" ref="O66:AB66" si="63">O67*O56</f>
        <v>8.8575687337948619</v>
      </c>
      <c r="P66" s="436">
        <f t="shared" si="63"/>
        <v>10.823909729648598</v>
      </c>
      <c r="Q66" s="436">
        <f t="shared" si="63"/>
        <v>12.376333240930011</v>
      </c>
      <c r="R66" s="436">
        <f t="shared" si="63"/>
        <v>13.95391455586938</v>
      </c>
      <c r="S66" s="436">
        <f t="shared" si="63"/>
        <v>15.623464112490783</v>
      </c>
      <c r="T66" s="436">
        <f t="shared" si="63"/>
        <v>17.308177646556342</v>
      </c>
      <c r="U66" s="436">
        <f t="shared" si="63"/>
        <v>18.809833569309308</v>
      </c>
      <c r="V66" s="436">
        <f t="shared" si="63"/>
        <v>19.929735167198942</v>
      </c>
      <c r="W66" s="436">
        <f t="shared" si="63"/>
        <v>20.598800465004878</v>
      </c>
      <c r="X66" s="436">
        <f t="shared" si="63"/>
        <v>16.646562888753689</v>
      </c>
      <c r="Y66" s="436">
        <f t="shared" si="63"/>
        <v>3.1192854061803521</v>
      </c>
      <c r="Z66" s="436">
        <f t="shared" si="63"/>
        <v>1.03841038156068</v>
      </c>
      <c r="AA66" s="436">
        <f t="shared" si="63"/>
        <v>0.20647395472611768</v>
      </c>
      <c r="AB66" s="436">
        <f t="shared" si="63"/>
        <v>0.12315662678992725</v>
      </c>
      <c r="AC66" s="113"/>
      <c r="AD66" s="3"/>
      <c r="AK66" s="3"/>
    </row>
    <row r="67" spans="3:37" ht="12.75" hidden="1" customHeight="1" outlineLevel="1">
      <c r="C67" s="693" t="s">
        <v>23</v>
      </c>
      <c r="D67" s="87"/>
      <c r="E67" s="428"/>
      <c r="F67" s="428"/>
      <c r="G67" s="428"/>
      <c r="H67" s="428"/>
      <c r="I67" s="428">
        <f t="shared" ref="I67:N67" si="64">I66/I56</f>
        <v>0</v>
      </c>
      <c r="J67" s="428">
        <f t="shared" si="64"/>
        <v>6.231526006970485E-2</v>
      </c>
      <c r="K67" s="428">
        <f t="shared" si="64"/>
        <v>6.3442107006791454E-2</v>
      </c>
      <c r="L67" s="428">
        <f t="shared" si="64"/>
        <v>5.3355781654650096E-2</v>
      </c>
      <c r="M67" s="428">
        <f t="shared" si="64"/>
        <v>2.9208872975095505E-2</v>
      </c>
      <c r="N67" s="428">
        <f t="shared" si="64"/>
        <v>1.781509727772462E-2</v>
      </c>
      <c r="O67" s="430">
        <f>N67-1%</f>
        <v>7.8150972777246194E-3</v>
      </c>
      <c r="P67" s="430">
        <f>O67</f>
        <v>7.8150972777246194E-3</v>
      </c>
      <c r="Q67" s="430">
        <f>P67</f>
        <v>7.8150972777246194E-3</v>
      </c>
      <c r="R67" s="430">
        <f>Q67</f>
        <v>7.8150972777246194E-3</v>
      </c>
      <c r="S67" s="430">
        <f>R67</f>
        <v>7.8150972777246194E-3</v>
      </c>
      <c r="T67" s="430">
        <f t="shared" ref="T67:AB67" si="65">S67</f>
        <v>7.8150972777246194E-3</v>
      </c>
      <c r="U67" s="430">
        <f t="shared" si="65"/>
        <v>7.8150972777246194E-3</v>
      </c>
      <c r="V67" s="430">
        <f t="shared" si="65"/>
        <v>7.8150972777246194E-3</v>
      </c>
      <c r="W67" s="430">
        <f t="shared" si="65"/>
        <v>7.8150972777246194E-3</v>
      </c>
      <c r="X67" s="430">
        <f t="shared" si="65"/>
        <v>7.8150972777246194E-3</v>
      </c>
      <c r="Y67" s="430">
        <f t="shared" si="65"/>
        <v>7.8150972777246194E-3</v>
      </c>
      <c r="Z67" s="430">
        <f t="shared" si="65"/>
        <v>7.8150972777246194E-3</v>
      </c>
      <c r="AA67" s="430">
        <f t="shared" si="65"/>
        <v>7.8150972777246194E-3</v>
      </c>
      <c r="AB67" s="430">
        <f t="shared" si="65"/>
        <v>7.8150972777246194E-3</v>
      </c>
      <c r="AC67" s="119"/>
      <c r="AD67" s="3"/>
      <c r="AK67" s="3"/>
    </row>
    <row r="68" spans="3:37" ht="12.75" hidden="1" customHeight="1" outlineLevel="1">
      <c r="C68" s="367" t="s">
        <v>136</v>
      </c>
      <c r="D68" s="113">
        <f t="shared" ref="D68:M68" si="66">D13</f>
        <v>7.1150000000000002</v>
      </c>
      <c r="E68" s="89">
        <f t="shared" si="66"/>
        <v>6.431</v>
      </c>
      <c r="F68" s="89">
        <f t="shared" si="66"/>
        <v>6.42</v>
      </c>
      <c r="G68" s="436">
        <f t="shared" si="66"/>
        <v>2.944</v>
      </c>
      <c r="H68" s="436">
        <f t="shared" si="66"/>
        <v>6.6</v>
      </c>
      <c r="I68" s="436">
        <f t="shared" si="66"/>
        <v>7.4749999999999996</v>
      </c>
      <c r="J68" s="436">
        <f t="shared" si="66"/>
        <v>9.8670000000000009</v>
      </c>
      <c r="K68" s="436">
        <f t="shared" si="66"/>
        <v>9.6199999999999992</v>
      </c>
      <c r="L68" s="436">
        <f t="shared" si="66"/>
        <v>20.518999999999998</v>
      </c>
      <c r="M68" s="436">
        <f t="shared" si="66"/>
        <v>17.843</v>
      </c>
      <c r="N68" s="436">
        <f t="shared" ref="N68" si="67">N13</f>
        <v>32.752000000000002</v>
      </c>
      <c r="O68" s="436">
        <f t="shared" ref="O68:AB68" si="68">O69*O$59</f>
        <v>49.378499999999995</v>
      </c>
      <c r="P68" s="436">
        <f t="shared" si="68"/>
        <v>51.778619999999997</v>
      </c>
      <c r="Q68" s="436">
        <f t="shared" si="68"/>
        <v>57.551448793993693</v>
      </c>
      <c r="R68" s="436">
        <f t="shared" si="68"/>
        <v>60.601766390544327</v>
      </c>
      <c r="S68" s="436">
        <f t="shared" si="68"/>
        <v>62.743625800398767</v>
      </c>
      <c r="T68" s="436">
        <f t="shared" si="68"/>
        <v>64.586740890483469</v>
      </c>
      <c r="U68" s="436">
        <f t="shared" si="68"/>
        <v>66.226025278690699</v>
      </c>
      <c r="V68" s="436">
        <f t="shared" si="68"/>
        <v>67.817982470763837</v>
      </c>
      <c r="W68" s="436">
        <f t="shared" si="68"/>
        <v>69.348861484483322</v>
      </c>
      <c r="X68" s="436">
        <f t="shared" si="68"/>
        <v>69.939008538920064</v>
      </c>
      <c r="Y68" s="436">
        <f t="shared" si="68"/>
        <v>67.656401930704718</v>
      </c>
      <c r="Z68" s="436">
        <f t="shared" si="68"/>
        <v>67.269474240993304</v>
      </c>
      <c r="AA68" s="436">
        <f t="shared" si="68"/>
        <v>67.465806931333319</v>
      </c>
      <c r="AB68" s="436">
        <f t="shared" si="68"/>
        <v>68.140354807553862</v>
      </c>
      <c r="AC68" s="113"/>
      <c r="AD68" s="3"/>
      <c r="AK68" s="3"/>
    </row>
    <row r="69" spans="3:37" ht="12.75" hidden="1" customHeight="1" outlineLevel="1">
      <c r="C69" s="693" t="s">
        <v>138</v>
      </c>
      <c r="D69" s="87">
        <f t="shared" ref="D69:M69" si="69">D68/D59</f>
        <v>7.4419237085150677E-2</v>
      </c>
      <c r="E69" s="428">
        <f t="shared" si="69"/>
        <v>5.8666301769750052E-2</v>
      </c>
      <c r="F69" s="363">
        <f t="shared" si="69"/>
        <v>4.3317499730109038E-2</v>
      </c>
      <c r="G69" s="428">
        <f t="shared" si="69"/>
        <v>2.1174524400330852E-2</v>
      </c>
      <c r="H69" s="428">
        <f t="shared" si="69"/>
        <v>4.6832092755926737E-2</v>
      </c>
      <c r="I69" s="428">
        <f t="shared" si="69"/>
        <v>3.5810441797851852E-2</v>
      </c>
      <c r="J69" s="428">
        <f t="shared" si="69"/>
        <v>3.8330652868097802E-2</v>
      </c>
      <c r="K69" s="428">
        <f t="shared" si="69"/>
        <v>2.8919197597482044E-2</v>
      </c>
      <c r="L69" s="428">
        <f t="shared" si="69"/>
        <v>4.5196333896479493E-2</v>
      </c>
      <c r="M69" s="428">
        <f t="shared" si="69"/>
        <v>2.8219155117578491E-2</v>
      </c>
      <c r="N69" s="428">
        <f t="shared" ref="N69" si="70">N68/N59</f>
        <v>3.7875844203904156E-2</v>
      </c>
      <c r="O69" s="430">
        <v>0.03</v>
      </c>
      <c r="P69" s="430">
        <f>O69</f>
        <v>0.03</v>
      </c>
      <c r="Q69" s="430">
        <f>P69</f>
        <v>0.03</v>
      </c>
      <c r="R69" s="430">
        <f>Q69</f>
        <v>0.03</v>
      </c>
      <c r="S69" s="430">
        <f>R69</f>
        <v>0.03</v>
      </c>
      <c r="T69" s="430">
        <f t="shared" ref="T69:AB69" si="71">S69</f>
        <v>0.03</v>
      </c>
      <c r="U69" s="430">
        <f t="shared" si="71"/>
        <v>0.03</v>
      </c>
      <c r="V69" s="430">
        <f t="shared" si="71"/>
        <v>0.03</v>
      </c>
      <c r="W69" s="430">
        <f t="shared" si="71"/>
        <v>0.03</v>
      </c>
      <c r="X69" s="430">
        <f t="shared" si="71"/>
        <v>0.03</v>
      </c>
      <c r="Y69" s="430">
        <f t="shared" si="71"/>
        <v>0.03</v>
      </c>
      <c r="Z69" s="430">
        <f t="shared" si="71"/>
        <v>0.03</v>
      </c>
      <c r="AA69" s="430">
        <f t="shared" si="71"/>
        <v>0.03</v>
      </c>
      <c r="AB69" s="430">
        <f t="shared" si="71"/>
        <v>0.03</v>
      </c>
      <c r="AC69" s="119"/>
      <c r="AD69" s="3"/>
      <c r="AK69" s="3"/>
    </row>
    <row r="70" spans="3:37" ht="12.75" hidden="1" customHeight="1" outlineLevel="1">
      <c r="C70" s="367" t="s">
        <v>137</v>
      </c>
      <c r="D70" s="113">
        <f t="shared" ref="D70:M70" si="72">D26</f>
        <v>5.9160000000000004</v>
      </c>
      <c r="E70" s="89">
        <f t="shared" si="72"/>
        <v>7.806</v>
      </c>
      <c r="F70" s="89">
        <f t="shared" si="72"/>
        <v>15.679</v>
      </c>
      <c r="G70" s="436">
        <f t="shared" si="72"/>
        <v>20.963999999999999</v>
      </c>
      <c r="H70" s="436">
        <f t="shared" si="72"/>
        <v>10.773</v>
      </c>
      <c r="I70" s="436">
        <f t="shared" si="72"/>
        <v>14.939</v>
      </c>
      <c r="J70" s="436">
        <f t="shared" si="72"/>
        <v>13.961</v>
      </c>
      <c r="K70" s="436">
        <f t="shared" si="72"/>
        <v>19.102</v>
      </c>
      <c r="L70" s="436">
        <f t="shared" si="72"/>
        <v>24.462</v>
      </c>
      <c r="M70" s="436">
        <f t="shared" si="72"/>
        <v>30.085000000000001</v>
      </c>
      <c r="N70" s="436">
        <f t="shared" ref="N70" si="73">N26</f>
        <v>75.599000000000004</v>
      </c>
      <c r="O70" s="436">
        <f t="shared" ref="O70:AB70" si="74">O71*O59</f>
        <v>82.297499999999999</v>
      </c>
      <c r="P70" s="436">
        <f t="shared" si="74"/>
        <v>86.297700000000006</v>
      </c>
      <c r="Q70" s="436">
        <f t="shared" si="74"/>
        <v>95.919081323322828</v>
      </c>
      <c r="R70" s="436">
        <f t="shared" si="74"/>
        <v>101.00294398424056</v>
      </c>
      <c r="S70" s="436">
        <f t="shared" si="74"/>
        <v>104.5727096673313</v>
      </c>
      <c r="T70" s="436">
        <f t="shared" si="74"/>
        <v>107.64456815080578</v>
      </c>
      <c r="U70" s="436">
        <f t="shared" si="74"/>
        <v>110.37670879781784</v>
      </c>
      <c r="V70" s="436">
        <f t="shared" si="74"/>
        <v>113.02997078460641</v>
      </c>
      <c r="W70" s="436">
        <f t="shared" si="74"/>
        <v>115.58143580747222</v>
      </c>
      <c r="X70" s="436">
        <f t="shared" si="74"/>
        <v>116.56501423153345</v>
      </c>
      <c r="Y70" s="436">
        <f t="shared" si="74"/>
        <v>112.76066988450788</v>
      </c>
      <c r="Z70" s="436">
        <f t="shared" si="74"/>
        <v>112.11579040165553</v>
      </c>
      <c r="AA70" s="436">
        <f t="shared" si="74"/>
        <v>112.4430115522222</v>
      </c>
      <c r="AB70" s="436">
        <f t="shared" si="74"/>
        <v>113.56725801258978</v>
      </c>
      <c r="AC70" s="113"/>
      <c r="AD70" s="79"/>
      <c r="AK70" s="3"/>
    </row>
    <row r="71" spans="3:37" s="241" customFormat="1" ht="12.75" hidden="1" customHeight="1" outlineLevel="1">
      <c r="C71" s="693" t="s">
        <v>138</v>
      </c>
      <c r="D71" s="87">
        <f t="shared" ref="D71:M71" si="75">D70/D59</f>
        <v>6.1878314349367726E-2</v>
      </c>
      <c r="E71" s="428">
        <f t="shared" si="75"/>
        <v>7.1209633278598805E-2</v>
      </c>
      <c r="F71" s="363">
        <f t="shared" si="75"/>
        <v>0.10579051063370398</v>
      </c>
      <c r="G71" s="428">
        <f t="shared" si="75"/>
        <v>0.15078217714963857</v>
      </c>
      <c r="H71" s="428">
        <f t="shared" si="75"/>
        <v>7.6442747766605881E-2</v>
      </c>
      <c r="I71" s="428">
        <f t="shared" si="75"/>
        <v>7.1568185955599842E-2</v>
      </c>
      <c r="J71" s="428">
        <f t="shared" si="75"/>
        <v>5.4234746598916937E-2</v>
      </c>
      <c r="K71" s="428">
        <f t="shared" si="75"/>
        <v>5.7423545998659252E-2</v>
      </c>
      <c r="L71" s="428">
        <f t="shared" si="75"/>
        <v>5.3881413313303837E-2</v>
      </c>
      <c r="M71" s="428">
        <f t="shared" si="75"/>
        <v>4.7580187284220643E-2</v>
      </c>
      <c r="N71" s="428">
        <f t="shared" ref="N71" si="76">N70/N59</f>
        <v>8.7425987602923486E-2</v>
      </c>
      <c r="O71" s="430">
        <v>0.05</v>
      </c>
      <c r="P71" s="430">
        <f>O71</f>
        <v>0.05</v>
      </c>
      <c r="Q71" s="430">
        <f>P71</f>
        <v>0.05</v>
      </c>
      <c r="R71" s="430">
        <f>Q71</f>
        <v>0.05</v>
      </c>
      <c r="S71" s="430">
        <f>R71</f>
        <v>0.05</v>
      </c>
      <c r="T71" s="430">
        <f t="shared" ref="T71:AB71" si="77">S71</f>
        <v>0.05</v>
      </c>
      <c r="U71" s="430">
        <f t="shared" si="77"/>
        <v>0.05</v>
      </c>
      <c r="V71" s="430">
        <f t="shared" si="77"/>
        <v>0.05</v>
      </c>
      <c r="W71" s="430">
        <f t="shared" si="77"/>
        <v>0.05</v>
      </c>
      <c r="X71" s="430">
        <f t="shared" si="77"/>
        <v>0.05</v>
      </c>
      <c r="Y71" s="430">
        <f t="shared" si="77"/>
        <v>0.05</v>
      </c>
      <c r="Z71" s="430">
        <f t="shared" si="77"/>
        <v>0.05</v>
      </c>
      <c r="AA71" s="430">
        <f t="shared" si="77"/>
        <v>0.05</v>
      </c>
      <c r="AB71" s="430">
        <f t="shared" si="77"/>
        <v>0.05</v>
      </c>
      <c r="AC71" s="119"/>
      <c r="AD71" s="3"/>
      <c r="AE71"/>
      <c r="AF71"/>
      <c r="AG71"/>
      <c r="AH71"/>
      <c r="AI71"/>
      <c r="AJ71"/>
      <c r="AK71" s="3"/>
    </row>
    <row r="72" spans="3:37" ht="12.75" hidden="1" customHeight="1" outlineLevel="1">
      <c r="C72" s="367" t="s">
        <v>3</v>
      </c>
      <c r="D72" s="113">
        <f t="shared" ref="D72:M72" si="78">D29</f>
        <v>4.024</v>
      </c>
      <c r="E72" s="89">
        <f t="shared" si="78"/>
        <v>7.226</v>
      </c>
      <c r="F72" s="89">
        <f t="shared" si="78"/>
        <v>14.893000000000001</v>
      </c>
      <c r="G72" s="436">
        <f t="shared" si="78"/>
        <v>17.440999999999999</v>
      </c>
      <c r="H72" s="436">
        <f t="shared" si="78"/>
        <v>15.702999999999999</v>
      </c>
      <c r="I72" s="436">
        <f t="shared" si="78"/>
        <v>24.765999999999998</v>
      </c>
      <c r="J72" s="436">
        <f t="shared" si="78"/>
        <v>28.385000000000002</v>
      </c>
      <c r="K72" s="436">
        <f t="shared" si="78"/>
        <v>46.061999999999998</v>
      </c>
      <c r="L72" s="436">
        <f t="shared" si="78"/>
        <v>62.27</v>
      </c>
      <c r="M72" s="436">
        <f t="shared" si="78"/>
        <v>86.531000000000006</v>
      </c>
      <c r="N72" s="436">
        <f t="shared" ref="N72" si="79">N29</f>
        <v>126.697</v>
      </c>
      <c r="O72" s="436">
        <f t="shared" ref="O72:AB72" si="80">O73*O59</f>
        <v>225.49515</v>
      </c>
      <c r="P72" s="436">
        <f t="shared" si="80"/>
        <v>236.45569800000001</v>
      </c>
      <c r="Q72" s="436">
        <f t="shared" si="80"/>
        <v>262.81828282590459</v>
      </c>
      <c r="R72" s="436">
        <f t="shared" si="80"/>
        <v>276.74806651681911</v>
      </c>
      <c r="S72" s="436">
        <f t="shared" si="80"/>
        <v>286.52922448848773</v>
      </c>
      <c r="T72" s="436">
        <f t="shared" si="80"/>
        <v>294.94611673320787</v>
      </c>
      <c r="U72" s="436">
        <f t="shared" si="80"/>
        <v>302.43218210602089</v>
      </c>
      <c r="V72" s="436">
        <f t="shared" si="80"/>
        <v>309.70211994982157</v>
      </c>
      <c r="W72" s="436">
        <f t="shared" si="80"/>
        <v>316.6931341124739</v>
      </c>
      <c r="X72" s="436">
        <f t="shared" si="80"/>
        <v>319.38813899440169</v>
      </c>
      <c r="Y72" s="436">
        <f t="shared" si="80"/>
        <v>308.96423548355159</v>
      </c>
      <c r="Z72" s="436">
        <f t="shared" si="80"/>
        <v>307.19726570053615</v>
      </c>
      <c r="AA72" s="436">
        <f t="shared" si="80"/>
        <v>308.09385165308885</v>
      </c>
      <c r="AB72" s="436">
        <f t="shared" si="80"/>
        <v>311.17428695449598</v>
      </c>
      <c r="AC72" s="113"/>
      <c r="AD72" s="3"/>
      <c r="AK72" s="3"/>
    </row>
    <row r="73" spans="3:37" ht="12.75" hidden="1" customHeight="1" outlineLevel="1">
      <c r="C73" s="694" t="s">
        <v>138</v>
      </c>
      <c r="D73" s="120">
        <f t="shared" ref="D73:M73" si="81">D72/D59</f>
        <v>4.208896838097629E-2</v>
      </c>
      <c r="E73" s="332">
        <f t="shared" si="81"/>
        <v>6.5918627987593514E-2</v>
      </c>
      <c r="F73" s="362">
        <f t="shared" si="81"/>
        <v>0.1004871531901112</v>
      </c>
      <c r="G73" s="332">
        <f t="shared" si="81"/>
        <v>0.12544323371812852</v>
      </c>
      <c r="H73" s="332">
        <f t="shared" si="81"/>
        <v>0.11142490190095722</v>
      </c>
      <c r="I73" s="332">
        <f t="shared" si="81"/>
        <v>0.11864634134656842</v>
      </c>
      <c r="J73" s="332">
        <f t="shared" si="81"/>
        <v>0.11026812421819765</v>
      </c>
      <c r="K73" s="332">
        <f t="shared" si="81"/>
        <v>0.13846944695792285</v>
      </c>
      <c r="L73" s="332">
        <f t="shared" si="81"/>
        <v>0.13715949664865629</v>
      </c>
      <c r="M73" s="332">
        <f t="shared" si="81"/>
        <v>0.13685096180458359</v>
      </c>
      <c r="N73" s="332">
        <f t="shared" ref="N73" si="82">N72/N59</f>
        <v>0.14651794800629106</v>
      </c>
      <c r="O73" s="429">
        <v>0.13700000000000001</v>
      </c>
      <c r="P73" s="429">
        <f>O73</f>
        <v>0.13700000000000001</v>
      </c>
      <c r="Q73" s="429">
        <f>P73</f>
        <v>0.13700000000000001</v>
      </c>
      <c r="R73" s="429">
        <f>Q73</f>
        <v>0.13700000000000001</v>
      </c>
      <c r="S73" s="429">
        <f>R73</f>
        <v>0.13700000000000001</v>
      </c>
      <c r="T73" s="429">
        <f t="shared" ref="T73:AB73" si="83">S73</f>
        <v>0.13700000000000001</v>
      </c>
      <c r="U73" s="429">
        <f t="shared" si="83"/>
        <v>0.13700000000000001</v>
      </c>
      <c r="V73" s="429">
        <f t="shared" si="83"/>
        <v>0.13700000000000001</v>
      </c>
      <c r="W73" s="429">
        <f t="shared" si="83"/>
        <v>0.13700000000000001</v>
      </c>
      <c r="X73" s="429">
        <f t="shared" si="83"/>
        <v>0.13700000000000001</v>
      </c>
      <c r="Y73" s="429">
        <f t="shared" si="83"/>
        <v>0.13700000000000001</v>
      </c>
      <c r="Z73" s="429">
        <f t="shared" si="83"/>
        <v>0.13700000000000001</v>
      </c>
      <c r="AA73" s="429">
        <f t="shared" si="83"/>
        <v>0.13700000000000001</v>
      </c>
      <c r="AB73" s="429">
        <f t="shared" si="83"/>
        <v>0.13700000000000001</v>
      </c>
      <c r="AC73" s="87"/>
      <c r="AD73" s="3"/>
      <c r="AK73" s="3"/>
    </row>
    <row r="74" spans="3:37" ht="12.75" hidden="1" customHeight="1" outlineLevel="1">
      <c r="C74" s="121"/>
      <c r="D74" s="122"/>
      <c r="E74" s="331"/>
      <c r="F74" s="331"/>
      <c r="G74" s="331"/>
      <c r="H74" s="331"/>
      <c r="I74" s="333"/>
      <c r="J74" s="333"/>
      <c r="K74" s="333"/>
      <c r="L74" s="333"/>
      <c r="M74" s="333"/>
      <c r="N74" s="333"/>
      <c r="O74" s="333"/>
      <c r="P74" s="333"/>
      <c r="Q74" s="333"/>
      <c r="R74" s="333"/>
      <c r="S74" s="333"/>
      <c r="T74" s="331"/>
      <c r="U74" s="331"/>
      <c r="V74" s="331"/>
      <c r="W74" s="331"/>
      <c r="X74" s="331"/>
      <c r="Y74" s="331"/>
      <c r="Z74" s="331"/>
      <c r="AA74" s="331"/>
      <c r="AB74" s="331"/>
      <c r="AC74" s="122"/>
      <c r="AD74" s="21"/>
      <c r="AK74" s="21"/>
    </row>
    <row r="75" spans="3:37" ht="12.75" hidden="1" customHeight="1" outlineLevel="1">
      <c r="C75" s="121"/>
      <c r="D75" s="122"/>
      <c r="E75" s="122"/>
      <c r="F75" s="331"/>
      <c r="G75" s="331"/>
      <c r="H75" s="331"/>
      <c r="I75" s="331"/>
      <c r="J75" s="331"/>
      <c r="K75" s="331"/>
      <c r="L75" s="331"/>
      <c r="M75" s="331"/>
      <c r="N75" s="331"/>
      <c r="O75" s="331"/>
      <c r="P75" s="331"/>
      <c r="Q75" s="331"/>
      <c r="R75" s="331"/>
      <c r="S75" s="331"/>
      <c r="T75" s="331"/>
      <c r="U75" s="331"/>
      <c r="V75" s="331"/>
      <c r="W75" s="331"/>
      <c r="X75" s="331"/>
      <c r="Y75" s="331"/>
      <c r="Z75" s="331"/>
      <c r="AA75" s="331"/>
      <c r="AB75" s="331"/>
      <c r="AC75" s="122"/>
      <c r="AD75" s="21"/>
      <c r="AK75" s="21"/>
    </row>
    <row r="76" spans="3:37" ht="12.75" hidden="1" customHeight="1" outlineLevel="1">
      <c r="C76" s="673" t="s">
        <v>24</v>
      </c>
      <c r="D76" s="274"/>
      <c r="E76" s="274"/>
      <c r="F76" s="274"/>
      <c r="G76" s="274"/>
      <c r="H76" s="274"/>
      <c r="I76" s="274"/>
      <c r="J76" s="274"/>
      <c r="K76" s="274"/>
      <c r="L76" s="274"/>
      <c r="M76" s="274"/>
      <c r="N76" s="274"/>
      <c r="O76" s="274"/>
      <c r="P76" s="274"/>
      <c r="Q76" s="274"/>
      <c r="R76" s="274"/>
      <c r="S76" s="274"/>
      <c r="T76" s="274"/>
      <c r="U76" s="274"/>
      <c r="V76" s="274"/>
      <c r="W76" s="274"/>
      <c r="X76" s="274"/>
      <c r="Y76" s="274"/>
      <c r="Z76" s="274"/>
      <c r="AA76" s="274"/>
      <c r="AB76" s="274"/>
      <c r="AC76" s="274"/>
      <c r="AD76" s="22"/>
      <c r="AK76" s="22"/>
    </row>
    <row r="77" spans="3:37" ht="12.75" hidden="1" customHeight="1" outlineLevel="1">
      <c r="C77" s="690" t="s">
        <v>353</v>
      </c>
      <c r="D77" s="691"/>
      <c r="E77" s="691">
        <f t="shared" ref="E77:P77" si="84">D81</f>
        <v>0</v>
      </c>
      <c r="F77" s="691">
        <f t="shared" si="84"/>
        <v>3.9430000000000001</v>
      </c>
      <c r="G77" s="691">
        <f t="shared" si="84"/>
        <v>2.7959999999999998</v>
      </c>
      <c r="H77" s="691">
        <f t="shared" si="84"/>
        <v>1.752</v>
      </c>
      <c r="I77" s="691">
        <f t="shared" si="84"/>
        <v>4.8040000000000003</v>
      </c>
      <c r="J77" s="691">
        <f t="shared" si="84"/>
        <v>6.431</v>
      </c>
      <c r="K77" s="691">
        <f t="shared" si="84"/>
        <v>6.3479999999999999</v>
      </c>
      <c r="L77" s="691">
        <f t="shared" si="84"/>
        <v>26.847999999999999</v>
      </c>
      <c r="M77" s="691">
        <f t="shared" si="84"/>
        <v>81.790000000000006</v>
      </c>
      <c r="N77" s="691">
        <f t="shared" si="84"/>
        <v>98.564697517871863</v>
      </c>
      <c r="O77" s="691">
        <f t="shared" si="84"/>
        <v>194.72615159600974</v>
      </c>
      <c r="P77" s="691">
        <f t="shared" si="84"/>
        <v>300.33015828938039</v>
      </c>
      <c r="Q77" s="691">
        <f>P81</f>
        <v>394.27720570857974</v>
      </c>
      <c r="R77" s="691">
        <f>Q81</f>
        <v>484.47610465961253</v>
      </c>
      <c r="S77" s="691">
        <f>R81</f>
        <v>561.49041702049317</v>
      </c>
      <c r="T77" s="691">
        <f t="shared" ref="T77:AB77" si="85">S81</f>
        <v>621.96566495035643</v>
      </c>
      <c r="U77" s="691">
        <f t="shared" si="85"/>
        <v>667.26171707929018</v>
      </c>
      <c r="V77" s="691">
        <f t="shared" si="85"/>
        <v>695.9148513107408</v>
      </c>
      <c r="W77" s="691">
        <f t="shared" si="85"/>
        <v>718.9674004321032</v>
      </c>
      <c r="X77" s="691">
        <f t="shared" si="85"/>
        <v>739.14178006064299</v>
      </c>
      <c r="Y77" s="691">
        <f t="shared" si="85"/>
        <v>754.29227429526065</v>
      </c>
      <c r="Z77" s="691">
        <f t="shared" si="85"/>
        <v>758.81943303072035</v>
      </c>
      <c r="AA77" s="691">
        <f t="shared" si="85"/>
        <v>759.69752978591282</v>
      </c>
      <c r="AB77" s="691">
        <f t="shared" si="85"/>
        <v>759.40440427921214</v>
      </c>
      <c r="AC77" s="161"/>
      <c r="AD77" s="22"/>
      <c r="AK77" s="22"/>
    </row>
    <row r="78" spans="3:37" ht="12.75" hidden="1" customHeight="1" outlineLevel="1">
      <c r="C78" s="365" t="s">
        <v>349</v>
      </c>
      <c r="D78" s="335"/>
      <c r="E78" s="335">
        <f>-Cashflow!E30</f>
        <v>1.153</v>
      </c>
      <c r="F78" s="335">
        <f>-Cashflow!F30</f>
        <v>0.69799999999999995</v>
      </c>
      <c r="G78" s="335">
        <f>-Cashflow!G30</f>
        <v>0.38700000000000001</v>
      </c>
      <c r="H78" s="335">
        <f>-Cashflow!H30</f>
        <v>4.109</v>
      </c>
      <c r="I78" s="335">
        <f>-Cashflow!I30</f>
        <v>3.7989999999999999</v>
      </c>
      <c r="J78" s="335">
        <f>-Cashflow!J30</f>
        <v>2.839</v>
      </c>
      <c r="K78" s="335">
        <f>-Cashflow!K30</f>
        <v>4.2670000000000003</v>
      </c>
      <c r="L78" s="335">
        <f>-Cashflow!L30</f>
        <v>27.876000000000001</v>
      </c>
      <c r="M78" s="335">
        <f>-Cashflow!M30</f>
        <v>26.003</v>
      </c>
      <c r="N78" s="335">
        <f>-Cashflow!N30</f>
        <v>120.277</v>
      </c>
      <c r="O78" s="336">
        <f t="shared" ref="O78:S78" si="86">O79*O59</f>
        <v>148.13549999999998</v>
      </c>
      <c r="P78" s="336">
        <f t="shared" si="86"/>
        <v>155.33586</v>
      </c>
      <c r="Q78" s="336">
        <f t="shared" si="86"/>
        <v>172.65434638198107</v>
      </c>
      <c r="R78" s="336">
        <f t="shared" si="86"/>
        <v>181.80529917163298</v>
      </c>
      <c r="S78" s="336">
        <f t="shared" si="86"/>
        <v>188.23087740119632</v>
      </c>
      <c r="T78" s="336">
        <f t="shared" ref="T78:AB78" si="87">T79*T59</f>
        <v>193.76022267145038</v>
      </c>
      <c r="U78" s="336">
        <f t="shared" si="87"/>
        <v>198.67807583607208</v>
      </c>
      <c r="V78" s="336">
        <f t="shared" si="87"/>
        <v>203.45394741229151</v>
      </c>
      <c r="W78" s="336">
        <f t="shared" si="87"/>
        <v>208.04658445344998</v>
      </c>
      <c r="X78" s="336">
        <f t="shared" si="87"/>
        <v>209.81702561676019</v>
      </c>
      <c r="Y78" s="336">
        <f t="shared" si="87"/>
        <v>202.96920579211414</v>
      </c>
      <c r="Z78" s="336">
        <f t="shared" si="87"/>
        <v>201.80842272297994</v>
      </c>
      <c r="AA78" s="336">
        <f t="shared" si="87"/>
        <v>202.39742079399994</v>
      </c>
      <c r="AB78" s="336">
        <f t="shared" si="87"/>
        <v>204.42106442266157</v>
      </c>
      <c r="AC78" s="161"/>
      <c r="AD78" s="22"/>
      <c r="AK78" s="22"/>
    </row>
    <row r="79" spans="3:37" ht="12.75" hidden="1" customHeight="1" outlineLevel="1">
      <c r="C79" s="762" t="s">
        <v>350</v>
      </c>
      <c r="D79" s="337"/>
      <c r="E79" s="337">
        <f t="shared" ref="E79:N79" si="88">E78/E59</f>
        <v>1.0518153621601899E-2</v>
      </c>
      <c r="F79" s="337">
        <f t="shared" si="88"/>
        <v>4.709597322681636E-3</v>
      </c>
      <c r="G79" s="337">
        <f t="shared" si="88"/>
        <v>2.7834717876793614E-3</v>
      </c>
      <c r="H79" s="337">
        <f t="shared" si="88"/>
        <v>2.9156525626379239E-2</v>
      </c>
      <c r="I79" s="337">
        <f t="shared" si="88"/>
        <v>1.8199848614052064E-2</v>
      </c>
      <c r="J79" s="337">
        <f t="shared" si="88"/>
        <v>1.1028754787932468E-2</v>
      </c>
      <c r="K79" s="337">
        <f t="shared" si="88"/>
        <v>1.2827257395889385E-2</v>
      </c>
      <c r="L79" s="337">
        <f t="shared" si="88"/>
        <v>6.1401286792644012E-2</v>
      </c>
      <c r="M79" s="337">
        <f t="shared" si="88"/>
        <v>4.1124401195000479E-2</v>
      </c>
      <c r="N79" s="337">
        <f t="shared" si="88"/>
        <v>0.13909357942455361</v>
      </c>
      <c r="O79" s="337">
        <v>0.09</v>
      </c>
      <c r="P79" s="337">
        <v>0.09</v>
      </c>
      <c r="Q79" s="337">
        <v>0.09</v>
      </c>
      <c r="R79" s="337">
        <f t="shared" ref="R79:S79" si="89">Q79</f>
        <v>0.09</v>
      </c>
      <c r="S79" s="337">
        <f t="shared" si="89"/>
        <v>0.09</v>
      </c>
      <c r="T79" s="337">
        <f t="shared" ref="T79:AB79" si="90">S79</f>
        <v>0.09</v>
      </c>
      <c r="U79" s="337">
        <f t="shared" si="90"/>
        <v>0.09</v>
      </c>
      <c r="V79" s="337">
        <f t="shared" si="90"/>
        <v>0.09</v>
      </c>
      <c r="W79" s="337">
        <f t="shared" si="90"/>
        <v>0.09</v>
      </c>
      <c r="X79" s="337">
        <f t="shared" si="90"/>
        <v>0.09</v>
      </c>
      <c r="Y79" s="337">
        <f t="shared" si="90"/>
        <v>0.09</v>
      </c>
      <c r="Z79" s="337">
        <f t="shared" si="90"/>
        <v>0.09</v>
      </c>
      <c r="AA79" s="337">
        <f t="shared" si="90"/>
        <v>0.09</v>
      </c>
      <c r="AB79" s="337">
        <f t="shared" si="90"/>
        <v>0.09</v>
      </c>
      <c r="AC79" s="162"/>
      <c r="AD79" s="22"/>
      <c r="AK79" s="22"/>
    </row>
    <row r="80" spans="3:37" ht="12.75" hidden="1" customHeight="1" outlineLevel="1">
      <c r="C80" s="365" t="s">
        <v>351</v>
      </c>
      <c r="D80" s="334"/>
      <c r="E80" s="493">
        <f>-Cashflow!E9</f>
        <v>-1.4</v>
      </c>
      <c r="F80" s="493">
        <f>-Cashflow!F9</f>
        <v>-1.8</v>
      </c>
      <c r="G80" s="493">
        <f>-Cashflow!G9</f>
        <v>-1.4</v>
      </c>
      <c r="H80" s="493">
        <f>-Cashflow!H9</f>
        <v>-1.1000000000000001</v>
      </c>
      <c r="I80" s="493">
        <f>-Cashflow!I9</f>
        <v>-2.2000000000000002</v>
      </c>
      <c r="J80" s="493">
        <f>-Cashflow!J9</f>
        <v>-2.9</v>
      </c>
      <c r="K80" s="493">
        <f>-Cashflow!K9</f>
        <v>-2.6406884460449218</v>
      </c>
      <c r="L80" s="493">
        <f>-Cashflow!L9</f>
        <v>-6.0466492652893065</v>
      </c>
      <c r="M80" s="493">
        <f>-Cashflow!M9</f>
        <v>-9.228302482128143</v>
      </c>
      <c r="N80" s="493">
        <f>-Cashflow!N9</f>
        <v>-24.115545921862125</v>
      </c>
      <c r="O80" s="493">
        <f>-Cashflow!O9</f>
        <v>-42.531493306629358</v>
      </c>
      <c r="P80" s="493">
        <f>-Cashflow!P9</f>
        <v>-61.388812580800689</v>
      </c>
      <c r="Q80" s="493">
        <f>-Cashflow!Q9</f>
        <v>-82.45544743094824</v>
      </c>
      <c r="R80" s="493">
        <f>-Cashflow!R9</f>
        <v>-104.79098681075229</v>
      </c>
      <c r="S80" s="493">
        <f>-Cashflow!S9</f>
        <v>-127.75562947133301</v>
      </c>
      <c r="T80" s="493">
        <f>-Cashflow!T9</f>
        <v>-148.46417054251663</v>
      </c>
      <c r="U80" s="493">
        <f>-Cashflow!U9</f>
        <v>-170.02494160462138</v>
      </c>
      <c r="V80" s="493">
        <f>-Cashflow!V9</f>
        <v>-180.40139829092908</v>
      </c>
      <c r="W80" s="493">
        <f>-Cashflow!W9</f>
        <v>-187.87220482491017</v>
      </c>
      <c r="X80" s="493">
        <f>-Cashflow!X9</f>
        <v>-194.66653138214258</v>
      </c>
      <c r="Y80" s="493">
        <f>-Cashflow!Y9</f>
        <v>-198.44204705665445</v>
      </c>
      <c r="Z80" s="493">
        <f>-Cashflow!Z9</f>
        <v>-200.93032596778738</v>
      </c>
      <c r="AA80" s="493">
        <f>-Cashflow!AA9</f>
        <v>-202.69054630070059</v>
      </c>
      <c r="AB80" s="493">
        <f>-Cashflow!AB9</f>
        <v>-204.01387862731315</v>
      </c>
      <c r="AC80" s="161"/>
      <c r="AD80" s="22"/>
      <c r="AK80" s="22"/>
    </row>
    <row r="81" spans="3:37" ht="12.75" hidden="1" customHeight="1" outlineLevel="1">
      <c r="C81" s="366" t="s">
        <v>352</v>
      </c>
      <c r="D81" s="692"/>
      <c r="E81" s="692">
        <f t="shared" ref="E81:L81" si="91">E21</f>
        <v>3.9430000000000001</v>
      </c>
      <c r="F81" s="692">
        <f t="shared" si="91"/>
        <v>2.7959999999999998</v>
      </c>
      <c r="G81" s="692">
        <f t="shared" si="91"/>
        <v>1.752</v>
      </c>
      <c r="H81" s="692">
        <f t="shared" si="91"/>
        <v>4.8040000000000003</v>
      </c>
      <c r="I81" s="692">
        <f t="shared" si="91"/>
        <v>6.431</v>
      </c>
      <c r="J81" s="692">
        <f t="shared" si="91"/>
        <v>6.3479999999999999</v>
      </c>
      <c r="K81" s="692">
        <f t="shared" si="91"/>
        <v>26.847999999999999</v>
      </c>
      <c r="L81" s="692">
        <f t="shared" si="91"/>
        <v>81.790000000000006</v>
      </c>
      <c r="M81" s="692">
        <f t="shared" ref="M81:AB81" si="92">M77+M78+M80</f>
        <v>98.564697517871863</v>
      </c>
      <c r="N81" s="692">
        <f t="shared" ref="N81" si="93">N77+N78+N80</f>
        <v>194.72615159600974</v>
      </c>
      <c r="O81" s="692">
        <f t="shared" si="92"/>
        <v>300.33015828938039</v>
      </c>
      <c r="P81" s="692">
        <f t="shared" si="92"/>
        <v>394.27720570857974</v>
      </c>
      <c r="Q81" s="692">
        <f t="shared" si="92"/>
        <v>484.47610465961253</v>
      </c>
      <c r="R81" s="692">
        <f t="shared" si="92"/>
        <v>561.49041702049317</v>
      </c>
      <c r="S81" s="692">
        <f t="shared" si="92"/>
        <v>621.96566495035643</v>
      </c>
      <c r="T81" s="692">
        <f t="shared" si="92"/>
        <v>667.26171707929018</v>
      </c>
      <c r="U81" s="692">
        <f t="shared" si="92"/>
        <v>695.9148513107408</v>
      </c>
      <c r="V81" s="692">
        <f t="shared" si="92"/>
        <v>718.9674004321032</v>
      </c>
      <c r="W81" s="692">
        <f t="shared" si="92"/>
        <v>739.14178006064299</v>
      </c>
      <c r="X81" s="692">
        <f t="shared" si="92"/>
        <v>754.29227429526065</v>
      </c>
      <c r="Y81" s="692">
        <f t="shared" si="92"/>
        <v>758.81943303072035</v>
      </c>
      <c r="Z81" s="692">
        <f t="shared" si="92"/>
        <v>759.69752978591282</v>
      </c>
      <c r="AA81" s="692">
        <f t="shared" si="92"/>
        <v>759.40440427921214</v>
      </c>
      <c r="AB81" s="692">
        <f t="shared" si="92"/>
        <v>759.81159007456051</v>
      </c>
      <c r="AC81" s="161"/>
      <c r="AD81" s="22"/>
      <c r="AK81" s="22"/>
    </row>
    <row r="82" spans="3:37" ht="12.75" hidden="1" customHeight="1" outlineLevel="1">
      <c r="C82" s="117"/>
      <c r="D82" s="163"/>
      <c r="E82" s="338">
        <f>E81-E21</f>
        <v>0</v>
      </c>
      <c r="F82" s="338">
        <f>F81-F21</f>
        <v>0</v>
      </c>
      <c r="G82" s="338">
        <f>G81-G21</f>
        <v>0</v>
      </c>
      <c r="H82" s="338"/>
      <c r="I82" s="338"/>
      <c r="J82" s="338"/>
      <c r="K82" s="338"/>
      <c r="L82" s="338"/>
      <c r="M82" s="338"/>
      <c r="N82" s="338"/>
      <c r="O82" s="338"/>
      <c r="P82" s="338"/>
      <c r="Q82" s="338"/>
      <c r="R82" s="338"/>
      <c r="S82" s="338"/>
      <c r="T82" s="338"/>
      <c r="U82" s="338"/>
      <c r="V82" s="338"/>
      <c r="W82" s="338"/>
      <c r="X82" s="338"/>
      <c r="Y82" s="338"/>
      <c r="Z82" s="338"/>
      <c r="AA82" s="338"/>
      <c r="AB82" s="338"/>
      <c r="AC82" s="163"/>
      <c r="AD82" s="22"/>
      <c r="AK82" s="22"/>
    </row>
    <row r="83" spans="3:37" ht="12.75" hidden="1" customHeight="1" outlineLevel="1">
      <c r="C83" s="123"/>
      <c r="D83" s="163"/>
      <c r="E83" s="163"/>
      <c r="F83" s="338"/>
      <c r="G83" s="338"/>
      <c r="H83" s="338"/>
      <c r="I83" s="338"/>
      <c r="J83" s="338"/>
      <c r="K83" s="338"/>
      <c r="L83" s="338"/>
      <c r="M83" s="338"/>
      <c r="N83" s="338"/>
      <c r="O83" s="338"/>
      <c r="P83" s="338"/>
      <c r="Q83" s="338"/>
      <c r="R83" s="338"/>
      <c r="S83" s="338"/>
      <c r="T83" s="338"/>
      <c r="U83" s="338"/>
      <c r="V83" s="338"/>
      <c r="W83" s="338"/>
      <c r="X83" s="338"/>
      <c r="Y83" s="338"/>
      <c r="Z83" s="338"/>
      <c r="AA83" s="338"/>
      <c r="AB83" s="338"/>
      <c r="AC83" s="163"/>
      <c r="AD83" s="22"/>
      <c r="AK83" s="22"/>
    </row>
    <row r="84" spans="3:37" ht="12.75" hidden="1" customHeight="1" outlineLevel="1">
      <c r="C84" s="673" t="s">
        <v>25</v>
      </c>
      <c r="D84" s="275">
        <v>8</v>
      </c>
      <c r="E84" s="275"/>
      <c r="F84" s="674"/>
      <c r="G84" s="674"/>
      <c r="H84" s="674"/>
      <c r="I84" s="674"/>
      <c r="J84" s="674"/>
      <c r="K84" s="674"/>
      <c r="L84" s="674"/>
      <c r="M84" s="674"/>
      <c r="N84" s="674"/>
      <c r="O84" s="674"/>
      <c r="P84" s="674"/>
      <c r="Q84" s="674"/>
      <c r="R84" s="674"/>
      <c r="S84" s="674"/>
      <c r="T84" s="674"/>
      <c r="U84" s="674"/>
      <c r="V84" s="674"/>
      <c r="W84" s="674"/>
      <c r="X84" s="674"/>
      <c r="Y84" s="674"/>
      <c r="Z84" s="674"/>
      <c r="AA84" s="674"/>
      <c r="AB84" s="674"/>
      <c r="AC84" s="275"/>
      <c r="AD84" s="21"/>
      <c r="AK84" s="21"/>
    </row>
    <row r="85" spans="3:37" ht="12.75" hidden="1" customHeight="1" outlineLevel="1">
      <c r="C85" s="677" t="s">
        <v>27</v>
      </c>
      <c r="D85" s="678"/>
      <c r="E85" s="679">
        <v>1.4</v>
      </c>
      <c r="F85" s="679">
        <f t="shared" ref="F85:P85" si="94">E85-((1/$D$84)*E85)</f>
        <v>1.2249999999999999</v>
      </c>
      <c r="G85" s="679">
        <f t="shared" si="94"/>
        <v>1.0718749999999999</v>
      </c>
      <c r="H85" s="679">
        <f t="shared" si="94"/>
        <v>0.93789062499999987</v>
      </c>
      <c r="I85" s="679">
        <f t="shared" si="94"/>
        <v>0.82065429687499991</v>
      </c>
      <c r="J85" s="679">
        <f t="shared" si="94"/>
        <v>0.71807250976562487</v>
      </c>
      <c r="K85" s="679">
        <f t="shared" si="94"/>
        <v>0.62831344604492179</v>
      </c>
      <c r="L85" s="679">
        <f t="shared" si="94"/>
        <v>0.54977426528930651</v>
      </c>
      <c r="M85" s="679">
        <f t="shared" si="94"/>
        <v>0.48105248212814322</v>
      </c>
      <c r="N85" s="679">
        <f t="shared" si="94"/>
        <v>0.42092092186212532</v>
      </c>
      <c r="O85" s="679">
        <f t="shared" si="94"/>
        <v>0.36830580662935963</v>
      </c>
      <c r="P85" s="679">
        <f t="shared" si="94"/>
        <v>0.32226758080068968</v>
      </c>
      <c r="Q85" s="679">
        <f>P85-((1/$D$84)*P85)</f>
        <v>0.28198413320060345</v>
      </c>
      <c r="R85" s="679">
        <f>Q85-((1/$D$84)*Q85)</f>
        <v>0.24673611655052802</v>
      </c>
      <c r="S85" s="679">
        <f>R85-((1/$D$84)*R85)</f>
        <v>0.21589410198171202</v>
      </c>
      <c r="T85" s="679">
        <f t="shared" ref="T85:AB85" si="95">S85-((1/$D$84)*S85)</f>
        <v>0.18890733923399802</v>
      </c>
      <c r="U85" s="679">
        <f t="shared" si="95"/>
        <v>0.16529392182974828</v>
      </c>
      <c r="V85" s="679">
        <f t="shared" si="95"/>
        <v>0.14463218160102975</v>
      </c>
      <c r="W85" s="679">
        <f t="shared" si="95"/>
        <v>0.12655315890090102</v>
      </c>
      <c r="X85" s="679">
        <f t="shared" si="95"/>
        <v>0.11073401403828839</v>
      </c>
      <c r="Y85" s="679">
        <f t="shared" si="95"/>
        <v>9.6892262283502339E-2</v>
      </c>
      <c r="Z85" s="679">
        <f t="shared" si="95"/>
        <v>8.4780729498064547E-2</v>
      </c>
      <c r="AA85" s="679">
        <f t="shared" si="95"/>
        <v>7.4183138310806473E-2</v>
      </c>
      <c r="AB85" s="1391">
        <f t="shared" si="95"/>
        <v>6.4910246021955664E-2</v>
      </c>
      <c r="AC85" s="125"/>
      <c r="AD85" s="22"/>
      <c r="AK85" s="22"/>
    </row>
    <row r="86" spans="3:37" ht="12.75" hidden="1" customHeight="1" outlineLevel="1">
      <c r="C86" s="680" t="s">
        <v>242</v>
      </c>
      <c r="D86" s="125"/>
      <c r="E86" s="339"/>
      <c r="F86" s="339">
        <f t="shared" ref="F86:M86" si="96">$F$78/$D$84</f>
        <v>8.7249999999999994E-2</v>
      </c>
      <c r="G86" s="339">
        <f t="shared" si="96"/>
        <v>8.7249999999999994E-2</v>
      </c>
      <c r="H86" s="339">
        <f t="shared" si="96"/>
        <v>8.7249999999999994E-2</v>
      </c>
      <c r="I86" s="339">
        <f t="shared" si="96"/>
        <v>8.7249999999999994E-2</v>
      </c>
      <c r="J86" s="339">
        <f t="shared" si="96"/>
        <v>8.7249999999999994E-2</v>
      </c>
      <c r="K86" s="339">
        <f t="shared" si="96"/>
        <v>8.7249999999999994E-2</v>
      </c>
      <c r="L86" s="339">
        <f t="shared" si="96"/>
        <v>8.7249999999999994E-2</v>
      </c>
      <c r="M86" s="339">
        <f t="shared" si="96"/>
        <v>8.7249999999999994E-2</v>
      </c>
      <c r="N86" s="339"/>
      <c r="O86" s="339"/>
      <c r="P86" s="339"/>
      <c r="Q86" s="339"/>
      <c r="R86" s="339"/>
      <c r="S86" s="339"/>
      <c r="T86" s="339"/>
      <c r="U86" s="339"/>
      <c r="V86" s="339"/>
      <c r="W86" s="339"/>
      <c r="X86" s="339"/>
      <c r="Y86" s="339"/>
      <c r="Z86" s="339"/>
      <c r="AA86" s="339"/>
      <c r="AB86" s="1392"/>
      <c r="AC86" s="125"/>
      <c r="AD86" s="22"/>
      <c r="AK86" s="22"/>
    </row>
    <row r="87" spans="3:37" ht="12.75" hidden="1" customHeight="1" outlineLevel="1">
      <c r="C87" s="680" t="s">
        <v>243</v>
      </c>
      <c r="D87" s="125"/>
      <c r="E87" s="339"/>
      <c r="F87" s="339"/>
      <c r="G87" s="339">
        <f t="shared" ref="G87:N87" si="97">$G$78/$D$84</f>
        <v>4.8375000000000001E-2</v>
      </c>
      <c r="H87" s="339">
        <f t="shared" si="97"/>
        <v>4.8375000000000001E-2</v>
      </c>
      <c r="I87" s="339">
        <f t="shared" si="97"/>
        <v>4.8375000000000001E-2</v>
      </c>
      <c r="J87" s="339">
        <f t="shared" si="97"/>
        <v>4.8375000000000001E-2</v>
      </c>
      <c r="K87" s="339">
        <f t="shared" si="97"/>
        <v>4.8375000000000001E-2</v>
      </c>
      <c r="L87" s="339">
        <f t="shared" si="97"/>
        <v>4.8375000000000001E-2</v>
      </c>
      <c r="M87" s="339">
        <f t="shared" si="97"/>
        <v>4.8375000000000001E-2</v>
      </c>
      <c r="N87" s="339">
        <f t="shared" si="97"/>
        <v>4.8375000000000001E-2</v>
      </c>
      <c r="O87" s="339"/>
      <c r="P87" s="339"/>
      <c r="Q87" s="339"/>
      <c r="R87" s="339"/>
      <c r="S87" s="339"/>
      <c r="T87" s="339"/>
      <c r="U87" s="339"/>
      <c r="V87" s="339"/>
      <c r="W87" s="339"/>
      <c r="X87" s="339"/>
      <c r="Y87" s="339"/>
      <c r="Z87" s="339"/>
      <c r="AA87" s="339"/>
      <c r="AB87" s="1392"/>
      <c r="AC87" s="125"/>
      <c r="AD87" s="22"/>
      <c r="AK87" s="22"/>
    </row>
    <row r="88" spans="3:37" ht="12.75" hidden="1" customHeight="1" outlineLevel="1">
      <c r="C88" s="680" t="s">
        <v>244</v>
      </c>
      <c r="D88" s="125"/>
      <c r="E88" s="339"/>
      <c r="F88" s="339"/>
      <c r="G88" s="339"/>
      <c r="H88" s="339">
        <f t="shared" ref="H88:O88" si="98">$H$78/$D$84</f>
        <v>0.513625</v>
      </c>
      <c r="I88" s="339">
        <f t="shared" si="98"/>
        <v>0.513625</v>
      </c>
      <c r="J88" s="339">
        <f t="shared" si="98"/>
        <v>0.513625</v>
      </c>
      <c r="K88" s="339">
        <f t="shared" si="98"/>
        <v>0.513625</v>
      </c>
      <c r="L88" s="339">
        <f t="shared" si="98"/>
        <v>0.513625</v>
      </c>
      <c r="M88" s="339">
        <f t="shared" si="98"/>
        <v>0.513625</v>
      </c>
      <c r="N88" s="339">
        <f t="shared" si="98"/>
        <v>0.513625</v>
      </c>
      <c r="O88" s="339">
        <f t="shared" si="98"/>
        <v>0.513625</v>
      </c>
      <c r="P88" s="339"/>
      <c r="Q88" s="339"/>
      <c r="R88" s="339"/>
      <c r="S88" s="339"/>
      <c r="T88" s="339"/>
      <c r="U88" s="339"/>
      <c r="V88" s="339"/>
      <c r="W88" s="339"/>
      <c r="X88" s="339"/>
      <c r="Y88" s="339"/>
      <c r="Z88" s="339"/>
      <c r="AA88" s="339"/>
      <c r="AB88" s="1392"/>
      <c r="AC88" s="125"/>
      <c r="AD88" s="22"/>
      <c r="AK88" s="22"/>
    </row>
    <row r="89" spans="3:37" ht="12.75" hidden="1" customHeight="1" outlineLevel="1">
      <c r="C89" s="680" t="s">
        <v>149</v>
      </c>
      <c r="D89" s="125"/>
      <c r="E89" s="339"/>
      <c r="F89" s="339"/>
      <c r="G89" s="339"/>
      <c r="H89" s="339"/>
      <c r="I89" s="339">
        <f>$I$78/$D$84</f>
        <v>0.47487499999999999</v>
      </c>
      <c r="J89" s="339">
        <f>I89</f>
        <v>0.47487499999999999</v>
      </c>
      <c r="K89" s="339">
        <f t="shared" ref="K89:P89" si="99">J89</f>
        <v>0.47487499999999999</v>
      </c>
      <c r="L89" s="339">
        <f t="shared" si="99"/>
        <v>0.47487499999999999</v>
      </c>
      <c r="M89" s="339">
        <f t="shared" si="99"/>
        <v>0.47487499999999999</v>
      </c>
      <c r="N89" s="339">
        <f t="shared" si="99"/>
        <v>0.47487499999999999</v>
      </c>
      <c r="O89" s="339">
        <f t="shared" si="99"/>
        <v>0.47487499999999999</v>
      </c>
      <c r="P89" s="339">
        <f t="shared" si="99"/>
        <v>0.47487499999999999</v>
      </c>
      <c r="Q89" s="339"/>
      <c r="R89" s="339"/>
      <c r="S89" s="339"/>
      <c r="T89" s="339"/>
      <c r="U89" s="339"/>
      <c r="V89" s="339"/>
      <c r="W89" s="339"/>
      <c r="X89" s="339"/>
      <c r="Y89" s="339"/>
      <c r="Z89" s="339"/>
      <c r="AA89" s="339"/>
      <c r="AB89" s="1392"/>
      <c r="AC89" s="125"/>
      <c r="AD89" s="22"/>
      <c r="AK89" s="22"/>
    </row>
    <row r="90" spans="3:37" ht="12.75" hidden="1" customHeight="1" outlineLevel="1">
      <c r="C90" s="680" t="s">
        <v>150</v>
      </c>
      <c r="D90" s="125"/>
      <c r="E90" s="339"/>
      <c r="F90" s="339"/>
      <c r="G90" s="339"/>
      <c r="H90" s="339"/>
      <c r="I90" s="339"/>
      <c r="J90" s="339">
        <f t="shared" ref="J90:Q90" si="100">$J$78/$D$84</f>
        <v>0.354875</v>
      </c>
      <c r="K90" s="339">
        <f t="shared" si="100"/>
        <v>0.354875</v>
      </c>
      <c r="L90" s="339">
        <f t="shared" si="100"/>
        <v>0.354875</v>
      </c>
      <c r="M90" s="339">
        <f t="shared" si="100"/>
        <v>0.354875</v>
      </c>
      <c r="N90" s="339">
        <f t="shared" si="100"/>
        <v>0.354875</v>
      </c>
      <c r="O90" s="339">
        <f t="shared" si="100"/>
        <v>0.354875</v>
      </c>
      <c r="P90" s="339">
        <f t="shared" si="100"/>
        <v>0.354875</v>
      </c>
      <c r="Q90" s="339">
        <f t="shared" si="100"/>
        <v>0.354875</v>
      </c>
      <c r="R90" s="339"/>
      <c r="S90" s="339"/>
      <c r="T90" s="339"/>
      <c r="U90" s="339"/>
      <c r="V90" s="339"/>
      <c r="W90" s="339"/>
      <c r="X90" s="339"/>
      <c r="Y90" s="339"/>
      <c r="Z90" s="339"/>
      <c r="AA90" s="339"/>
      <c r="AB90" s="1392"/>
      <c r="AC90" s="125"/>
      <c r="AD90" s="22"/>
      <c r="AK90" s="22"/>
    </row>
    <row r="91" spans="3:37" ht="12.75" hidden="1" customHeight="1" outlineLevel="1">
      <c r="C91" s="680" t="s">
        <v>151</v>
      </c>
      <c r="D91" s="125"/>
      <c r="E91" s="339"/>
      <c r="F91" s="339"/>
      <c r="G91" s="339"/>
      <c r="H91" s="339"/>
      <c r="I91" s="339"/>
      <c r="J91" s="339"/>
      <c r="K91" s="339">
        <f t="shared" ref="K91:R91" si="101">$K$78/$D$84</f>
        <v>0.53337500000000004</v>
      </c>
      <c r="L91" s="339">
        <f t="shared" si="101"/>
        <v>0.53337500000000004</v>
      </c>
      <c r="M91" s="339">
        <f t="shared" si="101"/>
        <v>0.53337500000000004</v>
      </c>
      <c r="N91" s="339">
        <f t="shared" si="101"/>
        <v>0.53337500000000004</v>
      </c>
      <c r="O91" s="339">
        <f t="shared" si="101"/>
        <v>0.53337500000000004</v>
      </c>
      <c r="P91" s="339">
        <f t="shared" si="101"/>
        <v>0.53337500000000004</v>
      </c>
      <c r="Q91" s="339">
        <f t="shared" si="101"/>
        <v>0.53337500000000004</v>
      </c>
      <c r="R91" s="339">
        <f t="shared" si="101"/>
        <v>0.53337500000000004</v>
      </c>
      <c r="S91" s="339"/>
      <c r="T91" s="339"/>
      <c r="U91" s="339"/>
      <c r="V91" s="339"/>
      <c r="W91" s="339"/>
      <c r="X91" s="339"/>
      <c r="Y91" s="339"/>
      <c r="Z91" s="339"/>
      <c r="AA91" s="339"/>
      <c r="AB91" s="1392"/>
      <c r="AC91" s="125"/>
      <c r="AD91" s="22"/>
      <c r="AK91" s="22"/>
    </row>
    <row r="92" spans="3:37" ht="12.75" hidden="1" customHeight="1" outlineLevel="1">
      <c r="C92" s="680" t="s">
        <v>152</v>
      </c>
      <c r="D92" s="125"/>
      <c r="E92" s="339"/>
      <c r="F92" s="339"/>
      <c r="G92" s="339"/>
      <c r="H92" s="339"/>
      <c r="I92" s="339"/>
      <c r="J92" s="339"/>
      <c r="K92" s="339"/>
      <c r="L92" s="339">
        <f>L$78/$D$84</f>
        <v>3.4845000000000002</v>
      </c>
      <c r="M92" s="339">
        <f t="shared" ref="M92:R92" si="102">L92</f>
        <v>3.4845000000000002</v>
      </c>
      <c r="N92" s="339">
        <f t="shared" si="102"/>
        <v>3.4845000000000002</v>
      </c>
      <c r="O92" s="339">
        <f t="shared" si="102"/>
        <v>3.4845000000000002</v>
      </c>
      <c r="P92" s="339">
        <f t="shared" si="102"/>
        <v>3.4845000000000002</v>
      </c>
      <c r="Q92" s="339">
        <f t="shared" si="102"/>
        <v>3.4845000000000002</v>
      </c>
      <c r="R92" s="339">
        <f t="shared" si="102"/>
        <v>3.4845000000000002</v>
      </c>
      <c r="S92" s="339">
        <f t="shared" ref="S92:T98" si="103">R92</f>
        <v>3.4845000000000002</v>
      </c>
      <c r="T92" s="339"/>
      <c r="U92" s="339"/>
      <c r="V92" s="339"/>
      <c r="W92" s="339"/>
      <c r="X92" s="339"/>
      <c r="Y92" s="339"/>
      <c r="Z92" s="339"/>
      <c r="AA92" s="339"/>
      <c r="AB92" s="1392"/>
      <c r="AC92" s="125"/>
      <c r="AD92" s="22"/>
      <c r="AK92" s="22"/>
    </row>
    <row r="93" spans="3:37" ht="12.75" hidden="1" customHeight="1" outlineLevel="1">
      <c r="C93" s="680" t="s">
        <v>190</v>
      </c>
      <c r="D93" s="125"/>
      <c r="E93" s="339"/>
      <c r="F93" s="339"/>
      <c r="G93" s="339"/>
      <c r="H93" s="339"/>
      <c r="I93" s="339"/>
      <c r="J93" s="339"/>
      <c r="K93" s="339"/>
      <c r="L93" s="339"/>
      <c r="M93" s="339">
        <f>M$78/$D$84</f>
        <v>3.250375</v>
      </c>
      <c r="N93" s="339">
        <f>M93</f>
        <v>3.250375</v>
      </c>
      <c r="O93" s="339">
        <f>N93</f>
        <v>3.250375</v>
      </c>
      <c r="P93" s="339">
        <f>O93</f>
        <v>3.250375</v>
      </c>
      <c r="Q93" s="339">
        <f>P93</f>
        <v>3.250375</v>
      </c>
      <c r="R93" s="339">
        <f>Q93</f>
        <v>3.250375</v>
      </c>
      <c r="S93" s="339">
        <f t="shared" si="103"/>
        <v>3.250375</v>
      </c>
      <c r="T93" s="339">
        <f t="shared" si="103"/>
        <v>3.250375</v>
      </c>
      <c r="U93" s="339"/>
      <c r="V93" s="339"/>
      <c r="W93" s="339"/>
      <c r="X93" s="339"/>
      <c r="Y93" s="339"/>
      <c r="Z93" s="339"/>
      <c r="AA93" s="339"/>
      <c r="AB93" s="1392"/>
      <c r="AC93" s="125"/>
      <c r="AD93" s="22"/>
      <c r="AK93" s="22"/>
    </row>
    <row r="94" spans="3:37" ht="12.75" hidden="1" customHeight="1" outlineLevel="1">
      <c r="C94" s="680" t="s">
        <v>191</v>
      </c>
      <c r="D94" s="125"/>
      <c r="E94" s="339"/>
      <c r="F94" s="339"/>
      <c r="G94" s="339"/>
      <c r="H94" s="339"/>
      <c r="I94" s="339"/>
      <c r="J94" s="339"/>
      <c r="K94" s="339"/>
      <c r="L94" s="339"/>
      <c r="M94" s="339"/>
      <c r="N94" s="339">
        <f>N$78/$D$84</f>
        <v>15.034625</v>
      </c>
      <c r="O94" s="339">
        <f>N94</f>
        <v>15.034625</v>
      </c>
      <c r="P94" s="339">
        <f>O94</f>
        <v>15.034625</v>
      </c>
      <c r="Q94" s="339">
        <f>P94</f>
        <v>15.034625</v>
      </c>
      <c r="R94" s="339">
        <f>Q94</f>
        <v>15.034625</v>
      </c>
      <c r="S94" s="339">
        <f t="shared" si="103"/>
        <v>15.034625</v>
      </c>
      <c r="T94" s="339">
        <f t="shared" ref="T94:T99" si="104">S94</f>
        <v>15.034625</v>
      </c>
      <c r="U94" s="339">
        <f t="shared" ref="U94:U100" si="105">T94</f>
        <v>15.034625</v>
      </c>
      <c r="V94" s="339"/>
      <c r="W94" s="339"/>
      <c r="X94" s="339"/>
      <c r="Y94" s="339"/>
      <c r="Z94" s="339"/>
      <c r="AA94" s="339"/>
      <c r="AB94" s="1392"/>
      <c r="AC94" s="125"/>
      <c r="AD94" s="22"/>
      <c r="AK94" s="22"/>
    </row>
    <row r="95" spans="3:37" ht="12.75" hidden="1" customHeight="1" outlineLevel="1">
      <c r="C95" s="680" t="s">
        <v>192</v>
      </c>
      <c r="D95" s="339"/>
      <c r="E95" s="339"/>
      <c r="F95" s="339"/>
      <c r="G95" s="339"/>
      <c r="H95" s="339"/>
      <c r="I95" s="339"/>
      <c r="J95" s="339"/>
      <c r="K95" s="339"/>
      <c r="L95" s="339"/>
      <c r="M95" s="339"/>
      <c r="N95" s="339"/>
      <c r="O95" s="339">
        <f>O$78/$D$84</f>
        <v>18.516937499999997</v>
      </c>
      <c r="P95" s="339">
        <f>O95</f>
        <v>18.516937499999997</v>
      </c>
      <c r="Q95" s="339">
        <f>P95</f>
        <v>18.516937499999997</v>
      </c>
      <c r="R95" s="339">
        <f>Q95</f>
        <v>18.516937499999997</v>
      </c>
      <c r="S95" s="339">
        <f t="shared" si="103"/>
        <v>18.516937499999997</v>
      </c>
      <c r="T95" s="339">
        <f t="shared" si="104"/>
        <v>18.516937499999997</v>
      </c>
      <c r="U95" s="339">
        <f t="shared" si="105"/>
        <v>18.516937499999997</v>
      </c>
      <c r="V95" s="339">
        <f t="shared" ref="V95:V101" si="106">U95</f>
        <v>18.516937499999997</v>
      </c>
      <c r="W95" s="339"/>
      <c r="X95" s="339"/>
      <c r="Y95" s="339"/>
      <c r="Z95" s="339"/>
      <c r="AA95" s="339"/>
      <c r="AB95" s="1392"/>
      <c r="AC95" s="125"/>
      <c r="AD95" s="22"/>
      <c r="AK95" s="22"/>
    </row>
    <row r="96" spans="3:37" ht="12.75" hidden="1" customHeight="1" outlineLevel="1">
      <c r="C96" s="680" t="s">
        <v>46</v>
      </c>
      <c r="D96" s="339"/>
      <c r="E96" s="339"/>
      <c r="F96" s="339"/>
      <c r="G96" s="339"/>
      <c r="H96" s="339"/>
      <c r="I96" s="339"/>
      <c r="J96" s="339"/>
      <c r="K96" s="339"/>
      <c r="L96" s="339"/>
      <c r="M96" s="339"/>
      <c r="N96" s="339"/>
      <c r="O96" s="339"/>
      <c r="P96" s="339">
        <f>P$78/$D$84</f>
        <v>19.4169825</v>
      </c>
      <c r="Q96" s="339">
        <f>P96</f>
        <v>19.4169825</v>
      </c>
      <c r="R96" s="339">
        <f>Q96</f>
        <v>19.4169825</v>
      </c>
      <c r="S96" s="339">
        <f t="shared" si="103"/>
        <v>19.4169825</v>
      </c>
      <c r="T96" s="339">
        <f t="shared" si="104"/>
        <v>19.4169825</v>
      </c>
      <c r="U96" s="339">
        <f t="shared" si="105"/>
        <v>19.4169825</v>
      </c>
      <c r="V96" s="339">
        <f t="shared" si="106"/>
        <v>19.4169825</v>
      </c>
      <c r="W96" s="339">
        <f t="shared" ref="W96:W102" si="107">V96</f>
        <v>19.4169825</v>
      </c>
      <c r="X96" s="339"/>
      <c r="Y96" s="339"/>
      <c r="Z96" s="339"/>
      <c r="AA96" s="339"/>
      <c r="AB96" s="1392"/>
      <c r="AC96" s="125"/>
      <c r="AD96" s="22"/>
      <c r="AK96" s="22"/>
    </row>
    <row r="97" spans="3:37" ht="12.75" hidden="1" customHeight="1" outlineLevel="1">
      <c r="C97" s="680" t="s">
        <v>304</v>
      </c>
      <c r="D97" s="339"/>
      <c r="E97" s="339"/>
      <c r="F97" s="339"/>
      <c r="G97" s="339"/>
      <c r="H97" s="339"/>
      <c r="I97" s="339"/>
      <c r="J97" s="339"/>
      <c r="K97" s="339"/>
      <c r="L97" s="339"/>
      <c r="M97" s="339"/>
      <c r="N97" s="339"/>
      <c r="O97" s="339"/>
      <c r="P97" s="339"/>
      <c r="Q97" s="339">
        <f>Q$78/$D$84</f>
        <v>21.581793297747634</v>
      </c>
      <c r="R97" s="339">
        <f>Q97</f>
        <v>21.581793297747634</v>
      </c>
      <c r="S97" s="339">
        <f t="shared" si="103"/>
        <v>21.581793297747634</v>
      </c>
      <c r="T97" s="339">
        <f t="shared" si="104"/>
        <v>21.581793297747634</v>
      </c>
      <c r="U97" s="339">
        <f t="shared" si="105"/>
        <v>21.581793297747634</v>
      </c>
      <c r="V97" s="339">
        <f t="shared" si="106"/>
        <v>21.581793297747634</v>
      </c>
      <c r="W97" s="339">
        <f t="shared" si="107"/>
        <v>21.581793297747634</v>
      </c>
      <c r="X97" s="339">
        <f t="shared" ref="X97:X103" si="108">W97</f>
        <v>21.581793297747634</v>
      </c>
      <c r="Y97" s="339"/>
      <c r="Z97" s="339"/>
      <c r="AA97" s="339"/>
      <c r="AB97" s="1392"/>
      <c r="AC97" s="125"/>
      <c r="AD97" s="22"/>
      <c r="AK97" s="22"/>
    </row>
    <row r="98" spans="3:37" ht="12.75" hidden="1" customHeight="1" outlineLevel="1">
      <c r="C98" s="680" t="s">
        <v>305</v>
      </c>
      <c r="D98" s="339"/>
      <c r="E98" s="339"/>
      <c r="F98" s="339"/>
      <c r="G98" s="339"/>
      <c r="H98" s="339"/>
      <c r="I98" s="339"/>
      <c r="J98" s="339"/>
      <c r="K98" s="339"/>
      <c r="L98" s="339"/>
      <c r="M98" s="339"/>
      <c r="N98" s="339"/>
      <c r="O98" s="339"/>
      <c r="P98" s="339"/>
      <c r="Q98" s="339"/>
      <c r="R98" s="339">
        <f>R$78/$D$84</f>
        <v>22.725662396454123</v>
      </c>
      <c r="S98" s="339">
        <f t="shared" si="103"/>
        <v>22.725662396454123</v>
      </c>
      <c r="T98" s="339">
        <f t="shared" si="104"/>
        <v>22.725662396454123</v>
      </c>
      <c r="U98" s="339">
        <f t="shared" si="105"/>
        <v>22.725662396454123</v>
      </c>
      <c r="V98" s="339">
        <f t="shared" si="106"/>
        <v>22.725662396454123</v>
      </c>
      <c r="W98" s="339">
        <f t="shared" si="107"/>
        <v>22.725662396454123</v>
      </c>
      <c r="X98" s="339">
        <f t="shared" si="108"/>
        <v>22.725662396454123</v>
      </c>
      <c r="Y98" s="339">
        <f t="shared" ref="Y98:Y104" si="109">X98</f>
        <v>22.725662396454123</v>
      </c>
      <c r="Z98" s="339"/>
      <c r="AA98" s="339"/>
      <c r="AB98" s="1392"/>
      <c r="AC98" s="125"/>
      <c r="AD98" s="22"/>
      <c r="AK98" s="22"/>
    </row>
    <row r="99" spans="3:37" ht="12.75" hidden="1" customHeight="1" outlineLevel="1">
      <c r="C99" s="680" t="s">
        <v>311</v>
      </c>
      <c r="D99" s="339"/>
      <c r="E99" s="339"/>
      <c r="F99" s="339"/>
      <c r="G99" s="339"/>
      <c r="H99" s="339"/>
      <c r="I99" s="339"/>
      <c r="J99" s="339"/>
      <c r="K99" s="339"/>
      <c r="L99" s="339"/>
      <c r="M99" s="339"/>
      <c r="N99" s="339"/>
      <c r="O99" s="339"/>
      <c r="P99" s="339"/>
      <c r="Q99" s="339"/>
      <c r="R99" s="339"/>
      <c r="S99" s="339">
        <f>S$78/$D$84</f>
        <v>23.52885967514954</v>
      </c>
      <c r="T99" s="339">
        <f t="shared" si="104"/>
        <v>23.52885967514954</v>
      </c>
      <c r="U99" s="339">
        <f t="shared" si="105"/>
        <v>23.52885967514954</v>
      </c>
      <c r="V99" s="339">
        <f t="shared" si="106"/>
        <v>23.52885967514954</v>
      </c>
      <c r="W99" s="339">
        <f t="shared" si="107"/>
        <v>23.52885967514954</v>
      </c>
      <c r="X99" s="339">
        <f t="shared" si="108"/>
        <v>23.52885967514954</v>
      </c>
      <c r="Y99" s="339">
        <f t="shared" si="109"/>
        <v>23.52885967514954</v>
      </c>
      <c r="Z99" s="339">
        <f t="shared" ref="Z99:Z105" si="110">Y99</f>
        <v>23.52885967514954</v>
      </c>
      <c r="AA99" s="339"/>
      <c r="AB99" s="1392"/>
      <c r="AC99" s="125"/>
      <c r="AD99" s="22"/>
      <c r="AK99" s="22"/>
    </row>
    <row r="100" spans="3:37" ht="12.75" hidden="1" customHeight="1" outlineLevel="1">
      <c r="C100" s="680" t="s">
        <v>401</v>
      </c>
      <c r="D100" s="339"/>
      <c r="E100" s="339"/>
      <c r="F100" s="339"/>
      <c r="G100" s="339"/>
      <c r="H100" s="339"/>
      <c r="I100" s="339"/>
      <c r="J100" s="339"/>
      <c r="K100" s="339"/>
      <c r="L100" s="339"/>
      <c r="M100" s="339"/>
      <c r="N100" s="339"/>
      <c r="O100" s="339"/>
      <c r="P100" s="339"/>
      <c r="Q100" s="339"/>
      <c r="R100" s="339"/>
      <c r="S100" s="339"/>
      <c r="T100" s="339">
        <f>T$78/$D$84</f>
        <v>24.220027833931297</v>
      </c>
      <c r="U100" s="339">
        <f t="shared" si="105"/>
        <v>24.220027833931297</v>
      </c>
      <c r="V100" s="339">
        <f t="shared" si="106"/>
        <v>24.220027833931297</v>
      </c>
      <c r="W100" s="339">
        <f t="shared" si="107"/>
        <v>24.220027833931297</v>
      </c>
      <c r="X100" s="339">
        <f t="shared" si="108"/>
        <v>24.220027833931297</v>
      </c>
      <c r="Y100" s="339">
        <f t="shared" si="109"/>
        <v>24.220027833931297</v>
      </c>
      <c r="Z100" s="339">
        <f t="shared" si="110"/>
        <v>24.220027833931297</v>
      </c>
      <c r="AA100" s="339">
        <f t="shared" ref="AA100:AA106" si="111">Z100</f>
        <v>24.220027833931297</v>
      </c>
      <c r="AB100" s="1392"/>
      <c r="AC100" s="125"/>
      <c r="AD100" s="22"/>
      <c r="AK100" s="22"/>
    </row>
    <row r="101" spans="3:37" ht="12.75" hidden="1" customHeight="1" outlineLevel="1">
      <c r="C101" s="680" t="s">
        <v>402</v>
      </c>
      <c r="D101" s="339"/>
      <c r="E101" s="339"/>
      <c r="F101" s="339"/>
      <c r="G101" s="339"/>
      <c r="H101" s="339"/>
      <c r="I101" s="339"/>
      <c r="J101" s="339"/>
      <c r="K101" s="339"/>
      <c r="L101" s="339"/>
      <c r="M101" s="339"/>
      <c r="N101" s="339"/>
      <c r="O101" s="339"/>
      <c r="P101" s="339"/>
      <c r="Q101" s="339"/>
      <c r="R101" s="339"/>
      <c r="S101" s="339"/>
      <c r="T101" s="339"/>
      <c r="U101" s="339">
        <f>U$78/$D$84</f>
        <v>24.83475947950901</v>
      </c>
      <c r="V101" s="339">
        <f t="shared" si="106"/>
        <v>24.83475947950901</v>
      </c>
      <c r="W101" s="339">
        <f t="shared" si="107"/>
        <v>24.83475947950901</v>
      </c>
      <c r="X101" s="339">
        <f t="shared" si="108"/>
        <v>24.83475947950901</v>
      </c>
      <c r="Y101" s="339">
        <f t="shared" si="109"/>
        <v>24.83475947950901</v>
      </c>
      <c r="Z101" s="339">
        <f t="shared" si="110"/>
        <v>24.83475947950901</v>
      </c>
      <c r="AA101" s="339">
        <f t="shared" si="111"/>
        <v>24.83475947950901</v>
      </c>
      <c r="AB101" s="1392">
        <f t="shared" ref="AB101:AB107" si="112">AA101</f>
        <v>24.83475947950901</v>
      </c>
      <c r="AC101" s="125"/>
      <c r="AD101" s="22"/>
      <c r="AK101" s="22"/>
    </row>
    <row r="102" spans="3:37" ht="12.75" hidden="1" customHeight="1" outlineLevel="1">
      <c r="C102" s="680" t="s">
        <v>403</v>
      </c>
      <c r="D102" s="339"/>
      <c r="E102" s="339"/>
      <c r="F102" s="339"/>
      <c r="G102" s="339"/>
      <c r="H102" s="339"/>
      <c r="I102" s="339"/>
      <c r="J102" s="339"/>
      <c r="K102" s="339"/>
      <c r="L102" s="339"/>
      <c r="M102" s="339"/>
      <c r="N102" s="339"/>
      <c r="O102" s="339"/>
      <c r="P102" s="339"/>
      <c r="Q102" s="339"/>
      <c r="R102" s="339"/>
      <c r="S102" s="339"/>
      <c r="T102" s="339"/>
      <c r="U102" s="339"/>
      <c r="V102" s="339">
        <f>V$78/$D$84</f>
        <v>25.431743426536439</v>
      </c>
      <c r="W102" s="339">
        <f t="shared" si="107"/>
        <v>25.431743426536439</v>
      </c>
      <c r="X102" s="339">
        <f t="shared" si="108"/>
        <v>25.431743426536439</v>
      </c>
      <c r="Y102" s="339">
        <f t="shared" si="109"/>
        <v>25.431743426536439</v>
      </c>
      <c r="Z102" s="339">
        <f t="shared" si="110"/>
        <v>25.431743426536439</v>
      </c>
      <c r="AA102" s="339">
        <f t="shared" si="111"/>
        <v>25.431743426536439</v>
      </c>
      <c r="AB102" s="1392">
        <f t="shared" si="112"/>
        <v>25.431743426536439</v>
      </c>
      <c r="AC102" s="339"/>
      <c r="AD102" s="22"/>
      <c r="AK102" s="22"/>
    </row>
    <row r="103" spans="3:37" ht="12.75" hidden="1" customHeight="1" outlineLevel="1">
      <c r="C103" s="680" t="s">
        <v>404</v>
      </c>
      <c r="D103" s="339"/>
      <c r="E103" s="339"/>
      <c r="F103" s="339"/>
      <c r="G103" s="339"/>
      <c r="H103" s="339"/>
      <c r="I103" s="339"/>
      <c r="J103" s="339"/>
      <c r="K103" s="339"/>
      <c r="L103" s="339"/>
      <c r="M103" s="339"/>
      <c r="N103" s="339"/>
      <c r="O103" s="339"/>
      <c r="P103" s="339"/>
      <c r="Q103" s="339"/>
      <c r="R103" s="339"/>
      <c r="S103" s="339"/>
      <c r="T103" s="339"/>
      <c r="U103" s="339"/>
      <c r="V103" s="339"/>
      <c r="W103" s="339">
        <f>W$78/$D$84</f>
        <v>26.005823056681248</v>
      </c>
      <c r="X103" s="339">
        <f t="shared" si="108"/>
        <v>26.005823056681248</v>
      </c>
      <c r="Y103" s="339">
        <f t="shared" si="109"/>
        <v>26.005823056681248</v>
      </c>
      <c r="Z103" s="339">
        <f t="shared" si="110"/>
        <v>26.005823056681248</v>
      </c>
      <c r="AA103" s="339">
        <f t="shared" si="111"/>
        <v>26.005823056681248</v>
      </c>
      <c r="AB103" s="1392">
        <f t="shared" si="112"/>
        <v>26.005823056681248</v>
      </c>
      <c r="AC103" s="339"/>
      <c r="AD103" s="339"/>
      <c r="AK103" s="22"/>
    </row>
    <row r="104" spans="3:37" ht="12.75" hidden="1" customHeight="1" outlineLevel="1">
      <c r="C104" s="680" t="s">
        <v>405</v>
      </c>
      <c r="D104" s="339"/>
      <c r="E104" s="339"/>
      <c r="F104" s="339"/>
      <c r="G104" s="339"/>
      <c r="H104" s="339"/>
      <c r="I104" s="339"/>
      <c r="J104" s="339"/>
      <c r="K104" s="339"/>
      <c r="L104" s="339"/>
      <c r="M104" s="339"/>
      <c r="N104" s="339"/>
      <c r="O104" s="339"/>
      <c r="P104" s="339"/>
      <c r="Q104" s="339"/>
      <c r="R104" s="339"/>
      <c r="S104" s="339"/>
      <c r="T104" s="339"/>
      <c r="U104" s="339"/>
      <c r="V104" s="339"/>
      <c r="W104" s="339"/>
      <c r="X104" s="339">
        <f>X$78/$D$84</f>
        <v>26.227128202095024</v>
      </c>
      <c r="Y104" s="339">
        <f t="shared" si="109"/>
        <v>26.227128202095024</v>
      </c>
      <c r="Z104" s="339">
        <f t="shared" si="110"/>
        <v>26.227128202095024</v>
      </c>
      <c r="AA104" s="339">
        <f t="shared" si="111"/>
        <v>26.227128202095024</v>
      </c>
      <c r="AB104" s="1392">
        <f t="shared" si="112"/>
        <v>26.227128202095024</v>
      </c>
      <c r="AC104" s="339"/>
      <c r="AD104" s="339"/>
      <c r="AK104" s="22"/>
    </row>
    <row r="105" spans="3:37" ht="12.75" hidden="1" customHeight="1" outlineLevel="1">
      <c r="C105" s="680" t="s">
        <v>406</v>
      </c>
      <c r="D105" s="339"/>
      <c r="E105" s="339"/>
      <c r="F105" s="339"/>
      <c r="G105" s="339"/>
      <c r="H105" s="339"/>
      <c r="I105" s="339"/>
      <c r="J105" s="339"/>
      <c r="K105" s="339"/>
      <c r="L105" s="339"/>
      <c r="M105" s="339"/>
      <c r="N105" s="339"/>
      <c r="O105" s="339"/>
      <c r="P105" s="339"/>
      <c r="Q105" s="339"/>
      <c r="R105" s="339"/>
      <c r="S105" s="339"/>
      <c r="T105" s="339"/>
      <c r="U105" s="339"/>
      <c r="V105" s="339"/>
      <c r="W105" s="339"/>
      <c r="X105" s="339"/>
      <c r="Y105" s="339">
        <f>Y$78/$D$84</f>
        <v>25.371150724014267</v>
      </c>
      <c r="Z105" s="339">
        <f t="shared" si="110"/>
        <v>25.371150724014267</v>
      </c>
      <c r="AA105" s="339">
        <f t="shared" si="111"/>
        <v>25.371150724014267</v>
      </c>
      <c r="AB105" s="1392">
        <f t="shared" si="112"/>
        <v>25.371150724014267</v>
      </c>
      <c r="AC105" s="339"/>
      <c r="AD105" s="339"/>
      <c r="AK105" s="22"/>
    </row>
    <row r="106" spans="3:37" ht="12.75" hidden="1" customHeight="1" outlineLevel="1">
      <c r="C106" s="680" t="s">
        <v>407</v>
      </c>
      <c r="D106" s="339"/>
      <c r="E106" s="339"/>
      <c r="F106" s="339"/>
      <c r="G106" s="339"/>
      <c r="H106" s="339"/>
      <c r="I106" s="339"/>
      <c r="J106" s="339"/>
      <c r="K106" s="339"/>
      <c r="L106" s="339"/>
      <c r="M106" s="339"/>
      <c r="N106" s="339"/>
      <c r="O106" s="339"/>
      <c r="P106" s="339"/>
      <c r="Q106" s="339"/>
      <c r="R106" s="339"/>
      <c r="S106" s="339"/>
      <c r="T106" s="339"/>
      <c r="U106" s="339"/>
      <c r="V106" s="339"/>
      <c r="W106" s="339"/>
      <c r="X106" s="339"/>
      <c r="Y106" s="339"/>
      <c r="Z106" s="339">
        <f>Z$78/$D$84</f>
        <v>25.226052840372493</v>
      </c>
      <c r="AA106" s="339">
        <f t="shared" si="111"/>
        <v>25.226052840372493</v>
      </c>
      <c r="AB106" s="1392">
        <f t="shared" si="112"/>
        <v>25.226052840372493</v>
      </c>
      <c r="AC106" s="339"/>
      <c r="AD106" s="339"/>
      <c r="AK106" s="22"/>
    </row>
    <row r="107" spans="3:37" ht="12.75" hidden="1" customHeight="1" outlineLevel="1">
      <c r="C107" s="680" t="s">
        <v>408</v>
      </c>
      <c r="D107" s="339"/>
      <c r="E107" s="339"/>
      <c r="F107" s="339"/>
      <c r="G107" s="339"/>
      <c r="H107" s="339"/>
      <c r="I107" s="339"/>
      <c r="J107" s="339"/>
      <c r="K107" s="339"/>
      <c r="L107" s="339"/>
      <c r="M107" s="339"/>
      <c r="N107" s="339"/>
      <c r="O107" s="339"/>
      <c r="P107" s="339"/>
      <c r="Q107" s="339"/>
      <c r="R107" s="339"/>
      <c r="S107" s="339"/>
      <c r="T107" s="339"/>
      <c r="U107" s="339"/>
      <c r="V107" s="339"/>
      <c r="W107" s="339"/>
      <c r="X107" s="339"/>
      <c r="Y107" s="339"/>
      <c r="Z107" s="339"/>
      <c r="AA107" s="339">
        <f>AA$78/$D$84</f>
        <v>25.299677599249993</v>
      </c>
      <c r="AB107" s="1392">
        <f t="shared" si="112"/>
        <v>25.299677599249993</v>
      </c>
      <c r="AC107" s="339"/>
      <c r="AD107" s="339"/>
      <c r="AK107" s="22"/>
    </row>
    <row r="108" spans="3:37" ht="12.75" hidden="1" customHeight="1" outlineLevel="1">
      <c r="C108" s="680" t="s">
        <v>409</v>
      </c>
      <c r="D108" s="339"/>
      <c r="E108" s="339"/>
      <c r="F108" s="339"/>
      <c r="G108" s="339"/>
      <c r="H108" s="339"/>
      <c r="I108" s="339"/>
      <c r="J108" s="339"/>
      <c r="K108" s="339"/>
      <c r="L108" s="339"/>
      <c r="M108" s="339"/>
      <c r="N108" s="339"/>
      <c r="O108" s="339"/>
      <c r="P108" s="339"/>
      <c r="Q108" s="339"/>
      <c r="R108" s="339"/>
      <c r="S108" s="339"/>
      <c r="T108" s="339"/>
      <c r="U108" s="339"/>
      <c r="V108" s="339"/>
      <c r="W108" s="339"/>
      <c r="X108" s="339"/>
      <c r="Y108" s="339"/>
      <c r="Z108" s="339"/>
      <c r="AA108" s="339"/>
      <c r="AB108" s="1392">
        <f>AB$78/$D$84</f>
        <v>25.552633052832697</v>
      </c>
      <c r="AC108" s="125"/>
      <c r="AD108" s="22"/>
      <c r="AK108" s="22"/>
    </row>
    <row r="109" spans="3:37" ht="12.75" hidden="1" customHeight="1" outlineLevel="1">
      <c r="C109" s="681" t="s">
        <v>245</v>
      </c>
      <c r="D109" s="334"/>
      <c r="E109" s="334">
        <f>Cashflow!E9</f>
        <v>1.4</v>
      </c>
      <c r="F109" s="334">
        <f>Cashflow!F9</f>
        <v>1.8</v>
      </c>
      <c r="G109" s="334">
        <f>Cashflow!G9</f>
        <v>1.4</v>
      </c>
      <c r="H109" s="334">
        <f>Cashflow!H9</f>
        <v>1.1000000000000001</v>
      </c>
      <c r="I109" s="334">
        <f t="shared" ref="I109:R109" si="113">SUM(I85:I108)</f>
        <v>1.944779296875</v>
      </c>
      <c r="J109" s="334">
        <f t="shared" si="113"/>
        <v>2.1970725097656247</v>
      </c>
      <c r="K109" s="334">
        <f t="shared" si="113"/>
        <v>2.6406884460449218</v>
      </c>
      <c r="L109" s="334">
        <f t="shared" si="113"/>
        <v>6.0466492652893065</v>
      </c>
      <c r="M109" s="334">
        <f t="shared" si="113"/>
        <v>9.228302482128143</v>
      </c>
      <c r="N109" s="334">
        <f t="shared" si="113"/>
        <v>24.115545921862125</v>
      </c>
      <c r="O109" s="334">
        <f t="shared" si="113"/>
        <v>42.531493306629358</v>
      </c>
      <c r="P109" s="334">
        <f t="shared" si="113"/>
        <v>61.388812580800689</v>
      </c>
      <c r="Q109" s="334">
        <f t="shared" si="113"/>
        <v>82.45544743094824</v>
      </c>
      <c r="R109" s="334">
        <f t="shared" si="113"/>
        <v>104.79098681075229</v>
      </c>
      <c r="S109" s="334">
        <f>SUM(S85:S108)</f>
        <v>127.75562947133301</v>
      </c>
      <c r="T109" s="334">
        <f t="shared" ref="T109:AB109" si="114">SUM(T85:T108)</f>
        <v>148.46417054251663</v>
      </c>
      <c r="U109" s="334">
        <f t="shared" si="114"/>
        <v>170.02494160462138</v>
      </c>
      <c r="V109" s="334">
        <f t="shared" si="114"/>
        <v>180.40139829092908</v>
      </c>
      <c r="W109" s="334">
        <f t="shared" si="114"/>
        <v>187.87220482491017</v>
      </c>
      <c r="X109" s="334">
        <f t="shared" si="114"/>
        <v>194.66653138214258</v>
      </c>
      <c r="Y109" s="334">
        <f t="shared" si="114"/>
        <v>198.44204705665445</v>
      </c>
      <c r="Z109" s="334">
        <f t="shared" si="114"/>
        <v>200.93032596778738</v>
      </c>
      <c r="AA109" s="334">
        <f t="shared" si="114"/>
        <v>202.69054630070059</v>
      </c>
      <c r="AB109" s="1393">
        <f t="shared" si="114"/>
        <v>204.01387862731315</v>
      </c>
      <c r="AC109" s="161"/>
      <c r="AD109" s="21"/>
      <c r="AK109" s="21"/>
    </row>
    <row r="110" spans="3:37" ht="12.75" hidden="1" customHeight="1" outlineLevel="1">
      <c r="C110" s="681" t="s">
        <v>5</v>
      </c>
      <c r="D110" s="334">
        <f>Cashflow!D10</f>
        <v>2.2999999999999998</v>
      </c>
      <c r="E110" s="334">
        <f>Cashflow!E10</f>
        <v>11.562999999999999</v>
      </c>
      <c r="F110" s="334">
        <f>Cashflow!F10</f>
        <v>11.270999999999999</v>
      </c>
      <c r="G110" s="334">
        <f>Cashflow!G10</f>
        <v>15.290000000000001</v>
      </c>
      <c r="H110" s="334">
        <f>Cashflow!H10</f>
        <v>23.384999999999998</v>
      </c>
      <c r="I110" s="334">
        <f>Cashflow!I10</f>
        <v>24.79</v>
      </c>
      <c r="J110" s="334">
        <f>Cashflow!J10</f>
        <v>27.079000000000001</v>
      </c>
      <c r="K110" s="334">
        <f>Cashflow!K10</f>
        <v>25.599311553955076</v>
      </c>
      <c r="L110" s="334">
        <f>Cashflow!L10</f>
        <v>35.366350734710693</v>
      </c>
      <c r="M110" s="334">
        <f>Cashflow!M10</f>
        <v>35.65469751787186</v>
      </c>
      <c r="N110" s="334">
        <f>Cashflow!N10</f>
        <v>34.309454078137875</v>
      </c>
      <c r="O110" s="336">
        <f t="shared" ref="O110:AB110" si="115">N110</f>
        <v>34.309454078137875</v>
      </c>
      <c r="P110" s="336">
        <f t="shared" si="115"/>
        <v>34.309454078137875</v>
      </c>
      <c r="Q110" s="336">
        <f t="shared" si="115"/>
        <v>34.309454078137875</v>
      </c>
      <c r="R110" s="336">
        <f t="shared" si="115"/>
        <v>34.309454078137875</v>
      </c>
      <c r="S110" s="336">
        <f t="shared" si="115"/>
        <v>34.309454078137875</v>
      </c>
      <c r="T110" s="336">
        <f t="shared" si="115"/>
        <v>34.309454078137875</v>
      </c>
      <c r="U110" s="336">
        <f t="shared" si="115"/>
        <v>34.309454078137875</v>
      </c>
      <c r="V110" s="336">
        <f t="shared" si="115"/>
        <v>34.309454078137875</v>
      </c>
      <c r="W110" s="336">
        <f t="shared" si="115"/>
        <v>34.309454078137875</v>
      </c>
      <c r="X110" s="336">
        <f t="shared" si="115"/>
        <v>34.309454078137875</v>
      </c>
      <c r="Y110" s="336">
        <f t="shared" si="115"/>
        <v>34.309454078137875</v>
      </c>
      <c r="Z110" s="336">
        <f t="shared" si="115"/>
        <v>34.309454078137875</v>
      </c>
      <c r="AA110" s="336">
        <f t="shared" si="115"/>
        <v>34.309454078137875</v>
      </c>
      <c r="AB110" s="1394">
        <f t="shared" si="115"/>
        <v>34.309454078137875</v>
      </c>
      <c r="AC110" s="164"/>
      <c r="AD110" s="21"/>
      <c r="AK110" s="21"/>
    </row>
    <row r="111" spans="3:37" ht="12.75" hidden="1" customHeight="1" outlineLevel="1">
      <c r="C111" s="681" t="s">
        <v>246</v>
      </c>
      <c r="D111" s="675">
        <f t="shared" ref="D111:M111" si="116">SUM(D109:D110)</f>
        <v>2.2999999999999998</v>
      </c>
      <c r="E111" s="675">
        <f t="shared" si="116"/>
        <v>12.962999999999999</v>
      </c>
      <c r="F111" s="675">
        <f t="shared" si="116"/>
        <v>13.071</v>
      </c>
      <c r="G111" s="675">
        <f t="shared" si="116"/>
        <v>16.690000000000001</v>
      </c>
      <c r="H111" s="675">
        <f t="shared" si="116"/>
        <v>24.484999999999999</v>
      </c>
      <c r="I111" s="675">
        <f t="shared" si="116"/>
        <v>26.734779296875001</v>
      </c>
      <c r="J111" s="675">
        <f t="shared" si="116"/>
        <v>29.276072509765626</v>
      </c>
      <c r="K111" s="675">
        <f t="shared" si="116"/>
        <v>28.24</v>
      </c>
      <c r="L111" s="675">
        <f t="shared" si="116"/>
        <v>41.412999999999997</v>
      </c>
      <c r="M111" s="675">
        <f t="shared" si="116"/>
        <v>44.883000000000003</v>
      </c>
      <c r="N111" s="675">
        <f t="shared" ref="N111" si="117">SUM(N109:N110)</f>
        <v>58.424999999999997</v>
      </c>
      <c r="O111" s="675">
        <f t="shared" ref="O111:AB111" si="118">SUM(O109:O110)</f>
        <v>76.840947384767233</v>
      </c>
      <c r="P111" s="675">
        <f t="shared" si="118"/>
        <v>95.698266658938564</v>
      </c>
      <c r="Q111" s="675">
        <f t="shared" si="118"/>
        <v>116.76490150908612</v>
      </c>
      <c r="R111" s="675">
        <f t="shared" si="118"/>
        <v>139.10044088889015</v>
      </c>
      <c r="S111" s="675">
        <f t="shared" si="118"/>
        <v>162.0650835494709</v>
      </c>
      <c r="T111" s="675">
        <f t="shared" si="118"/>
        <v>182.77362462065452</v>
      </c>
      <c r="U111" s="675">
        <f t="shared" si="118"/>
        <v>204.33439568275924</v>
      </c>
      <c r="V111" s="675">
        <f t="shared" si="118"/>
        <v>214.71085236906697</v>
      </c>
      <c r="W111" s="675">
        <f t="shared" si="118"/>
        <v>222.18165890304806</v>
      </c>
      <c r="X111" s="675">
        <f t="shared" si="118"/>
        <v>228.97598546028047</v>
      </c>
      <c r="Y111" s="675">
        <f t="shared" si="118"/>
        <v>232.75150113479231</v>
      </c>
      <c r="Z111" s="675">
        <f t="shared" si="118"/>
        <v>235.23978004592527</v>
      </c>
      <c r="AA111" s="675">
        <f t="shared" si="118"/>
        <v>237.00000037883848</v>
      </c>
      <c r="AB111" s="1395">
        <f t="shared" si="118"/>
        <v>238.32333270545104</v>
      </c>
      <c r="AC111" s="255"/>
      <c r="AD111" s="21"/>
      <c r="AK111" s="21"/>
    </row>
    <row r="112" spans="3:37" ht="12.75" hidden="1" customHeight="1" outlineLevel="1">
      <c r="C112" s="682" t="s">
        <v>169</v>
      </c>
      <c r="D112" s="676">
        <f t="shared" ref="D112:S112" si="119">D109/D59</f>
        <v>0</v>
      </c>
      <c r="E112" s="676">
        <f t="shared" si="119"/>
        <v>1.277139208173691E-2</v>
      </c>
      <c r="F112" s="676">
        <f t="shared" si="119"/>
        <v>1.2145093382273563E-2</v>
      </c>
      <c r="G112" s="676">
        <f t="shared" si="119"/>
        <v>1.0069406983852986E-2</v>
      </c>
      <c r="H112" s="676">
        <f t="shared" si="119"/>
        <v>7.8053487926544578E-3</v>
      </c>
      <c r="I112" s="676">
        <f t="shared" si="119"/>
        <v>9.3168435880146405E-3</v>
      </c>
      <c r="J112" s="676">
        <f t="shared" si="119"/>
        <v>8.5350383802439023E-3</v>
      </c>
      <c r="K112" s="676">
        <f t="shared" si="119"/>
        <v>7.9383150690811744E-3</v>
      </c>
      <c r="L112" s="676">
        <f t="shared" si="119"/>
        <v>1.3318698725518687E-2</v>
      </c>
      <c r="M112" s="676">
        <f t="shared" si="119"/>
        <v>1.4594793432444584E-2</v>
      </c>
      <c r="N112" s="676">
        <f t="shared" ref="N112" si="120">N109/N59</f>
        <v>2.7888271257588727E-2</v>
      </c>
      <c r="O112" s="676">
        <f t="shared" si="119"/>
        <v>2.5840088281314354E-2</v>
      </c>
      <c r="P112" s="676">
        <f t="shared" si="119"/>
        <v>3.5568046761849208E-2</v>
      </c>
      <c r="Q112" s="676">
        <f t="shared" si="119"/>
        <v>4.2981774998974639E-2</v>
      </c>
      <c r="R112" s="676">
        <f t="shared" si="119"/>
        <v>5.1875214066583436E-2</v>
      </c>
      <c r="S112" s="676">
        <f t="shared" si="119"/>
        <v>6.1084593618044171E-2</v>
      </c>
      <c r="T112" s="676">
        <f t="shared" ref="T112:AB112" si="121">T109/T59</f>
        <v>6.8960363301622529E-2</v>
      </c>
      <c r="U112" s="676">
        <f t="shared" si="121"/>
        <v>7.7020298691848108E-2</v>
      </c>
      <c r="V112" s="676">
        <f t="shared" si="121"/>
        <v>7.9802461700493529E-2</v>
      </c>
      <c r="W112" s="676">
        <f t="shared" si="121"/>
        <v>8.1272655730741689E-2</v>
      </c>
      <c r="X112" s="676">
        <f t="shared" si="121"/>
        <v>8.3501268654879515E-2</v>
      </c>
      <c r="Y112" s="676">
        <f t="shared" si="121"/>
        <v>8.7992580773022841E-2</v>
      </c>
      <c r="Z112" s="676">
        <f t="shared" si="121"/>
        <v>8.9608397375585194E-2</v>
      </c>
      <c r="AA112" s="676">
        <f t="shared" si="121"/>
        <v>9.0130344030568993E-2</v>
      </c>
      <c r="AB112" s="1396">
        <f t="shared" si="121"/>
        <v>8.9820729230205024E-2</v>
      </c>
      <c r="AC112" s="92"/>
      <c r="AD112" s="21"/>
      <c r="AK112" s="21"/>
    </row>
    <row r="113" spans="3:37" ht="12.75" hidden="1" customHeight="1" outlineLevel="1">
      <c r="C113" s="683" t="s">
        <v>170</v>
      </c>
      <c r="D113" s="595">
        <f t="shared" ref="D113:S113" si="122">D110/D59</f>
        <v>2.4056815923520242E-2</v>
      </c>
      <c r="E113" s="595">
        <f t="shared" si="122"/>
        <v>0.10548257617223135</v>
      </c>
      <c r="F113" s="595">
        <f t="shared" si="122"/>
        <v>7.6048526395336283E-2</v>
      </c>
      <c r="G113" s="595">
        <f t="shared" si="122"/>
        <v>0.10997230913079441</v>
      </c>
      <c r="H113" s="595">
        <f t="shared" si="122"/>
        <v>0.16593461956020406</v>
      </c>
      <c r="I113" s="595">
        <f t="shared" si="122"/>
        <v>0.11876131801588594</v>
      </c>
      <c r="J113" s="595">
        <f t="shared" si="122"/>
        <v>0.10519466393181517</v>
      </c>
      <c r="K113" s="595">
        <f t="shared" si="122"/>
        <v>7.6955462493589602E-2</v>
      </c>
      <c r="L113" s="595">
        <f t="shared" si="122"/>
        <v>7.7899965714995245E-2</v>
      </c>
      <c r="M113" s="595">
        <f t="shared" si="122"/>
        <v>5.6388804569140104E-2</v>
      </c>
      <c r="N113" s="595">
        <f t="shared" ref="N113" si="123">N110/N59</f>
        <v>3.9676952167334946E-2</v>
      </c>
      <c r="O113" s="595">
        <f t="shared" si="122"/>
        <v>2.0844772974961498E-2</v>
      </c>
      <c r="P113" s="595">
        <f t="shared" si="122"/>
        <v>1.9878544896409681E-2</v>
      </c>
      <c r="Q113" s="595">
        <f t="shared" si="122"/>
        <v>1.7884582298327067E-2</v>
      </c>
      <c r="R113" s="595">
        <f t="shared" si="122"/>
        <v>1.6984383189608397E-2</v>
      </c>
      <c r="S113" s="595">
        <f t="shared" si="122"/>
        <v>1.6404592645291382E-2</v>
      </c>
      <c r="T113" s="595">
        <f t="shared" ref="T113:AB113" si="124">T110/T59</f>
        <v>1.5936453955610511E-2</v>
      </c>
      <c r="U113" s="595">
        <f t="shared" si="124"/>
        <v>1.5541980935934637E-2</v>
      </c>
      <c r="V113" s="595">
        <f t="shared" si="124"/>
        <v>1.5177148963224583E-2</v>
      </c>
      <c r="W113" s="595">
        <f t="shared" si="124"/>
        <v>1.4842112765967131E-2</v>
      </c>
      <c r="X113" s="595">
        <f t="shared" si="124"/>
        <v>1.4716874657600479E-2</v>
      </c>
      <c r="Y113" s="595">
        <f t="shared" si="124"/>
        <v>1.5213395820226338E-2</v>
      </c>
      <c r="Z113" s="595">
        <f t="shared" si="124"/>
        <v>1.5300901842293596E-2</v>
      </c>
      <c r="AA113" s="595">
        <f t="shared" si="124"/>
        <v>1.525637458678499E-2</v>
      </c>
      <c r="AB113" s="1397">
        <f t="shared" si="124"/>
        <v>1.5105345800606729E-2</v>
      </c>
      <c r="AC113" s="92"/>
      <c r="AD113" s="21"/>
      <c r="AK113" s="21"/>
    </row>
    <row r="114" spans="3:37" ht="12.75" hidden="1" customHeight="1" outlineLevel="1">
      <c r="C114" s="91"/>
      <c r="D114" s="339"/>
      <c r="E114" s="339"/>
      <c r="F114" s="339"/>
      <c r="G114" s="339"/>
      <c r="H114" s="339"/>
      <c r="I114" s="339"/>
      <c r="J114" s="786"/>
      <c r="K114" s="1399"/>
      <c r="L114" s="786"/>
      <c r="M114" s="340"/>
      <c r="N114" s="340"/>
      <c r="O114" s="340"/>
      <c r="P114" s="340"/>
      <c r="Q114" s="340"/>
      <c r="R114" s="340"/>
      <c r="S114" s="340"/>
      <c r="T114" s="340"/>
      <c r="U114" s="340"/>
      <c r="V114" s="340"/>
      <c r="W114" s="340"/>
      <c r="X114" s="340"/>
      <c r="Y114" s="340"/>
      <c r="Z114" s="340"/>
      <c r="AA114" s="340"/>
      <c r="AB114" s="340"/>
      <c r="AC114" s="588"/>
      <c r="AD114" s="21"/>
      <c r="AK114" s="21"/>
    </row>
    <row r="115" spans="3:37" ht="12.75" hidden="1" customHeight="1" outlineLevel="1">
      <c r="C115" s="91"/>
      <c r="D115" s="92"/>
      <c r="E115" s="92"/>
      <c r="F115" s="340"/>
      <c r="G115" s="340"/>
      <c r="H115" s="340"/>
      <c r="I115" s="341"/>
      <c r="J115" s="341"/>
      <c r="K115" s="341"/>
      <c r="L115" s="341"/>
      <c r="M115" s="340"/>
      <c r="N115" s="340"/>
      <c r="O115" s="340"/>
      <c r="P115" s="340"/>
      <c r="Q115" s="340"/>
      <c r="R115" s="340"/>
      <c r="S115" s="340"/>
      <c r="T115" s="340"/>
      <c r="U115" s="340"/>
      <c r="V115" s="340"/>
      <c r="W115" s="340"/>
      <c r="X115" s="340"/>
      <c r="Y115" s="340"/>
      <c r="Z115" s="340"/>
      <c r="AA115" s="340"/>
      <c r="AB115" s="340"/>
      <c r="AC115" s="92"/>
      <c r="AD115" s="93"/>
      <c r="AK115" s="94"/>
    </row>
    <row r="116" spans="3:37" ht="12.75" hidden="1" customHeight="1" outlineLevel="1">
      <c r="C116" s="96" t="s">
        <v>171</v>
      </c>
      <c r="D116" s="644">
        <f t="shared" ref="D116:AB116" si="125">D5</f>
        <v>2006</v>
      </c>
      <c r="E116" s="644">
        <f t="shared" si="125"/>
        <v>2007</v>
      </c>
      <c r="F116" s="645">
        <f t="shared" si="125"/>
        <v>2008</v>
      </c>
      <c r="G116" s="645">
        <f t="shared" si="125"/>
        <v>2009</v>
      </c>
      <c r="H116" s="645">
        <f t="shared" si="125"/>
        <v>2010</v>
      </c>
      <c r="I116" s="645">
        <f t="shared" si="125"/>
        <v>2011</v>
      </c>
      <c r="J116" s="645">
        <f t="shared" si="125"/>
        <v>2012</v>
      </c>
      <c r="K116" s="645">
        <f t="shared" si="125"/>
        <v>2013</v>
      </c>
      <c r="L116" s="645">
        <f t="shared" si="125"/>
        <v>2014</v>
      </c>
      <c r="M116" s="645">
        <f t="shared" si="125"/>
        <v>2015</v>
      </c>
      <c r="N116" s="645">
        <f t="shared" si="125"/>
        <v>2016</v>
      </c>
      <c r="O116" s="273">
        <f t="shared" si="125"/>
        <v>2017</v>
      </c>
      <c r="P116" s="273">
        <f t="shared" si="125"/>
        <v>2018</v>
      </c>
      <c r="Q116" s="273">
        <f t="shared" si="125"/>
        <v>2019</v>
      </c>
      <c r="R116" s="273">
        <f t="shared" si="125"/>
        <v>2020</v>
      </c>
      <c r="S116" s="273">
        <f t="shared" si="125"/>
        <v>2021</v>
      </c>
      <c r="T116" s="273" t="str">
        <f t="shared" si="125"/>
        <v>2022E</v>
      </c>
      <c r="U116" s="273" t="str">
        <f t="shared" si="125"/>
        <v>2023E</v>
      </c>
      <c r="V116" s="273" t="str">
        <f t="shared" si="125"/>
        <v>2024E</v>
      </c>
      <c r="W116" s="273" t="str">
        <f t="shared" si="125"/>
        <v>2025E</v>
      </c>
      <c r="X116" s="273" t="str">
        <f t="shared" si="125"/>
        <v>2026E</v>
      </c>
      <c r="Y116" s="273" t="str">
        <f t="shared" si="125"/>
        <v>2027E</v>
      </c>
      <c r="Z116" s="273" t="str">
        <f t="shared" si="125"/>
        <v>2028E</v>
      </c>
      <c r="AA116" s="273" t="str">
        <f t="shared" si="125"/>
        <v>2029E</v>
      </c>
      <c r="AB116" s="273" t="str">
        <f t="shared" si="125"/>
        <v>2030E</v>
      </c>
      <c r="AD116" s="93"/>
      <c r="AK116" s="95"/>
    </row>
    <row r="117" spans="3:37" ht="12.75" hidden="1" customHeight="1" outlineLevel="1">
      <c r="C117" s="648" t="s">
        <v>172</v>
      </c>
      <c r="D117" s="649"/>
      <c r="E117" s="649"/>
      <c r="F117" s="650">
        <v>8.3997035573122592</v>
      </c>
      <c r="G117" s="650">
        <v>4.7656349206349189</v>
      </c>
      <c r="H117" s="651">
        <v>13.440961688627459</v>
      </c>
      <c r="I117" s="652">
        <v>15.708872396825404</v>
      </c>
      <c r="J117" s="652">
        <v>19.28121833864542</v>
      </c>
      <c r="K117" s="653">
        <v>28.927225000000028</v>
      </c>
      <c r="L117" s="653">
        <v>57.114300059523771</v>
      </c>
      <c r="M117" s="653" t="s">
        <v>870</v>
      </c>
      <c r="N117" s="653" t="s">
        <v>871</v>
      </c>
      <c r="O117" s="653">
        <f>+N117*(1+$AD$117)</f>
        <v>92.4</v>
      </c>
      <c r="P117" s="653">
        <f>+O117*(1+$AD$117)</f>
        <v>101.64000000000001</v>
      </c>
      <c r="Q117" s="653">
        <f>+P117*(1+$AD$117)</f>
        <v>111.80400000000003</v>
      </c>
      <c r="R117" s="653">
        <f>+Q117*(1+$AD$117)</f>
        <v>122.98440000000004</v>
      </c>
      <c r="S117" s="653">
        <f>+R117*(1+$AD$117)</f>
        <v>135.28284000000005</v>
      </c>
      <c r="T117" s="653">
        <f t="shared" ref="T117:AB117" si="126">+S117*(1+$AD$117)</f>
        <v>148.81112400000006</v>
      </c>
      <c r="U117" s="653">
        <f t="shared" si="126"/>
        <v>163.69223640000007</v>
      </c>
      <c r="V117" s="653">
        <f t="shared" si="126"/>
        <v>180.0614600400001</v>
      </c>
      <c r="W117" s="653">
        <f t="shared" si="126"/>
        <v>198.06760604400012</v>
      </c>
      <c r="X117" s="653">
        <f t="shared" si="126"/>
        <v>217.87436664840016</v>
      </c>
      <c r="Y117" s="653">
        <f t="shared" si="126"/>
        <v>239.6618033132402</v>
      </c>
      <c r="Z117" s="653">
        <f t="shared" si="126"/>
        <v>263.62798364456427</v>
      </c>
      <c r="AA117" s="653">
        <f t="shared" si="126"/>
        <v>289.99078200902073</v>
      </c>
      <c r="AB117" s="653">
        <f t="shared" si="126"/>
        <v>318.98986020992282</v>
      </c>
      <c r="AC117" s="653"/>
      <c r="AD117" s="654">
        <v>0.1</v>
      </c>
      <c r="AK117" s="94"/>
    </row>
    <row r="118" spans="3:37" ht="12.75" hidden="1" customHeight="1" outlineLevel="1">
      <c r="C118" s="655" t="s">
        <v>6</v>
      </c>
      <c r="D118" s="98"/>
      <c r="E118" s="99"/>
      <c r="F118" s="343">
        <v>12.434505</v>
      </c>
      <c r="G118" s="466">
        <v>14.982476</v>
      </c>
      <c r="H118" s="592">
        <v>17.980691</v>
      </c>
      <c r="I118" s="592">
        <v>20.107923</v>
      </c>
      <c r="J118" s="592">
        <f t="shared" ref="J118:S118" si="127">I118+I129-I121-I123</f>
        <v>21.996579000000001</v>
      </c>
      <c r="K118" s="592">
        <f t="shared" si="127"/>
        <v>21.816611000000002</v>
      </c>
      <c r="L118" s="592">
        <f t="shared" si="127"/>
        <v>20.123089000000004</v>
      </c>
      <c r="M118" s="592">
        <f t="shared" ref="M118" si="128">L118+L129-L121-L123</f>
        <v>14.655043000000003</v>
      </c>
      <c r="N118" s="592">
        <f t="shared" ref="N118" si="129">M118+M129-M121-M123</f>
        <v>11.052279000000002</v>
      </c>
      <c r="O118" s="592">
        <f t="shared" si="127"/>
        <v>11.504572000000001</v>
      </c>
      <c r="P118" s="592">
        <f t="shared" si="127"/>
        <v>11.24920781223773</v>
      </c>
      <c r="Q118" s="592">
        <f t="shared" si="127"/>
        <v>11.561972271880512</v>
      </c>
      <c r="R118" s="592">
        <f t="shared" si="127"/>
        <v>12.461531211426166</v>
      </c>
      <c r="S118" s="592">
        <f t="shared" si="127"/>
        <v>13.431078753840602</v>
      </c>
      <c r="T118" s="592">
        <f t="shared" ref="T118:AB118" si="130">S118+S129-S121-S123</f>
        <v>14.476060239408023</v>
      </c>
      <c r="U118" s="592">
        <f t="shared" si="130"/>
        <v>15.6023446735466</v>
      </c>
      <c r="V118" s="592">
        <f t="shared" si="130"/>
        <v>16.816257689329902</v>
      </c>
      <c r="W118" s="592">
        <f t="shared" si="130"/>
        <v>18.124617074599357</v>
      </c>
      <c r="X118" s="592">
        <f t="shared" si="130"/>
        <v>19.534771063201323</v>
      </c>
      <c r="Y118" s="592">
        <f t="shared" si="130"/>
        <v>21.054639605406571</v>
      </c>
      <c r="Z118" s="592">
        <f t="shared" si="130"/>
        <v>22.69275884930223</v>
      </c>
      <c r="AA118" s="592">
        <f t="shared" si="130"/>
        <v>24.458329082980313</v>
      </c>
      <c r="AB118" s="592">
        <f t="shared" si="130"/>
        <v>26.361266406783969</v>
      </c>
      <c r="AC118" s="592">
        <f>S118+S129-S121-S123</f>
        <v>14.476060239408023</v>
      </c>
      <c r="AD118" s="656"/>
      <c r="AK118" s="94"/>
    </row>
    <row r="119" spans="3:37" ht="12.75" hidden="1" customHeight="1" outlineLevel="1">
      <c r="C119" s="655" t="s">
        <v>108</v>
      </c>
      <c r="D119" s="98"/>
      <c r="E119" s="98"/>
      <c r="F119" s="343"/>
      <c r="G119" s="343">
        <v>9.6792269999999991</v>
      </c>
      <c r="H119" s="466">
        <v>13.083297</v>
      </c>
      <c r="I119" s="466">
        <v>14.795496</v>
      </c>
      <c r="J119" s="466">
        <v>15.604786000000001</v>
      </c>
      <c r="K119" s="466">
        <v>14.596823000000001</v>
      </c>
      <c r="L119" s="466">
        <v>10.486757000000001</v>
      </c>
      <c r="M119" s="466">
        <v>8.2399290000000001</v>
      </c>
      <c r="N119" s="466">
        <v>7.9957349999999998</v>
      </c>
      <c r="O119" s="466">
        <f>((P118+O118)/2)*O120</f>
        <v>7.3949784389772626</v>
      </c>
      <c r="P119" s="466">
        <f>((Q118+P118)/2)*P120</f>
        <v>6.2730745231325171</v>
      </c>
      <c r="Q119" s="466">
        <f>((R118+Q118)/2)*Q120</f>
        <v>6.0058758708266691</v>
      </c>
      <c r="R119" s="466">
        <f>((S118+R118)/2)*R120</f>
        <v>6.473152491316692</v>
      </c>
      <c r="S119" s="466">
        <f>((AC118+S118)/2)*S120</f>
        <v>6.9767847483121557</v>
      </c>
      <c r="T119" s="466">
        <f t="shared" ref="T119:AB119" si="131">((AD118+T118)/2)*T120</f>
        <v>3.6190150598520057</v>
      </c>
      <c r="U119" s="466">
        <f t="shared" si="131"/>
        <v>3.9005861683866501</v>
      </c>
      <c r="V119" s="466">
        <f t="shared" si="131"/>
        <v>4.2040644223324755</v>
      </c>
      <c r="W119" s="466">
        <f t="shared" si="131"/>
        <v>4.5311542686498392</v>
      </c>
      <c r="X119" s="466">
        <f t="shared" si="131"/>
        <v>4.8836927658003306</v>
      </c>
      <c r="Y119" s="466">
        <f t="shared" si="131"/>
        <v>5.2636599013516427</v>
      </c>
      <c r="Z119" s="466">
        <f t="shared" si="131"/>
        <v>5.6731897123255575</v>
      </c>
      <c r="AA119" s="466">
        <f t="shared" si="131"/>
        <v>6.1145822707450783</v>
      </c>
      <c r="AB119" s="466">
        <f t="shared" si="131"/>
        <v>6.5903166016959922</v>
      </c>
      <c r="AC119" s="467"/>
      <c r="AD119" s="656"/>
      <c r="AK119" s="94"/>
    </row>
    <row r="120" spans="3:37" ht="12.75" hidden="1" customHeight="1" outlineLevel="1">
      <c r="C120" s="657" t="s">
        <v>109</v>
      </c>
      <c r="D120" s="100"/>
      <c r="E120" s="100"/>
      <c r="F120" s="344">
        <f t="shared" ref="F120:K120" si="132">F119/(AVERAGE(F118,G118))</f>
        <v>0</v>
      </c>
      <c r="G120" s="344">
        <f t="shared" si="132"/>
        <v>0.58727530640487302</v>
      </c>
      <c r="H120" s="344">
        <f t="shared" si="132"/>
        <v>0.68699254848181135</v>
      </c>
      <c r="I120" s="347">
        <f t="shared" si="132"/>
        <v>0.70279876484467152</v>
      </c>
      <c r="J120" s="347">
        <f t="shared" si="132"/>
        <v>0.71233279293290441</v>
      </c>
      <c r="K120" s="347">
        <f t="shared" si="132"/>
        <v>0.69608619041147168</v>
      </c>
      <c r="L120" s="347">
        <f t="shared" ref="L120" si="133">L119/(AVERAGE(L118,M118))</f>
        <v>0.60306614512820866</v>
      </c>
      <c r="M120" s="347">
        <f t="shared" ref="M120" si="134">M119/(AVERAGE(M118,N118))</f>
        <v>0.64105697201754419</v>
      </c>
      <c r="N120" s="347">
        <f t="shared" ref="N120" si="135">N119/(AVERAGE(N118,O118))</f>
        <v>0.70894071162681349</v>
      </c>
      <c r="O120" s="360">
        <v>0.65</v>
      </c>
      <c r="P120" s="360">
        <v>0.55000000000000004</v>
      </c>
      <c r="Q120" s="360">
        <v>0.5</v>
      </c>
      <c r="R120" s="360">
        <f>Q120</f>
        <v>0.5</v>
      </c>
      <c r="S120" s="360">
        <f>R120</f>
        <v>0.5</v>
      </c>
      <c r="T120" s="360">
        <f t="shared" ref="T120:AB120" si="136">S120</f>
        <v>0.5</v>
      </c>
      <c r="U120" s="360">
        <f t="shared" si="136"/>
        <v>0.5</v>
      </c>
      <c r="V120" s="360">
        <f t="shared" si="136"/>
        <v>0.5</v>
      </c>
      <c r="W120" s="360">
        <f t="shared" si="136"/>
        <v>0.5</v>
      </c>
      <c r="X120" s="360">
        <f t="shared" si="136"/>
        <v>0.5</v>
      </c>
      <c r="Y120" s="360">
        <f t="shared" si="136"/>
        <v>0.5</v>
      </c>
      <c r="Z120" s="360">
        <f t="shared" si="136"/>
        <v>0.5</v>
      </c>
      <c r="AA120" s="360">
        <f t="shared" si="136"/>
        <v>0.5</v>
      </c>
      <c r="AB120" s="360">
        <f t="shared" si="136"/>
        <v>0.5</v>
      </c>
      <c r="AC120" s="596"/>
      <c r="AD120" s="656"/>
      <c r="AK120" s="94"/>
    </row>
    <row r="121" spans="3:37" ht="12.75" hidden="1" customHeight="1" outlineLevel="1">
      <c r="C121" s="655" t="s">
        <v>239</v>
      </c>
      <c r="D121" s="98"/>
      <c r="E121" s="98"/>
      <c r="F121" s="343">
        <f>0.822998+0.05</f>
        <v>0.87299800000000005</v>
      </c>
      <c r="G121" s="343">
        <f>0.076794+0.069892</f>
        <v>0.14668599999999998</v>
      </c>
      <c r="H121" s="343">
        <f>0.00065+0.309334</f>
        <v>0.30998399999999998</v>
      </c>
      <c r="I121" s="346">
        <f>0.320006+0.592085</f>
        <v>0.91209099999999999</v>
      </c>
      <c r="J121" s="346">
        <f>0.437427+0.044167</f>
        <v>0.48159400000000002</v>
      </c>
      <c r="K121" s="346">
        <f>0.525121+0.05</f>
        <v>0.57512099999999999</v>
      </c>
      <c r="L121" s="346">
        <v>0.28749799999999998</v>
      </c>
      <c r="M121" s="346">
        <v>0.34775600000000001</v>
      </c>
      <c r="N121" s="346">
        <v>0.20855799999999999</v>
      </c>
      <c r="O121" s="346">
        <f t="shared" ref="O121:S121" si="137">O122*O118</f>
        <v>0.21709283010101355</v>
      </c>
      <c r="P121" s="346">
        <f t="shared" si="137"/>
        <v>0.21227407332955275</v>
      </c>
      <c r="Q121" s="346">
        <f t="shared" si="137"/>
        <v>0.21817598099711882</v>
      </c>
      <c r="R121" s="346">
        <f t="shared" si="137"/>
        <v>0.23515077988825817</v>
      </c>
      <c r="S121" s="346">
        <f t="shared" si="137"/>
        <v>0.25344627318433488</v>
      </c>
      <c r="T121" s="346">
        <f t="shared" ref="T121:AB121" si="138">T122*T118</f>
        <v>0.27316521519321563</v>
      </c>
      <c r="U121" s="346">
        <f t="shared" si="138"/>
        <v>0.29441835484116274</v>
      </c>
      <c r="V121" s="346">
        <f t="shared" si="138"/>
        <v>0.31732505768007352</v>
      </c>
      <c r="W121" s="346">
        <f t="shared" si="138"/>
        <v>0.34201397628889862</v>
      </c>
      <c r="X121" s="346">
        <f t="shared" si="138"/>
        <v>0.36862377283446612</v>
      </c>
      <c r="Y121" s="346">
        <f t="shared" si="138"/>
        <v>0.39730389784988079</v>
      </c>
      <c r="Z121" s="346">
        <f t="shared" si="138"/>
        <v>0.42821542960440773</v>
      </c>
      <c r="AA121" s="346">
        <f t="shared" si="138"/>
        <v>0.46153197877905611</v>
      </c>
      <c r="AB121" s="346">
        <f t="shared" si="138"/>
        <v>0.4974406635288568</v>
      </c>
      <c r="AC121" s="166"/>
      <c r="AD121" s="658"/>
      <c r="AK121" s="94"/>
    </row>
    <row r="122" spans="3:37" ht="12.75" hidden="1" customHeight="1" outlineLevel="1">
      <c r="C122" s="657" t="s">
        <v>240</v>
      </c>
      <c r="D122" s="103"/>
      <c r="E122" s="103"/>
      <c r="F122" s="169">
        <f t="shared" ref="F122:N122" si="139">F121/F118</f>
        <v>7.0207700266315398E-2</v>
      </c>
      <c r="G122" s="169">
        <f t="shared" si="139"/>
        <v>9.7905045868253004E-3</v>
      </c>
      <c r="H122" s="169">
        <f t="shared" si="139"/>
        <v>1.7239826878733412E-2</v>
      </c>
      <c r="I122" s="169">
        <f t="shared" si="139"/>
        <v>4.5359781813367799E-2</v>
      </c>
      <c r="J122" s="169">
        <f t="shared" si="139"/>
        <v>2.1894040886994291E-2</v>
      </c>
      <c r="K122" s="169">
        <f t="shared" si="139"/>
        <v>2.6361610426110633E-2</v>
      </c>
      <c r="L122" s="169">
        <f t="shared" si="139"/>
        <v>1.4286971547956674E-2</v>
      </c>
      <c r="M122" s="169">
        <f t="shared" si="139"/>
        <v>2.3729442486112116E-2</v>
      </c>
      <c r="N122" s="169">
        <f t="shared" si="139"/>
        <v>1.8870135290649102E-2</v>
      </c>
      <c r="O122" s="360">
        <f t="shared" ref="O122:AB122" si="140">N122</f>
        <v>1.8870135290649102E-2</v>
      </c>
      <c r="P122" s="360">
        <f t="shared" si="140"/>
        <v>1.8870135290649102E-2</v>
      </c>
      <c r="Q122" s="360">
        <f t="shared" si="140"/>
        <v>1.8870135290649102E-2</v>
      </c>
      <c r="R122" s="360">
        <f t="shared" si="140"/>
        <v>1.8870135290649102E-2</v>
      </c>
      <c r="S122" s="360">
        <f t="shared" si="140"/>
        <v>1.8870135290649102E-2</v>
      </c>
      <c r="T122" s="360">
        <f t="shared" si="140"/>
        <v>1.8870135290649102E-2</v>
      </c>
      <c r="U122" s="360">
        <f t="shared" si="140"/>
        <v>1.8870135290649102E-2</v>
      </c>
      <c r="V122" s="360">
        <f t="shared" si="140"/>
        <v>1.8870135290649102E-2</v>
      </c>
      <c r="W122" s="360">
        <f t="shared" si="140"/>
        <v>1.8870135290649102E-2</v>
      </c>
      <c r="X122" s="360">
        <f t="shared" si="140"/>
        <v>1.8870135290649102E-2</v>
      </c>
      <c r="Y122" s="360">
        <f t="shared" si="140"/>
        <v>1.8870135290649102E-2</v>
      </c>
      <c r="Z122" s="360">
        <f t="shared" si="140"/>
        <v>1.8870135290649102E-2</v>
      </c>
      <c r="AA122" s="360">
        <f t="shared" si="140"/>
        <v>1.8870135290649102E-2</v>
      </c>
      <c r="AB122" s="360">
        <f t="shared" si="140"/>
        <v>1.8870135290649102E-2</v>
      </c>
      <c r="AC122" s="102"/>
      <c r="AD122" s="658"/>
      <c r="AK122" s="94"/>
    </row>
    <row r="123" spans="3:37" ht="12.75" hidden="1" customHeight="1" outlineLevel="1">
      <c r="C123" s="655" t="s">
        <v>173</v>
      </c>
      <c r="D123" s="98"/>
      <c r="E123" s="98"/>
      <c r="F123" s="343">
        <f>0.289031</f>
        <v>0.28903099999999998</v>
      </c>
      <c r="G123" s="343">
        <f>0.104919</f>
        <v>0.104919</v>
      </c>
      <c r="H123" s="346">
        <v>1.701368</v>
      </c>
      <c r="I123" s="346">
        <v>2.2945859999999998</v>
      </c>
      <c r="J123" s="346">
        <f>5.117374+0.05</f>
        <v>5.1673739999999997</v>
      </c>
      <c r="K123" s="346">
        <f>6.872901</f>
        <v>6.8729009999999997</v>
      </c>
      <c r="L123" s="346">
        <v>7.0448440000000003</v>
      </c>
      <c r="M123" s="346">
        <v>5.1558630000000001</v>
      </c>
      <c r="N123" s="346">
        <v>2.0654520000000001</v>
      </c>
      <c r="O123" s="346">
        <f t="shared" ref="O123:S123" si="141">O124*O118</f>
        <v>2.8761430000000003</v>
      </c>
      <c r="P123" s="346">
        <f t="shared" si="141"/>
        <v>2.2498415624475459</v>
      </c>
      <c r="Q123" s="346">
        <f t="shared" si="141"/>
        <v>1.7342958407820768</v>
      </c>
      <c r="R123" s="346">
        <f t="shared" si="141"/>
        <v>1.8692296817139249</v>
      </c>
      <c r="S123" s="346">
        <f t="shared" si="141"/>
        <v>2.0146618130760903</v>
      </c>
      <c r="T123" s="346">
        <f t="shared" ref="T123:AB123" si="142">T124*T118</f>
        <v>2.1714090359112035</v>
      </c>
      <c r="U123" s="346">
        <f t="shared" si="142"/>
        <v>2.3403517010319899</v>
      </c>
      <c r="V123" s="346">
        <f t="shared" si="142"/>
        <v>2.5224386533994854</v>
      </c>
      <c r="W123" s="346">
        <f t="shared" si="142"/>
        <v>2.7186925611899033</v>
      </c>
      <c r="X123" s="346">
        <f t="shared" si="142"/>
        <v>2.9302156594801985</v>
      </c>
      <c r="Y123" s="346">
        <f t="shared" si="142"/>
        <v>3.1581959408109856</v>
      </c>
      <c r="Z123" s="346">
        <f t="shared" si="142"/>
        <v>3.4039138273953342</v>
      </c>
      <c r="AA123" s="346">
        <f t="shared" si="142"/>
        <v>3.6687493624470466</v>
      </c>
      <c r="AB123" s="346">
        <f t="shared" si="142"/>
        <v>3.9541899610175952</v>
      </c>
      <c r="AC123" s="166"/>
      <c r="AD123" s="658"/>
      <c r="AK123" s="94"/>
    </row>
    <row r="124" spans="3:37" ht="12.75" hidden="1" customHeight="1" outlineLevel="1">
      <c r="C124" s="657" t="s">
        <v>174</v>
      </c>
      <c r="D124" s="104"/>
      <c r="E124" s="104"/>
      <c r="F124" s="345">
        <f t="shared" ref="F124:N124" si="143">F123/F118</f>
        <v>2.3244270680658378E-2</v>
      </c>
      <c r="G124" s="345">
        <f t="shared" si="143"/>
        <v>7.0027811157514948E-3</v>
      </c>
      <c r="H124" s="345">
        <f t="shared" si="143"/>
        <v>9.4621947510248633E-2</v>
      </c>
      <c r="I124" s="345">
        <f t="shared" si="143"/>
        <v>0.11411352629508278</v>
      </c>
      <c r="J124" s="345">
        <f t="shared" si="143"/>
        <v>0.23491716598294668</v>
      </c>
      <c r="K124" s="345">
        <f t="shared" si="143"/>
        <v>0.31503064339369663</v>
      </c>
      <c r="L124" s="345">
        <f t="shared" si="143"/>
        <v>0.35008760334956524</v>
      </c>
      <c r="M124" s="345">
        <f t="shared" si="143"/>
        <v>0.35181493496811977</v>
      </c>
      <c r="N124" s="345">
        <f t="shared" si="143"/>
        <v>0.18688019004949111</v>
      </c>
      <c r="O124" s="360">
        <v>0.25</v>
      </c>
      <c r="P124" s="360">
        <v>0.2</v>
      </c>
      <c r="Q124" s="360">
        <v>0.15</v>
      </c>
      <c r="R124" s="360">
        <f>Q124</f>
        <v>0.15</v>
      </c>
      <c r="S124" s="360">
        <f>R124</f>
        <v>0.15</v>
      </c>
      <c r="T124" s="360">
        <f t="shared" ref="T124:AB124" si="144">S124</f>
        <v>0.15</v>
      </c>
      <c r="U124" s="360">
        <f t="shared" si="144"/>
        <v>0.15</v>
      </c>
      <c r="V124" s="360">
        <f t="shared" si="144"/>
        <v>0.15</v>
      </c>
      <c r="W124" s="360">
        <f t="shared" si="144"/>
        <v>0.15</v>
      </c>
      <c r="X124" s="360">
        <f t="shared" si="144"/>
        <v>0.15</v>
      </c>
      <c r="Y124" s="360">
        <f t="shared" si="144"/>
        <v>0.15</v>
      </c>
      <c r="Z124" s="360">
        <f t="shared" si="144"/>
        <v>0.15</v>
      </c>
      <c r="AA124" s="360">
        <f t="shared" si="144"/>
        <v>0.15</v>
      </c>
      <c r="AB124" s="360">
        <f t="shared" si="144"/>
        <v>0.15</v>
      </c>
      <c r="AC124" s="104"/>
      <c r="AD124" s="659"/>
      <c r="AK124" s="94"/>
    </row>
    <row r="125" spans="3:37" ht="12.75" hidden="1" customHeight="1" outlineLevel="1">
      <c r="C125" s="655" t="s">
        <v>175</v>
      </c>
      <c r="D125" s="101"/>
      <c r="E125" s="101"/>
      <c r="F125" s="434">
        <v>5.51</v>
      </c>
      <c r="G125" s="434">
        <v>5.49</v>
      </c>
      <c r="H125" s="434">
        <v>6.56</v>
      </c>
      <c r="I125" s="342">
        <v>7.17</v>
      </c>
      <c r="J125" s="342">
        <v>8.51</v>
      </c>
      <c r="K125" s="342">
        <v>10.15</v>
      </c>
      <c r="L125" s="342">
        <v>12.36</v>
      </c>
      <c r="M125" s="342">
        <v>16.62</v>
      </c>
      <c r="N125" s="342">
        <v>20.54</v>
      </c>
      <c r="O125" s="342">
        <f t="shared" ref="O125:S125" si="145">+N125*(1+$AD$125)</f>
        <v>23.26155</v>
      </c>
      <c r="P125" s="342">
        <f t="shared" si="145"/>
        <v>26.343705375000003</v>
      </c>
      <c r="Q125" s="342">
        <f t="shared" si="145"/>
        <v>29.834246337187505</v>
      </c>
      <c r="R125" s="342">
        <f t="shared" si="145"/>
        <v>33.787283976864849</v>
      </c>
      <c r="S125" s="342">
        <f t="shared" si="145"/>
        <v>38.264099103799445</v>
      </c>
      <c r="T125" s="342">
        <f t="shared" ref="T125:AB125" si="146">+S125*(1+$AD$125)</f>
        <v>43.334092235052871</v>
      </c>
      <c r="U125" s="342">
        <f t="shared" si="146"/>
        <v>49.075859456197378</v>
      </c>
      <c r="V125" s="342">
        <f t="shared" si="146"/>
        <v>55.578410834143533</v>
      </c>
      <c r="W125" s="342">
        <f t="shared" si="146"/>
        <v>62.942550269667557</v>
      </c>
      <c r="X125" s="342">
        <f t="shared" si="146"/>
        <v>71.282438180398515</v>
      </c>
      <c r="Y125" s="342">
        <f t="shared" si="146"/>
        <v>80.727361239301317</v>
      </c>
      <c r="Z125" s="342">
        <f t="shared" si="146"/>
        <v>91.423736603508743</v>
      </c>
      <c r="AA125" s="342">
        <f t="shared" si="146"/>
        <v>103.53738170347366</v>
      </c>
      <c r="AB125" s="342">
        <f t="shared" si="146"/>
        <v>117.25608477918392</v>
      </c>
      <c r="AC125" s="167"/>
      <c r="AD125" s="660">
        <v>0.13250000000000001</v>
      </c>
      <c r="AK125" s="94"/>
    </row>
    <row r="126" spans="3:37" ht="12.75" hidden="1" customHeight="1" outlineLevel="1">
      <c r="C126" s="657" t="s">
        <v>197</v>
      </c>
      <c r="D126" s="105"/>
      <c r="E126" s="105"/>
      <c r="F126" s="347">
        <f>'Income Statement'!F53</f>
        <v>0</v>
      </c>
      <c r="G126" s="347">
        <f>'Income Statement'!G53</f>
        <v>0</v>
      </c>
      <c r="H126" s="347">
        <f>'Income Statement'!H53</f>
        <v>0</v>
      </c>
      <c r="I126" s="347">
        <f>'Income Statement'!I53</f>
        <v>0</v>
      </c>
      <c r="J126" s="347">
        <f>'Income Statement'!J53</f>
        <v>0</v>
      </c>
      <c r="K126" s="347">
        <f>'Income Statement'!K53</f>
        <v>0</v>
      </c>
      <c r="L126" s="347">
        <f>'Income Statement'!L53</f>
        <v>0</v>
      </c>
      <c r="M126" s="347">
        <f>'Income Statement'!Q53</f>
        <v>1.2346869875566715E-2</v>
      </c>
      <c r="N126" s="347">
        <f>'Income Statement'!V53</f>
        <v>1.5396898362083565E-2</v>
      </c>
      <c r="O126" s="347">
        <f>'Income Statement'!AA53</f>
        <v>0</v>
      </c>
      <c r="P126" s="347">
        <f>'Income Statement'!AF53</f>
        <v>0</v>
      </c>
      <c r="Q126" s="347">
        <f>'Income Statement'!AG53</f>
        <v>0</v>
      </c>
      <c r="R126" s="347">
        <f>'Income Statement'!AH53</f>
        <v>0</v>
      </c>
      <c r="S126" s="347">
        <f>'Income Statement'!AI53</f>
        <v>0</v>
      </c>
      <c r="T126" s="347">
        <f>'Income Statement'!AJ53</f>
        <v>5.7415169175559742E-3</v>
      </c>
      <c r="U126" s="347">
        <f>'Income Statement'!AK53</f>
        <v>0.15</v>
      </c>
      <c r="V126" s="347">
        <f>'Income Statement'!AL53</f>
        <v>0.15</v>
      </c>
      <c r="W126" s="347">
        <f>'Income Statement'!AM53</f>
        <v>0.15</v>
      </c>
      <c r="X126" s="347">
        <f>'Income Statement'!AN53</f>
        <v>0.15</v>
      </c>
      <c r="Y126" s="347">
        <f>'Income Statement'!AO53</f>
        <v>0</v>
      </c>
      <c r="Z126" s="347">
        <f>'Income Statement'!AP53</f>
        <v>0</v>
      </c>
      <c r="AA126" s="347">
        <f>'Income Statement'!AQ53</f>
        <v>0</v>
      </c>
      <c r="AB126" s="347">
        <f>'Income Statement'!AR53</f>
        <v>0</v>
      </c>
      <c r="AC126" s="105"/>
      <c r="AD126" s="658"/>
      <c r="AK126" s="94"/>
    </row>
    <row r="127" spans="3:37" ht="12.75" hidden="1" customHeight="1" outlineLevel="1">
      <c r="C127" s="661" t="s">
        <v>176</v>
      </c>
      <c r="D127" s="107"/>
      <c r="E127" s="107"/>
      <c r="F127" s="348">
        <f>F123*F125</f>
        <v>1.5925608099999999</v>
      </c>
      <c r="G127" s="348">
        <v>2.06</v>
      </c>
      <c r="H127" s="348">
        <v>13.586</v>
      </c>
      <c r="I127" s="349">
        <v>19.465</v>
      </c>
      <c r="J127" s="349">
        <v>47.706000000000003</v>
      </c>
      <c r="K127" s="349">
        <v>73.150000000000006</v>
      </c>
      <c r="L127" s="349">
        <v>92.837000000000003</v>
      </c>
      <c r="M127" s="349">
        <v>86.754999999999995</v>
      </c>
      <c r="N127" s="349">
        <v>49.661000000000001</v>
      </c>
      <c r="O127" s="349">
        <f t="shared" ref="O127:R127" si="147">O123*O125</f>
        <v>66.903544201650007</v>
      </c>
      <c r="P127" s="349">
        <f t="shared" si="147"/>
        <v>59.269163261547817</v>
      </c>
      <c r="Q127" s="349">
        <f t="shared" si="147"/>
        <v>51.741409335452197</v>
      </c>
      <c r="R127" s="349">
        <f t="shared" si="147"/>
        <v>63.156194074053076</v>
      </c>
      <c r="S127" s="349">
        <f>S123*S125</f>
        <v>77.089219276183798</v>
      </c>
      <c r="T127" s="349">
        <f t="shared" ref="T127:AB127" si="148">T123*T125</f>
        <v>94.09603944220332</v>
      </c>
      <c r="U127" s="349">
        <f t="shared" si="148"/>
        <v>114.85477115791839</v>
      </c>
      <c r="V127" s="349">
        <f t="shared" si="148"/>
        <v>140.19313178256039</v>
      </c>
      <c r="W127" s="349">
        <f t="shared" si="148"/>
        <v>171.12144320046673</v>
      </c>
      <c r="X127" s="349">
        <f t="shared" si="148"/>
        <v>208.8729166021329</v>
      </c>
      <c r="Y127" s="349">
        <f t="shared" si="148"/>
        <v>254.95282457834352</v>
      </c>
      <c r="Z127" s="349">
        <f t="shared" si="148"/>
        <v>311.19852117683234</v>
      </c>
      <c r="AA127" s="349">
        <f t="shared" si="148"/>
        <v>379.85270311405549</v>
      </c>
      <c r="AB127" s="349">
        <f t="shared" si="148"/>
        <v>463.65283330207711</v>
      </c>
      <c r="AC127" s="168"/>
      <c r="AD127" s="662"/>
      <c r="AK127" s="106"/>
    </row>
    <row r="128" spans="3:37" ht="12.75" hidden="1" customHeight="1" outlineLevel="1">
      <c r="C128" s="661" t="s">
        <v>177</v>
      </c>
      <c r="D128" s="107"/>
      <c r="E128" s="107"/>
      <c r="F128" s="349">
        <f t="shared" ref="F128:P128" si="149">(F117-F125)*F123*F126</f>
        <v>0</v>
      </c>
      <c r="G128" s="349">
        <f t="shared" si="149"/>
        <v>0</v>
      </c>
      <c r="H128" s="349">
        <f t="shared" si="149"/>
        <v>0</v>
      </c>
      <c r="I128" s="349">
        <f t="shared" si="149"/>
        <v>0</v>
      </c>
      <c r="J128" s="349">
        <f t="shared" si="149"/>
        <v>0</v>
      </c>
      <c r="K128" s="349">
        <f t="shared" si="149"/>
        <v>0</v>
      </c>
      <c r="L128" s="349">
        <f t="shared" si="149"/>
        <v>0</v>
      </c>
      <c r="M128" s="349">
        <f t="shared" si="149"/>
        <v>5.498844514355171</v>
      </c>
      <c r="N128" s="349">
        <f t="shared" si="149"/>
        <v>2.018126649570271</v>
      </c>
      <c r="O128" s="349">
        <f t="shared" si="149"/>
        <v>0</v>
      </c>
      <c r="P128" s="349">
        <f t="shared" si="149"/>
        <v>0</v>
      </c>
      <c r="Q128" s="349">
        <f>(Q117-Q125)*Q123*Q126</f>
        <v>0</v>
      </c>
      <c r="R128" s="349">
        <f>(R117-R125)*R123*R126</f>
        <v>0</v>
      </c>
      <c r="S128" s="349">
        <f>(S117-S125)*S123*S126</f>
        <v>0</v>
      </c>
      <c r="T128" s="349">
        <f t="shared" ref="T128:AB128" si="150">(T117-T125)*T123*T126</f>
        <v>1.3150013217321401</v>
      </c>
      <c r="U128" s="349">
        <f t="shared" si="150"/>
        <v>40.236394911982856</v>
      </c>
      <c r="V128" s="349">
        <f t="shared" si="150"/>
        <v>47.100128251482403</v>
      </c>
      <c r="W128" s="349">
        <f t="shared" si="150"/>
        <v>55.10452259460731</v>
      </c>
      <c r="X128" s="349">
        <f t="shared" si="150"/>
        <v>64.431894652550923</v>
      </c>
      <c r="Y128" s="349">
        <f t="shared" si="150"/>
        <v>0</v>
      </c>
      <c r="Z128" s="349">
        <f t="shared" si="150"/>
        <v>0</v>
      </c>
      <c r="AA128" s="349">
        <f t="shared" si="150"/>
        <v>0</v>
      </c>
      <c r="AB128" s="349">
        <f t="shared" si="150"/>
        <v>0</v>
      </c>
      <c r="AC128" s="107"/>
      <c r="AD128" s="662"/>
      <c r="AK128" s="106"/>
    </row>
    <row r="129" spans="3:37" ht="12.75" hidden="1" customHeight="1" outlineLevel="1">
      <c r="C129" s="663" t="s">
        <v>178</v>
      </c>
      <c r="D129" s="98"/>
      <c r="E129" s="98"/>
      <c r="F129" s="343">
        <v>3.71</v>
      </c>
      <c r="G129" s="343">
        <v>3.25</v>
      </c>
      <c r="H129" s="466">
        <v>4.1385839999999998</v>
      </c>
      <c r="I129" s="466">
        <v>5.0953330000000001</v>
      </c>
      <c r="J129" s="466">
        <f>5.469</f>
        <v>5.4690000000000003</v>
      </c>
      <c r="K129" s="466">
        <f>5.7545</f>
        <v>5.7545000000000002</v>
      </c>
      <c r="L129" s="466">
        <v>1.864296</v>
      </c>
      <c r="M129" s="466">
        <v>1.900855</v>
      </c>
      <c r="N129" s="466">
        <v>2.7263030000000001</v>
      </c>
      <c r="O129" s="466">
        <f t="shared" ref="O129:S129" si="151">O130*O118</f>
        <v>2.8378716423387429</v>
      </c>
      <c r="P129" s="466">
        <f t="shared" si="151"/>
        <v>2.7748800954198818</v>
      </c>
      <c r="Q129" s="466">
        <f t="shared" si="151"/>
        <v>2.8520307613248499</v>
      </c>
      <c r="R129" s="466">
        <f t="shared" si="151"/>
        <v>3.0739280040166181</v>
      </c>
      <c r="S129" s="466">
        <f t="shared" si="151"/>
        <v>3.3130895718278457</v>
      </c>
      <c r="T129" s="466">
        <f t="shared" ref="T129:AB129" si="152">T130*T118</f>
        <v>3.5708586852429987</v>
      </c>
      <c r="U129" s="466">
        <f t="shared" si="152"/>
        <v>3.8486830716564531</v>
      </c>
      <c r="V129" s="466">
        <f t="shared" si="152"/>
        <v>4.1481230963490132</v>
      </c>
      <c r="W129" s="466">
        <f t="shared" si="152"/>
        <v>4.4708605260807692</v>
      </c>
      <c r="X129" s="466">
        <f t="shared" si="152"/>
        <v>4.8187079745199108</v>
      </c>
      <c r="Y129" s="466">
        <f t="shared" si="152"/>
        <v>5.1936190825565243</v>
      </c>
      <c r="Z129" s="466">
        <f t="shared" si="152"/>
        <v>5.5976994906778241</v>
      </c>
      <c r="AA129" s="466">
        <f t="shared" si="152"/>
        <v>6.0332186650297617</v>
      </c>
      <c r="AB129" s="466">
        <f t="shared" si="152"/>
        <v>6.50262264358458</v>
      </c>
      <c r="AC129" s="109"/>
      <c r="AD129" s="664"/>
      <c r="AK129" s="108"/>
    </row>
    <row r="130" spans="3:37" ht="12.75" hidden="1" customHeight="1" outlineLevel="1">
      <c r="C130" s="657" t="s">
        <v>179</v>
      </c>
      <c r="D130" s="104"/>
      <c r="E130" s="104"/>
      <c r="F130" s="345">
        <f t="shared" ref="F130:N130" si="153">F129/F118</f>
        <v>0.29836330436957481</v>
      </c>
      <c r="G130" s="345">
        <f t="shared" si="153"/>
        <v>0.21692008717384229</v>
      </c>
      <c r="H130" s="345">
        <f t="shared" si="153"/>
        <v>0.23016823991914437</v>
      </c>
      <c r="I130" s="345">
        <f t="shared" si="153"/>
        <v>0.25339926953171643</v>
      </c>
      <c r="J130" s="345">
        <f t="shared" si="153"/>
        <v>0.24862957098919791</v>
      </c>
      <c r="K130" s="345">
        <f t="shared" si="153"/>
        <v>0.26376690678492637</v>
      </c>
      <c r="L130" s="345">
        <f t="shared" si="153"/>
        <v>9.2644623298142728E-2</v>
      </c>
      <c r="M130" s="345">
        <f t="shared" si="153"/>
        <v>0.12970654538509369</v>
      </c>
      <c r="N130" s="345">
        <f t="shared" si="153"/>
        <v>0.24667337840458059</v>
      </c>
      <c r="O130" s="360">
        <f>N130</f>
        <v>0.24667337840458059</v>
      </c>
      <c r="P130" s="360">
        <f t="shared" ref="P130:AB130" si="154">O130</f>
        <v>0.24667337840458059</v>
      </c>
      <c r="Q130" s="360">
        <f t="shared" si="154"/>
        <v>0.24667337840458059</v>
      </c>
      <c r="R130" s="360">
        <f t="shared" si="154"/>
        <v>0.24667337840458059</v>
      </c>
      <c r="S130" s="360">
        <f t="shared" si="154"/>
        <v>0.24667337840458059</v>
      </c>
      <c r="T130" s="360">
        <f t="shared" si="154"/>
        <v>0.24667337840458059</v>
      </c>
      <c r="U130" s="360">
        <f t="shared" si="154"/>
        <v>0.24667337840458059</v>
      </c>
      <c r="V130" s="360">
        <f t="shared" si="154"/>
        <v>0.24667337840458059</v>
      </c>
      <c r="W130" s="360">
        <f t="shared" si="154"/>
        <v>0.24667337840458059</v>
      </c>
      <c r="X130" s="360">
        <f t="shared" si="154"/>
        <v>0.24667337840458059</v>
      </c>
      <c r="Y130" s="360">
        <f t="shared" si="154"/>
        <v>0.24667337840458059</v>
      </c>
      <c r="Z130" s="360">
        <f t="shared" si="154"/>
        <v>0.24667337840458059</v>
      </c>
      <c r="AA130" s="360">
        <f t="shared" si="154"/>
        <v>0.24667337840458059</v>
      </c>
      <c r="AB130" s="360">
        <f t="shared" si="154"/>
        <v>0.24667337840458059</v>
      </c>
      <c r="AC130" s="502"/>
      <c r="AD130" s="658"/>
      <c r="AK130" s="94"/>
    </row>
    <row r="131" spans="3:37" ht="12.75" hidden="1" customHeight="1" outlineLevel="1">
      <c r="C131" s="657"/>
      <c r="D131" s="104"/>
      <c r="E131" s="104"/>
      <c r="F131" s="345"/>
      <c r="G131" s="345"/>
      <c r="H131" s="345"/>
      <c r="I131" s="345"/>
      <c r="J131" s="345"/>
      <c r="K131" s="360"/>
      <c r="L131" s="360"/>
      <c r="M131" s="360"/>
      <c r="N131" s="360"/>
      <c r="O131" s="360"/>
      <c r="P131" s="360"/>
      <c r="Q131" s="360"/>
      <c r="R131" s="360"/>
      <c r="S131" s="360"/>
      <c r="T131" s="360"/>
      <c r="U131" s="360"/>
      <c r="V131" s="360"/>
      <c r="W131" s="360"/>
      <c r="X131" s="360"/>
      <c r="Y131" s="360"/>
      <c r="Z131" s="360"/>
      <c r="AA131" s="360"/>
      <c r="AB131" s="360"/>
      <c r="AC131" s="502"/>
      <c r="AD131" s="658"/>
      <c r="AK131" s="94"/>
    </row>
    <row r="132" spans="3:37" ht="12.75" hidden="1" customHeight="1" outlineLevel="1">
      <c r="C132" s="655" t="s">
        <v>281</v>
      </c>
      <c r="D132" s="89"/>
      <c r="E132" s="89"/>
      <c r="F132" s="89">
        <v>12.074999999999999</v>
      </c>
      <c r="G132" s="436">
        <v>20.7</v>
      </c>
      <c r="H132" s="436">
        <v>0</v>
      </c>
      <c r="I132" s="436">
        <v>0</v>
      </c>
      <c r="J132" s="436">
        <v>0</v>
      </c>
      <c r="K132" s="436">
        <v>0</v>
      </c>
      <c r="L132" s="436">
        <v>0</v>
      </c>
      <c r="M132" s="436">
        <v>0</v>
      </c>
      <c r="N132" s="436">
        <v>0</v>
      </c>
      <c r="O132" s="437">
        <v>4.9450000000000003</v>
      </c>
      <c r="P132" s="437">
        <v>0</v>
      </c>
      <c r="Q132" s="437">
        <v>0</v>
      </c>
      <c r="R132" s="437">
        <v>0</v>
      </c>
      <c r="S132" s="437">
        <v>0</v>
      </c>
      <c r="T132" s="437">
        <v>0</v>
      </c>
      <c r="U132" s="437">
        <v>0</v>
      </c>
      <c r="V132" s="437">
        <v>0</v>
      </c>
      <c r="W132" s="437">
        <v>0</v>
      </c>
      <c r="X132" s="437">
        <v>0</v>
      </c>
      <c r="Y132" s="437">
        <v>0</v>
      </c>
      <c r="Z132" s="437">
        <v>0</v>
      </c>
      <c r="AA132" s="437">
        <v>0</v>
      </c>
      <c r="AB132" s="437">
        <v>0</v>
      </c>
      <c r="AC132" s="242"/>
      <c r="AD132" s="658"/>
      <c r="AK132" s="94"/>
    </row>
    <row r="133" spans="3:37" ht="12.75" hidden="1" customHeight="1" outlineLevel="1">
      <c r="C133" s="655" t="s">
        <v>282</v>
      </c>
      <c r="D133" s="89"/>
      <c r="E133" s="89"/>
      <c r="F133" s="89"/>
      <c r="G133" s="89"/>
      <c r="H133" s="436">
        <v>0</v>
      </c>
      <c r="I133" s="436">
        <v>0</v>
      </c>
      <c r="J133" s="431">
        <v>0</v>
      </c>
      <c r="K133" s="432">
        <f>('Income Statement'!K210/6.84)</f>
        <v>0</v>
      </c>
      <c r="L133" s="433">
        <f>('Income Statement'!L226/9.75)</f>
        <v>0</v>
      </c>
      <c r="M133" s="432">
        <f>('Income Statement'!Q159/8.78)</f>
        <v>10.353075170842827</v>
      </c>
      <c r="N133" s="432">
        <f>('Income Statement'!V159/8.78)</f>
        <v>0</v>
      </c>
      <c r="O133" s="432">
        <v>13.7</v>
      </c>
      <c r="P133" s="432">
        <f>7.2*0.08</f>
        <v>0.57600000000000007</v>
      </c>
      <c r="Q133" s="432">
        <v>0</v>
      </c>
      <c r="R133" s="432">
        <f>7.2*0.08</f>
        <v>0.57600000000000007</v>
      </c>
      <c r="S133" s="432">
        <v>0</v>
      </c>
      <c r="T133" s="432">
        <v>0</v>
      </c>
      <c r="U133" s="432">
        <v>0</v>
      </c>
      <c r="V133" s="432">
        <v>0</v>
      </c>
      <c r="W133" s="432">
        <v>0</v>
      </c>
      <c r="X133" s="432">
        <v>0</v>
      </c>
      <c r="Y133" s="432">
        <v>0</v>
      </c>
      <c r="Z133" s="432">
        <v>0</v>
      </c>
      <c r="AA133" s="432">
        <v>0</v>
      </c>
      <c r="AB133" s="432">
        <v>0</v>
      </c>
      <c r="AC133" s="242"/>
      <c r="AD133" s="658"/>
      <c r="AK133" s="94"/>
    </row>
    <row r="134" spans="3:37" ht="12.75" hidden="1" customHeight="1" outlineLevel="1">
      <c r="C134" s="655" t="s">
        <v>116</v>
      </c>
      <c r="D134" s="89"/>
      <c r="E134" s="89"/>
      <c r="F134" s="89">
        <v>101.654</v>
      </c>
      <c r="G134" s="89">
        <v>132.315</v>
      </c>
      <c r="H134" s="436">
        <v>15.861000000000001</v>
      </c>
      <c r="I134" s="436">
        <v>0</v>
      </c>
      <c r="J134" s="431">
        <v>0</v>
      </c>
      <c r="K134" s="431">
        <f>K133*6.84</f>
        <v>0</v>
      </c>
      <c r="L134" s="431">
        <f>(L133*9.75)</f>
        <v>0</v>
      </c>
      <c r="M134" s="431">
        <v>0</v>
      </c>
      <c r="N134" s="431">
        <v>0</v>
      </c>
      <c r="O134" s="431">
        <v>0</v>
      </c>
      <c r="P134" s="431">
        <v>0</v>
      </c>
      <c r="Q134" s="431">
        <v>0</v>
      </c>
      <c r="R134" s="431">
        <v>0</v>
      </c>
      <c r="S134" s="431">
        <v>0</v>
      </c>
      <c r="T134" s="431">
        <v>0</v>
      </c>
      <c r="U134" s="431">
        <v>0</v>
      </c>
      <c r="V134" s="431">
        <v>0</v>
      </c>
      <c r="W134" s="431">
        <v>0</v>
      </c>
      <c r="X134" s="431">
        <v>0</v>
      </c>
      <c r="Y134" s="431">
        <v>0</v>
      </c>
      <c r="Z134" s="431">
        <v>0</v>
      </c>
      <c r="AA134" s="431">
        <v>0</v>
      </c>
      <c r="AB134" s="431">
        <v>0</v>
      </c>
      <c r="AC134" s="89"/>
      <c r="AD134" s="658"/>
      <c r="AK134" s="94"/>
    </row>
    <row r="135" spans="3:37" ht="12.75" hidden="1" customHeight="1" outlineLevel="1">
      <c r="C135" s="655" t="s">
        <v>286</v>
      </c>
      <c r="D135" s="165"/>
      <c r="E135" s="165"/>
      <c r="F135" s="89"/>
      <c r="G135" s="165"/>
      <c r="H135" s="436"/>
      <c r="I135" s="437"/>
      <c r="J135" s="463"/>
      <c r="K135" s="464">
        <v>6.84</v>
      </c>
      <c r="L135" s="464">
        <v>9.75</v>
      </c>
      <c r="M135" s="464">
        <v>8.7799999999999994</v>
      </c>
      <c r="N135" s="464">
        <v>8.7799999999999994</v>
      </c>
      <c r="O135" s="431"/>
      <c r="P135" s="431"/>
      <c r="Q135" s="431"/>
      <c r="R135" s="431"/>
      <c r="S135" s="431"/>
      <c r="T135" s="431"/>
      <c r="U135" s="431"/>
      <c r="V135" s="431"/>
      <c r="W135" s="431"/>
      <c r="X135" s="431"/>
      <c r="Y135" s="431"/>
      <c r="Z135" s="431"/>
      <c r="AA135" s="431"/>
      <c r="AB135" s="431"/>
      <c r="AC135" s="89"/>
      <c r="AD135" s="658"/>
      <c r="AK135" s="94"/>
    </row>
    <row r="136" spans="3:37" ht="12.75" hidden="1" customHeight="1" outlineLevel="1">
      <c r="C136" s="655" t="s">
        <v>330</v>
      </c>
      <c r="D136" s="165"/>
      <c r="E136" s="165"/>
      <c r="F136" s="89"/>
      <c r="G136" s="165"/>
      <c r="H136" s="436"/>
      <c r="I136" s="437"/>
      <c r="J136" s="463"/>
      <c r="K136" s="464">
        <f>143.7+37.3</f>
        <v>181</v>
      </c>
      <c r="L136" s="464"/>
      <c r="M136" s="431">
        <f>M133*8.78</f>
        <v>90.9</v>
      </c>
      <c r="N136" s="431">
        <f>N133*8.78</f>
        <v>0</v>
      </c>
      <c r="O136" s="431"/>
      <c r="P136" s="431">
        <v>25</v>
      </c>
      <c r="Q136" s="431"/>
      <c r="R136" s="431"/>
      <c r="S136" s="431">
        <v>1</v>
      </c>
      <c r="T136" s="431"/>
      <c r="U136" s="431"/>
      <c r="V136" s="431"/>
      <c r="W136" s="431"/>
      <c r="X136" s="431"/>
      <c r="Y136" s="431"/>
      <c r="Z136" s="431"/>
      <c r="AA136" s="431"/>
      <c r="AB136" s="431"/>
      <c r="AC136" s="89"/>
      <c r="AD136" s="658"/>
      <c r="AK136" s="94"/>
    </row>
    <row r="137" spans="3:37" ht="12.75" hidden="1" customHeight="1" outlineLevel="1">
      <c r="C137" s="655" t="s">
        <v>286</v>
      </c>
      <c r="D137" s="165"/>
      <c r="E137" s="165"/>
      <c r="F137" s="89"/>
      <c r="G137" s="165"/>
      <c r="H137" s="436"/>
      <c r="I137" s="437"/>
      <c r="J137" s="463"/>
      <c r="K137" s="464">
        <f>K136/K138</f>
        <v>8.7864077669902922</v>
      </c>
      <c r="L137" s="464"/>
      <c r="M137" s="464"/>
      <c r="N137" s="431"/>
      <c r="O137" s="431"/>
      <c r="P137" s="431"/>
      <c r="Q137" s="431"/>
      <c r="R137" s="431"/>
      <c r="S137" s="431"/>
      <c r="T137" s="431"/>
      <c r="U137" s="431"/>
      <c r="V137" s="431"/>
      <c r="W137" s="431"/>
      <c r="X137" s="431"/>
      <c r="Y137" s="431"/>
      <c r="Z137" s="431"/>
      <c r="AA137" s="431"/>
      <c r="AB137" s="431"/>
      <c r="AC137" s="89"/>
      <c r="AD137" s="658"/>
      <c r="AK137" s="94"/>
    </row>
    <row r="138" spans="3:37" ht="12.75" hidden="1" customHeight="1" outlineLevel="1">
      <c r="C138" s="655" t="s">
        <v>331</v>
      </c>
      <c r="D138" s="165"/>
      <c r="E138" s="165"/>
      <c r="F138" s="89"/>
      <c r="G138" s="165"/>
      <c r="H138" s="436"/>
      <c r="I138" s="437"/>
      <c r="J138" s="463"/>
      <c r="K138" s="598">
        <f>16.4+4.2</f>
        <v>20.599999999999998</v>
      </c>
      <c r="L138" s="464"/>
      <c r="M138" s="464"/>
      <c r="N138" s="431"/>
      <c r="O138" s="431"/>
      <c r="P138" s="431"/>
      <c r="Q138" s="431"/>
      <c r="R138" s="431"/>
      <c r="S138" s="431"/>
      <c r="T138" s="431"/>
      <c r="U138" s="431"/>
      <c r="V138" s="431"/>
      <c r="W138" s="431"/>
      <c r="X138" s="431"/>
      <c r="Y138" s="431"/>
      <c r="Z138" s="431"/>
      <c r="AA138" s="431"/>
      <c r="AB138" s="431"/>
      <c r="AC138" s="89"/>
      <c r="AD138" s="658"/>
      <c r="AK138" s="94"/>
    </row>
    <row r="139" spans="3:37" ht="12.75" hidden="1" customHeight="1" outlineLevel="1">
      <c r="C139" s="655"/>
      <c r="D139" s="165"/>
      <c r="E139" s="165"/>
      <c r="F139" s="89"/>
      <c r="G139" s="165"/>
      <c r="H139" s="436"/>
      <c r="I139" s="437"/>
      <c r="J139" s="463"/>
      <c r="K139" s="598"/>
      <c r="L139" s="464"/>
      <c r="M139" s="464"/>
      <c r="N139" s="431"/>
      <c r="O139" s="431"/>
      <c r="P139" s="431"/>
      <c r="Q139" s="431"/>
      <c r="R139" s="431"/>
      <c r="S139" s="431"/>
      <c r="T139" s="431"/>
      <c r="U139" s="431"/>
      <c r="V139" s="431"/>
      <c r="W139" s="431"/>
      <c r="X139" s="431"/>
      <c r="Y139" s="431"/>
      <c r="Z139" s="431"/>
      <c r="AA139" s="431"/>
      <c r="AB139" s="431"/>
      <c r="AC139" s="89"/>
      <c r="AD139" s="658"/>
      <c r="AK139" s="94"/>
    </row>
    <row r="140" spans="3:37" ht="12.75" hidden="1" customHeight="1" outlineLevel="1">
      <c r="C140" s="655" t="s">
        <v>235</v>
      </c>
      <c r="D140" s="97"/>
      <c r="E140" s="97"/>
      <c r="F140" s="350">
        <v>0</v>
      </c>
      <c r="G140" s="350">
        <v>0</v>
      </c>
      <c r="H140" s="350">
        <f t="shared" ref="H140:P140" si="155">+H132*H117</f>
        <v>0</v>
      </c>
      <c r="I140" s="342">
        <f t="shared" si="155"/>
        <v>0</v>
      </c>
      <c r="J140" s="342">
        <f t="shared" si="155"/>
        <v>0</v>
      </c>
      <c r="K140" s="342">
        <f>+K132*K117</f>
        <v>0</v>
      </c>
      <c r="L140" s="342">
        <f t="shared" si="155"/>
        <v>0</v>
      </c>
      <c r="M140" s="342">
        <f t="shared" si="155"/>
        <v>0</v>
      </c>
      <c r="N140" s="342">
        <f t="shared" si="155"/>
        <v>0</v>
      </c>
      <c r="O140" s="342">
        <v>649.38699999999994</v>
      </c>
      <c r="P140" s="342">
        <f t="shared" si="155"/>
        <v>0</v>
      </c>
      <c r="Q140" s="342">
        <f>+Q132*Q117</f>
        <v>0</v>
      </c>
      <c r="R140" s="342">
        <f>+R132*R117</f>
        <v>0</v>
      </c>
      <c r="S140" s="342">
        <f>+S132*S117</f>
        <v>0</v>
      </c>
      <c r="T140" s="342">
        <f t="shared" ref="T140:AB140" si="156">+T132*T117</f>
        <v>0</v>
      </c>
      <c r="U140" s="342">
        <f t="shared" si="156"/>
        <v>0</v>
      </c>
      <c r="V140" s="342">
        <f t="shared" si="156"/>
        <v>0</v>
      </c>
      <c r="W140" s="342">
        <f t="shared" si="156"/>
        <v>0</v>
      </c>
      <c r="X140" s="342">
        <f t="shared" si="156"/>
        <v>0</v>
      </c>
      <c r="Y140" s="342">
        <f t="shared" si="156"/>
        <v>0</v>
      </c>
      <c r="Z140" s="342">
        <f t="shared" si="156"/>
        <v>0</v>
      </c>
      <c r="AA140" s="342">
        <f t="shared" si="156"/>
        <v>0</v>
      </c>
      <c r="AB140" s="342">
        <f t="shared" si="156"/>
        <v>0</v>
      </c>
      <c r="AC140" s="167"/>
      <c r="AD140" s="658"/>
      <c r="AK140" s="94"/>
    </row>
    <row r="141" spans="3:37" ht="12.75" hidden="1" customHeight="1" outlineLevel="1">
      <c r="C141" s="655" t="s">
        <v>236</v>
      </c>
      <c r="D141" s="110"/>
      <c r="E141" s="110"/>
      <c r="F141" s="435">
        <v>0</v>
      </c>
      <c r="G141" s="435">
        <v>0</v>
      </c>
      <c r="H141" s="351">
        <v>0</v>
      </c>
      <c r="I141" s="351">
        <v>0</v>
      </c>
      <c r="J141" s="351">
        <v>0</v>
      </c>
      <c r="K141" s="351">
        <v>0</v>
      </c>
      <c r="L141" s="351">
        <v>0</v>
      </c>
      <c r="M141" s="351">
        <v>0</v>
      </c>
      <c r="N141" s="351">
        <v>0</v>
      </c>
      <c r="O141" s="351">
        <v>0</v>
      </c>
      <c r="P141" s="351">
        <v>0</v>
      </c>
      <c r="Q141" s="351">
        <v>0</v>
      </c>
      <c r="R141" s="351">
        <v>0</v>
      </c>
      <c r="S141" s="351">
        <v>0</v>
      </c>
      <c r="T141" s="351">
        <v>0</v>
      </c>
      <c r="U141" s="351">
        <v>0</v>
      </c>
      <c r="V141" s="351">
        <v>0</v>
      </c>
      <c r="W141" s="351">
        <v>0</v>
      </c>
      <c r="X141" s="351">
        <v>0</v>
      </c>
      <c r="Y141" s="351">
        <v>0</v>
      </c>
      <c r="Z141" s="351">
        <v>0</v>
      </c>
      <c r="AA141" s="351">
        <v>0</v>
      </c>
      <c r="AB141" s="351">
        <v>0</v>
      </c>
      <c r="AC141" s="110"/>
      <c r="AD141" s="658"/>
      <c r="AK141" s="94"/>
    </row>
    <row r="142" spans="3:37" ht="12.75" hidden="1" customHeight="1" outlineLevel="1">
      <c r="C142" s="655" t="s">
        <v>237</v>
      </c>
      <c r="D142" s="97"/>
      <c r="E142" s="97"/>
      <c r="F142" s="350">
        <f t="shared" ref="F142:S142" si="157">F141*F117</f>
        <v>0</v>
      </c>
      <c r="G142" s="342">
        <f t="shared" si="157"/>
        <v>0</v>
      </c>
      <c r="H142" s="342">
        <f t="shared" si="157"/>
        <v>0</v>
      </c>
      <c r="I142" s="342">
        <f t="shared" si="157"/>
        <v>0</v>
      </c>
      <c r="J142" s="342">
        <f t="shared" si="157"/>
        <v>0</v>
      </c>
      <c r="K142" s="342">
        <f t="shared" si="157"/>
        <v>0</v>
      </c>
      <c r="L142" s="342">
        <f t="shared" si="157"/>
        <v>0</v>
      </c>
      <c r="M142" s="342">
        <f t="shared" si="157"/>
        <v>0</v>
      </c>
      <c r="N142" s="342">
        <f t="shared" si="157"/>
        <v>0</v>
      </c>
      <c r="O142" s="342">
        <f t="shared" si="157"/>
        <v>0</v>
      </c>
      <c r="P142" s="342">
        <f t="shared" si="157"/>
        <v>0</v>
      </c>
      <c r="Q142" s="342">
        <f t="shared" si="157"/>
        <v>0</v>
      </c>
      <c r="R142" s="342">
        <f t="shared" si="157"/>
        <v>0</v>
      </c>
      <c r="S142" s="342">
        <f t="shared" si="157"/>
        <v>0</v>
      </c>
      <c r="T142" s="342">
        <f t="shared" ref="T142:AB142" si="158">T141*T117</f>
        <v>0</v>
      </c>
      <c r="U142" s="342">
        <f t="shared" si="158"/>
        <v>0</v>
      </c>
      <c r="V142" s="342">
        <f t="shared" si="158"/>
        <v>0</v>
      </c>
      <c r="W142" s="342">
        <f t="shared" si="158"/>
        <v>0</v>
      </c>
      <c r="X142" s="342">
        <f t="shared" si="158"/>
        <v>0</v>
      </c>
      <c r="Y142" s="342">
        <f t="shared" si="158"/>
        <v>0</v>
      </c>
      <c r="Z142" s="342">
        <f t="shared" si="158"/>
        <v>0</v>
      </c>
      <c r="AA142" s="342">
        <f t="shared" si="158"/>
        <v>0</v>
      </c>
      <c r="AB142" s="342">
        <f t="shared" si="158"/>
        <v>0</v>
      </c>
      <c r="AC142" s="97"/>
      <c r="AD142" s="658"/>
      <c r="AK142" s="94"/>
    </row>
    <row r="143" spans="3:37" ht="12.75" hidden="1" customHeight="1" outlineLevel="1">
      <c r="C143" s="655" t="s">
        <v>299</v>
      </c>
      <c r="D143" s="97"/>
      <c r="E143" s="97"/>
      <c r="F143" s="350"/>
      <c r="G143" s="342">
        <v>182.405</v>
      </c>
      <c r="H143" s="342"/>
      <c r="I143" s="342"/>
      <c r="J143" s="342"/>
      <c r="K143" s="342"/>
      <c r="L143" s="342"/>
      <c r="M143" s="342"/>
      <c r="N143" s="342"/>
      <c r="O143" s="342"/>
      <c r="P143" s="342"/>
      <c r="Q143" s="342"/>
      <c r="R143" s="342"/>
      <c r="S143" s="342"/>
      <c r="T143" s="342"/>
      <c r="U143" s="342"/>
      <c r="V143" s="342"/>
      <c r="W143" s="342"/>
      <c r="X143" s="342"/>
      <c r="Y143" s="342"/>
      <c r="Z143" s="342"/>
      <c r="AA143" s="342"/>
      <c r="AB143" s="342"/>
      <c r="AC143" s="97"/>
      <c r="AD143" s="658"/>
      <c r="AK143" s="94"/>
    </row>
    <row r="144" spans="3:37" ht="12.75" hidden="1" customHeight="1" outlineLevel="1">
      <c r="C144" s="655" t="s">
        <v>143</v>
      </c>
      <c r="D144" s="167"/>
      <c r="E144" s="167"/>
      <c r="F144" s="342">
        <f>+'Income Statement'!F75-'Income Statement'!F77</f>
        <v>15</v>
      </c>
      <c r="G144" s="342">
        <v>9.98</v>
      </c>
      <c r="H144" s="587">
        <v>14.856</v>
      </c>
      <c r="I144" s="587">
        <v>28.983000000000001</v>
      </c>
      <c r="J144" s="597">
        <v>38.493000000000002</v>
      </c>
      <c r="K144" s="587">
        <v>38.398000000000003</v>
      </c>
      <c r="L144" s="587">
        <v>62.155999999999999</v>
      </c>
      <c r="M144" s="587">
        <f>+'Income Statement'!Q75-'Income Statement'!Q77</f>
        <v>70.800000000000011</v>
      </c>
      <c r="N144" s="587">
        <f>+'Income Statement'!V75-'Income Statement'!V77</f>
        <v>96</v>
      </c>
      <c r="O144" s="587">
        <f>+'Income Statement'!AA75-'Income Statement'!AA77</f>
        <v>134</v>
      </c>
      <c r="P144" s="587">
        <f>+'Income Statement'!AF75-'Income Statement'!AF77</f>
        <v>160</v>
      </c>
      <c r="Q144" s="587">
        <f>+'Income Statement'!AG75-'Income Statement'!AG77</f>
        <v>239.79770330830706</v>
      </c>
      <c r="R144" s="587">
        <f>+'Income Statement'!AH75-'Income Statement'!AH77</f>
        <v>252.50735996060138</v>
      </c>
      <c r="S144" s="587">
        <f>+'Income Statement'!AI75-'Income Statement'!AI77</f>
        <v>261.43177416832822</v>
      </c>
      <c r="T144" s="587">
        <f>+'Income Statement'!AJ75-'Income Statement'!AJ77</f>
        <v>267.56631260421227</v>
      </c>
      <c r="U144" s="587">
        <f>+'Income Statement'!AK75-'Income Statement'!AK77</f>
        <v>234.55050619536289</v>
      </c>
      <c r="V144" s="587">
        <f>+'Income Statement'!AL75-'Income Statement'!AL77</f>
        <v>240.18868791728858</v>
      </c>
      <c r="W144" s="587">
        <f>+'Income Statement'!AM75-'Income Statement'!AM77</f>
        <v>245.61055109087846</v>
      </c>
      <c r="X144" s="587">
        <f>+'Income Statement'!AN75-'Income Statement'!AN77</f>
        <v>247.70065524200859</v>
      </c>
      <c r="Y144" s="587">
        <f>+'Income Statement'!AO75-'Income Statement'!AO77</f>
        <v>281.90167471126966</v>
      </c>
      <c r="Z144" s="587">
        <f>+'Income Statement'!AP75-'Income Statement'!AP77</f>
        <v>280.28947600413881</v>
      </c>
      <c r="AA144" s="587">
        <f>+'Income Statement'!AQ75-'Income Statement'!AQ77</f>
        <v>281.10752888055549</v>
      </c>
      <c r="AB144" s="587">
        <f>+'Income Statement'!AR75-'Income Statement'!AR77</f>
        <v>283.91814503147441</v>
      </c>
      <c r="AC144" s="167"/>
      <c r="AD144" s="656"/>
      <c r="AK144" s="93"/>
    </row>
    <row r="145" spans="3:37" ht="12.75" hidden="1" customHeight="1" outlineLevel="1">
      <c r="C145" s="655"/>
      <c r="D145" s="167"/>
      <c r="E145" s="167"/>
      <c r="F145" s="342"/>
      <c r="G145" s="342"/>
      <c r="H145" s="587"/>
      <c r="I145" s="587"/>
      <c r="J145" s="597"/>
      <c r="K145" s="587"/>
      <c r="L145" s="587"/>
      <c r="M145" s="587"/>
      <c r="N145" s="587"/>
      <c r="O145" s="587"/>
      <c r="P145" s="587"/>
      <c r="Q145" s="587"/>
      <c r="R145" s="587"/>
      <c r="S145" s="587"/>
      <c r="T145" s="587"/>
      <c r="U145" s="587"/>
      <c r="V145" s="587"/>
      <c r="W145" s="587"/>
      <c r="X145" s="587"/>
      <c r="Y145" s="587"/>
      <c r="Z145" s="587"/>
      <c r="AA145" s="587"/>
      <c r="AB145" s="587"/>
      <c r="AC145" s="167"/>
      <c r="AD145" s="656"/>
      <c r="AK145" s="93"/>
    </row>
    <row r="146" spans="3:37" s="93" customFormat="1" ht="12.75" hidden="1" customHeight="1" outlineLevel="1">
      <c r="C146" s="665" t="s">
        <v>238</v>
      </c>
      <c r="D146" s="276"/>
      <c r="E146" s="276"/>
      <c r="F146" s="647">
        <f>F140-F142+F128+F127+F144</f>
        <v>16.592560809999998</v>
      </c>
      <c r="G146" s="647">
        <f>G140-G142+G128+G127+G144+G134+G143</f>
        <v>326.76</v>
      </c>
      <c r="H146" s="647">
        <f>H140-H142+H128+H127+H144+H134</f>
        <v>44.302999999999997</v>
      </c>
      <c r="I146" s="647">
        <f>I140-I142+I128+I127+I144+I134</f>
        <v>48.448</v>
      </c>
      <c r="J146" s="647">
        <f>J140-J142+J128+J127+J144+J134</f>
        <v>86.199000000000012</v>
      </c>
      <c r="K146" s="647">
        <f t="shared" ref="K146:S146" si="159">K140-K142+K128+K127+K144+K134+K136</f>
        <v>292.548</v>
      </c>
      <c r="L146" s="647">
        <f t="shared" si="159"/>
        <v>154.99299999999999</v>
      </c>
      <c r="M146" s="647">
        <f t="shared" si="159"/>
        <v>253.95384451435518</v>
      </c>
      <c r="N146" s="647">
        <f t="shared" si="159"/>
        <v>147.67912664957026</v>
      </c>
      <c r="O146" s="647">
        <f t="shared" si="159"/>
        <v>850.29054420164994</v>
      </c>
      <c r="P146" s="647">
        <f t="shared" si="159"/>
        <v>244.26916326154782</v>
      </c>
      <c r="Q146" s="647">
        <f t="shared" si="159"/>
        <v>291.53911264375927</v>
      </c>
      <c r="R146" s="647">
        <f t="shared" si="159"/>
        <v>315.66355403465445</v>
      </c>
      <c r="S146" s="647">
        <f t="shared" si="159"/>
        <v>339.52099344451199</v>
      </c>
      <c r="T146" s="647">
        <f t="shared" ref="T146:AB146" si="160">T140-T142+T128+T127+T144+T134+T136</f>
        <v>362.97735336814776</v>
      </c>
      <c r="U146" s="647">
        <f t="shared" si="160"/>
        <v>389.64167226526411</v>
      </c>
      <c r="V146" s="647">
        <f t="shared" si="160"/>
        <v>427.48194795133134</v>
      </c>
      <c r="W146" s="647">
        <f t="shared" si="160"/>
        <v>471.83651688595251</v>
      </c>
      <c r="X146" s="647">
        <f t="shared" si="160"/>
        <v>521.00546649669241</v>
      </c>
      <c r="Y146" s="647">
        <f t="shared" si="160"/>
        <v>536.85449928961316</v>
      </c>
      <c r="Z146" s="647">
        <f t="shared" si="160"/>
        <v>591.48799718097121</v>
      </c>
      <c r="AA146" s="647">
        <f t="shared" si="160"/>
        <v>660.96023199461092</v>
      </c>
      <c r="AB146" s="647">
        <f t="shared" si="160"/>
        <v>747.57097833355147</v>
      </c>
      <c r="AC146" s="276"/>
      <c r="AD146" s="666"/>
      <c r="AE146"/>
      <c r="AF146"/>
      <c r="AG146"/>
      <c r="AH146"/>
      <c r="AI146"/>
      <c r="AJ146"/>
      <c r="AK146" s="111"/>
    </row>
    <row r="147" spans="3:37" s="93" customFormat="1" ht="12.75" hidden="1" customHeight="1" outlineLevel="1">
      <c r="C147" s="665"/>
      <c r="D147" s="276"/>
      <c r="E147" s="276"/>
      <c r="F147" s="647"/>
      <c r="G147" s="647"/>
      <c r="H147" s="647"/>
      <c r="I147" s="647"/>
      <c r="J147" s="647"/>
      <c r="K147" s="647"/>
      <c r="L147" s="647"/>
      <c r="M147" s="647"/>
      <c r="N147" s="647"/>
      <c r="O147" s="647"/>
      <c r="P147" s="647"/>
      <c r="Q147" s="647"/>
      <c r="R147" s="647"/>
      <c r="S147" s="647"/>
      <c r="T147" s="647"/>
      <c r="U147" s="647"/>
      <c r="V147" s="647"/>
      <c r="W147" s="647"/>
      <c r="X147" s="647"/>
      <c r="Y147" s="647"/>
      <c r="Z147" s="647"/>
      <c r="AA147" s="647"/>
      <c r="AB147" s="647"/>
      <c r="AC147" s="276"/>
      <c r="AD147" s="666"/>
      <c r="AE147"/>
      <c r="AF147"/>
      <c r="AG147"/>
      <c r="AH147"/>
      <c r="AI147"/>
      <c r="AJ147"/>
      <c r="AK147" s="111"/>
    </row>
    <row r="148" spans="3:37" ht="12.75" hidden="1" customHeight="1" outlineLevel="1">
      <c r="C148" s="655" t="s">
        <v>198</v>
      </c>
      <c r="D148" s="256"/>
      <c r="E148" s="642">
        <f t="shared" ref="E148:S148" si="161">D149</f>
        <v>83.972725999999994</v>
      </c>
      <c r="F148" s="642">
        <f t="shared" si="161"/>
        <v>84.533068999999998</v>
      </c>
      <c r="G148" s="642">
        <f t="shared" si="161"/>
        <v>97.283000000000001</v>
      </c>
      <c r="H148" s="642">
        <f t="shared" si="161"/>
        <v>118.759</v>
      </c>
      <c r="I148" s="642">
        <f t="shared" si="161"/>
        <v>122.96599999999999</v>
      </c>
      <c r="J148" s="642">
        <f t="shared" si="161"/>
        <v>126.38800000000001</v>
      </c>
      <c r="K148" s="642">
        <f>J149</f>
        <v>131.71100000000001</v>
      </c>
      <c r="L148" s="642">
        <f t="shared" si="161"/>
        <v>161.91399999999999</v>
      </c>
      <c r="M148" s="642">
        <f t="shared" si="161"/>
        <v>169.92400000000001</v>
      </c>
      <c r="N148" s="642">
        <f>M149</f>
        <v>187.199761</v>
      </c>
      <c r="O148" s="642">
        <f t="shared" si="161"/>
        <v>189.40838099999999</v>
      </c>
      <c r="P148" s="642">
        <f t="shared" si="161"/>
        <v>210.92952399999999</v>
      </c>
      <c r="Q148" s="642">
        <f t="shared" si="161"/>
        <v>213.75536556244754</v>
      </c>
      <c r="R148" s="642">
        <f t="shared" si="161"/>
        <v>215.4896614032296</v>
      </c>
      <c r="S148" s="642">
        <f t="shared" si="161"/>
        <v>217.93489108494353</v>
      </c>
      <c r="T148" s="642">
        <f t="shared" ref="T148:AB148" si="162">S149</f>
        <v>219.94955289801962</v>
      </c>
      <c r="U148" s="642">
        <f t="shared" si="162"/>
        <v>222.12096193393083</v>
      </c>
      <c r="V148" s="642">
        <f t="shared" si="162"/>
        <v>224.46131363496281</v>
      </c>
      <c r="W148" s="642">
        <f t="shared" si="162"/>
        <v>226.9837522883623</v>
      </c>
      <c r="X148" s="642">
        <f t="shared" si="162"/>
        <v>229.70244484955219</v>
      </c>
      <c r="Y148" s="642">
        <f t="shared" si="162"/>
        <v>232.63266050903241</v>
      </c>
      <c r="Z148" s="642">
        <f t="shared" si="162"/>
        <v>235.7908564498434</v>
      </c>
      <c r="AA148" s="642">
        <f t="shared" si="162"/>
        <v>239.19477027723875</v>
      </c>
      <c r="AB148" s="642">
        <f t="shared" si="162"/>
        <v>242.86351963968579</v>
      </c>
      <c r="AC148" s="256"/>
      <c r="AD148" s="658"/>
      <c r="AK148" s="94"/>
    </row>
    <row r="149" spans="3:37" ht="12.75" hidden="1" customHeight="1" outlineLevel="1">
      <c r="C149" s="655" t="s">
        <v>199</v>
      </c>
      <c r="D149" s="256">
        <v>83.972725999999994</v>
      </c>
      <c r="E149" s="256">
        <v>84.533068999999998</v>
      </c>
      <c r="F149" s="642">
        <v>97.283000000000001</v>
      </c>
      <c r="G149" s="642">
        <v>118.759</v>
      </c>
      <c r="H149" s="642">
        <v>122.96599999999999</v>
      </c>
      <c r="I149" s="642">
        <v>126.38800000000001</v>
      </c>
      <c r="J149" s="642">
        <v>131.71100000000001</v>
      </c>
      <c r="K149" s="642">
        <v>161.91399999999999</v>
      </c>
      <c r="L149" s="642">
        <v>169.92400000000001</v>
      </c>
      <c r="M149" s="642">
        <v>187.199761</v>
      </c>
      <c r="N149" s="642">
        <v>189.40838099999999</v>
      </c>
      <c r="O149" s="642">
        <f t="shared" ref="O149:S149" si="163">O148+O132+O123-O141+O133</f>
        <v>210.92952399999999</v>
      </c>
      <c r="P149" s="642">
        <f t="shared" si="163"/>
        <v>213.75536556244754</v>
      </c>
      <c r="Q149" s="642">
        <f t="shared" si="163"/>
        <v>215.4896614032296</v>
      </c>
      <c r="R149" s="642">
        <f t="shared" si="163"/>
        <v>217.93489108494353</v>
      </c>
      <c r="S149" s="642">
        <f t="shared" si="163"/>
        <v>219.94955289801962</v>
      </c>
      <c r="T149" s="642">
        <f t="shared" ref="T149:AB149" si="164">T148+T132+T123-T141+T133</f>
        <v>222.12096193393083</v>
      </c>
      <c r="U149" s="642">
        <f t="shared" si="164"/>
        <v>224.46131363496281</v>
      </c>
      <c r="V149" s="642">
        <f t="shared" si="164"/>
        <v>226.9837522883623</v>
      </c>
      <c r="W149" s="642">
        <f t="shared" si="164"/>
        <v>229.70244484955219</v>
      </c>
      <c r="X149" s="642">
        <f t="shared" si="164"/>
        <v>232.63266050903241</v>
      </c>
      <c r="Y149" s="642">
        <f t="shared" si="164"/>
        <v>235.7908564498434</v>
      </c>
      <c r="Z149" s="642">
        <f t="shared" si="164"/>
        <v>239.19477027723875</v>
      </c>
      <c r="AA149" s="642">
        <f t="shared" si="164"/>
        <v>242.86351963968579</v>
      </c>
      <c r="AB149" s="642">
        <f t="shared" si="164"/>
        <v>246.81770960070338</v>
      </c>
      <c r="AC149" s="256"/>
      <c r="AD149" s="658"/>
      <c r="AK149" s="94" t="b">
        <v>0</v>
      </c>
    </row>
    <row r="150" spans="3:37" ht="12.75" hidden="1" customHeight="1" outlineLevel="1">
      <c r="C150" s="655" t="s">
        <v>200</v>
      </c>
      <c r="D150" s="256">
        <v>83.799000000000007</v>
      </c>
      <c r="E150" s="256">
        <v>84.185000000000002</v>
      </c>
      <c r="F150" s="642">
        <f>'Income Statement'!F67</f>
        <v>89.785250000000005</v>
      </c>
      <c r="G150" s="642">
        <f>'Income Statement'!G67</f>
        <v>102.943</v>
      </c>
      <c r="H150" s="642">
        <f>'Income Statement'!H67</f>
        <v>121.628</v>
      </c>
      <c r="I150" s="642">
        <f>'Income Statement'!I67</f>
        <v>125.36125000000001</v>
      </c>
      <c r="J150" s="642">
        <f>'Income Statement'!J67</f>
        <v>129.74700000000001</v>
      </c>
      <c r="K150" s="642">
        <f>'Income Statement'!K67</f>
        <v>148.40299999999999</v>
      </c>
      <c r="L150" s="642">
        <f>'Income Statement'!L67</f>
        <v>167.947</v>
      </c>
      <c r="M150" s="642">
        <f t="shared" ref="M150:S150" si="165">AVERAGE(M148:M149)</f>
        <v>178.5618805</v>
      </c>
      <c r="N150" s="642">
        <f t="shared" si="165"/>
        <v>188.30407099999999</v>
      </c>
      <c r="O150" s="642">
        <f t="shared" si="165"/>
        <v>200.16895249999999</v>
      </c>
      <c r="P150" s="642">
        <f t="shared" si="165"/>
        <v>212.34244478122378</v>
      </c>
      <c r="Q150" s="642">
        <f t="shared" si="165"/>
        <v>214.62251348283857</v>
      </c>
      <c r="R150" s="642">
        <f t="shared" si="165"/>
        <v>216.71227624408658</v>
      </c>
      <c r="S150" s="642">
        <f t="shared" si="165"/>
        <v>218.94222199148157</v>
      </c>
      <c r="T150" s="642">
        <f t="shared" ref="T150:AB150" si="166">AVERAGE(T148:T149)</f>
        <v>221.03525741597522</v>
      </c>
      <c r="U150" s="642">
        <f t="shared" si="166"/>
        <v>223.29113778444682</v>
      </c>
      <c r="V150" s="642">
        <f t="shared" si="166"/>
        <v>225.72253296166255</v>
      </c>
      <c r="W150" s="642">
        <f t="shared" si="166"/>
        <v>228.34309856895726</v>
      </c>
      <c r="X150" s="642">
        <f t="shared" si="166"/>
        <v>231.1675526792923</v>
      </c>
      <c r="Y150" s="642">
        <f t="shared" si="166"/>
        <v>234.21175847943789</v>
      </c>
      <c r="Z150" s="642">
        <f t="shared" si="166"/>
        <v>237.49281336354107</v>
      </c>
      <c r="AA150" s="642">
        <f t="shared" si="166"/>
        <v>241.02914495846227</v>
      </c>
      <c r="AB150" s="642">
        <f t="shared" si="166"/>
        <v>244.84061462019457</v>
      </c>
      <c r="AC150" s="256"/>
      <c r="AD150" s="658"/>
      <c r="AK150" s="94"/>
    </row>
    <row r="151" spans="3:37" ht="12.75" hidden="1" customHeight="1" outlineLevel="1">
      <c r="C151" s="655" t="s">
        <v>201</v>
      </c>
      <c r="D151" s="256">
        <v>83.799000000000007</v>
      </c>
      <c r="E151" s="256">
        <v>84.185000000000002</v>
      </c>
      <c r="F151" s="642">
        <f>'Income Statement'!F68</f>
        <v>89.785250000000005</v>
      </c>
      <c r="G151" s="642">
        <f>'Income Statement'!G68</f>
        <v>102.943</v>
      </c>
      <c r="H151" s="642">
        <f>'Income Statement'!H68</f>
        <v>121.628</v>
      </c>
      <c r="I151" s="642">
        <f>'Income Statement'!I68</f>
        <v>125.36125000000001</v>
      </c>
      <c r="J151" s="642">
        <f>'Income Statement'!J68</f>
        <v>129.74700000000001</v>
      </c>
      <c r="K151" s="642">
        <f>'Income Statement'!K68</f>
        <v>148.40299999999999</v>
      </c>
      <c r="L151" s="642">
        <f>'Income Statement'!L68</f>
        <v>167.947</v>
      </c>
      <c r="M151" s="642">
        <f t="shared" ref="M151:S151" si="167">+M150+M119-((M119*M125)/M117)</f>
        <v>185.47222095650486</v>
      </c>
      <c r="N151" s="642">
        <f>+N150+N119-((N119*N125)/N117)</f>
        <v>194.34465841785712</v>
      </c>
      <c r="O151" s="642">
        <f t="shared" si="167"/>
        <v>205.70225712179985</v>
      </c>
      <c r="P151" s="642">
        <f t="shared" si="167"/>
        <v>216.98962372158553</v>
      </c>
      <c r="Q151" s="642">
        <f t="shared" si="167"/>
        <v>219.0257563512609</v>
      </c>
      <c r="R151" s="642">
        <f t="shared" si="167"/>
        <v>221.40707114330485</v>
      </c>
      <c r="S151" s="642">
        <f t="shared" si="167"/>
        <v>223.94565680838119</v>
      </c>
      <c r="T151" s="642">
        <f t="shared" ref="T151:AB151" si="168">+T150+T119-((T119*T125)/T117)</f>
        <v>223.60040816657258</v>
      </c>
      <c r="U151" s="642">
        <f t="shared" si="168"/>
        <v>226.02230613066646</v>
      </c>
      <c r="V151" s="642">
        <f t="shared" si="168"/>
        <v>228.62895590321565</v>
      </c>
      <c r="W151" s="642">
        <f t="shared" si="168"/>
        <v>231.43432830360351</v>
      </c>
      <c r="X151" s="642">
        <f t="shared" si="168"/>
        <v>234.45343688676869</v>
      </c>
      <c r="Y151" s="642">
        <f t="shared" si="168"/>
        <v>237.70241422066536</v>
      </c>
      <c r="Z151" s="642">
        <f t="shared" si="168"/>
        <v>241.19859356648513</v>
      </c>
      <c r="AA151" s="642">
        <f t="shared" si="168"/>
        <v>244.96059632367485</v>
      </c>
      <c r="AB151" s="642">
        <f t="shared" si="168"/>
        <v>249.00842562355717</v>
      </c>
      <c r="AC151" s="256"/>
      <c r="AD151" s="658"/>
      <c r="AK151" s="94"/>
    </row>
    <row r="152" spans="3:37" ht="12.75" hidden="1" customHeight="1" outlineLevel="1">
      <c r="C152" s="655"/>
      <c r="D152" s="256"/>
      <c r="E152" s="256"/>
      <c r="F152" s="642"/>
      <c r="G152" s="642"/>
      <c r="H152" s="642"/>
      <c r="I152" s="642"/>
      <c r="J152" s="642"/>
      <c r="K152" s="642"/>
      <c r="L152" s="642"/>
      <c r="M152" s="642"/>
      <c r="N152" s="642"/>
      <c r="O152" s="642"/>
      <c r="P152" s="642"/>
      <c r="Q152" s="642"/>
      <c r="R152" s="642"/>
      <c r="S152" s="642"/>
      <c r="T152" s="642"/>
      <c r="U152" s="642"/>
      <c r="V152" s="642"/>
      <c r="W152" s="642"/>
      <c r="X152" s="642"/>
      <c r="Y152" s="642"/>
      <c r="Z152" s="642"/>
      <c r="AA152" s="642"/>
      <c r="AB152" s="642"/>
      <c r="AC152" s="256"/>
      <c r="AD152" s="658"/>
      <c r="AK152" s="94"/>
    </row>
    <row r="153" spans="3:37" ht="12.75" hidden="1" customHeight="1" outlineLevel="1">
      <c r="C153" s="667"/>
      <c r="D153" s="111"/>
      <c r="E153" s="111"/>
      <c r="F153" s="352"/>
      <c r="G153" s="352"/>
      <c r="H153" s="352"/>
      <c r="I153" s="646"/>
      <c r="J153" s="646"/>
      <c r="K153" s="646"/>
      <c r="L153" s="646"/>
      <c r="M153" s="646"/>
      <c r="N153" s="646"/>
      <c r="O153" s="646"/>
      <c r="P153" s="646"/>
      <c r="Q153" s="646"/>
      <c r="R153" s="646"/>
      <c r="S153" s="646"/>
      <c r="T153" s="646"/>
      <c r="U153" s="646"/>
      <c r="V153" s="646"/>
      <c r="W153" s="646"/>
      <c r="X153" s="646"/>
      <c r="Y153" s="646"/>
      <c r="Z153" s="646"/>
      <c r="AA153" s="646"/>
      <c r="AB153" s="646"/>
      <c r="AC153" s="257"/>
      <c r="AD153" s="666"/>
      <c r="AK153" s="111"/>
    </row>
    <row r="154" spans="3:37" ht="12.75" hidden="1" customHeight="1" outlineLevel="1">
      <c r="C154" s="668" t="s">
        <v>28</v>
      </c>
      <c r="D154" s="669"/>
      <c r="E154" s="669"/>
      <c r="F154" s="670">
        <f t="shared" ref="F154:P154" si="169">F127-F123*F117</f>
        <v>-0.83521390887351932</v>
      </c>
      <c r="G154" s="670">
        <f t="shared" si="169"/>
        <v>1.5599943497619049</v>
      </c>
      <c r="H154" s="671">
        <f t="shared" si="169"/>
        <v>-9.2820221062567203</v>
      </c>
      <c r="I154" s="671">
        <f t="shared" si="169"/>
        <v>-16.580358677542012</v>
      </c>
      <c r="J154" s="671">
        <f t="shared" si="169"/>
        <v>-51.927266331439526</v>
      </c>
      <c r="K154" s="671">
        <f>K127-K123*K117</f>
        <v>-125.66395362972517</v>
      </c>
      <c r="L154" s="671">
        <f t="shared" si="169"/>
        <v>-309.52433408853568</v>
      </c>
      <c r="M154" s="671">
        <f t="shared" si="169"/>
        <v>-444.29888900000003</v>
      </c>
      <c r="N154" s="671">
        <f t="shared" si="169"/>
        <v>-123.83696800000001</v>
      </c>
      <c r="O154" s="671">
        <f t="shared" si="169"/>
        <v>-198.85206899835003</v>
      </c>
      <c r="P154" s="671">
        <f t="shared" si="169"/>
        <v>-169.40473314562078</v>
      </c>
      <c r="Q154" s="671">
        <f>Q127-Q123*Q117</f>
        <v>-142.15980284734715</v>
      </c>
      <c r="R154" s="671">
        <f>R127-R123*R117</f>
        <v>-166.729896793725</v>
      </c>
      <c r="S154" s="671">
        <f>S127-S123*S117</f>
        <v>-195.45995243629895</v>
      </c>
      <c r="T154" s="671">
        <f t="shared" ref="T154:AB154" si="170">T127-T123*T117</f>
        <v>-229.03377985549935</v>
      </c>
      <c r="U154" s="671">
        <f t="shared" si="170"/>
        <v>-268.24263274655237</v>
      </c>
      <c r="V154" s="671">
        <f t="shared" si="170"/>
        <v>-314.00085500988268</v>
      </c>
      <c r="W154" s="671">
        <f t="shared" si="170"/>
        <v>-367.36348396404867</v>
      </c>
      <c r="X154" s="671">
        <f t="shared" si="170"/>
        <v>-429.54596435033943</v>
      </c>
      <c r="Y154" s="671">
        <f t="shared" si="170"/>
        <v>-501.94610981297251</v>
      </c>
      <c r="Z154" s="671">
        <f t="shared" si="170"/>
        <v>-586.16841763925095</v>
      </c>
      <c r="AA154" s="671">
        <f t="shared" si="170"/>
        <v>-684.05079349705989</v>
      </c>
      <c r="AB154" s="671">
        <f t="shared" si="170"/>
        <v>-797.69366960640582</v>
      </c>
      <c r="AC154" s="669"/>
      <c r="AD154" s="672"/>
      <c r="AK154" s="111"/>
    </row>
    <row r="155" spans="3:37" hidden="1" outlineLevel="1">
      <c r="J155" s="188"/>
    </row>
    <row r="156" spans="3:37" hidden="1" outlineLevel="1">
      <c r="C156" t="s">
        <v>57</v>
      </c>
      <c r="D156" s="353" t="s">
        <v>381</v>
      </c>
      <c r="E156" s="353">
        <f>E43-D43+E45-D45-'Income Statement'!E82</f>
        <v>12.385000000000133</v>
      </c>
      <c r="F156" s="353">
        <f>F43-E43+F45-E45-'Income Statement'!F82</f>
        <v>119.90599999999986</v>
      </c>
      <c r="G156" s="353">
        <f>G43-F43+G45-F45-'Income Statement'!G82</f>
        <v>326.78200000000004</v>
      </c>
      <c r="H156" s="353">
        <f>H43-G43+H45-G45-'Income Statement'!H82</f>
        <v>44.307000000000258</v>
      </c>
      <c r="I156" s="353">
        <f>I43-H43+I45-H45-'Income Statement'!I82</f>
        <v>48.450999999999851</v>
      </c>
      <c r="J156" s="353">
        <f>J43-I43+J45-I45-'Income Statement'!J82</f>
        <v>96.204000000000036</v>
      </c>
      <c r="K156" s="353">
        <f>K43-J43+K45-J45-'Income Statement'!K82</f>
        <v>64.880999999999929</v>
      </c>
      <c r="L156" s="353">
        <f>L43-K43+L45-K45-'Income Statement'!L82</f>
        <v>160.13900000000007</v>
      </c>
      <c r="M156" s="353">
        <f>M43-L43+M45-L45-'Income Statement'!M82</f>
        <v>255.4069999999997</v>
      </c>
      <c r="N156" s="353">
        <f>N43-M43+N45-M45-'Income Statement'!N82</f>
        <v>250.38900000000012</v>
      </c>
      <c r="O156" s="353">
        <f>O43-N43+O45-N45-'Income Statement'!AA82</f>
        <v>843.02824171952204</v>
      </c>
      <c r="P156" s="353">
        <f>P43-O43+P45-O45-'Income Statement'!AF82</f>
        <v>209.95970918340981</v>
      </c>
      <c r="Q156" s="353">
        <f>Q43-P43+Q45-P45-'Income Statement'!AG82</f>
        <v>257.22965856562092</v>
      </c>
      <c r="R156" s="353">
        <f>R43-Q43+R45-Q45-'Income Statement'!AH82</f>
        <v>281.35409995651702</v>
      </c>
      <c r="S156" s="353">
        <f>S43-R43+S45-R45-'Income Statement'!AI82</f>
        <v>305.21153936637455</v>
      </c>
      <c r="T156" s="353"/>
      <c r="U156" s="353"/>
      <c r="V156" s="353"/>
      <c r="W156" s="353"/>
      <c r="X156" s="353"/>
      <c r="Y156" s="353"/>
      <c r="Z156" s="353"/>
      <c r="AA156" s="353"/>
      <c r="AB156" s="353"/>
      <c r="AC156" s="277"/>
    </row>
    <row r="157" spans="3:37" hidden="1" outlineLevel="1">
      <c r="C157" t="s">
        <v>56</v>
      </c>
      <c r="D157" s="199"/>
      <c r="E157" s="198"/>
      <c r="F157" s="353"/>
      <c r="G157" s="353"/>
      <c r="H157" s="353"/>
      <c r="I157" s="353"/>
      <c r="J157" s="353"/>
      <c r="K157" s="353"/>
      <c r="L157" s="353"/>
      <c r="M157" s="353"/>
      <c r="N157" s="353"/>
      <c r="O157" s="353"/>
      <c r="P157" s="353"/>
      <c r="Q157" s="353"/>
      <c r="R157" s="353"/>
      <c r="S157" s="353"/>
      <c r="T157" s="353"/>
      <c r="U157" s="353"/>
      <c r="V157" s="353"/>
      <c r="W157" s="353"/>
      <c r="X157" s="353"/>
      <c r="Y157" s="353"/>
      <c r="Z157" s="353"/>
      <c r="AA157" s="353"/>
      <c r="AB157" s="353"/>
      <c r="AC157" s="277"/>
    </row>
    <row r="158" spans="3:37" hidden="1" outlineLevel="1"/>
    <row r="159" spans="3:37" ht="12.75" hidden="1" customHeight="1" outlineLevel="1">
      <c r="F159"/>
      <c r="G159"/>
      <c r="H159"/>
      <c r="I159"/>
      <c r="J159"/>
      <c r="K159"/>
      <c r="L159"/>
      <c r="M159"/>
      <c r="N159"/>
      <c r="O159"/>
      <c r="P159"/>
      <c r="Q159"/>
      <c r="R159"/>
      <c r="S159"/>
      <c r="T159"/>
      <c r="U159"/>
      <c r="V159"/>
      <c r="W159"/>
      <c r="X159"/>
      <c r="Y159"/>
      <c r="Z159"/>
      <c r="AA159"/>
      <c r="AB159"/>
      <c r="AC159"/>
    </row>
    <row r="160" spans="3:37" hidden="1" outlineLevel="1"/>
    <row r="161" spans="10:10" collapsed="1"/>
    <row r="165" spans="10:10">
      <c r="J165" s="695"/>
    </row>
  </sheetData>
  <phoneticPr fontId="13" type="noConversion"/>
  <pageMargins left="0" right="0" top="0" bottom="0" header="0" footer="0"/>
  <pageSetup paperSize="5" orientation="landscape" horizontalDpi="300" verticalDpi="300" r:id="rId1"/>
  <headerFooter alignWithMargins="0">
    <oddHeader>&amp;C&amp;A</oddHeader>
    <oddFooter>&amp;CPage &amp;P</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AN63"/>
  <sheetViews>
    <sheetView showGridLines="0" zoomScale="90" zoomScaleNormal="90" zoomScaleSheetLayoutView="100" workbookViewId="0">
      <pane xSplit="10" ySplit="4" topLeftCell="K5" activePane="bottomRight" state="frozen"/>
      <selection pane="topRight" activeCell="K1" sqref="K1"/>
      <selection pane="bottomLeft" activeCell="A5" sqref="A5"/>
      <selection pane="bottomRight" activeCell="K5" sqref="K5"/>
    </sheetView>
  </sheetViews>
  <sheetFormatPr defaultRowHeight="12.75" outlineLevelRow="1" outlineLevelCol="1"/>
  <cols>
    <col min="1" max="1" width="0.85546875" style="282" customWidth="1"/>
    <col min="2" max="2" width="2.140625" style="304" customWidth="1"/>
    <col min="3" max="3" width="54" style="282" bestFit="1" customWidth="1"/>
    <col min="4" max="5" width="9.140625" style="282" hidden="1" customWidth="1" outlineLevel="1"/>
    <col min="6" max="6" width="8.140625" style="282" hidden="1" customWidth="1" outlineLevel="1" collapsed="1"/>
    <col min="7" max="7" width="7.5703125" style="282" hidden="1" customWidth="1" outlineLevel="1" collapsed="1"/>
    <col min="8" max="8" width="8" style="282" hidden="1" customWidth="1" outlineLevel="1" collapsed="1"/>
    <col min="9" max="10" width="7.85546875" style="282" hidden="1" customWidth="1" outlineLevel="1"/>
    <col min="11" max="11" width="6.5703125" style="282" customWidth="1" collapsed="1"/>
    <col min="12" max="12" width="6.5703125" style="282" customWidth="1"/>
    <col min="13" max="13" width="8.7109375" style="282" bestFit="1" customWidth="1"/>
    <col min="14" max="14" width="6.85546875" style="282" customWidth="1"/>
    <col min="15" max="15" width="9" style="282" bestFit="1" customWidth="1"/>
    <col min="16" max="17" width="6.5703125" style="282" customWidth="1"/>
    <col min="18" max="18" width="7.140625" style="282" customWidth="1"/>
    <col min="19" max="19" width="8.7109375" style="282" bestFit="1" customWidth="1"/>
    <col min="20" max="28" width="7" style="282" bestFit="1" customWidth="1"/>
    <col min="29" max="29" width="9" style="313" customWidth="1"/>
    <col min="30" max="30" width="9.140625" style="282"/>
    <col min="31" max="31" width="24.28515625" hidden="1" customWidth="1" outlineLevel="1"/>
    <col min="32" max="36" width="9.140625" hidden="1" customWidth="1" outlineLevel="1"/>
    <col min="37" max="37" width="9.140625" style="282" hidden="1" customWidth="1" outlineLevel="1"/>
    <col min="38" max="38" width="9.140625" style="282" collapsed="1"/>
    <col min="39" max="16384" width="9.140625" style="282"/>
  </cols>
  <sheetData>
    <row r="1" spans="2:40" ht="5.25" customHeight="1"/>
    <row r="2" spans="2:40" ht="15.75">
      <c r="B2" s="283"/>
      <c r="C2" s="1470" t="s">
        <v>771</v>
      </c>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311"/>
      <c r="AD2" s="284"/>
      <c r="AK2" s="284"/>
      <c r="AL2" s="284"/>
      <c r="AM2" s="284"/>
      <c r="AN2" s="284"/>
    </row>
    <row r="3" spans="2:40" ht="6.75" customHeight="1">
      <c r="B3" s="285"/>
      <c r="C3" s="286"/>
      <c r="D3" s="285"/>
      <c r="E3" s="285"/>
      <c r="F3" s="285"/>
      <c r="G3" s="285"/>
      <c r="H3" s="285"/>
      <c r="I3" s="285"/>
      <c r="J3" s="285"/>
      <c r="K3" s="285"/>
      <c r="L3" s="285"/>
      <c r="M3" s="285"/>
      <c r="N3" s="285"/>
      <c r="O3" s="285"/>
      <c r="P3" s="285"/>
      <c r="Q3" s="285"/>
      <c r="R3" s="285"/>
      <c r="S3" s="285"/>
      <c r="T3" s="285"/>
      <c r="U3" s="285"/>
      <c r="V3" s="285"/>
      <c r="W3" s="285"/>
      <c r="X3" s="285"/>
      <c r="Y3" s="285"/>
      <c r="Z3" s="285"/>
      <c r="AA3" s="285"/>
      <c r="AB3" s="285"/>
      <c r="AC3" s="285"/>
      <c r="AK3" s="285"/>
      <c r="AL3" s="285"/>
      <c r="AM3" s="285"/>
      <c r="AN3" s="285"/>
    </row>
    <row r="4" spans="2:40">
      <c r="B4" s="287"/>
      <c r="C4" s="1384" t="s">
        <v>321</v>
      </c>
      <c r="D4" s="1385">
        <v>2006</v>
      </c>
      <c r="E4" s="1385">
        <f t="shared" ref="E4:M4" si="0">+D4+1</f>
        <v>2007</v>
      </c>
      <c r="F4" s="1385">
        <f t="shared" si="0"/>
        <v>2008</v>
      </c>
      <c r="G4" s="1382">
        <f t="shared" si="0"/>
        <v>2009</v>
      </c>
      <c r="H4" s="1382">
        <f t="shared" si="0"/>
        <v>2010</v>
      </c>
      <c r="I4" s="1382">
        <f t="shared" si="0"/>
        <v>2011</v>
      </c>
      <c r="J4" s="1382">
        <f t="shared" si="0"/>
        <v>2012</v>
      </c>
      <c r="K4" s="1382">
        <f t="shared" si="0"/>
        <v>2013</v>
      </c>
      <c r="L4" s="1382">
        <f t="shared" si="0"/>
        <v>2014</v>
      </c>
      <c r="M4" s="1382">
        <f t="shared" si="0"/>
        <v>2015</v>
      </c>
      <c r="N4" s="1382">
        <f t="shared" ref="N4:S4" si="1">+M4+1</f>
        <v>2016</v>
      </c>
      <c r="O4" s="1383">
        <f t="shared" si="1"/>
        <v>2017</v>
      </c>
      <c r="P4" s="1383">
        <f t="shared" si="1"/>
        <v>2018</v>
      </c>
      <c r="Q4" s="1383">
        <f t="shared" si="1"/>
        <v>2019</v>
      </c>
      <c r="R4" s="1383">
        <f t="shared" si="1"/>
        <v>2020</v>
      </c>
      <c r="S4" s="1383">
        <f t="shared" si="1"/>
        <v>2021</v>
      </c>
      <c r="T4" s="1383" t="s">
        <v>392</v>
      </c>
      <c r="U4" s="1383" t="s">
        <v>393</v>
      </c>
      <c r="V4" s="1383" t="s">
        <v>394</v>
      </c>
      <c r="W4" s="1383" t="s">
        <v>395</v>
      </c>
      <c r="X4" s="1383" t="s">
        <v>396</v>
      </c>
      <c r="Y4" s="1383" t="s">
        <v>397</v>
      </c>
      <c r="Z4" s="1383" t="s">
        <v>398</v>
      </c>
      <c r="AA4" s="1383" t="s">
        <v>399</v>
      </c>
      <c r="AB4" s="1383" t="s">
        <v>400</v>
      </c>
      <c r="AC4" s="287"/>
      <c r="AK4" s="287"/>
      <c r="AL4" s="287"/>
      <c r="AM4" s="287"/>
      <c r="AN4" s="287"/>
    </row>
    <row r="5" spans="2:40">
      <c r="B5" s="285"/>
      <c r="C5" s="62" t="s">
        <v>202</v>
      </c>
      <c r="D5" s="288"/>
      <c r="E5" s="288"/>
      <c r="F5" s="288"/>
      <c r="G5" s="288"/>
      <c r="H5" s="288"/>
      <c r="I5" s="480"/>
      <c r="J5" s="480"/>
      <c r="K5" s="288"/>
      <c r="L5" s="288"/>
      <c r="M5" s="288"/>
      <c r="N5" s="288"/>
      <c r="O5" s="288"/>
      <c r="P5" s="288"/>
      <c r="Q5" s="288"/>
      <c r="R5" s="288"/>
      <c r="S5" s="288"/>
      <c r="T5" s="288"/>
      <c r="U5" s="288"/>
      <c r="V5" s="288"/>
      <c r="W5" s="288"/>
      <c r="X5" s="288"/>
      <c r="Y5" s="288"/>
      <c r="Z5" s="288"/>
      <c r="AA5" s="288"/>
      <c r="AB5" s="288"/>
      <c r="AC5" s="285"/>
      <c r="AK5" s="285"/>
      <c r="AL5" s="285"/>
      <c r="AM5" s="285"/>
      <c r="AN5" s="285"/>
    </row>
    <row r="6" spans="2:40">
      <c r="B6" s="285"/>
      <c r="C6" s="61" t="s">
        <v>203</v>
      </c>
      <c r="D6" s="289">
        <f>+'Income Statement'!D82</f>
        <v>-74.165999999999997</v>
      </c>
      <c r="E6" s="290">
        <f>+'Income Statement'!E82</f>
        <v>-86.881</v>
      </c>
      <c r="F6" s="290">
        <f>+'Income Statement'!F82</f>
        <v>-178.92</v>
      </c>
      <c r="G6" s="489">
        <f>+'Income Statement'!G82</f>
        <v>-211.87</v>
      </c>
      <c r="H6" s="584">
        <f>'Income Statement'!H82</f>
        <v>-31.846000000000018</v>
      </c>
      <c r="I6" s="584">
        <f>'Income Statement'!I82</f>
        <v>-186.54000000000002</v>
      </c>
      <c r="J6" s="584">
        <f>'Income Statement'!J82</f>
        <v>-44.320000000000014</v>
      </c>
      <c r="K6" s="577">
        <f>'Income Statement'!K82</f>
        <v>-83.147000000000006</v>
      </c>
      <c r="L6" s="577">
        <f>'Income Statement'!L82</f>
        <v>-48.480999999999923</v>
      </c>
      <c r="M6" s="488">
        <f>'Income Statement'!Q82</f>
        <v>6.5309999999999073</v>
      </c>
      <c r="N6" s="577">
        <f>'Income Statement'!V82</f>
        <v>104.22200000000004</v>
      </c>
      <c r="O6" s="577">
        <f>'Income Statement'!AA82</f>
        <v>-313.14199999999971</v>
      </c>
      <c r="P6" s="577">
        <f>'Income Statement'!AF82</f>
        <v>-134.60799999999995</v>
      </c>
      <c r="Q6" s="577">
        <f>'Income Statement'!AG82</f>
        <v>-54.343900795649972</v>
      </c>
      <c r="R6" s="577">
        <f>'Income Statement'!AH82</f>
        <v>48.417881375098261</v>
      </c>
      <c r="S6" s="577">
        <f>'Income Statement'!AI82</f>
        <v>235.03740060523324</v>
      </c>
      <c r="T6" s="577">
        <f>'Income Statement'!AJ82</f>
        <v>484.14171816811302</v>
      </c>
      <c r="U6" s="577">
        <f>'Income Statement'!AK82</f>
        <v>599.15828518070327</v>
      </c>
      <c r="V6" s="577">
        <f>'Income Statement'!AL82</f>
        <v>696.99862260887096</v>
      </c>
      <c r="W6" s="577">
        <f>'Income Statement'!AM82</f>
        <v>715.74210164055137</v>
      </c>
      <c r="X6" s="577">
        <f>'Income Statement'!AN82</f>
        <v>175.817876296376</v>
      </c>
      <c r="Y6" s="577">
        <f>'Income Statement'!AO82</f>
        <v>-1698.6236986451386</v>
      </c>
      <c r="Z6" s="577">
        <f>'Income Statement'!AP82</f>
        <v>-1987.1703531270198</v>
      </c>
      <c r="AA6" s="577">
        <f>'Income Statement'!AQ82</f>
        <v>-2157.098021217897</v>
      </c>
      <c r="AB6" s="577">
        <f>'Income Statement'!AR82</f>
        <v>-2462.0541677971696</v>
      </c>
      <c r="AC6" s="292"/>
      <c r="AK6" s="285"/>
      <c r="AL6" s="285"/>
      <c r="AM6" s="285"/>
      <c r="AN6" s="285"/>
    </row>
    <row r="7" spans="2:40" ht="22.5" customHeight="1">
      <c r="B7" s="288"/>
      <c r="C7" s="61" t="s">
        <v>74</v>
      </c>
      <c r="D7" s="289">
        <v>-0.55200000000000005</v>
      </c>
      <c r="E7" s="289">
        <v>-0.40699999999999997</v>
      </c>
      <c r="F7" s="289">
        <v>-0.22700000000000001</v>
      </c>
      <c r="G7" s="489">
        <v>2.0110000000000001</v>
      </c>
      <c r="H7" s="489">
        <v>-0.379</v>
      </c>
      <c r="I7" s="489">
        <v>-8.7999999999999995E-2</v>
      </c>
      <c r="J7" s="489">
        <v>0</v>
      </c>
      <c r="K7" s="577">
        <v>0</v>
      </c>
      <c r="L7" s="488">
        <v>0</v>
      </c>
      <c r="M7" s="488">
        <v>0</v>
      </c>
      <c r="N7" s="488">
        <v>0</v>
      </c>
      <c r="O7" s="488">
        <f>'Balance Sheet '!O32-'Balance Sheet '!N32</f>
        <v>0</v>
      </c>
      <c r="P7" s="488">
        <f>'Balance Sheet '!P32-'Balance Sheet '!O32</f>
        <v>0</v>
      </c>
      <c r="Q7" s="488">
        <f>'Balance Sheet '!Q32-'Balance Sheet '!P32</f>
        <v>0</v>
      </c>
      <c r="R7" s="488">
        <f>'Balance Sheet '!R32-'Balance Sheet '!Q32</f>
        <v>0</v>
      </c>
      <c r="S7" s="488">
        <f>'Balance Sheet '!S32-'Balance Sheet '!R32</f>
        <v>0</v>
      </c>
      <c r="T7" s="488">
        <f>'Balance Sheet '!T32-'Balance Sheet '!S32</f>
        <v>0</v>
      </c>
      <c r="U7" s="488">
        <f>'Balance Sheet '!U32-'Balance Sheet '!T32</f>
        <v>0</v>
      </c>
      <c r="V7" s="488">
        <f>'Balance Sheet '!V32-'Balance Sheet '!U32</f>
        <v>0</v>
      </c>
      <c r="W7" s="488">
        <f>'Balance Sheet '!W32-'Balance Sheet '!V32</f>
        <v>0</v>
      </c>
      <c r="X7" s="488">
        <f>'Balance Sheet '!X32-'Balance Sheet '!W32</f>
        <v>0</v>
      </c>
      <c r="Y7" s="488">
        <f>'Balance Sheet '!Y32-'Balance Sheet '!X32</f>
        <v>0</v>
      </c>
      <c r="Z7" s="488">
        <f>'Balance Sheet '!Z32-'Balance Sheet '!Y32</f>
        <v>0</v>
      </c>
      <c r="AA7" s="488">
        <f>'Balance Sheet '!AA32-'Balance Sheet '!Z32</f>
        <v>0</v>
      </c>
      <c r="AB7" s="488">
        <f>'Balance Sheet '!AB32-'Balance Sheet '!AA32</f>
        <v>0</v>
      </c>
      <c r="AC7" s="354"/>
      <c r="AK7" s="285"/>
      <c r="AL7" s="285"/>
      <c r="AM7" s="285"/>
      <c r="AN7" s="285"/>
    </row>
    <row r="8" spans="2:40">
      <c r="B8" s="285"/>
      <c r="C8" s="61" t="s">
        <v>204</v>
      </c>
      <c r="D8" s="289">
        <f>D9+D10</f>
        <v>7.4109999999999996</v>
      </c>
      <c r="E8" s="289">
        <f>E9+E10</f>
        <v>12.962999999999999</v>
      </c>
      <c r="F8" s="289">
        <f>F9+F10</f>
        <v>13.071</v>
      </c>
      <c r="G8" s="489">
        <v>16.690000000000001</v>
      </c>
      <c r="H8" s="489">
        <v>24.484999999999999</v>
      </c>
      <c r="I8" s="489">
        <v>26.99</v>
      </c>
      <c r="J8" s="489">
        <v>29.978999999999999</v>
      </c>
      <c r="K8" s="577">
        <v>29.207000000000001</v>
      </c>
      <c r="L8" s="488">
        <v>41.412999999999997</v>
      </c>
      <c r="M8" s="488">
        <v>44.883000000000003</v>
      </c>
      <c r="N8" s="488">
        <v>58.424999999999997</v>
      </c>
      <c r="O8" s="488">
        <f t="shared" ref="O8:AB8" si="2">O9+O10+O11</f>
        <v>150.09766693798665</v>
      </c>
      <c r="P8" s="488">
        <f t="shared" si="2"/>
        <v>75.458985888218891</v>
      </c>
      <c r="Q8" s="488">
        <f t="shared" si="2"/>
        <v>83.37381477788702</v>
      </c>
      <c r="R8" s="488">
        <f t="shared" si="2"/>
        <v>105.755292525038</v>
      </c>
      <c r="S8" s="488">
        <f t="shared" si="2"/>
        <v>128.755609471333</v>
      </c>
      <c r="T8" s="488">
        <f t="shared" si="2"/>
        <v>148.46417054251663</v>
      </c>
      <c r="U8" s="488">
        <f t="shared" si="2"/>
        <v>170.02494160462138</v>
      </c>
      <c r="V8" s="488">
        <f t="shared" si="2"/>
        <v>180.40139829092908</v>
      </c>
      <c r="W8" s="488">
        <f t="shared" si="2"/>
        <v>187.87220482491017</v>
      </c>
      <c r="X8" s="488">
        <f t="shared" si="2"/>
        <v>194.66653138214258</v>
      </c>
      <c r="Y8" s="488">
        <f t="shared" si="2"/>
        <v>198.44204705665445</v>
      </c>
      <c r="Z8" s="488">
        <f t="shared" si="2"/>
        <v>200.93032596778738</v>
      </c>
      <c r="AA8" s="488">
        <f t="shared" si="2"/>
        <v>202.69054630070059</v>
      </c>
      <c r="AB8" s="488">
        <f t="shared" si="2"/>
        <v>204.01387862731315</v>
      </c>
      <c r="AC8" s="354"/>
      <c r="AK8" s="285"/>
      <c r="AL8" s="285"/>
      <c r="AM8" s="285"/>
    </row>
    <row r="9" spans="2:40">
      <c r="B9" s="285"/>
      <c r="C9" s="61" t="s">
        <v>205</v>
      </c>
      <c r="D9" s="289">
        <v>5.1109999999999998</v>
      </c>
      <c r="E9" s="289">
        <v>1.4</v>
      </c>
      <c r="F9" s="289">
        <v>1.8</v>
      </c>
      <c r="G9" s="489">
        <v>1.4</v>
      </c>
      <c r="H9" s="489">
        <v>1.1000000000000001</v>
      </c>
      <c r="I9" s="489">
        <v>2.2000000000000002</v>
      </c>
      <c r="J9" s="489">
        <v>2.9</v>
      </c>
      <c r="K9" s="489">
        <f>'Balance Sheet '!K109</f>
        <v>2.6406884460449218</v>
      </c>
      <c r="L9" s="488">
        <f>'Balance Sheet '!L109</f>
        <v>6.0466492652893065</v>
      </c>
      <c r="M9" s="488">
        <f>'Balance Sheet '!M109</f>
        <v>9.228302482128143</v>
      </c>
      <c r="N9" s="488">
        <f>'Balance Sheet '!N109</f>
        <v>24.115545921862125</v>
      </c>
      <c r="O9" s="488">
        <f>'Balance Sheet '!O109</f>
        <v>42.531493306629358</v>
      </c>
      <c r="P9" s="488">
        <f>'Balance Sheet '!P109</f>
        <v>61.388812580800689</v>
      </c>
      <c r="Q9" s="488">
        <f>'Balance Sheet '!Q109</f>
        <v>82.45544743094824</v>
      </c>
      <c r="R9" s="488">
        <f>'Balance Sheet '!R109</f>
        <v>104.79098681075229</v>
      </c>
      <c r="S9" s="488">
        <f>'Balance Sheet '!S109</f>
        <v>127.75562947133301</v>
      </c>
      <c r="T9" s="488">
        <f>'Balance Sheet '!T109</f>
        <v>148.46417054251663</v>
      </c>
      <c r="U9" s="488">
        <f>'Balance Sheet '!U109</f>
        <v>170.02494160462138</v>
      </c>
      <c r="V9" s="488">
        <f>'Balance Sheet '!V109</f>
        <v>180.40139829092908</v>
      </c>
      <c r="W9" s="488">
        <f>'Balance Sheet '!W109</f>
        <v>187.87220482491017</v>
      </c>
      <c r="X9" s="488">
        <f>'Balance Sheet '!X109</f>
        <v>194.66653138214258</v>
      </c>
      <c r="Y9" s="488">
        <f>'Balance Sheet '!Y109</f>
        <v>198.44204705665445</v>
      </c>
      <c r="Z9" s="488">
        <f>'Balance Sheet '!Z109</f>
        <v>200.93032596778738</v>
      </c>
      <c r="AA9" s="488">
        <f>'Balance Sheet '!AA109</f>
        <v>202.69054630070059</v>
      </c>
      <c r="AB9" s="488">
        <f>'Balance Sheet '!AB109</f>
        <v>204.01387862731315</v>
      </c>
      <c r="AC9" s="354"/>
      <c r="AK9" s="285"/>
      <c r="AL9" s="293"/>
      <c r="AM9" s="285"/>
    </row>
    <row r="10" spans="2:40">
      <c r="B10" s="285"/>
      <c r="C10" s="61" t="s">
        <v>334</v>
      </c>
      <c r="D10" s="289">
        <v>2.2999999999999998</v>
      </c>
      <c r="E10" s="289">
        <f>12.963-E9</f>
        <v>11.562999999999999</v>
      </c>
      <c r="F10" s="289">
        <f>13.071-F9</f>
        <v>11.270999999999999</v>
      </c>
      <c r="G10" s="489">
        <f>G8-G9</f>
        <v>15.290000000000001</v>
      </c>
      <c r="H10" s="489">
        <f>H8-H9</f>
        <v>23.384999999999998</v>
      </c>
      <c r="I10" s="489">
        <f>I8-I9</f>
        <v>24.79</v>
      </c>
      <c r="J10" s="489">
        <f>J8-J9</f>
        <v>27.079000000000001</v>
      </c>
      <c r="K10" s="489">
        <f>K8-K9-K11</f>
        <v>25.599311553955076</v>
      </c>
      <c r="L10" s="489">
        <f>L8-L9-L11</f>
        <v>35.366350734710693</v>
      </c>
      <c r="M10" s="489">
        <f>M8-M9-M11</f>
        <v>35.65469751787186</v>
      </c>
      <c r="N10" s="489">
        <f>N8-N9-N11</f>
        <v>34.309454078137875</v>
      </c>
      <c r="O10" s="577">
        <f>'Balance Sheet '!O35-'Balance Sheet '!N35-O43+'Balance Sheet '!O136</f>
        <v>107.56617363135729</v>
      </c>
      <c r="P10" s="577">
        <f>'Balance Sheet '!P35-'Balance Sheet '!O35-P43+'Balance Sheet '!P136</f>
        <v>14.070173307418202</v>
      </c>
      <c r="Q10" s="577">
        <f>'Balance Sheet '!Q35-'Balance Sheet '!P35-Q43+'Balance Sheet '!Q136</f>
        <v>0.91836734693877631</v>
      </c>
      <c r="R10" s="577">
        <f>'Balance Sheet '!R35-'Balance Sheet '!Q35-R43+'Balance Sheet '!R136</f>
        <v>0.96430571428571454</v>
      </c>
      <c r="S10" s="577">
        <f>'Balance Sheet '!S35-'Balance Sheet '!R35-S43+'Balance Sheet '!S136</f>
        <v>0.99997999999999998</v>
      </c>
      <c r="T10" s="577">
        <f>'Balance Sheet '!T35-'Balance Sheet '!S35-T43+'Balance Sheet '!T136</f>
        <v>0</v>
      </c>
      <c r="U10" s="577">
        <f>'Balance Sheet '!U35-'Balance Sheet '!T35-U43+'Balance Sheet '!U136</f>
        <v>0</v>
      </c>
      <c r="V10" s="577">
        <f>'Balance Sheet '!V35-'Balance Sheet '!U35-V43+'Balance Sheet '!V136</f>
        <v>0</v>
      </c>
      <c r="W10" s="577">
        <f>'Balance Sheet '!W35-'Balance Sheet '!V35-W43+'Balance Sheet '!W136</f>
        <v>0</v>
      </c>
      <c r="X10" s="577">
        <f>'Balance Sheet '!X35-'Balance Sheet '!W35-X43+'Balance Sheet '!X136</f>
        <v>0</v>
      </c>
      <c r="Y10" s="577">
        <f>'Balance Sheet '!Y35-'Balance Sheet '!X35-Y43+'Balance Sheet '!Y136</f>
        <v>0</v>
      </c>
      <c r="Z10" s="577">
        <f>'Balance Sheet '!Z35-'Balance Sheet '!Y35-Z43+'Balance Sheet '!Z136</f>
        <v>0</v>
      </c>
      <c r="AA10" s="577">
        <f>'Balance Sheet '!AA35-'Balance Sheet '!Z35-AA43+'Balance Sheet '!AA136</f>
        <v>0</v>
      </c>
      <c r="AB10" s="577">
        <f>'Balance Sheet '!AB35-'Balance Sheet '!AA35-AB43+'Balance Sheet '!AB136</f>
        <v>0</v>
      </c>
      <c r="AC10" s="354"/>
      <c r="AK10" s="285"/>
      <c r="AL10" s="285"/>
      <c r="AM10" s="285"/>
    </row>
    <row r="11" spans="2:40">
      <c r="B11" s="285"/>
      <c r="C11" s="61" t="s">
        <v>320</v>
      </c>
      <c r="D11" s="289"/>
      <c r="E11" s="289"/>
      <c r="F11" s="289"/>
      <c r="G11" s="489"/>
      <c r="H11" s="489"/>
      <c r="I11" s="489"/>
      <c r="J11" s="489">
        <v>0</v>
      </c>
      <c r="K11" s="576">
        <f>'Balance Sheet '!K36-'Balance Sheet '!J36-'Income Statement'!K211-'Income Statement'!K227</f>
        <v>0.96700000000000053</v>
      </c>
      <c r="L11" s="576">
        <f>'Balance Sheet '!L36-'Balance Sheet '!K36-'Income Statement'!L211-'Income Statement'!L227</f>
        <v>0</v>
      </c>
      <c r="M11" s="488">
        <f>'Balance Sheet '!M36-'Balance Sheet '!L36-'Income Statement'!Q211-'Income Statement'!Q227</f>
        <v>0</v>
      </c>
      <c r="N11" s="576">
        <f>'Balance Sheet '!N36-'Balance Sheet '!M36-'Income Statement'!V211-'Income Statement'!V227</f>
        <v>0</v>
      </c>
      <c r="O11" s="576">
        <f>'Balance Sheet '!O36-'Balance Sheet '!N36-'Income Statement'!AA211-'Income Statement'!AA227</f>
        <v>0</v>
      </c>
      <c r="P11" s="576">
        <f>'Balance Sheet '!P36-'Balance Sheet '!O36-'Income Statement'!AF211-'Income Statement'!AF227</f>
        <v>0</v>
      </c>
      <c r="Q11" s="576">
        <f>'Balance Sheet '!Q36-'Balance Sheet '!P36-'Income Statement'!AG211-'Income Statement'!AG227</f>
        <v>0</v>
      </c>
      <c r="R11" s="576">
        <f>'Balance Sheet '!R36-'Balance Sheet '!Q36-'Income Statement'!AH211-'Income Statement'!AH227</f>
        <v>0</v>
      </c>
      <c r="S11" s="576">
        <f>'Balance Sheet '!S36-'Balance Sheet '!R36-'Income Statement'!AI211-'Income Statement'!AI227</f>
        <v>0</v>
      </c>
      <c r="T11" s="576">
        <f>'Balance Sheet '!T36-'Balance Sheet '!S36-'Income Statement'!AJ211-'Income Statement'!AJ227</f>
        <v>0</v>
      </c>
      <c r="U11" s="576">
        <f>'Balance Sheet '!U36-'Balance Sheet '!T36-'Income Statement'!AK211-'Income Statement'!AK227</f>
        <v>0</v>
      </c>
      <c r="V11" s="576">
        <f>'Balance Sheet '!V36-'Balance Sheet '!U36-'Income Statement'!AL211-'Income Statement'!AL227</f>
        <v>0</v>
      </c>
      <c r="W11" s="576">
        <f>'Balance Sheet '!W36-'Balance Sheet '!V36-'Income Statement'!AM211-'Income Statement'!AM227</f>
        <v>0</v>
      </c>
      <c r="X11" s="576">
        <f>'Balance Sheet '!X36-'Balance Sheet '!W36-'Income Statement'!AN211-'Income Statement'!AN227</f>
        <v>0</v>
      </c>
      <c r="Y11" s="576">
        <f>'Balance Sheet '!Y36-'Balance Sheet '!X36-'Income Statement'!AO211-'Income Statement'!AO227</f>
        <v>0</v>
      </c>
      <c r="Z11" s="576">
        <f>'Balance Sheet '!Z36-'Balance Sheet '!Y36-'Income Statement'!AP211-'Income Statement'!AP227</f>
        <v>0</v>
      </c>
      <c r="AA11" s="576">
        <f>'Balance Sheet '!AA36-'Balance Sheet '!Z36-'Income Statement'!AQ211-'Income Statement'!AQ227</f>
        <v>0</v>
      </c>
      <c r="AB11" s="576">
        <f>'Balance Sheet '!AB36-'Balance Sheet '!AA36-'Income Statement'!AR211-'Income Statement'!AR227</f>
        <v>0</v>
      </c>
      <c r="AC11" s="354"/>
      <c r="AK11" s="285"/>
      <c r="AL11" s="285"/>
      <c r="AM11" s="285"/>
    </row>
    <row r="12" spans="2:40">
      <c r="B12" s="288"/>
      <c r="C12" s="61" t="s">
        <v>13</v>
      </c>
      <c r="D12" s="289">
        <v>8.89</v>
      </c>
      <c r="E12" s="289">
        <v>10.058999999999999</v>
      </c>
      <c r="F12" s="289">
        <v>15.026</v>
      </c>
      <c r="G12" s="483">
        <v>9.98</v>
      </c>
      <c r="H12" s="483">
        <v>14.856</v>
      </c>
      <c r="I12" s="483">
        <v>28.983000000000001</v>
      </c>
      <c r="J12" s="483">
        <v>38.493000000000002</v>
      </c>
      <c r="K12" s="488">
        <f>38.398-0.214</f>
        <v>38.184000000000005</v>
      </c>
      <c r="L12" s="371">
        <f>62.156+0.022</f>
        <v>62.177999999999997</v>
      </c>
      <c r="M12" s="488">
        <f>69.872-2.872</f>
        <v>67</v>
      </c>
      <c r="N12" s="371">
        <v>96.200999999999993</v>
      </c>
      <c r="O12" s="371">
        <f>'Income Statement'!AA75-'Income Statement'!AA77</f>
        <v>134</v>
      </c>
      <c r="P12" s="371">
        <f>'Income Statement'!AF75-'Income Statement'!AF77</f>
        <v>160</v>
      </c>
      <c r="Q12" s="371">
        <f>'Income Statement'!AG75-'Income Statement'!AG77</f>
        <v>239.79770330830706</v>
      </c>
      <c r="R12" s="371">
        <f>'Income Statement'!AH75-'Income Statement'!AH77</f>
        <v>252.50735996060138</v>
      </c>
      <c r="S12" s="371">
        <f>'Income Statement'!AI75-'Income Statement'!AI77</f>
        <v>261.43177416832822</v>
      </c>
      <c r="T12" s="371">
        <f>'Income Statement'!AJ75-'Income Statement'!AJ77</f>
        <v>267.56631260421227</v>
      </c>
      <c r="U12" s="371">
        <f>'Income Statement'!AK75-'Income Statement'!AK77</f>
        <v>234.55050619536289</v>
      </c>
      <c r="V12" s="371">
        <f>'Income Statement'!AL75-'Income Statement'!AL77</f>
        <v>240.18868791728858</v>
      </c>
      <c r="W12" s="371">
        <f>'Income Statement'!AM75-'Income Statement'!AM77</f>
        <v>245.61055109087846</v>
      </c>
      <c r="X12" s="371">
        <f>'Income Statement'!AN75-'Income Statement'!AN77</f>
        <v>247.70065524200859</v>
      </c>
      <c r="Y12" s="371">
        <f>'Income Statement'!AO75-'Income Statement'!AO77</f>
        <v>281.90167471126966</v>
      </c>
      <c r="Z12" s="371">
        <f>'Income Statement'!AP75-'Income Statement'!AP77</f>
        <v>280.28947600413881</v>
      </c>
      <c r="AA12" s="371">
        <f>'Income Statement'!AQ75-'Income Statement'!AQ77</f>
        <v>281.10752888055549</v>
      </c>
      <c r="AB12" s="371">
        <f>'Income Statement'!AR75-'Income Statement'!AR77</f>
        <v>283.91814503147441</v>
      </c>
      <c r="AC12" s="292"/>
      <c r="AK12" s="285"/>
      <c r="AL12" s="285"/>
      <c r="AM12" s="285"/>
    </row>
    <row r="13" spans="2:40">
      <c r="B13" s="285"/>
      <c r="C13" s="61" t="s">
        <v>75</v>
      </c>
      <c r="D13" s="289">
        <v>0</v>
      </c>
      <c r="E13" s="289">
        <v>0</v>
      </c>
      <c r="F13" s="289">
        <v>0</v>
      </c>
      <c r="G13" s="483">
        <v>34.299999999999997</v>
      </c>
      <c r="H13" s="483">
        <v>0</v>
      </c>
      <c r="I13" s="483">
        <v>0</v>
      </c>
      <c r="J13" s="483">
        <v>0</v>
      </c>
      <c r="K13" s="577">
        <v>0</v>
      </c>
      <c r="L13" s="371">
        <v>0</v>
      </c>
      <c r="M13" s="488">
        <f t="shared" ref="M13:S13" si="3">L13</f>
        <v>0</v>
      </c>
      <c r="N13" s="371">
        <f t="shared" si="3"/>
        <v>0</v>
      </c>
      <c r="O13" s="371">
        <f t="shared" si="3"/>
        <v>0</v>
      </c>
      <c r="P13" s="371">
        <f t="shared" si="3"/>
        <v>0</v>
      </c>
      <c r="Q13" s="371">
        <f t="shared" si="3"/>
        <v>0</v>
      </c>
      <c r="R13" s="371">
        <f t="shared" si="3"/>
        <v>0</v>
      </c>
      <c r="S13" s="371">
        <f t="shared" si="3"/>
        <v>0</v>
      </c>
      <c r="T13" s="371">
        <f t="shared" ref="T13:AB13" si="4">S13</f>
        <v>0</v>
      </c>
      <c r="U13" s="371">
        <f t="shared" si="4"/>
        <v>0</v>
      </c>
      <c r="V13" s="371">
        <f t="shared" si="4"/>
        <v>0</v>
      </c>
      <c r="W13" s="371">
        <f t="shared" si="4"/>
        <v>0</v>
      </c>
      <c r="X13" s="371">
        <f t="shared" si="4"/>
        <v>0</v>
      </c>
      <c r="Y13" s="371">
        <f t="shared" si="4"/>
        <v>0</v>
      </c>
      <c r="Z13" s="371">
        <f t="shared" si="4"/>
        <v>0</v>
      </c>
      <c r="AA13" s="371">
        <f t="shared" si="4"/>
        <v>0</v>
      </c>
      <c r="AB13" s="371">
        <f t="shared" si="4"/>
        <v>0</v>
      </c>
      <c r="AC13" s="354"/>
      <c r="AK13" s="285"/>
      <c r="AL13" s="285"/>
      <c r="AM13" s="285"/>
    </row>
    <row r="14" spans="2:40">
      <c r="B14" s="285"/>
      <c r="C14" s="61" t="s">
        <v>345</v>
      </c>
      <c r="D14" s="289"/>
      <c r="E14" s="289"/>
      <c r="F14" s="289"/>
      <c r="G14" s="483"/>
      <c r="H14" s="483"/>
      <c r="I14" s="483"/>
      <c r="J14" s="483"/>
      <c r="K14" s="577">
        <v>11.484</v>
      </c>
      <c r="L14" s="483">
        <v>0.26500000000000001</v>
      </c>
      <c r="M14" s="489">
        <v>0</v>
      </c>
      <c r="N14" s="483">
        <v>0</v>
      </c>
      <c r="O14" s="483">
        <v>0</v>
      </c>
      <c r="P14" s="483">
        <v>0</v>
      </c>
      <c r="Q14" s="483">
        <v>0</v>
      </c>
      <c r="R14" s="483">
        <v>0</v>
      </c>
      <c r="S14" s="483">
        <v>0</v>
      </c>
      <c r="T14" s="483">
        <v>0</v>
      </c>
      <c r="U14" s="483">
        <v>0</v>
      </c>
      <c r="V14" s="483">
        <v>0</v>
      </c>
      <c r="W14" s="483">
        <v>0</v>
      </c>
      <c r="X14" s="483">
        <v>0</v>
      </c>
      <c r="Y14" s="483">
        <v>0</v>
      </c>
      <c r="Z14" s="483">
        <v>0</v>
      </c>
      <c r="AA14" s="483">
        <v>0</v>
      </c>
      <c r="AB14" s="483">
        <v>0</v>
      </c>
      <c r="AC14" s="354"/>
      <c r="AK14" s="285"/>
      <c r="AL14" s="285"/>
      <c r="AM14" s="285"/>
    </row>
    <row r="15" spans="2:40" ht="12" customHeight="1">
      <c r="B15" s="285"/>
      <c r="C15" s="61" t="s">
        <v>76</v>
      </c>
      <c r="D15" s="289">
        <v>-7.0000000000000007E-2</v>
      </c>
      <c r="E15" s="289">
        <v>0</v>
      </c>
      <c r="F15" s="289">
        <v>0</v>
      </c>
      <c r="G15" s="483">
        <v>5.7270000000000003</v>
      </c>
      <c r="H15" s="483">
        <v>3.988</v>
      </c>
      <c r="I15" s="483">
        <v>0</v>
      </c>
      <c r="J15" s="483">
        <v>0</v>
      </c>
      <c r="K15" s="577">
        <v>17.934000000000001</v>
      </c>
      <c r="L15" s="371">
        <v>0</v>
      </c>
      <c r="M15" s="488">
        <v>0</v>
      </c>
      <c r="N15" s="371">
        <v>0</v>
      </c>
      <c r="O15" s="371">
        <v>0</v>
      </c>
      <c r="P15" s="371">
        <v>0</v>
      </c>
      <c r="Q15" s="371">
        <v>0</v>
      </c>
      <c r="R15" s="371">
        <v>0</v>
      </c>
      <c r="S15" s="371">
        <v>0</v>
      </c>
      <c r="T15" s="371">
        <v>0</v>
      </c>
      <c r="U15" s="371">
        <v>0</v>
      </c>
      <c r="V15" s="371">
        <v>0</v>
      </c>
      <c r="W15" s="371">
        <v>0</v>
      </c>
      <c r="X15" s="371">
        <v>0</v>
      </c>
      <c r="Y15" s="371">
        <v>0</v>
      </c>
      <c r="Z15" s="371">
        <v>0</v>
      </c>
      <c r="AA15" s="371">
        <v>0</v>
      </c>
      <c r="AB15" s="371">
        <v>0</v>
      </c>
      <c r="AC15" s="354"/>
      <c r="AK15" s="285"/>
      <c r="AL15" s="293"/>
      <c r="AM15" s="285"/>
    </row>
    <row r="16" spans="2:40" ht="12" customHeight="1">
      <c r="B16" s="285"/>
      <c r="C16" s="61" t="s">
        <v>53</v>
      </c>
      <c r="D16" s="289">
        <f>-6.23+1.312</f>
        <v>-4.9180000000000001</v>
      </c>
      <c r="E16" s="289"/>
      <c r="F16" s="289">
        <v>1.381</v>
      </c>
      <c r="G16" s="483">
        <v>1.254</v>
      </c>
      <c r="H16" s="483">
        <v>0</v>
      </c>
      <c r="I16" s="483">
        <v>0</v>
      </c>
      <c r="J16" s="483">
        <v>0</v>
      </c>
      <c r="K16" s="577">
        <v>0</v>
      </c>
      <c r="L16" s="371">
        <v>0</v>
      </c>
      <c r="M16" s="488">
        <v>0</v>
      </c>
      <c r="N16" s="371">
        <v>0</v>
      </c>
      <c r="O16" s="371">
        <v>0</v>
      </c>
      <c r="P16" s="371">
        <v>0</v>
      </c>
      <c r="Q16" s="371">
        <v>0</v>
      </c>
      <c r="R16" s="371">
        <v>0</v>
      </c>
      <c r="S16" s="371">
        <v>0</v>
      </c>
      <c r="T16" s="371">
        <v>0</v>
      </c>
      <c r="U16" s="371">
        <v>0</v>
      </c>
      <c r="V16" s="371">
        <v>0</v>
      </c>
      <c r="W16" s="371">
        <v>0</v>
      </c>
      <c r="X16" s="371">
        <v>0</v>
      </c>
      <c r="Y16" s="371">
        <v>0</v>
      </c>
      <c r="Z16" s="371">
        <v>0</v>
      </c>
      <c r="AA16" s="371">
        <v>0</v>
      </c>
      <c r="AB16" s="371">
        <v>0</v>
      </c>
      <c r="AC16" s="354"/>
      <c r="AK16" s="285"/>
      <c r="AL16" s="293"/>
      <c r="AM16" s="285"/>
    </row>
    <row r="17" spans="2:39" ht="24">
      <c r="B17" s="285"/>
      <c r="C17" s="61" t="s">
        <v>0</v>
      </c>
      <c r="D17" s="289">
        <v>1.7999999999999999E-2</v>
      </c>
      <c r="E17" s="289">
        <v>-8.4789999999999992</v>
      </c>
      <c r="F17" s="289">
        <v>-0.7</v>
      </c>
      <c r="G17" s="489">
        <v>8.5000000000000006E-2</v>
      </c>
      <c r="H17" s="489">
        <v>-0.183</v>
      </c>
      <c r="I17" s="489">
        <v>0.185</v>
      </c>
      <c r="J17" s="489">
        <v>-0.55200000000000005</v>
      </c>
      <c r="K17" s="577">
        <v>0</v>
      </c>
      <c r="L17" s="371">
        <v>0</v>
      </c>
      <c r="M17" s="488">
        <f>+('Balance Sheet '!M16-'Balance Sheet '!L16)</f>
        <v>0</v>
      </c>
      <c r="N17" s="371">
        <f>+('Balance Sheet '!N16-'Balance Sheet '!M16)</f>
        <v>0</v>
      </c>
      <c r="O17" s="371">
        <f>+('Balance Sheet '!O16-'Balance Sheet '!N16)</f>
        <v>0</v>
      </c>
      <c r="P17" s="371">
        <f>+('Balance Sheet '!P16-'Balance Sheet '!O16)</f>
        <v>0</v>
      </c>
      <c r="Q17" s="371">
        <f>+('Balance Sheet '!Q16-'Balance Sheet '!P16)</f>
        <v>0</v>
      </c>
      <c r="R17" s="371">
        <f>+('Balance Sheet '!R16-'Balance Sheet '!Q16)</f>
        <v>0</v>
      </c>
      <c r="S17" s="371">
        <f>+('Balance Sheet '!S16-'Balance Sheet '!R16)</f>
        <v>0</v>
      </c>
      <c r="T17" s="371">
        <f>+('Balance Sheet '!T16-'Balance Sheet '!S16)</f>
        <v>0</v>
      </c>
      <c r="U17" s="371">
        <f>+('Balance Sheet '!U16-'Balance Sheet '!T16)</f>
        <v>0</v>
      </c>
      <c r="V17" s="371">
        <f>+('Balance Sheet '!V16-'Balance Sheet '!U16)</f>
        <v>0</v>
      </c>
      <c r="W17" s="371">
        <f>+('Balance Sheet '!W16-'Balance Sheet '!V16)</f>
        <v>0</v>
      </c>
      <c r="X17" s="371">
        <f>+('Balance Sheet '!X16-'Balance Sheet '!W16)</f>
        <v>0</v>
      </c>
      <c r="Y17" s="371">
        <f>+('Balance Sheet '!Y16-'Balance Sheet '!X16)</f>
        <v>0</v>
      </c>
      <c r="Z17" s="371">
        <f>+('Balance Sheet '!Z16-'Balance Sheet '!Y16)</f>
        <v>0</v>
      </c>
      <c r="AA17" s="371">
        <f>+('Balance Sheet '!AA16-'Balance Sheet '!Z16)</f>
        <v>0</v>
      </c>
      <c r="AB17" s="371">
        <f>+('Balance Sheet '!AB16-'Balance Sheet '!AA16)</f>
        <v>0</v>
      </c>
      <c r="AC17" s="354"/>
      <c r="AK17" s="285"/>
      <c r="AL17" s="285"/>
      <c r="AM17" s="285"/>
    </row>
    <row r="18" spans="2:39">
      <c r="B18" s="285"/>
      <c r="C18" s="61" t="s">
        <v>722</v>
      </c>
      <c r="D18" s="289"/>
      <c r="E18" s="289"/>
      <c r="F18" s="289"/>
      <c r="G18" s="489"/>
      <c r="H18" s="489"/>
      <c r="I18" s="489">
        <v>0</v>
      </c>
      <c r="J18" s="489">
        <v>0</v>
      </c>
      <c r="K18" s="577">
        <v>0</v>
      </c>
      <c r="L18" s="371">
        <v>0</v>
      </c>
      <c r="M18" s="488">
        <f>-1.612+4.581</f>
        <v>2.9690000000000003</v>
      </c>
      <c r="N18" s="371">
        <f>0.472+3.261+17.422</f>
        <v>21.155000000000001</v>
      </c>
      <c r="O18" s="371">
        <v>0</v>
      </c>
      <c r="P18" s="371">
        <v>0</v>
      </c>
      <c r="Q18" s="371">
        <v>0</v>
      </c>
      <c r="R18" s="371">
        <v>0</v>
      </c>
      <c r="S18" s="371">
        <v>0</v>
      </c>
      <c r="T18" s="371">
        <v>0</v>
      </c>
      <c r="U18" s="371">
        <v>0</v>
      </c>
      <c r="V18" s="371">
        <v>0</v>
      </c>
      <c r="W18" s="371">
        <v>0</v>
      </c>
      <c r="X18" s="371">
        <v>0</v>
      </c>
      <c r="Y18" s="371">
        <v>0</v>
      </c>
      <c r="Z18" s="371">
        <v>0</v>
      </c>
      <c r="AA18" s="371">
        <v>0</v>
      </c>
      <c r="AB18" s="371">
        <v>0</v>
      </c>
      <c r="AC18" s="354"/>
      <c r="AK18" s="285"/>
      <c r="AL18" s="285"/>
      <c r="AM18" s="285"/>
    </row>
    <row r="19" spans="2:39">
      <c r="B19" s="285"/>
      <c r="C19" s="61"/>
      <c r="D19" s="289"/>
      <c r="E19" s="289"/>
      <c r="F19" s="289"/>
      <c r="G19" s="486"/>
      <c r="H19" s="486"/>
      <c r="I19" s="486"/>
      <c r="J19" s="486"/>
      <c r="K19" s="577"/>
      <c r="L19" s="487"/>
      <c r="M19" s="488"/>
      <c r="N19" s="487"/>
      <c r="O19" s="487"/>
      <c r="P19" s="487"/>
      <c r="Q19" s="487"/>
      <c r="R19" s="487"/>
      <c r="S19" s="487"/>
      <c r="T19" s="487"/>
      <c r="U19" s="487"/>
      <c r="V19" s="487"/>
      <c r="W19" s="487"/>
      <c r="X19" s="487"/>
      <c r="Y19" s="487"/>
      <c r="Z19" s="487"/>
      <c r="AA19" s="487"/>
      <c r="AB19" s="487"/>
      <c r="AC19" s="354"/>
      <c r="AK19" s="285"/>
      <c r="AL19" s="285"/>
      <c r="AM19" s="285"/>
    </row>
    <row r="20" spans="2:39">
      <c r="B20" s="285"/>
      <c r="C20" s="62" t="s">
        <v>159</v>
      </c>
      <c r="D20" s="289"/>
      <c r="E20" s="289"/>
      <c r="F20" s="289"/>
      <c r="G20" s="486"/>
      <c r="H20" s="486"/>
      <c r="I20" s="486"/>
      <c r="J20" s="486"/>
      <c r="K20" s="577"/>
      <c r="L20" s="487"/>
      <c r="M20" s="488"/>
      <c r="N20" s="487"/>
      <c r="O20" s="487"/>
      <c r="P20" s="487"/>
      <c r="Q20" s="487"/>
      <c r="R20" s="487"/>
      <c r="S20" s="487"/>
      <c r="T20" s="487"/>
      <c r="U20" s="487"/>
      <c r="V20" s="487"/>
      <c r="W20" s="487"/>
      <c r="X20" s="487"/>
      <c r="Y20" s="487"/>
      <c r="Z20" s="487"/>
      <c r="AA20" s="487"/>
      <c r="AB20" s="487"/>
      <c r="AC20" s="355"/>
      <c r="AK20" s="285"/>
      <c r="AL20" s="285"/>
      <c r="AM20" s="285"/>
    </row>
    <row r="21" spans="2:39">
      <c r="B21" s="285"/>
      <c r="C21" s="61" t="s">
        <v>196</v>
      </c>
      <c r="D21" s="289">
        <v>-0.65</v>
      </c>
      <c r="E21" s="289">
        <v>0.52200000000000002</v>
      </c>
      <c r="F21" s="289">
        <v>0.501</v>
      </c>
      <c r="G21" s="486">
        <v>-162.61099999999999</v>
      </c>
      <c r="H21" s="486">
        <v>157.96</v>
      </c>
      <c r="I21" s="486">
        <v>-0.71399999999999997</v>
      </c>
      <c r="J21" s="486">
        <v>-64.536000000000001</v>
      </c>
      <c r="K21" s="577">
        <v>35.576999999999998</v>
      </c>
      <c r="L21" s="487">
        <v>-22.559000000000001</v>
      </c>
      <c r="M21" s="488">
        <f>-56.517</f>
        <v>-56.517000000000003</v>
      </c>
      <c r="N21" s="487">
        <v>-23.946999999999999</v>
      </c>
      <c r="O21" s="487">
        <f>-('Balance Sheet '!O10-'Balance Sheet '!N10)</f>
        <v>-35.587919999999997</v>
      </c>
      <c r="P21" s="487">
        <f>-('Balance Sheet '!P10-'Balance Sheet '!O10)</f>
        <v>15.911319999999989</v>
      </c>
      <c r="Q21" s="487">
        <f>-('Balance Sheet '!Q10-'Balance Sheet '!P10)</f>
        <v>-29.179121469339918</v>
      </c>
      <c r="R21" s="487">
        <f>-('Balance Sheet '!R10-'Balance Sheet '!Q10)</f>
        <v>-31.014546401941914</v>
      </c>
      <c r="S21" s="487">
        <f>-('Balance Sheet '!S10-'Balance Sheet '!R10)</f>
        <v>-29.164068940736882</v>
      </c>
      <c r="T21" s="487">
        <f>-('Balance Sheet '!T10-'Balance Sheet '!S10)</f>
        <v>-32.101689320841444</v>
      </c>
      <c r="U21" s="487">
        <f>-('Balance Sheet '!U10-'Balance Sheet '!T10)</f>
        <v>-27.942778683489166</v>
      </c>
      <c r="V21" s="487">
        <f>-('Balance Sheet '!V10-'Balance Sheet '!U10)</f>
        <v>-17.480467402999864</v>
      </c>
      <c r="W21" s="487">
        <f>-('Balance Sheet '!W10-'Balance Sheet '!V10)</f>
        <v>-7.9459114816457941</v>
      </c>
      <c r="X21" s="487">
        <f>-('Balance Sheet '!X10-'Balance Sheet '!W10)</f>
        <v>61.307445645176983</v>
      </c>
      <c r="Y21" s="487">
        <f>-('Balance Sheet '!Y10-'Balance Sheet '!X10)</f>
        <v>199.10660068018919</v>
      </c>
      <c r="Z21" s="487">
        <f>-('Balance Sheet '!Z10-'Balance Sheet '!Y10)</f>
        <v>30.305644284605876</v>
      </c>
      <c r="AA21" s="487">
        <f>-('Balance Sheet '!AA10-'Balance Sheet '!Z10)</f>
        <v>16.256519220312718</v>
      </c>
      <c r="AB21" s="487">
        <f>-('Balance Sheet '!AB10-'Balance Sheet '!AA10)</f>
        <v>27.966060122100231</v>
      </c>
      <c r="AC21" s="355"/>
      <c r="AK21" s="285"/>
      <c r="AL21" s="285"/>
      <c r="AM21" s="285"/>
    </row>
    <row r="22" spans="2:39">
      <c r="B22" s="285"/>
      <c r="C22" s="61" t="s">
        <v>160</v>
      </c>
      <c r="D22" s="289">
        <v>0</v>
      </c>
      <c r="E22" s="289">
        <v>0</v>
      </c>
      <c r="F22" s="289">
        <v>0</v>
      </c>
      <c r="G22" s="486">
        <v>0</v>
      </c>
      <c r="H22" s="486">
        <v>0</v>
      </c>
      <c r="I22" s="486">
        <v>-3.536</v>
      </c>
      <c r="J22" s="486">
        <v>-5.2169999999999996</v>
      </c>
      <c r="K22" s="577">
        <v>-6.59</v>
      </c>
      <c r="L22" s="577">
        <v>-4.093</v>
      </c>
      <c r="M22" s="488">
        <f>0.098</f>
        <v>9.8000000000000004E-2</v>
      </c>
      <c r="N22" s="577">
        <v>4.0469999999999997</v>
      </c>
      <c r="O22" s="577">
        <f>-('Balance Sheet '!O11-'Balance Sheet '!N11)+-('Balance Sheet '!O20-'Balance Sheet '!N20)</f>
        <v>4.9845595001969949</v>
      </c>
      <c r="P22" s="577">
        <f>-('Balance Sheet '!P11-'Balance Sheet '!O11)+-('Balance Sheet '!P20-'Balance Sheet '!O20)</f>
        <v>-3.1777423391681205</v>
      </c>
      <c r="Q22" s="577">
        <f>-('Balance Sheet '!Q11-'Balance Sheet '!P11)+-('Balance Sheet '!Q20-'Balance Sheet '!P20)</f>
        <v>-2.5088232053958226</v>
      </c>
      <c r="R22" s="577">
        <f>-('Balance Sheet '!R11-'Balance Sheet '!Q11)+-('Balance Sheet '!R20-'Balance Sheet '!Q20)</f>
        <v>-2.5494799470357208</v>
      </c>
      <c r="S22" s="577">
        <f>-('Balance Sheet '!S11-'Balance Sheet '!R11)+-('Balance Sheet '!S20-'Balance Sheet '!R20)</f>
        <v>-2.6981069532712088</v>
      </c>
      <c r="T22" s="577">
        <f>-('Balance Sheet '!T11-'Balance Sheet '!S11)+-('Balance Sheet '!T20-'Balance Sheet '!S20)</f>
        <v>-2.7226129841458562</v>
      </c>
      <c r="U22" s="577">
        <f>-('Balance Sheet '!U11-'Balance Sheet '!T11)+-('Balance Sheet '!U20-'Balance Sheet '!T20)</f>
        <v>-2.4267792893789775</v>
      </c>
      <c r="V22" s="577">
        <f>-('Balance Sheet '!V11-'Balance Sheet '!U11)+-('Balance Sheet '!V20-'Balance Sheet '!U20)</f>
        <v>-1.8098380346135183</v>
      </c>
      <c r="W22" s="577">
        <f>-('Balance Sheet '!W11-'Balance Sheet '!V11)+-('Balance Sheet '!W20-'Balance Sheet '!V20)</f>
        <v>-1.0812555548550442</v>
      </c>
      <c r="X22" s="577">
        <f>-('Balance Sheet '!X11-'Balance Sheet '!W11)+-('Balance Sheet '!X20-'Balance Sheet '!W20)</f>
        <v>6.3870878484388758</v>
      </c>
      <c r="Y22" s="577">
        <f>-('Balance Sheet '!Y11-'Balance Sheet '!X11)+-('Balance Sheet '!Y20-'Balance Sheet '!X20)</f>
        <v>21.86101112710886</v>
      </c>
      <c r="Z22" s="577">
        <f>-('Balance Sheet '!Z11-'Balance Sheet '!Y11)+-('Balance Sheet '!Z20-'Balance Sheet '!Y20)</f>
        <v>3.3628372099217012</v>
      </c>
      <c r="AA22" s="577">
        <f>-('Balance Sheet '!AA11-'Balance Sheet '!Z11)+-('Balance Sheet '!AA20-'Balance Sheet '!Z20)</f>
        <v>1.3444665053634863</v>
      </c>
      <c r="AB22" s="577">
        <f>-('Balance Sheet '!AB11-'Balance Sheet '!AA11)+-('Balance Sheet '!AB20-'Balance Sheet '!AA20)</f>
        <v>0.13464653441466523</v>
      </c>
      <c r="AC22" s="355"/>
      <c r="AK22" s="285"/>
      <c r="AL22" s="285"/>
      <c r="AM22" s="285"/>
    </row>
    <row r="23" spans="2:39">
      <c r="B23" s="285"/>
      <c r="C23" s="61" t="s">
        <v>77</v>
      </c>
      <c r="D23" s="289">
        <v>0.58599999999999997</v>
      </c>
      <c r="E23" s="289">
        <v>1.121</v>
      </c>
      <c r="F23" s="289">
        <v>0.46700000000000003</v>
      </c>
      <c r="G23" s="486">
        <v>3.9540000000000002</v>
      </c>
      <c r="H23" s="486">
        <v>15.521000000000001</v>
      </c>
      <c r="I23" s="486">
        <v>17.824000000000002</v>
      </c>
      <c r="J23" s="486">
        <v>16.902999999999999</v>
      </c>
      <c r="K23" s="577">
        <v>0.247</v>
      </c>
      <c r="L23" s="487">
        <v>-30.489000000000001</v>
      </c>
      <c r="M23" s="488">
        <v>3.5830000000000002</v>
      </c>
      <c r="N23" s="487">
        <v>-13.069000000000001</v>
      </c>
      <c r="O23" s="487">
        <f>-('Balance Sheet '!O13-'Balance Sheet '!N13)</f>
        <v>-16.626499999999993</v>
      </c>
      <c r="P23" s="487">
        <f>-('Balance Sheet '!P13-'Balance Sheet '!O13)</f>
        <v>-2.4001200000000011</v>
      </c>
      <c r="Q23" s="487">
        <f>-('Balance Sheet '!Q13-'Balance Sheet '!P13)</f>
        <v>-5.7728287939936962</v>
      </c>
      <c r="R23" s="487">
        <f>-('Balance Sheet '!R13-'Balance Sheet '!Q13)</f>
        <v>-3.0503175965506344</v>
      </c>
      <c r="S23" s="487">
        <f>-('Balance Sheet '!S13-'Balance Sheet '!R13)</f>
        <v>-2.1418594098544403</v>
      </c>
      <c r="T23" s="487">
        <f>-('Balance Sheet '!T13-'Balance Sheet '!S13)</f>
        <v>-1.8431150900847015</v>
      </c>
      <c r="U23" s="487">
        <f>-('Balance Sheet '!U13-'Balance Sheet '!T13)</f>
        <v>-1.6392843882072299</v>
      </c>
      <c r="V23" s="487">
        <f>-('Balance Sheet '!V13-'Balance Sheet '!U13)</f>
        <v>-1.5919571920731386</v>
      </c>
      <c r="W23" s="487">
        <f>-('Balance Sheet '!W13-'Balance Sheet '!V13)</f>
        <v>-1.5308790137194848</v>
      </c>
      <c r="X23" s="487">
        <f>-('Balance Sheet '!X13-'Balance Sheet '!W13)</f>
        <v>-0.59014705443674131</v>
      </c>
      <c r="Y23" s="487">
        <f>-('Balance Sheet '!Y13-'Balance Sheet '!X13)</f>
        <v>2.282606608215346</v>
      </c>
      <c r="Z23" s="487">
        <f>-('Balance Sheet '!Z13-'Balance Sheet '!Y13)</f>
        <v>0.38692768971141334</v>
      </c>
      <c r="AA23" s="487">
        <f>-('Balance Sheet '!AA13-'Balance Sheet '!Z13)</f>
        <v>-0.19633269034001444</v>
      </c>
      <c r="AB23" s="487">
        <f>-('Balance Sheet '!AB13-'Balance Sheet '!AA13)</f>
        <v>-0.67454787622054369</v>
      </c>
      <c r="AC23" s="355"/>
      <c r="AK23" s="285"/>
      <c r="AL23" s="285"/>
      <c r="AM23" s="285"/>
    </row>
    <row r="24" spans="2:39">
      <c r="B24" s="285"/>
      <c r="C24" s="10" t="s">
        <v>2</v>
      </c>
      <c r="D24" s="289">
        <v>2.343</v>
      </c>
      <c r="E24" s="289">
        <v>1.89</v>
      </c>
      <c r="F24" s="289">
        <v>7.8730000000000002</v>
      </c>
      <c r="G24" s="486">
        <v>5.2850000000000001</v>
      </c>
      <c r="H24" s="486">
        <v>-10.191000000000001</v>
      </c>
      <c r="I24" s="486">
        <v>4.1660000000000004</v>
      </c>
      <c r="J24" s="486">
        <v>-0.97799999999999998</v>
      </c>
      <c r="K24" s="577">
        <v>5.141</v>
      </c>
      <c r="L24" s="577">
        <v>5.36</v>
      </c>
      <c r="M24" s="488">
        <v>5.6230000000000002</v>
      </c>
      <c r="N24" s="577">
        <v>43.758000000000003</v>
      </c>
      <c r="O24" s="577">
        <f>('Balance Sheet '!O26-'Balance Sheet '!N26)+('Balance Sheet '!O27-'Balance Sheet '!N27)+('Balance Sheet '!O28-'Balance Sheet '!N28)</f>
        <v>5.4364999999999952</v>
      </c>
      <c r="P24" s="577">
        <f>('Balance Sheet '!P26-'Balance Sheet '!O26)+('Balance Sheet '!P27-'Balance Sheet '!O27)+('Balance Sheet '!P28-'Balance Sheet '!O28)</f>
        <v>3.5002000000000066</v>
      </c>
      <c r="Q24" s="577">
        <f>('Balance Sheet '!Q26-'Balance Sheet '!P26)+('Balance Sheet '!Q27-'Balance Sheet '!P27)+('Balance Sheet '!Q28-'Balance Sheet '!P28)</f>
        <v>9.1213813233228223</v>
      </c>
      <c r="R24" s="577">
        <f>('Balance Sheet '!R26-'Balance Sheet '!Q26)+('Balance Sheet '!R27-'Balance Sheet '!Q27)+('Balance Sheet '!R28-'Balance Sheet '!Q28)</f>
        <v>4.5838626609177311</v>
      </c>
      <c r="S24" s="577">
        <f>('Balance Sheet '!S26-'Balance Sheet '!R26)+('Balance Sheet '!S27-'Balance Sheet '!R27)+('Balance Sheet '!S28-'Balance Sheet '!R28)</f>
        <v>3.0697656830907363</v>
      </c>
      <c r="T24" s="577">
        <f>('Balance Sheet '!T26-'Balance Sheet '!S26)+('Balance Sheet '!T27-'Balance Sheet '!S27)+('Balance Sheet '!T28-'Balance Sheet '!S28)</f>
        <v>3.071858483474486</v>
      </c>
      <c r="U24" s="577">
        <f>('Balance Sheet '!U26-'Balance Sheet '!T26)+('Balance Sheet '!U27-'Balance Sheet '!T27)+('Balance Sheet '!U28-'Balance Sheet '!T28)</f>
        <v>2.7321406470120593</v>
      </c>
      <c r="V24" s="577">
        <f>('Balance Sheet '!V26-'Balance Sheet '!U26)+('Balance Sheet '!V27-'Balance Sheet '!U27)+('Balance Sheet '!V28-'Balance Sheet '!U28)</f>
        <v>2.6532619867885643</v>
      </c>
      <c r="W24" s="577">
        <f>('Balance Sheet '!W26-'Balance Sheet '!V26)+('Balance Sheet '!W27-'Balance Sheet '!V27)+('Balance Sheet '!W28-'Balance Sheet '!V28)</f>
        <v>2.5514650228658127</v>
      </c>
      <c r="X24" s="577">
        <f>('Balance Sheet '!X26-'Balance Sheet '!W26)+('Balance Sheet '!X27-'Balance Sheet '!W27)+('Balance Sheet '!X28-'Balance Sheet '!W28)</f>
        <v>0.98357842406123552</v>
      </c>
      <c r="Y24" s="577">
        <f>('Balance Sheet '!Y26-'Balance Sheet '!X26)+('Balance Sheet '!Y27-'Balance Sheet '!X27)+('Balance Sheet '!Y28-'Balance Sheet '!X28)</f>
        <v>-3.8043443470255767</v>
      </c>
      <c r="Z24" s="577">
        <f>('Balance Sheet '!Z26-'Balance Sheet '!Y26)+('Balance Sheet '!Z27-'Balance Sheet '!Y27)+('Balance Sheet '!Z28-'Balance Sheet '!Y28)</f>
        <v>-0.64487948285234609</v>
      </c>
      <c r="AA24" s="577">
        <f>('Balance Sheet '!AA26-'Balance Sheet '!Z26)+('Balance Sheet '!AA27-'Balance Sheet '!Z27)+('Balance Sheet '!AA28-'Balance Sheet '!Z28)</f>
        <v>0.32722115056667178</v>
      </c>
      <c r="AB24" s="577">
        <f>('Balance Sheet '!AB26-'Balance Sheet '!AA26)+('Balance Sheet '!AB27-'Balance Sheet '!AA27)+('Balance Sheet '!AB28-'Balance Sheet '!AA28)</f>
        <v>1.1242464603675728</v>
      </c>
      <c r="AC24" s="355"/>
      <c r="AK24" s="285"/>
      <c r="AL24" s="285"/>
      <c r="AM24" s="285"/>
    </row>
    <row r="25" spans="2:39">
      <c r="B25" s="285"/>
      <c r="C25" s="61" t="s">
        <v>1</v>
      </c>
      <c r="D25" s="289">
        <v>-8.6530000000000005</v>
      </c>
      <c r="E25" s="289">
        <v>2.3490000000000002</v>
      </c>
      <c r="F25" s="289">
        <v>1.2549999999999999</v>
      </c>
      <c r="G25" s="486">
        <v>2.4159999999999999</v>
      </c>
      <c r="H25" s="486">
        <v>-9.2669999999999995</v>
      </c>
      <c r="I25" s="486">
        <v>15.632999999999999</v>
      </c>
      <c r="J25" s="486">
        <v>4.6680000000000001</v>
      </c>
      <c r="K25" s="577">
        <v>27.189</v>
      </c>
      <c r="L25" s="487">
        <v>35.53</v>
      </c>
      <c r="M25" s="488">
        <v>25.245000000000001</v>
      </c>
      <c r="N25" s="487">
        <v>26.475999999999999</v>
      </c>
      <c r="O25" s="487">
        <f>('Balance Sheet '!O29-'Balance Sheet '!N29)+('Balance Sheet '!O38-'Balance Sheet '!N38)</f>
        <v>98.798149999999993</v>
      </c>
      <c r="P25" s="487">
        <f>('Balance Sheet '!P29-'Balance Sheet '!O29)+('Balance Sheet '!P38-'Balance Sheet '!O38)</f>
        <v>10.960548000000017</v>
      </c>
      <c r="Q25" s="487">
        <f>('Balance Sheet '!Q29-'Balance Sheet '!P29)+('Balance Sheet '!Q38-'Balance Sheet '!P38)</f>
        <v>26.362584825904577</v>
      </c>
      <c r="R25" s="487">
        <f>('Balance Sheet '!R29-'Balance Sheet '!Q29)+('Balance Sheet '!R38-'Balance Sheet '!Q38)</f>
        <v>13.929783690914519</v>
      </c>
      <c r="S25" s="487">
        <f>('Balance Sheet '!S29-'Balance Sheet '!R29)+('Balance Sheet '!S38-'Balance Sheet '!R38)</f>
        <v>9.7811579716686197</v>
      </c>
      <c r="T25" s="487">
        <f>('Balance Sheet '!T29-'Balance Sheet '!S29)+('Balance Sheet '!T38-'Balance Sheet '!S38)</f>
        <v>8.4168922447201453</v>
      </c>
      <c r="U25" s="487">
        <f>('Balance Sheet '!U29-'Balance Sheet '!T29)+('Balance Sheet '!U38-'Balance Sheet '!T38)</f>
        <v>7.486065372813016</v>
      </c>
      <c r="V25" s="487">
        <f>('Balance Sheet '!V29-'Balance Sheet '!U29)+('Balance Sheet '!V38-'Balance Sheet '!U38)</f>
        <v>7.2699378438006761</v>
      </c>
      <c r="W25" s="487">
        <f>('Balance Sheet '!W29-'Balance Sheet '!V29)+('Balance Sheet '!W38-'Balance Sheet '!V38)</f>
        <v>6.9910141626523341</v>
      </c>
      <c r="X25" s="487">
        <f>('Balance Sheet '!X29-'Balance Sheet '!W29)+('Balance Sheet '!X38-'Balance Sheet '!W38)</f>
        <v>2.6950048819277868</v>
      </c>
      <c r="Y25" s="487">
        <f>('Balance Sheet '!Y29-'Balance Sheet '!X29)+('Balance Sheet '!Y38-'Balance Sheet '!X38)</f>
        <v>-10.423903510850096</v>
      </c>
      <c r="Z25" s="487">
        <f>('Balance Sheet '!Z29-'Balance Sheet '!Y29)+('Balance Sheet '!Z38-'Balance Sheet '!Y38)</f>
        <v>-1.7669697830154405</v>
      </c>
      <c r="AA25" s="487">
        <f>('Balance Sheet '!AA29-'Balance Sheet '!Z29)+('Balance Sheet '!AA38-'Balance Sheet '!Z38)</f>
        <v>0.89658595255269802</v>
      </c>
      <c r="AB25" s="487">
        <f>('Balance Sheet '!AB29-'Balance Sheet '!AA29)+('Balance Sheet '!AB38-'Balance Sheet '!AA38)</f>
        <v>3.0804353014071353</v>
      </c>
      <c r="AC25" s="355"/>
      <c r="AK25" s="285"/>
      <c r="AL25" s="285"/>
      <c r="AM25" s="285"/>
    </row>
    <row r="26" spans="2:39" ht="13.9" customHeight="1">
      <c r="B26" s="285"/>
      <c r="C26" s="10" t="s">
        <v>64</v>
      </c>
      <c r="D26" s="289">
        <v>19.393999999999998</v>
      </c>
      <c r="E26" s="289">
        <v>-25.831</v>
      </c>
      <c r="F26" s="289">
        <v>-0.58699999999999997</v>
      </c>
      <c r="G26" s="486">
        <v>305.137</v>
      </c>
      <c r="H26" s="486">
        <v>-67.006</v>
      </c>
      <c r="I26" s="486">
        <f>-66.95+2.332</f>
        <v>-64.618000000000009</v>
      </c>
      <c r="J26" s="486">
        <f>-2.332+-66.938</f>
        <v>-69.27</v>
      </c>
      <c r="K26" s="577">
        <v>-66.046000000000006</v>
      </c>
      <c r="L26" s="487">
        <v>-12.868</v>
      </c>
      <c r="M26" s="488">
        <f>-12.879</f>
        <v>-12.879</v>
      </c>
      <c r="N26" s="487">
        <v>-12.512</v>
      </c>
      <c r="O26" s="487">
        <f>('Balance Sheet '!O30-'Balance Sheet '!N30)+('Balance Sheet '!O37-'Balance Sheet '!N37)</f>
        <v>0</v>
      </c>
      <c r="P26" s="487">
        <f>('Balance Sheet '!P30-'Balance Sheet '!O30)+('Balance Sheet '!P37-'Balance Sheet '!O37)</f>
        <v>0</v>
      </c>
      <c r="Q26" s="487">
        <f>('Balance Sheet '!Q30-'Balance Sheet '!P30)+('Balance Sheet '!Q37-'Balance Sheet '!P37)</f>
        <v>0</v>
      </c>
      <c r="R26" s="487">
        <f>('Balance Sheet '!R30-'Balance Sheet '!Q30)+('Balance Sheet '!R37-'Balance Sheet '!Q37)</f>
        <v>0</v>
      </c>
      <c r="S26" s="487">
        <f>('Balance Sheet '!S30-'Balance Sheet '!R30)+('Balance Sheet '!S37-'Balance Sheet '!R37)</f>
        <v>0</v>
      </c>
      <c r="T26" s="487">
        <f>('Balance Sheet '!T30-'Balance Sheet '!S30)+('Balance Sheet '!T37-'Balance Sheet '!S37)</f>
        <v>0</v>
      </c>
      <c r="U26" s="487">
        <f>('Balance Sheet '!U30-'Balance Sheet '!T30)+('Balance Sheet '!U37-'Balance Sheet '!T37)</f>
        <v>0</v>
      </c>
      <c r="V26" s="487">
        <f>('Balance Sheet '!V30-'Balance Sheet '!U30)+('Balance Sheet '!V37-'Balance Sheet '!U37)</f>
        <v>0</v>
      </c>
      <c r="W26" s="487">
        <f>('Balance Sheet '!W30-'Balance Sheet '!V30)+('Balance Sheet '!W37-'Balance Sheet '!V37)</f>
        <v>0</v>
      </c>
      <c r="X26" s="487">
        <f>('Balance Sheet '!X30-'Balance Sheet '!W30)+('Balance Sheet '!X37-'Balance Sheet '!W37)</f>
        <v>0</v>
      </c>
      <c r="Y26" s="487">
        <f>('Balance Sheet '!Y30-'Balance Sheet '!X30)+('Balance Sheet '!Y37-'Balance Sheet '!X37)</f>
        <v>0</v>
      </c>
      <c r="Z26" s="487">
        <f>('Balance Sheet '!Z30-'Balance Sheet '!Y30)+('Balance Sheet '!Z37-'Balance Sheet '!Y37)</f>
        <v>0</v>
      </c>
      <c r="AA26" s="487">
        <f>('Balance Sheet '!AA30-'Balance Sheet '!Z30)+('Balance Sheet '!AA37-'Balance Sheet '!Z37)</f>
        <v>0</v>
      </c>
      <c r="AB26" s="487">
        <f>('Balance Sheet '!AB30-'Balance Sheet '!AA30)+('Balance Sheet '!AB37-'Balance Sheet '!AA37)</f>
        <v>0</v>
      </c>
      <c r="AC26" s="355"/>
      <c r="AK26" s="285"/>
      <c r="AL26" s="285"/>
      <c r="AM26" s="285"/>
    </row>
    <row r="27" spans="2:39">
      <c r="B27" s="294"/>
      <c r="C27" s="618" t="s">
        <v>161</v>
      </c>
      <c r="D27" s="619">
        <f t="shared" ref="D27:S27" si="5">SUM(D6:D8,D12:D26)</f>
        <v>-50.367000000000012</v>
      </c>
      <c r="E27" s="619">
        <f t="shared" si="5"/>
        <v>-92.694000000000003</v>
      </c>
      <c r="F27" s="619">
        <f t="shared" si="5"/>
        <v>-140.85999999999996</v>
      </c>
      <c r="G27" s="620">
        <f t="shared" si="5"/>
        <v>12.358000000000061</v>
      </c>
      <c r="H27" s="620">
        <f t="shared" si="5"/>
        <v>97.937999999999988</v>
      </c>
      <c r="I27" s="621">
        <f t="shared" si="5"/>
        <v>-161.71500000000003</v>
      </c>
      <c r="J27" s="621">
        <f t="shared" si="5"/>
        <v>-94.830000000000013</v>
      </c>
      <c r="K27" s="621">
        <f t="shared" si="5"/>
        <v>9.1799999999999926</v>
      </c>
      <c r="L27" s="620">
        <f t="shared" si="5"/>
        <v>26.256000000000071</v>
      </c>
      <c r="M27" s="620">
        <f t="shared" si="5"/>
        <v>86.535999999999902</v>
      </c>
      <c r="N27" s="620">
        <f t="shared" si="5"/>
        <v>304.75600000000009</v>
      </c>
      <c r="O27" s="620">
        <f t="shared" si="5"/>
        <v>27.960456438183925</v>
      </c>
      <c r="P27" s="620">
        <f t="shared" si="5"/>
        <v>125.64519154905084</v>
      </c>
      <c r="Q27" s="620">
        <f t="shared" si="5"/>
        <v>266.85080997104211</v>
      </c>
      <c r="R27" s="620">
        <f t="shared" si="5"/>
        <v>388.57983626704163</v>
      </c>
      <c r="S27" s="620">
        <f t="shared" si="5"/>
        <v>604.07167259579114</v>
      </c>
      <c r="T27" s="620">
        <f t="shared" ref="T27:AA27" si="6">SUM(T6:T8,T12:T26)</f>
        <v>874.99353464796468</v>
      </c>
      <c r="U27" s="620">
        <f t="shared" si="6"/>
        <v>981.94309663943727</v>
      </c>
      <c r="V27" s="620">
        <f t="shared" si="6"/>
        <v>1106.629646017991</v>
      </c>
      <c r="W27" s="620">
        <f t="shared" si="6"/>
        <v>1148.2092906916382</v>
      </c>
      <c r="X27" s="620">
        <f t="shared" si="6"/>
        <v>688.96803266569532</v>
      </c>
      <c r="Y27" s="620">
        <f t="shared" si="6"/>
        <v>-1009.2580063195767</v>
      </c>
      <c r="Z27" s="620">
        <f t="shared" si="6"/>
        <v>-1474.3069912367221</v>
      </c>
      <c r="AA27" s="620">
        <f t="shared" si="6"/>
        <v>-1654.6714858981857</v>
      </c>
      <c r="AB27" s="620">
        <f>SUM(AB6:AB8,AB12:AB26)</f>
        <v>-1942.4913035963125</v>
      </c>
      <c r="AC27" s="355"/>
      <c r="AK27" s="287"/>
      <c r="AL27" s="285"/>
      <c r="AM27" s="287"/>
    </row>
    <row r="28" spans="2:39" ht="10.5" customHeight="1">
      <c r="B28" s="285"/>
      <c r="C28" s="63"/>
      <c r="D28" s="295"/>
      <c r="E28" s="295"/>
      <c r="F28" s="296"/>
      <c r="G28" s="488"/>
      <c r="H28" s="488"/>
      <c r="I28" s="489"/>
      <c r="J28" s="489"/>
      <c r="K28" s="577"/>
      <c r="L28" s="488"/>
      <c r="M28" s="488"/>
      <c r="N28" s="488"/>
      <c r="O28" s="488"/>
      <c r="P28" s="488"/>
      <c r="Q28" s="488"/>
      <c r="R28" s="488"/>
      <c r="S28" s="488"/>
      <c r="T28" s="488"/>
      <c r="U28" s="488"/>
      <c r="V28" s="488"/>
      <c r="W28" s="488"/>
      <c r="X28" s="488"/>
      <c r="Y28" s="488"/>
      <c r="Z28" s="488"/>
      <c r="AA28" s="488"/>
      <c r="AB28" s="488"/>
      <c r="AC28" s="299"/>
      <c r="AK28" s="285"/>
      <c r="AL28" s="285"/>
      <c r="AM28" s="285"/>
    </row>
    <row r="29" spans="2:39">
      <c r="B29" s="285"/>
      <c r="C29" s="62" t="s">
        <v>18</v>
      </c>
      <c r="D29" s="295"/>
      <c r="E29" s="295"/>
      <c r="F29" s="295"/>
      <c r="G29" s="488"/>
      <c r="H29" s="488"/>
      <c r="I29" s="489"/>
      <c r="J29" s="489"/>
      <c r="K29" s="577"/>
      <c r="L29" s="488"/>
      <c r="M29" s="488"/>
      <c r="N29" s="488"/>
      <c r="O29" s="488"/>
      <c r="P29" s="488"/>
      <c r="Q29" s="488"/>
      <c r="R29" s="488"/>
      <c r="S29" s="488"/>
      <c r="T29" s="488"/>
      <c r="U29" s="488"/>
      <c r="V29" s="488"/>
      <c r="W29" s="488"/>
      <c r="X29" s="488"/>
      <c r="Y29" s="488"/>
      <c r="Z29" s="488"/>
      <c r="AA29" s="488"/>
      <c r="AB29" s="488"/>
      <c r="AC29" s="299"/>
      <c r="AK29" s="285"/>
      <c r="AL29" s="285"/>
      <c r="AM29" s="285"/>
    </row>
    <row r="30" spans="2:39">
      <c r="B30" s="285"/>
      <c r="C30" s="61" t="s">
        <v>132</v>
      </c>
      <c r="D30" s="292">
        <v>-1.5680000000000001</v>
      </c>
      <c r="E30" s="292">
        <v>-1.153</v>
      </c>
      <c r="F30" s="292">
        <v>-0.69799999999999995</v>
      </c>
      <c r="G30" s="488">
        <v>-0.38700000000000001</v>
      </c>
      <c r="H30" s="488">
        <v>-4.109</v>
      </c>
      <c r="I30" s="489">
        <v>-3.7989999999999999</v>
      </c>
      <c r="J30" s="489">
        <v>-2.839</v>
      </c>
      <c r="K30" s="577">
        <v>-4.2670000000000003</v>
      </c>
      <c r="L30" s="488">
        <v>-27.876000000000001</v>
      </c>
      <c r="M30" s="488">
        <v>-26.003</v>
      </c>
      <c r="N30" s="488">
        <v>-120.277</v>
      </c>
      <c r="O30" s="488">
        <f>-'Balance Sheet '!O78</f>
        <v>-148.13549999999998</v>
      </c>
      <c r="P30" s="488">
        <f>-'Balance Sheet '!P78</f>
        <v>-155.33586</v>
      </c>
      <c r="Q30" s="488">
        <f>-'Balance Sheet '!Q78</f>
        <v>-172.65434638198107</v>
      </c>
      <c r="R30" s="488">
        <f>-'Balance Sheet '!R78</f>
        <v>-181.80529917163298</v>
      </c>
      <c r="S30" s="488">
        <f>-'Balance Sheet '!S78</f>
        <v>-188.23087740119632</v>
      </c>
      <c r="T30" s="488">
        <f>-'Balance Sheet '!T78</f>
        <v>-193.76022267145038</v>
      </c>
      <c r="U30" s="488">
        <f>-'Balance Sheet '!U78</f>
        <v>-198.67807583607208</v>
      </c>
      <c r="V30" s="488">
        <f>-'Balance Sheet '!V78</f>
        <v>-203.45394741229151</v>
      </c>
      <c r="W30" s="488">
        <f>-'Balance Sheet '!W78</f>
        <v>-208.04658445344998</v>
      </c>
      <c r="X30" s="488">
        <f>-'Balance Sheet '!X78</f>
        <v>-209.81702561676019</v>
      </c>
      <c r="Y30" s="488">
        <f>-'Balance Sheet '!Y78</f>
        <v>-202.96920579211414</v>
      </c>
      <c r="Z30" s="488">
        <f>-'Balance Sheet '!Z78</f>
        <v>-201.80842272297994</v>
      </c>
      <c r="AA30" s="488">
        <f>-'Balance Sheet '!AA78</f>
        <v>-202.39742079399994</v>
      </c>
      <c r="AB30" s="488">
        <f>-'Balance Sheet '!AB78</f>
        <v>-204.42106442266157</v>
      </c>
      <c r="AC30" s="309"/>
      <c r="AK30" s="285"/>
      <c r="AL30" s="285"/>
      <c r="AM30" s="285"/>
    </row>
    <row r="31" spans="2:39">
      <c r="B31" s="285"/>
      <c r="C31" s="61" t="s">
        <v>131</v>
      </c>
      <c r="D31" s="292">
        <f>-511.408</f>
        <v>-511.40800000000002</v>
      </c>
      <c r="E31" s="292">
        <f>-45.024</f>
        <v>-45.024000000000001</v>
      </c>
      <c r="F31" s="292">
        <f>0.022</f>
        <v>2.1999999999999999E-2</v>
      </c>
      <c r="G31" s="488"/>
      <c r="H31" s="488"/>
      <c r="I31" s="489"/>
      <c r="J31" s="489">
        <v>0</v>
      </c>
      <c r="K31" s="577">
        <v>-33.713000000000001</v>
      </c>
      <c r="L31" s="488">
        <v>-134.09100000000001</v>
      </c>
      <c r="M31" s="488">
        <f>-108.152-39.829</f>
        <v>-147.98099999999999</v>
      </c>
      <c r="N31" s="488">
        <v>-57.372</v>
      </c>
      <c r="O31" s="488">
        <v>0</v>
      </c>
      <c r="P31" s="488">
        <v>-25</v>
      </c>
      <c r="Q31" s="488">
        <v>-25</v>
      </c>
      <c r="R31" s="488">
        <v>-25</v>
      </c>
      <c r="S31" s="488">
        <v>-25</v>
      </c>
      <c r="T31" s="488">
        <v>-25</v>
      </c>
      <c r="U31" s="488">
        <v>-25</v>
      </c>
      <c r="V31" s="488">
        <v>-25</v>
      </c>
      <c r="W31" s="488">
        <v>-25</v>
      </c>
      <c r="X31" s="488">
        <v>-25</v>
      </c>
      <c r="Y31" s="488">
        <v>-25</v>
      </c>
      <c r="Z31" s="488">
        <v>-25</v>
      </c>
      <c r="AA31" s="488">
        <v>-25</v>
      </c>
      <c r="AB31" s="488">
        <v>-25</v>
      </c>
      <c r="AC31" s="309"/>
      <c r="AK31" s="285"/>
      <c r="AL31" s="285"/>
      <c r="AM31" s="285"/>
    </row>
    <row r="32" spans="2:39">
      <c r="B32" s="285"/>
      <c r="C32" s="61" t="s">
        <v>129</v>
      </c>
      <c r="D32" s="292">
        <v>109.971</v>
      </c>
      <c r="E32" s="292">
        <f>135.15</f>
        <v>135.15</v>
      </c>
      <c r="F32" s="292">
        <f>58.824</f>
        <v>58.823999999999998</v>
      </c>
      <c r="G32" s="488">
        <f>1.212</f>
        <v>1.212</v>
      </c>
      <c r="H32" s="488">
        <v>0.43099999999999999</v>
      </c>
      <c r="I32" s="489">
        <v>0</v>
      </c>
      <c r="J32" s="489">
        <v>-8.9999999999999993E-3</v>
      </c>
      <c r="K32" s="577">
        <v>0</v>
      </c>
      <c r="L32" s="488">
        <v>0</v>
      </c>
      <c r="M32" s="488">
        <v>0</v>
      </c>
      <c r="N32" s="488">
        <v>0</v>
      </c>
      <c r="O32" s="488">
        <v>100</v>
      </c>
      <c r="P32" s="488">
        <v>5</v>
      </c>
      <c r="Q32" s="488">
        <v>5</v>
      </c>
      <c r="R32" s="488">
        <v>5</v>
      </c>
      <c r="S32" s="488">
        <v>5</v>
      </c>
      <c r="T32" s="488">
        <v>5</v>
      </c>
      <c r="U32" s="488">
        <v>5</v>
      </c>
      <c r="V32" s="488">
        <v>5</v>
      </c>
      <c r="W32" s="488">
        <v>5</v>
      </c>
      <c r="X32" s="488">
        <v>5</v>
      </c>
      <c r="Y32" s="488">
        <v>5</v>
      </c>
      <c r="Z32" s="488">
        <v>5</v>
      </c>
      <c r="AA32" s="488">
        <v>5</v>
      </c>
      <c r="AB32" s="488">
        <v>5</v>
      </c>
      <c r="AC32" s="309"/>
      <c r="AK32" s="285"/>
      <c r="AL32" s="285"/>
      <c r="AM32" s="285"/>
    </row>
    <row r="33" spans="2:39">
      <c r="B33" s="285"/>
      <c r="C33" s="61" t="s">
        <v>130</v>
      </c>
      <c r="D33" s="292">
        <v>429.04</v>
      </c>
      <c r="E33" s="292">
        <v>81.388999999999996</v>
      </c>
      <c r="F33" s="292">
        <v>47.744999999999997</v>
      </c>
      <c r="G33" s="488">
        <v>15.627000000000001</v>
      </c>
      <c r="H33" s="488">
        <v>18.882000000000001</v>
      </c>
      <c r="I33" s="489">
        <v>1.298</v>
      </c>
      <c r="J33" s="489">
        <v>0.86</v>
      </c>
      <c r="K33" s="577">
        <v>0.58299999999999996</v>
      </c>
      <c r="L33" s="488">
        <v>23.527999999999999</v>
      </c>
      <c r="M33" s="488">
        <v>68.974000000000004</v>
      </c>
      <c r="N33" s="488">
        <v>88.016999999999996</v>
      </c>
      <c r="O33" s="488">
        <f>-('Balance Sheet '!O16-'Balance Sheet '!N16)</f>
        <v>0</v>
      </c>
      <c r="P33" s="488">
        <f>-('Balance Sheet '!P16-'Balance Sheet '!O16)</f>
        <v>0</v>
      </c>
      <c r="Q33" s="488">
        <f>-('Balance Sheet '!Q16-'Balance Sheet '!P16)</f>
        <v>0</v>
      </c>
      <c r="R33" s="488">
        <f>-('Balance Sheet '!R16-'Balance Sheet '!Q16)</f>
        <v>0</v>
      </c>
      <c r="S33" s="488">
        <f>-('Balance Sheet '!S16-'Balance Sheet '!R16)</f>
        <v>0</v>
      </c>
      <c r="T33" s="488">
        <f>-('Balance Sheet '!T16-'Balance Sheet '!S16)</f>
        <v>0</v>
      </c>
      <c r="U33" s="488">
        <f>-('Balance Sheet '!U16-'Balance Sheet '!T16)</f>
        <v>0</v>
      </c>
      <c r="V33" s="488">
        <f>-('Balance Sheet '!V16-'Balance Sheet '!U16)</f>
        <v>0</v>
      </c>
      <c r="W33" s="488">
        <f>-('Balance Sheet '!W16-'Balance Sheet '!V16)</f>
        <v>0</v>
      </c>
      <c r="X33" s="488">
        <f>-('Balance Sheet '!X16-'Balance Sheet '!W16)</f>
        <v>0</v>
      </c>
      <c r="Y33" s="488">
        <f>-('Balance Sheet '!Y16-'Balance Sheet '!X16)</f>
        <v>0</v>
      </c>
      <c r="Z33" s="488">
        <f>-('Balance Sheet '!Z16-'Balance Sheet '!Y16)</f>
        <v>0</v>
      </c>
      <c r="AA33" s="488">
        <f>-('Balance Sheet '!AA16-'Balance Sheet '!Z16)</f>
        <v>0</v>
      </c>
      <c r="AB33" s="488">
        <f>-('Balance Sheet '!AB16-'Balance Sheet '!AA16)</f>
        <v>0</v>
      </c>
      <c r="AC33" s="309"/>
      <c r="AK33" s="285"/>
      <c r="AL33" s="285"/>
      <c r="AM33" s="285"/>
    </row>
    <row r="34" spans="2:39">
      <c r="B34" s="285"/>
      <c r="C34" s="61" t="s">
        <v>796</v>
      </c>
      <c r="D34" s="292"/>
      <c r="E34" s="292"/>
      <c r="F34" s="292"/>
      <c r="G34" s="488"/>
      <c r="H34" s="488"/>
      <c r="I34" s="489"/>
      <c r="J34" s="489"/>
      <c r="K34" s="577">
        <v>0</v>
      </c>
      <c r="L34" s="488">
        <v>0</v>
      </c>
      <c r="M34" s="488">
        <v>0</v>
      </c>
      <c r="N34" s="488">
        <v>-142.85599999999999</v>
      </c>
      <c r="O34" s="488">
        <v>0</v>
      </c>
      <c r="P34" s="488">
        <f>O34</f>
        <v>0</v>
      </c>
      <c r="Q34" s="488">
        <f t="shared" ref="Q34:AB34" si="7">P34</f>
        <v>0</v>
      </c>
      <c r="R34" s="488">
        <f t="shared" si="7"/>
        <v>0</v>
      </c>
      <c r="S34" s="488">
        <f t="shared" si="7"/>
        <v>0</v>
      </c>
      <c r="T34" s="488">
        <f t="shared" si="7"/>
        <v>0</v>
      </c>
      <c r="U34" s="488">
        <f t="shared" si="7"/>
        <v>0</v>
      </c>
      <c r="V34" s="488">
        <f t="shared" si="7"/>
        <v>0</v>
      </c>
      <c r="W34" s="488">
        <f t="shared" si="7"/>
        <v>0</v>
      </c>
      <c r="X34" s="488">
        <f t="shared" si="7"/>
        <v>0</v>
      </c>
      <c r="Y34" s="488">
        <f t="shared" si="7"/>
        <v>0</v>
      </c>
      <c r="Z34" s="488">
        <f t="shared" si="7"/>
        <v>0</v>
      </c>
      <c r="AA34" s="488">
        <f t="shared" si="7"/>
        <v>0</v>
      </c>
      <c r="AB34" s="488">
        <f t="shared" si="7"/>
        <v>0</v>
      </c>
      <c r="AC34" s="309"/>
      <c r="AK34" s="285"/>
      <c r="AL34" s="285"/>
      <c r="AM34" s="285"/>
    </row>
    <row r="35" spans="2:39">
      <c r="B35" s="297"/>
      <c r="C35" s="618" t="s">
        <v>19</v>
      </c>
      <c r="D35" s="619">
        <f>SUM(D30:D33)</f>
        <v>26.035000000000025</v>
      </c>
      <c r="E35" s="619">
        <f t="shared" ref="E35:S35" si="8">SUM(E30:E33)</f>
        <v>170.36200000000002</v>
      </c>
      <c r="F35" s="619">
        <f t="shared" si="8"/>
        <v>105.893</v>
      </c>
      <c r="G35" s="620">
        <f t="shared" si="8"/>
        <v>16.452000000000002</v>
      </c>
      <c r="H35" s="620">
        <f t="shared" si="8"/>
        <v>15.204000000000001</v>
      </c>
      <c r="I35" s="621">
        <f t="shared" si="8"/>
        <v>-2.5009999999999999</v>
      </c>
      <c r="J35" s="621">
        <f t="shared" si="8"/>
        <v>-1.988</v>
      </c>
      <c r="K35" s="621">
        <f>SUM(K30:K34)</f>
        <v>-37.397000000000006</v>
      </c>
      <c r="L35" s="620">
        <f>SUM(L30:L34)</f>
        <v>-138.43900000000002</v>
      </c>
      <c r="M35" s="620">
        <f>SUM(M30:M34)</f>
        <v>-105.00999999999998</v>
      </c>
      <c r="N35" s="620">
        <f>SUM(N30:N34)</f>
        <v>-232.488</v>
      </c>
      <c r="O35" s="620">
        <f t="shared" si="8"/>
        <v>-48.135499999999979</v>
      </c>
      <c r="P35" s="620">
        <f t="shared" si="8"/>
        <v>-175.33586</v>
      </c>
      <c r="Q35" s="620">
        <f t="shared" si="8"/>
        <v>-192.65434638198107</v>
      </c>
      <c r="R35" s="620">
        <f t="shared" si="8"/>
        <v>-201.80529917163298</v>
      </c>
      <c r="S35" s="620">
        <f t="shared" si="8"/>
        <v>-208.23087740119632</v>
      </c>
      <c r="T35" s="620">
        <f t="shared" ref="T35:AB35" si="9">SUM(T30:T33)</f>
        <v>-213.76022267145038</v>
      </c>
      <c r="U35" s="620">
        <f t="shared" si="9"/>
        <v>-218.67807583607208</v>
      </c>
      <c r="V35" s="620">
        <f t="shared" si="9"/>
        <v>-223.45394741229151</v>
      </c>
      <c r="W35" s="620">
        <f t="shared" si="9"/>
        <v>-228.04658445344998</v>
      </c>
      <c r="X35" s="620">
        <f t="shared" si="9"/>
        <v>-229.81702561676019</v>
      </c>
      <c r="Y35" s="620">
        <f t="shared" si="9"/>
        <v>-222.96920579211414</v>
      </c>
      <c r="Z35" s="620">
        <f t="shared" si="9"/>
        <v>-221.80842272297994</v>
      </c>
      <c r="AA35" s="620">
        <f t="shared" si="9"/>
        <v>-222.39742079399994</v>
      </c>
      <c r="AB35" s="620">
        <f t="shared" si="9"/>
        <v>-224.42106442266157</v>
      </c>
      <c r="AC35" s="312"/>
      <c r="AK35" s="285"/>
      <c r="AL35" s="285"/>
      <c r="AM35" s="285"/>
    </row>
    <row r="36" spans="2:39" ht="9.6" customHeight="1">
      <c r="B36" s="285"/>
      <c r="C36" s="63"/>
      <c r="D36" s="295"/>
      <c r="E36" s="295"/>
      <c r="F36" s="295"/>
      <c r="G36" s="488"/>
      <c r="H36" s="488"/>
      <c r="I36" s="489"/>
      <c r="J36" s="489"/>
      <c r="K36" s="577"/>
      <c r="L36" s="488"/>
      <c r="M36" s="488"/>
      <c r="N36" s="488"/>
      <c r="O36" s="488"/>
      <c r="P36" s="488"/>
      <c r="Q36" s="488"/>
      <c r="R36" s="488"/>
      <c r="S36" s="488"/>
      <c r="T36" s="488"/>
      <c r="U36" s="488"/>
      <c r="V36" s="488"/>
      <c r="W36" s="488"/>
      <c r="X36" s="488"/>
      <c r="Y36" s="488"/>
      <c r="Z36" s="488"/>
      <c r="AA36" s="488"/>
      <c r="AB36" s="488"/>
      <c r="AC36" s="299"/>
      <c r="AK36" s="285"/>
      <c r="AL36" s="285"/>
      <c r="AM36" s="285"/>
    </row>
    <row r="37" spans="2:39">
      <c r="B37" s="285"/>
      <c r="C37" s="62" t="s">
        <v>20</v>
      </c>
      <c r="D37" s="295"/>
      <c r="E37" s="295"/>
      <c r="F37" s="295"/>
      <c r="G37" s="488"/>
      <c r="H37" s="488"/>
      <c r="I37" s="489"/>
      <c r="J37" s="489"/>
      <c r="K37" s="577"/>
      <c r="L37" s="488"/>
      <c r="M37" s="488"/>
      <c r="N37" s="488"/>
      <c r="O37" s="488"/>
      <c r="P37" s="488"/>
      <c r="Q37" s="488"/>
      <c r="R37" s="488"/>
      <c r="S37" s="488"/>
      <c r="T37" s="488"/>
      <c r="U37" s="488"/>
      <c r="V37" s="488"/>
      <c r="W37" s="488"/>
      <c r="X37" s="488"/>
      <c r="Y37" s="488"/>
      <c r="Z37" s="488"/>
      <c r="AA37" s="488"/>
      <c r="AB37" s="488"/>
      <c r="AC37" s="299"/>
      <c r="AK37" s="285"/>
      <c r="AL37" s="285"/>
      <c r="AM37" s="285"/>
    </row>
    <row r="38" spans="2:39">
      <c r="B38" s="285"/>
      <c r="C38" s="61" t="s">
        <v>343</v>
      </c>
      <c r="D38" s="295"/>
      <c r="E38" s="295"/>
      <c r="F38" s="295"/>
      <c r="G38" s="488"/>
      <c r="H38" s="488"/>
      <c r="I38" s="489">
        <v>0</v>
      </c>
      <c r="J38" s="489">
        <v>0</v>
      </c>
      <c r="K38" s="577">
        <v>-15</v>
      </c>
      <c r="L38" s="489">
        <v>0.5</v>
      </c>
      <c r="M38" s="489">
        <v>7.0000000000000001E-3</v>
      </c>
      <c r="N38" s="489">
        <v>14.023</v>
      </c>
      <c r="O38" s="489">
        <v>0</v>
      </c>
      <c r="P38" s="489">
        <v>0</v>
      </c>
      <c r="Q38" s="489">
        <v>0</v>
      </c>
      <c r="R38" s="489">
        <v>0</v>
      </c>
      <c r="S38" s="489">
        <v>0</v>
      </c>
      <c r="T38" s="489">
        <v>0</v>
      </c>
      <c r="U38" s="489">
        <v>0</v>
      </c>
      <c r="V38" s="489">
        <v>0</v>
      </c>
      <c r="W38" s="489">
        <v>0</v>
      </c>
      <c r="X38" s="489">
        <v>0</v>
      </c>
      <c r="Y38" s="489">
        <v>0</v>
      </c>
      <c r="Z38" s="489">
        <v>0</v>
      </c>
      <c r="AA38" s="489">
        <v>0</v>
      </c>
      <c r="AB38" s="489">
        <v>0</v>
      </c>
      <c r="AC38" s="299"/>
      <c r="AK38" s="285"/>
      <c r="AL38" s="285"/>
      <c r="AM38" s="285"/>
    </row>
    <row r="39" spans="2:39">
      <c r="B39" s="285"/>
      <c r="C39" s="61" t="s">
        <v>22</v>
      </c>
      <c r="D39" s="292">
        <v>1.4079999999999999</v>
      </c>
      <c r="E39" s="292">
        <v>2.3250000000000002</v>
      </c>
      <c r="F39" s="292">
        <v>3.226</v>
      </c>
      <c r="G39" s="488">
        <v>2.0609999999999999</v>
      </c>
      <c r="H39" s="488">
        <v>13.59</v>
      </c>
      <c r="I39" s="489">
        <v>19.468</v>
      </c>
      <c r="J39" s="489">
        <v>47.710999999999999</v>
      </c>
      <c r="K39" s="577">
        <f>73.157</f>
        <v>73.156999999999996</v>
      </c>
      <c r="L39" s="488">
        <v>92.843999999999994</v>
      </c>
      <c r="M39" s="488">
        <v>86.436000000000007</v>
      </c>
      <c r="N39" s="488">
        <v>49.972999999999999</v>
      </c>
      <c r="O39" s="488">
        <f>'Balance Sheet '!O127</f>
        <v>66.903544201650007</v>
      </c>
      <c r="P39" s="488">
        <f>'Balance Sheet '!P127</f>
        <v>59.269163261547817</v>
      </c>
      <c r="Q39" s="488">
        <f>'Balance Sheet '!Q127</f>
        <v>51.741409335452197</v>
      </c>
      <c r="R39" s="488">
        <f>'Balance Sheet '!R127</f>
        <v>63.156194074053076</v>
      </c>
      <c r="S39" s="488">
        <f>'Balance Sheet '!S127</f>
        <v>77.089219276183798</v>
      </c>
      <c r="T39" s="488">
        <f>'Balance Sheet '!T127</f>
        <v>94.09603944220332</v>
      </c>
      <c r="U39" s="488">
        <f>'Balance Sheet '!U127</f>
        <v>114.85477115791839</v>
      </c>
      <c r="V39" s="488">
        <f>'Balance Sheet '!V127</f>
        <v>140.19313178256039</v>
      </c>
      <c r="W39" s="488">
        <f>'Balance Sheet '!W127</f>
        <v>171.12144320046673</v>
      </c>
      <c r="X39" s="488">
        <f>'Balance Sheet '!X127</f>
        <v>208.8729166021329</v>
      </c>
      <c r="Y39" s="488">
        <f>'Balance Sheet '!Y127</f>
        <v>254.95282457834352</v>
      </c>
      <c r="Z39" s="488">
        <f>'Balance Sheet '!Z127</f>
        <v>311.19852117683234</v>
      </c>
      <c r="AA39" s="488">
        <f>'Balance Sheet '!AA127</f>
        <v>379.85270311405549</v>
      </c>
      <c r="AB39" s="488">
        <f>'Balance Sheet '!AB127</f>
        <v>463.65283330207711</v>
      </c>
      <c r="AC39" s="299"/>
      <c r="AK39" s="285"/>
      <c r="AL39" s="285"/>
      <c r="AM39" s="285"/>
    </row>
    <row r="40" spans="2:39">
      <c r="B40" s="285"/>
      <c r="C40" s="61" t="s">
        <v>79</v>
      </c>
      <c r="D40" s="292"/>
      <c r="E40" s="292"/>
      <c r="F40" s="292"/>
      <c r="G40" s="488"/>
      <c r="H40" s="488">
        <f>'Balance Sheet '!H128</f>
        <v>0</v>
      </c>
      <c r="I40" s="489">
        <f>'Balance Sheet '!I128</f>
        <v>0</v>
      </c>
      <c r="J40" s="489">
        <v>0</v>
      </c>
      <c r="K40" s="577">
        <v>0.214</v>
      </c>
      <c r="L40" s="488">
        <v>-2.1999999999999999E-2</v>
      </c>
      <c r="M40" s="488">
        <v>2.8719999999999999</v>
      </c>
      <c r="N40" s="488">
        <v>0</v>
      </c>
      <c r="O40" s="488">
        <f>'Balance Sheet '!O128</f>
        <v>0</v>
      </c>
      <c r="P40" s="488">
        <f>'Balance Sheet '!P128</f>
        <v>0</v>
      </c>
      <c r="Q40" s="488">
        <f>'Balance Sheet '!Q128</f>
        <v>0</v>
      </c>
      <c r="R40" s="488">
        <f>'Balance Sheet '!R128</f>
        <v>0</v>
      </c>
      <c r="S40" s="488">
        <f>'Balance Sheet '!S128</f>
        <v>0</v>
      </c>
      <c r="T40" s="488">
        <f>'Balance Sheet '!T128</f>
        <v>1.3150013217321401</v>
      </c>
      <c r="U40" s="488">
        <f>'Balance Sheet '!U128</f>
        <v>40.236394911982856</v>
      </c>
      <c r="V40" s="488">
        <f>'Balance Sheet '!V128</f>
        <v>47.100128251482403</v>
      </c>
      <c r="W40" s="488">
        <f>'Balance Sheet '!W128</f>
        <v>55.10452259460731</v>
      </c>
      <c r="X40" s="488">
        <f>'Balance Sheet '!X128</f>
        <v>64.431894652550923</v>
      </c>
      <c r="Y40" s="488">
        <f>'Balance Sheet '!Y128</f>
        <v>0</v>
      </c>
      <c r="Z40" s="488">
        <f>'Balance Sheet '!Z128</f>
        <v>0</v>
      </c>
      <c r="AA40" s="488">
        <f>'Balance Sheet '!AA128</f>
        <v>0</v>
      </c>
      <c r="AB40" s="488">
        <f>'Balance Sheet '!AB128</f>
        <v>0</v>
      </c>
      <c r="AC40" s="292"/>
      <c r="AK40" s="285"/>
      <c r="AL40" s="285"/>
      <c r="AM40" s="285"/>
    </row>
    <row r="41" spans="2:39">
      <c r="B41" s="285"/>
      <c r="C41" s="61" t="s">
        <v>21</v>
      </c>
      <c r="D41" s="292">
        <v>0</v>
      </c>
      <c r="E41" s="292">
        <v>0</v>
      </c>
      <c r="F41" s="292">
        <v>101.654</v>
      </c>
      <c r="G41" s="488">
        <v>132.33600000000001</v>
      </c>
      <c r="H41" s="488">
        <f>'Balance Sheet '!H140</f>
        <v>0</v>
      </c>
      <c r="I41" s="489">
        <f>'Balance Sheet '!I140</f>
        <v>0</v>
      </c>
      <c r="J41" s="489">
        <v>0</v>
      </c>
      <c r="K41" s="577">
        <v>0</v>
      </c>
      <c r="L41" s="488">
        <v>0</v>
      </c>
      <c r="M41" s="488">
        <v>0</v>
      </c>
      <c r="N41" s="488">
        <v>0</v>
      </c>
      <c r="O41" s="488">
        <f>'Balance Sheet '!O140</f>
        <v>649.38699999999994</v>
      </c>
      <c r="P41" s="488">
        <f>'Balance Sheet '!P140</f>
        <v>0</v>
      </c>
      <c r="Q41" s="488">
        <f>'Balance Sheet '!Q140</f>
        <v>0</v>
      </c>
      <c r="R41" s="488">
        <f>'Balance Sheet '!R140</f>
        <v>0</v>
      </c>
      <c r="S41" s="488">
        <f>'Balance Sheet '!S140</f>
        <v>0</v>
      </c>
      <c r="T41" s="488">
        <f>'Balance Sheet '!T140</f>
        <v>0</v>
      </c>
      <c r="U41" s="488">
        <f>'Balance Sheet '!U140</f>
        <v>0</v>
      </c>
      <c r="V41" s="488">
        <f>'Balance Sheet '!V140</f>
        <v>0</v>
      </c>
      <c r="W41" s="488">
        <f>'Balance Sheet '!W140</f>
        <v>0</v>
      </c>
      <c r="X41" s="488">
        <f>'Balance Sheet '!X140</f>
        <v>0</v>
      </c>
      <c r="Y41" s="488">
        <f>'Balance Sheet '!Y140</f>
        <v>0</v>
      </c>
      <c r="Z41" s="488">
        <f>'Balance Sheet '!Z140</f>
        <v>0</v>
      </c>
      <c r="AA41" s="488">
        <f>'Balance Sheet '!AA140</f>
        <v>0</v>
      </c>
      <c r="AB41" s="488">
        <f>'Balance Sheet '!AB140</f>
        <v>0</v>
      </c>
      <c r="AC41" s="299"/>
      <c r="AK41" s="285"/>
      <c r="AL41" s="285"/>
      <c r="AM41" s="285"/>
    </row>
    <row r="42" spans="2:39" ht="13.5" customHeight="1">
      <c r="B42" s="285"/>
      <c r="C42" s="61" t="s">
        <v>140</v>
      </c>
      <c r="D42" s="292">
        <v>30.290999999999997</v>
      </c>
      <c r="E42" s="292">
        <v>10</v>
      </c>
      <c r="F42" s="292">
        <v>0</v>
      </c>
      <c r="G42" s="488">
        <v>387.36900000000003</v>
      </c>
      <c r="H42" s="488">
        <v>0</v>
      </c>
      <c r="I42" s="489">
        <v>0</v>
      </c>
      <c r="J42" s="489">
        <v>0</v>
      </c>
      <c r="K42" s="584">
        <v>728.69600000000003</v>
      </c>
      <c r="L42" s="488">
        <v>0</v>
      </c>
      <c r="M42" s="488">
        <v>0</v>
      </c>
      <c r="N42" s="488">
        <v>0</v>
      </c>
      <c r="O42" s="488">
        <v>0</v>
      </c>
      <c r="P42" s="488">
        <v>0</v>
      </c>
      <c r="Q42" s="488">
        <v>0</v>
      </c>
      <c r="R42" s="488">
        <v>0</v>
      </c>
      <c r="S42" s="488">
        <v>0</v>
      </c>
      <c r="T42" s="488">
        <v>0</v>
      </c>
      <c r="U42" s="488">
        <v>0</v>
      </c>
      <c r="V42" s="488">
        <v>0</v>
      </c>
      <c r="W42" s="488">
        <v>0</v>
      </c>
      <c r="X42" s="488">
        <v>0</v>
      </c>
      <c r="Y42" s="488">
        <v>0</v>
      </c>
      <c r="Z42" s="488">
        <v>0</v>
      </c>
      <c r="AA42" s="488">
        <v>0</v>
      </c>
      <c r="AB42" s="488">
        <v>0</v>
      </c>
      <c r="AC42" s="310"/>
      <c r="AK42" s="285"/>
      <c r="AL42" s="285"/>
      <c r="AM42" s="285"/>
    </row>
    <row r="43" spans="2:39" ht="13.5" customHeight="1">
      <c r="B43" s="285"/>
      <c r="C43" s="61" t="s">
        <v>141</v>
      </c>
      <c r="D43" s="292">
        <v>0</v>
      </c>
      <c r="E43" s="292">
        <v>0</v>
      </c>
      <c r="F43" s="292">
        <v>0</v>
      </c>
      <c r="G43" s="488">
        <v>-279.512</v>
      </c>
      <c r="H43" s="488">
        <v>-158.64400000000001</v>
      </c>
      <c r="I43" s="489">
        <v>0</v>
      </c>
      <c r="J43" s="489">
        <v>0</v>
      </c>
      <c r="K43" s="488">
        <v>-499.99400000000003</v>
      </c>
      <c r="L43" s="488">
        <v>0</v>
      </c>
      <c r="M43" s="488">
        <v>-1.6990000000000001</v>
      </c>
      <c r="N43" s="488">
        <v>-0.44500000000000001</v>
      </c>
      <c r="O43" s="488">
        <f>'Income Statement'!AA176+'Income Statement'!AA193</f>
        <v>-694</v>
      </c>
      <c r="P43" s="488">
        <f>'Income Statement'!AF176+'Income Statement'!AF193</f>
        <v>-29</v>
      </c>
      <c r="Q43" s="488">
        <f>'Income Statement'!AG176+'Income Statement'!AG193</f>
        <v>0</v>
      </c>
      <c r="R43" s="488">
        <f>'Income Statement'!AH176+'Income Statement'!AH193</f>
        <v>-27</v>
      </c>
      <c r="S43" s="488">
        <f>'Income Statement'!AI176+'Income Statement'!AI193</f>
        <v>0</v>
      </c>
      <c r="T43" s="488">
        <f>'Income Statement'!AJ176+'Income Statement'!AJ193</f>
        <v>0</v>
      </c>
      <c r="U43" s="488">
        <f>'Income Statement'!AK176+'Income Statement'!AK193</f>
        <v>0</v>
      </c>
      <c r="V43" s="488">
        <f>'Income Statement'!AL176+'Income Statement'!AL193</f>
        <v>0</v>
      </c>
      <c r="W43" s="488">
        <f>'Income Statement'!AM176+'Income Statement'!AM193</f>
        <v>0</v>
      </c>
      <c r="X43" s="488">
        <f>'Income Statement'!AN176+'Income Statement'!AN193</f>
        <v>0</v>
      </c>
      <c r="Y43" s="488">
        <f>'Income Statement'!AO176+'Income Statement'!AO193</f>
        <v>0</v>
      </c>
      <c r="Z43" s="488">
        <f>'Income Statement'!AP176+'Income Statement'!AP193</f>
        <v>0</v>
      </c>
      <c r="AA43" s="488">
        <f>'Income Statement'!AQ176+'Income Statement'!AQ193</f>
        <v>0</v>
      </c>
      <c r="AB43" s="488">
        <f>'Income Statement'!AR176+'Income Statement'!AR193</f>
        <v>0</v>
      </c>
      <c r="AC43" s="310"/>
      <c r="AK43" s="285"/>
      <c r="AL43" s="285"/>
      <c r="AM43" s="285"/>
    </row>
    <row r="44" spans="2:39" ht="13.5" customHeight="1">
      <c r="B44" s="285"/>
      <c r="C44" s="61" t="s">
        <v>344</v>
      </c>
      <c r="D44" s="292"/>
      <c r="E44" s="292"/>
      <c r="F44" s="292"/>
      <c r="G44" s="488"/>
      <c r="H44" s="488"/>
      <c r="I44" s="489">
        <v>0</v>
      </c>
      <c r="J44" s="489">
        <v>0</v>
      </c>
      <c r="K44" s="488">
        <v>-11.484</v>
      </c>
      <c r="L44" s="489">
        <v>-0.26500000000000001</v>
      </c>
      <c r="M44" s="489">
        <v>0</v>
      </c>
      <c r="N44" s="489">
        <v>0</v>
      </c>
      <c r="O44" s="489">
        <v>0</v>
      </c>
      <c r="P44" s="489">
        <v>0</v>
      </c>
      <c r="Q44" s="489">
        <v>0</v>
      </c>
      <c r="R44" s="489">
        <v>0</v>
      </c>
      <c r="S44" s="489">
        <v>0</v>
      </c>
      <c r="T44" s="489">
        <v>1</v>
      </c>
      <c r="U44" s="489">
        <v>2</v>
      </c>
      <c r="V44" s="489">
        <v>3</v>
      </c>
      <c r="W44" s="489">
        <v>4</v>
      </c>
      <c r="X44" s="489">
        <v>5</v>
      </c>
      <c r="Y44" s="489">
        <v>6</v>
      </c>
      <c r="Z44" s="489">
        <v>7</v>
      </c>
      <c r="AA44" s="489">
        <v>8</v>
      </c>
      <c r="AB44" s="489">
        <v>9</v>
      </c>
      <c r="AC44" s="310"/>
      <c r="AK44" s="285"/>
      <c r="AL44" s="285"/>
      <c r="AM44" s="285"/>
    </row>
    <row r="45" spans="2:39" ht="13.5" customHeight="1">
      <c r="B45" s="285"/>
      <c r="C45" s="1543" t="s">
        <v>840</v>
      </c>
      <c r="D45" s="292">
        <v>0</v>
      </c>
      <c r="E45" s="292">
        <v>0</v>
      </c>
      <c r="F45" s="292">
        <v>0</v>
      </c>
      <c r="G45" s="292">
        <v>0</v>
      </c>
      <c r="H45" s="488">
        <v>0</v>
      </c>
      <c r="I45" s="489">
        <v>0</v>
      </c>
      <c r="J45" s="489">
        <v>0</v>
      </c>
      <c r="K45" s="488">
        <v>0</v>
      </c>
      <c r="L45" s="489">
        <v>0</v>
      </c>
      <c r="M45" s="489">
        <v>0</v>
      </c>
      <c r="N45" s="489">
        <v>-4.9059999999999997</v>
      </c>
      <c r="O45" s="489">
        <v>0</v>
      </c>
      <c r="P45" s="489">
        <v>0</v>
      </c>
      <c r="Q45" s="489">
        <v>0</v>
      </c>
      <c r="R45" s="489">
        <v>0</v>
      </c>
      <c r="S45" s="489">
        <v>0</v>
      </c>
      <c r="T45" s="489">
        <v>0</v>
      </c>
      <c r="U45" s="489">
        <v>0</v>
      </c>
      <c r="V45" s="489">
        <v>0</v>
      </c>
      <c r="W45" s="489">
        <v>0</v>
      </c>
      <c r="X45" s="489">
        <v>0</v>
      </c>
      <c r="Y45" s="489">
        <v>0</v>
      </c>
      <c r="Z45" s="489">
        <v>0</v>
      </c>
      <c r="AA45" s="489">
        <v>0</v>
      </c>
      <c r="AB45" s="489">
        <v>0</v>
      </c>
      <c r="AC45" s="310"/>
      <c r="AK45" s="285"/>
      <c r="AL45" s="285"/>
      <c r="AM45" s="285"/>
    </row>
    <row r="46" spans="2:39">
      <c r="B46" s="297"/>
      <c r="C46" s="618" t="s">
        <v>206</v>
      </c>
      <c r="D46" s="619">
        <f t="shared" ref="D46:M46" si="10">SUM(D38:D45)</f>
        <v>31.698999999999998</v>
      </c>
      <c r="E46" s="619">
        <f t="shared" si="10"/>
        <v>12.324999999999999</v>
      </c>
      <c r="F46" s="619">
        <f t="shared" si="10"/>
        <v>104.88</v>
      </c>
      <c r="G46" s="620">
        <f t="shared" si="10"/>
        <v>242.25400000000008</v>
      </c>
      <c r="H46" s="620">
        <f t="shared" si="10"/>
        <v>-145.054</v>
      </c>
      <c r="I46" s="621">
        <f t="shared" si="10"/>
        <v>19.468</v>
      </c>
      <c r="J46" s="621">
        <f t="shared" si="10"/>
        <v>47.710999999999999</v>
      </c>
      <c r="K46" s="621">
        <f t="shared" si="10"/>
        <v>275.589</v>
      </c>
      <c r="L46" s="620">
        <f t="shared" si="10"/>
        <v>93.056999999999988</v>
      </c>
      <c r="M46" s="620">
        <f t="shared" si="10"/>
        <v>87.616000000000014</v>
      </c>
      <c r="N46" s="620">
        <f>SUM(N38:N45)</f>
        <v>58.644999999999996</v>
      </c>
      <c r="O46" s="620">
        <f t="shared" ref="O46:AB46" si="11">SUM(O38:O45)</f>
        <v>22.290544201649936</v>
      </c>
      <c r="P46" s="620">
        <f t="shared" si="11"/>
        <v>30.269163261547817</v>
      </c>
      <c r="Q46" s="620">
        <f t="shared" si="11"/>
        <v>51.741409335452197</v>
      </c>
      <c r="R46" s="620">
        <f t="shared" si="11"/>
        <v>36.156194074053076</v>
      </c>
      <c r="S46" s="620">
        <f t="shared" si="11"/>
        <v>77.089219276183798</v>
      </c>
      <c r="T46" s="620">
        <f t="shared" si="11"/>
        <v>96.411040763935461</v>
      </c>
      <c r="U46" s="620">
        <f t="shared" si="11"/>
        <v>157.09116606990125</v>
      </c>
      <c r="V46" s="620">
        <f t="shared" si="11"/>
        <v>190.29326003404279</v>
      </c>
      <c r="W46" s="620">
        <f t="shared" si="11"/>
        <v>230.22596579507405</v>
      </c>
      <c r="X46" s="620">
        <f t="shared" si="11"/>
        <v>278.30481125468384</v>
      </c>
      <c r="Y46" s="620">
        <f t="shared" si="11"/>
        <v>260.95282457834355</v>
      </c>
      <c r="Z46" s="620">
        <f t="shared" si="11"/>
        <v>318.19852117683234</v>
      </c>
      <c r="AA46" s="620">
        <f t="shared" si="11"/>
        <v>387.85270311405549</v>
      </c>
      <c r="AB46" s="620">
        <f t="shared" si="11"/>
        <v>472.65283330207711</v>
      </c>
      <c r="AC46" s="312"/>
      <c r="AK46" s="285"/>
      <c r="AL46" s="285"/>
      <c r="AM46" s="285"/>
    </row>
    <row r="47" spans="2:39" ht="13.5" customHeight="1">
      <c r="B47" s="285"/>
      <c r="C47" s="63"/>
      <c r="D47" s="295"/>
      <c r="E47" s="295"/>
      <c r="F47" s="295"/>
      <c r="G47" s="488"/>
      <c r="H47" s="488"/>
      <c r="I47" s="489"/>
      <c r="J47" s="489"/>
      <c r="K47" s="576"/>
      <c r="L47" s="488"/>
      <c r="M47" s="488"/>
      <c r="N47" s="488"/>
      <c r="O47" s="488"/>
      <c r="P47" s="488"/>
      <c r="Q47" s="488"/>
      <c r="R47" s="488"/>
      <c r="S47" s="488"/>
      <c r="T47" s="488"/>
      <c r="U47" s="488"/>
      <c r="V47" s="488"/>
      <c r="W47" s="488"/>
      <c r="X47" s="488"/>
      <c r="Y47" s="488"/>
      <c r="Z47" s="488"/>
      <c r="AA47" s="488"/>
      <c r="AB47" s="488"/>
      <c r="AC47" s="299"/>
      <c r="AK47" s="285"/>
      <c r="AL47" s="285"/>
      <c r="AM47" s="285"/>
    </row>
    <row r="48" spans="2:39" ht="13.5" customHeight="1">
      <c r="B48" s="285"/>
      <c r="C48" s="61" t="s">
        <v>78</v>
      </c>
      <c r="D48" s="292">
        <v>0</v>
      </c>
      <c r="E48" s="292">
        <v>0</v>
      </c>
      <c r="F48" s="292">
        <v>0</v>
      </c>
      <c r="G48" s="488">
        <v>-7.0000000000000001E-3</v>
      </c>
      <c r="H48" s="488" t="s">
        <v>128</v>
      </c>
      <c r="I48" s="490" t="s">
        <v>128</v>
      </c>
      <c r="J48" s="490" t="s">
        <v>128</v>
      </c>
      <c r="K48" s="491" t="s">
        <v>128</v>
      </c>
      <c r="L48" s="491">
        <v>-6.0000000000000001E-3</v>
      </c>
      <c r="M48" s="491" t="s">
        <v>128</v>
      </c>
      <c r="N48" s="491">
        <v>-8.9999999999999993E-3</v>
      </c>
      <c r="O48" s="491" t="s">
        <v>128</v>
      </c>
      <c r="P48" s="491" t="s">
        <v>128</v>
      </c>
      <c r="Q48" s="491" t="s">
        <v>128</v>
      </c>
      <c r="R48" s="491" t="s">
        <v>128</v>
      </c>
      <c r="S48" s="491" t="s">
        <v>128</v>
      </c>
      <c r="T48" s="491" t="s">
        <v>128</v>
      </c>
      <c r="U48" s="491" t="s">
        <v>128</v>
      </c>
      <c r="V48" s="491" t="s">
        <v>128</v>
      </c>
      <c r="W48" s="491" t="s">
        <v>128</v>
      </c>
      <c r="X48" s="491" t="s">
        <v>128</v>
      </c>
      <c r="Y48" s="491" t="s">
        <v>128</v>
      </c>
      <c r="Z48" s="491" t="s">
        <v>128</v>
      </c>
      <c r="AA48" s="491" t="s">
        <v>128</v>
      </c>
      <c r="AB48" s="491" t="s">
        <v>128</v>
      </c>
      <c r="AC48" s="310"/>
      <c r="AK48" s="285"/>
      <c r="AL48" s="285"/>
      <c r="AM48" s="285"/>
    </row>
    <row r="49" spans="2:39" ht="13.5" customHeight="1">
      <c r="B49" s="285"/>
      <c r="C49" s="64" t="s">
        <v>111</v>
      </c>
      <c r="D49" s="298">
        <f t="shared" ref="D49:Q49" si="12">SUM(D27,D35,D46,D48)</f>
        <v>7.3670000000000115</v>
      </c>
      <c r="E49" s="298">
        <f t="shared" si="12"/>
        <v>89.993000000000023</v>
      </c>
      <c r="F49" s="298">
        <f t="shared" si="12"/>
        <v>69.913000000000039</v>
      </c>
      <c r="G49" s="492">
        <f t="shared" si="12"/>
        <v>271.05700000000013</v>
      </c>
      <c r="H49" s="585">
        <f t="shared" si="12"/>
        <v>-31.912000000000006</v>
      </c>
      <c r="I49" s="586">
        <f t="shared" si="12"/>
        <v>-144.74800000000005</v>
      </c>
      <c r="J49" s="586">
        <f t="shared" si="12"/>
        <v>-49.107000000000014</v>
      </c>
      <c r="K49" s="585">
        <f t="shared" si="12"/>
        <v>247.37199999999999</v>
      </c>
      <c r="L49" s="585">
        <f t="shared" si="12"/>
        <v>-19.131999999999962</v>
      </c>
      <c r="M49" s="585">
        <f t="shared" si="12"/>
        <v>69.141999999999939</v>
      </c>
      <c r="N49" s="585">
        <f>SUM(N27,N35,N46,N48)</f>
        <v>130.90400000000008</v>
      </c>
      <c r="O49" s="585">
        <f t="shared" si="12"/>
        <v>2.1155006398338827</v>
      </c>
      <c r="P49" s="585">
        <f t="shared" si="12"/>
        <v>-19.421505189401344</v>
      </c>
      <c r="Q49" s="585">
        <f t="shared" si="12"/>
        <v>125.93787292451324</v>
      </c>
      <c r="R49" s="585">
        <f>SUM(R27,R35,R46,R48)</f>
        <v>222.93073116946172</v>
      </c>
      <c r="S49" s="585">
        <f>SUM(S27,S35,S46,S48)</f>
        <v>472.93001447077859</v>
      </c>
      <c r="T49" s="585">
        <f t="shared" ref="T49:AB49" si="13">SUM(T27,T35,T46,T48)</f>
        <v>757.64435274044979</v>
      </c>
      <c r="U49" s="585">
        <f t="shared" si="13"/>
        <v>920.35618687326632</v>
      </c>
      <c r="V49" s="585">
        <f t="shared" si="13"/>
        <v>1073.4689586397424</v>
      </c>
      <c r="W49" s="585">
        <f t="shared" si="13"/>
        <v>1150.3886720332623</v>
      </c>
      <c r="X49" s="585">
        <f t="shared" si="13"/>
        <v>737.45581830361903</v>
      </c>
      <c r="Y49" s="585">
        <f t="shared" si="13"/>
        <v>-971.27438753334718</v>
      </c>
      <c r="Z49" s="585">
        <f t="shared" si="13"/>
        <v>-1377.9168927828696</v>
      </c>
      <c r="AA49" s="585">
        <f t="shared" si="13"/>
        <v>-1489.2162035781303</v>
      </c>
      <c r="AB49" s="585">
        <f t="shared" si="13"/>
        <v>-1694.259534716897</v>
      </c>
      <c r="AC49" s="299"/>
      <c r="AK49" s="285"/>
      <c r="AL49" s="285"/>
      <c r="AM49" s="285"/>
    </row>
    <row r="50" spans="2:39" ht="13.5" customHeight="1">
      <c r="B50" s="285"/>
      <c r="C50" s="64" t="s">
        <v>112</v>
      </c>
      <c r="D50" s="635">
        <v>11.494</v>
      </c>
      <c r="E50" s="298">
        <f>D52</f>
        <v>18.861000000000011</v>
      </c>
      <c r="F50" s="298">
        <f t="shared" ref="F50:M50" si="14">E52</f>
        <v>108.85400000000004</v>
      </c>
      <c r="G50" s="492">
        <f t="shared" si="14"/>
        <v>178.76700000000008</v>
      </c>
      <c r="H50" s="585">
        <f>G52</f>
        <v>449.82400000000018</v>
      </c>
      <c r="I50" s="586">
        <f t="shared" si="14"/>
        <v>417.91200000000015</v>
      </c>
      <c r="J50" s="586">
        <f t="shared" si="14"/>
        <v>273.1640000000001</v>
      </c>
      <c r="K50" s="585">
        <f t="shared" si="14"/>
        <v>224.05700000000007</v>
      </c>
      <c r="L50" s="585">
        <f t="shared" si="14"/>
        <v>471.42900000000009</v>
      </c>
      <c r="M50" s="585">
        <f t="shared" si="14"/>
        <v>452.29700000000014</v>
      </c>
      <c r="N50" s="585">
        <f>M52</f>
        <v>521.43900000000008</v>
      </c>
      <c r="O50" s="585">
        <f t="shared" ref="O50:S50" si="15">N52</f>
        <v>652.34300000000019</v>
      </c>
      <c r="P50" s="585">
        <f t="shared" si="15"/>
        <v>654.45850063983403</v>
      </c>
      <c r="Q50" s="585">
        <f t="shared" si="15"/>
        <v>635.03699545043264</v>
      </c>
      <c r="R50" s="585">
        <f t="shared" si="15"/>
        <v>760.97486837494591</v>
      </c>
      <c r="S50" s="585">
        <f t="shared" si="15"/>
        <v>983.90559954440766</v>
      </c>
      <c r="T50" s="585">
        <f t="shared" ref="T50:AB50" si="16">S52</f>
        <v>1456.8356140151864</v>
      </c>
      <c r="U50" s="585">
        <f t="shared" si="16"/>
        <v>2214.4799667556363</v>
      </c>
      <c r="V50" s="585">
        <f t="shared" si="16"/>
        <v>3134.8361536289026</v>
      </c>
      <c r="W50" s="585">
        <f t="shared" si="16"/>
        <v>4208.3051122686447</v>
      </c>
      <c r="X50" s="585">
        <f t="shared" si="16"/>
        <v>5358.6937843019068</v>
      </c>
      <c r="Y50" s="585">
        <f t="shared" si="16"/>
        <v>6096.1496026055256</v>
      </c>
      <c r="Z50" s="585">
        <f t="shared" si="16"/>
        <v>5124.8752150721784</v>
      </c>
      <c r="AA50" s="585">
        <f t="shared" si="16"/>
        <v>3746.9583222893089</v>
      </c>
      <c r="AB50" s="585">
        <f t="shared" si="16"/>
        <v>2257.7421187111786</v>
      </c>
      <c r="AC50" s="299"/>
      <c r="AK50" s="285"/>
      <c r="AL50" s="285"/>
      <c r="AM50" s="285"/>
    </row>
    <row r="51" spans="2:39" ht="13.5" customHeight="1">
      <c r="B51" s="285"/>
      <c r="C51" s="64"/>
      <c r="D51" s="635"/>
      <c r="E51" s="298"/>
      <c r="F51" s="298"/>
      <c r="G51" s="492"/>
      <c r="H51" s="585"/>
      <c r="I51" s="586"/>
      <c r="J51" s="586"/>
      <c r="K51" s="585"/>
      <c r="L51" s="585"/>
      <c r="M51" s="585"/>
      <c r="N51" s="585"/>
      <c r="O51" s="585"/>
      <c r="P51" s="585"/>
      <c r="Q51" s="585"/>
      <c r="R51" s="585"/>
      <c r="S51" s="585"/>
      <c r="T51" s="585"/>
      <c r="U51" s="585"/>
      <c r="V51" s="585"/>
      <c r="W51" s="585"/>
      <c r="X51" s="585"/>
      <c r="Y51" s="585"/>
      <c r="Z51" s="585"/>
      <c r="AA51" s="585"/>
      <c r="AB51" s="585"/>
      <c r="AC51" s="299"/>
      <c r="AK51" s="285"/>
      <c r="AL51" s="285"/>
      <c r="AM51" s="285"/>
    </row>
    <row r="52" spans="2:39">
      <c r="B52" s="285"/>
      <c r="C52" s="622" t="s">
        <v>188</v>
      </c>
      <c r="D52" s="623">
        <f t="shared" ref="D52:M52" si="17">SUM(D49:D50)</f>
        <v>18.861000000000011</v>
      </c>
      <c r="E52" s="624">
        <f t="shared" si="17"/>
        <v>108.85400000000004</v>
      </c>
      <c r="F52" s="624">
        <f t="shared" si="17"/>
        <v>178.76700000000008</v>
      </c>
      <c r="G52" s="625">
        <f t="shared" si="17"/>
        <v>449.82400000000018</v>
      </c>
      <c r="H52" s="626">
        <f t="shared" si="17"/>
        <v>417.91200000000015</v>
      </c>
      <c r="I52" s="626">
        <f t="shared" si="17"/>
        <v>273.1640000000001</v>
      </c>
      <c r="J52" s="626">
        <f t="shared" si="17"/>
        <v>224.05700000000007</v>
      </c>
      <c r="K52" s="626">
        <f t="shared" si="17"/>
        <v>471.42900000000009</v>
      </c>
      <c r="L52" s="626">
        <f t="shared" si="17"/>
        <v>452.29700000000014</v>
      </c>
      <c r="M52" s="626">
        <f t="shared" si="17"/>
        <v>521.43900000000008</v>
      </c>
      <c r="N52" s="626">
        <f>SUM(N49:N50)</f>
        <v>652.34300000000019</v>
      </c>
      <c r="O52" s="626">
        <f t="shared" ref="O52:AB52" si="18">SUM(O49:O50)</f>
        <v>654.45850063983403</v>
      </c>
      <c r="P52" s="626">
        <f t="shared" si="18"/>
        <v>635.03699545043264</v>
      </c>
      <c r="Q52" s="626">
        <f t="shared" si="18"/>
        <v>760.97486837494591</v>
      </c>
      <c r="R52" s="626">
        <f t="shared" si="18"/>
        <v>983.90559954440766</v>
      </c>
      <c r="S52" s="626">
        <f t="shared" si="18"/>
        <v>1456.8356140151864</v>
      </c>
      <c r="T52" s="626">
        <f t="shared" si="18"/>
        <v>2214.4799667556363</v>
      </c>
      <c r="U52" s="626">
        <f t="shared" si="18"/>
        <v>3134.8361536289026</v>
      </c>
      <c r="V52" s="626">
        <f t="shared" si="18"/>
        <v>4208.3051122686447</v>
      </c>
      <c r="W52" s="626">
        <f t="shared" si="18"/>
        <v>5358.6937843019068</v>
      </c>
      <c r="X52" s="626">
        <f t="shared" si="18"/>
        <v>6096.1496026055256</v>
      </c>
      <c r="Y52" s="626">
        <f t="shared" si="18"/>
        <v>5124.8752150721784</v>
      </c>
      <c r="Z52" s="626">
        <f t="shared" si="18"/>
        <v>3746.9583222893089</v>
      </c>
      <c r="AA52" s="626">
        <f t="shared" si="18"/>
        <v>2257.7421187111786</v>
      </c>
      <c r="AB52" s="626">
        <f t="shared" si="18"/>
        <v>563.48258399428164</v>
      </c>
      <c r="AC52" s="312"/>
      <c r="AK52" s="285"/>
      <c r="AL52" s="285"/>
      <c r="AM52" s="285"/>
    </row>
    <row r="53" spans="2:39">
      <c r="B53" s="285"/>
      <c r="C53" s="627" t="s">
        <v>247</v>
      </c>
      <c r="D53" s="628">
        <f>+'Balance Sheet '!D7</f>
        <v>299.71199999999999</v>
      </c>
      <c r="E53" s="628">
        <f>+'Balance Sheet '!E7</f>
        <v>147.57599999999999</v>
      </c>
      <c r="F53" s="628">
        <f>+'Balance Sheet '!F7</f>
        <v>19.257000000000001</v>
      </c>
      <c r="G53" s="629">
        <f>+'Balance Sheet '!G7</f>
        <v>20.594000000000001</v>
      </c>
      <c r="H53" s="630">
        <f>+'Balance Sheet '!H7</f>
        <v>6.2560000000000002</v>
      </c>
      <c r="I53" s="630">
        <f>+'Balance Sheet '!I7</f>
        <v>4.43</v>
      </c>
      <c r="J53" s="630">
        <f>+'Balance Sheet '!J7</f>
        <v>4.3609999999999998</v>
      </c>
      <c r="K53" s="630">
        <f>+'Balance Sheet '!K7</f>
        <v>37.575000000000003</v>
      </c>
      <c r="L53" s="630">
        <f>+'Balance Sheet '!L7</f>
        <v>147.96600000000001</v>
      </c>
      <c r="M53" s="630">
        <f>+'Balance Sheet '!M7</f>
        <v>186.34399999999999</v>
      </c>
      <c r="N53" s="630">
        <f>+'Balance Sheet '!N7</f>
        <v>156.203</v>
      </c>
      <c r="O53" s="630">
        <f>+'Balance Sheet '!O7</f>
        <v>56.203000000000003</v>
      </c>
      <c r="P53" s="630">
        <f>+'Balance Sheet '!P7</f>
        <v>76.203000000000003</v>
      </c>
      <c r="Q53" s="630">
        <f>+'Balance Sheet '!Q7</f>
        <v>96.203000000000003</v>
      </c>
      <c r="R53" s="630">
        <f>+'Balance Sheet '!R7</f>
        <v>116.203</v>
      </c>
      <c r="S53" s="630">
        <f>+'Balance Sheet '!S7</f>
        <v>136.203</v>
      </c>
      <c r="T53" s="630">
        <f>+'Balance Sheet '!T7</f>
        <v>156.203</v>
      </c>
      <c r="U53" s="630">
        <f>+'Balance Sheet '!U7</f>
        <v>176.203</v>
      </c>
      <c r="V53" s="630">
        <f>+'Balance Sheet '!V7</f>
        <v>196.203</v>
      </c>
      <c r="W53" s="630">
        <f>+'Balance Sheet '!W7</f>
        <v>216.203</v>
      </c>
      <c r="X53" s="630">
        <f>+'Balance Sheet '!X7</f>
        <v>236.203</v>
      </c>
      <c r="Y53" s="630">
        <f>+'Balance Sheet '!Y7</f>
        <v>256.20299999999997</v>
      </c>
      <c r="Z53" s="630">
        <f>+'Balance Sheet '!Z7</f>
        <v>276.20299999999997</v>
      </c>
      <c r="AA53" s="630">
        <f>+'Balance Sheet '!AA7</f>
        <v>296.20299999999997</v>
      </c>
      <c r="AB53" s="630">
        <f>+'Balance Sheet '!AB7</f>
        <v>316.20299999999997</v>
      </c>
      <c r="AC53" s="312"/>
      <c r="AK53" s="285"/>
      <c r="AL53" s="285"/>
      <c r="AM53" s="285"/>
    </row>
    <row r="54" spans="2:39">
      <c r="B54" s="285"/>
      <c r="C54" s="631" t="s">
        <v>189</v>
      </c>
      <c r="D54" s="632">
        <f>'Balance Sheet '!D6+'Balance Sheet '!D7</f>
        <v>318.57299999999998</v>
      </c>
      <c r="E54" s="632">
        <f>'Balance Sheet '!E6+'Balance Sheet '!E7</f>
        <v>256.43</v>
      </c>
      <c r="F54" s="632">
        <f>'Balance Sheet '!F6+'Balance Sheet '!F7</f>
        <v>198.024</v>
      </c>
      <c r="G54" s="633">
        <f>'Balance Sheet '!G6+'Balance Sheet '!G7</f>
        <v>470.41800000000001</v>
      </c>
      <c r="H54" s="634">
        <f>'Balance Sheet '!H6+'Balance Sheet '!H7</f>
        <v>424.16800000000012</v>
      </c>
      <c r="I54" s="634">
        <f>'Balance Sheet '!I6+'Balance Sheet '!I7</f>
        <v>277.59399999999999</v>
      </c>
      <c r="J54" s="634">
        <f>'Balance Sheet '!J6+'Balance Sheet '!J7</f>
        <v>228.41800000000006</v>
      </c>
      <c r="K54" s="634">
        <f>'Balance Sheet '!K6+'Balance Sheet '!K7</f>
        <v>509.00400000000008</v>
      </c>
      <c r="L54" s="634">
        <f>'Balance Sheet '!L6+'Balance Sheet '!L7</f>
        <v>600.26300000000015</v>
      </c>
      <c r="M54" s="634">
        <f>'Balance Sheet '!M6+'Balance Sheet '!M7</f>
        <v>707.78300000000013</v>
      </c>
      <c r="N54" s="634">
        <f>'Balance Sheet '!N6+'Balance Sheet '!N7</f>
        <v>808.54600000000016</v>
      </c>
      <c r="O54" s="634">
        <f>'Balance Sheet '!O6+'Balance Sheet '!O7</f>
        <v>710.661500639834</v>
      </c>
      <c r="P54" s="634">
        <f>'Balance Sheet '!P6+'Balance Sheet '!P7</f>
        <v>711.23999545043262</v>
      </c>
      <c r="Q54" s="634">
        <f>'Balance Sheet '!Q6+'Balance Sheet '!Q7</f>
        <v>857.17786837494589</v>
      </c>
      <c r="R54" s="634">
        <f>'Balance Sheet '!R6+'Balance Sheet '!R7</f>
        <v>1100.1085995444078</v>
      </c>
      <c r="S54" s="634">
        <f>'Balance Sheet '!S6+'Balance Sheet '!S7</f>
        <v>1593.0386140151863</v>
      </c>
      <c r="T54" s="634">
        <f>'Balance Sheet '!T6+'Balance Sheet '!T7</f>
        <v>2370.6829667556362</v>
      </c>
      <c r="U54" s="634">
        <f>'Balance Sheet '!U6+'Balance Sheet '!U7</f>
        <v>3311.0391536289026</v>
      </c>
      <c r="V54" s="634">
        <f>'Balance Sheet '!V6+'Balance Sheet '!V7</f>
        <v>4404.5081122686452</v>
      </c>
      <c r="W54" s="634">
        <f>'Balance Sheet '!W6+'Balance Sheet '!W7</f>
        <v>5574.8967843019072</v>
      </c>
      <c r="X54" s="634">
        <f>'Balance Sheet '!X6+'Balance Sheet '!X7</f>
        <v>6332.352602605526</v>
      </c>
      <c r="Y54" s="634">
        <f>'Balance Sheet '!Y6+'Balance Sheet '!Y7</f>
        <v>5381.0782150721789</v>
      </c>
      <c r="Z54" s="634">
        <f>'Balance Sheet '!Z6+'Balance Sheet '!Z7</f>
        <v>4023.1613222893088</v>
      </c>
      <c r="AA54" s="634">
        <f>'Balance Sheet '!AA6+'Balance Sheet '!AA7</f>
        <v>2553.9451187111786</v>
      </c>
      <c r="AB54" s="634">
        <f>'Balance Sheet '!AB6+'Balance Sheet '!AB7</f>
        <v>879.68558399428161</v>
      </c>
      <c r="AC54" s="312"/>
      <c r="AK54" s="285"/>
      <c r="AL54" s="285"/>
      <c r="AM54" s="285"/>
    </row>
    <row r="55" spans="2:39" ht="7.5" customHeight="1">
      <c r="B55" s="285"/>
      <c r="C55" s="61"/>
      <c r="D55" s="300"/>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K55" s="285"/>
      <c r="AL55" s="285"/>
      <c r="AM55" s="285"/>
    </row>
    <row r="56" spans="2:39" ht="13.5" customHeight="1">
      <c r="B56" s="285"/>
      <c r="C56" s="301"/>
      <c r="D56" s="300"/>
      <c r="E56" s="300"/>
      <c r="F56" s="302"/>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K56" s="285"/>
      <c r="AL56" s="285"/>
      <c r="AM56" s="285"/>
    </row>
    <row r="57" spans="2:39">
      <c r="B57" s="285"/>
      <c r="C57" s="288"/>
      <c r="D57" s="300"/>
      <c r="E57" s="300"/>
      <c r="F57" s="303"/>
      <c r="G57" s="300"/>
      <c r="H57" s="300"/>
      <c r="I57" s="300"/>
      <c r="J57" s="300"/>
      <c r="K57" s="300"/>
      <c r="L57" s="300"/>
      <c r="M57" s="300"/>
      <c r="N57" s="300"/>
      <c r="O57" s="300"/>
      <c r="P57" s="300"/>
      <c r="Q57" s="300"/>
      <c r="R57" s="300"/>
      <c r="S57" s="300"/>
      <c r="T57" s="300"/>
      <c r="U57" s="300"/>
      <c r="V57" s="300"/>
      <c r="W57" s="300"/>
      <c r="X57" s="300"/>
      <c r="Y57" s="300"/>
      <c r="Z57" s="300"/>
      <c r="AA57" s="300"/>
      <c r="AB57" s="300"/>
      <c r="AC57" s="300"/>
      <c r="AK57" s="285"/>
      <c r="AL57" s="285"/>
      <c r="AM57" s="285"/>
    </row>
    <row r="59" spans="2:39" hidden="1" outlineLevel="1">
      <c r="C59" s="61"/>
      <c r="D59" s="291"/>
      <c r="E59" s="291"/>
      <c r="F59" s="291"/>
      <c r="G59" s="291"/>
      <c r="H59" s="291"/>
      <c r="I59" s="300"/>
      <c r="J59" s="300"/>
      <c r="K59" s="300"/>
      <c r="L59" s="300"/>
      <c r="M59" s="300"/>
      <c r="N59" s="300"/>
      <c r="O59" s="300"/>
      <c r="P59" s="300"/>
      <c r="Q59" s="300"/>
      <c r="R59" s="300"/>
      <c r="S59" s="300"/>
      <c r="T59" s="300"/>
      <c r="U59" s="300"/>
      <c r="V59" s="300"/>
      <c r="W59" s="300"/>
      <c r="X59" s="300"/>
      <c r="Y59" s="300"/>
      <c r="Z59" s="300"/>
      <c r="AA59" s="300"/>
      <c r="AB59" s="300"/>
      <c r="AC59" s="300"/>
      <c r="AK59" s="285"/>
      <c r="AL59" s="285"/>
      <c r="AM59" s="285"/>
    </row>
    <row r="60" spans="2:39" hidden="1" outlineLevel="1">
      <c r="C60" s="426" t="s">
        <v>234</v>
      </c>
      <c r="D60" s="427">
        <f>+D27+D30</f>
        <v>-51.935000000000009</v>
      </c>
      <c r="E60" s="427">
        <f t="shared" ref="E60:O60" si="19">+E27+E30</f>
        <v>-93.847000000000008</v>
      </c>
      <c r="F60" s="427">
        <f t="shared" si="19"/>
        <v>-141.55799999999996</v>
      </c>
      <c r="G60" s="496">
        <f t="shared" si="19"/>
        <v>11.97100000000006</v>
      </c>
      <c r="H60" s="496">
        <f t="shared" si="19"/>
        <v>93.828999999999994</v>
      </c>
      <c r="I60" s="496">
        <f t="shared" si="19"/>
        <v>-165.51400000000004</v>
      </c>
      <c r="J60" s="496">
        <f t="shared" si="19"/>
        <v>-97.669000000000011</v>
      </c>
      <c r="K60" s="496">
        <f t="shared" si="19"/>
        <v>4.9129999999999923</v>
      </c>
      <c r="L60" s="496">
        <f>+L27+L30</f>
        <v>-1.6199999999999299</v>
      </c>
      <c r="M60" s="496">
        <f t="shared" si="19"/>
        <v>60.532999999999902</v>
      </c>
      <c r="N60" s="496">
        <f t="shared" si="19"/>
        <v>184.4790000000001</v>
      </c>
      <c r="O60" s="496">
        <f t="shared" si="19"/>
        <v>-120.17504356181605</v>
      </c>
      <c r="P60" s="496">
        <f>+P27+P30</f>
        <v>-29.690668450949161</v>
      </c>
      <c r="Q60" s="496">
        <f>+Q27+Q30</f>
        <v>94.19646358906104</v>
      </c>
      <c r="R60" s="496">
        <f>+R27+R30</f>
        <v>206.77453709540865</v>
      </c>
      <c r="S60" s="496">
        <f>+S27+S30</f>
        <v>415.84079519459482</v>
      </c>
      <c r="T60" s="496">
        <f t="shared" ref="T60:AB60" si="20">+T27+T30</f>
        <v>681.2333119765143</v>
      </c>
      <c r="U60" s="496">
        <f t="shared" si="20"/>
        <v>783.26502080336513</v>
      </c>
      <c r="V60" s="496">
        <f t="shared" si="20"/>
        <v>903.17569860569949</v>
      </c>
      <c r="W60" s="496">
        <f t="shared" si="20"/>
        <v>940.16270623818821</v>
      </c>
      <c r="X60" s="496">
        <f t="shared" si="20"/>
        <v>479.15100704893513</v>
      </c>
      <c r="Y60" s="496">
        <f t="shared" si="20"/>
        <v>-1212.2272121116907</v>
      </c>
      <c r="Z60" s="496">
        <f t="shared" si="20"/>
        <v>-1676.115413959702</v>
      </c>
      <c r="AA60" s="496">
        <f t="shared" si="20"/>
        <v>-1857.0689066921857</v>
      </c>
      <c r="AB60" s="496">
        <f t="shared" si="20"/>
        <v>-2146.9123680189741</v>
      </c>
      <c r="AC60" s="300"/>
      <c r="AL60" s="285"/>
      <c r="AM60" s="285"/>
    </row>
    <row r="61" spans="2:39" s="422" customFormat="1" hidden="1" outlineLevel="1">
      <c r="B61" s="423"/>
      <c r="C61" s="424"/>
      <c r="D61" s="425"/>
      <c r="E61" s="425"/>
      <c r="F61" s="425"/>
      <c r="G61" s="425"/>
      <c r="H61" s="425"/>
      <c r="I61" s="425"/>
      <c r="J61" s="425"/>
      <c r="K61" s="425"/>
      <c r="L61" s="425"/>
      <c r="M61" s="425"/>
      <c r="N61" s="425"/>
      <c r="O61" s="425"/>
      <c r="P61" s="425"/>
      <c r="Q61" s="425"/>
      <c r="R61" s="425"/>
      <c r="S61" s="425"/>
      <c r="T61" s="425"/>
      <c r="U61" s="425"/>
      <c r="V61" s="425"/>
      <c r="W61" s="425"/>
      <c r="X61" s="425"/>
      <c r="Y61" s="425"/>
      <c r="Z61" s="425"/>
      <c r="AA61" s="425"/>
      <c r="AB61" s="425"/>
      <c r="AC61" s="425"/>
      <c r="AE61"/>
      <c r="AF61"/>
      <c r="AG61"/>
      <c r="AH61"/>
      <c r="AI61"/>
      <c r="AJ61"/>
      <c r="AL61" s="424"/>
      <c r="AM61" s="424"/>
    </row>
    <row r="62" spans="2:39" customFormat="1" ht="18" hidden="1" customHeight="1" outlineLevel="1"/>
    <row r="63" spans="2:39" collapsed="1"/>
  </sheetData>
  <phoneticPr fontId="13" type="noConversion"/>
  <pageMargins left="0" right="0" top="0" bottom="0" header="0" footer="0"/>
  <pageSetup paperSize="5" scale="59" orientation="landscape" horizontalDpi="300" verticalDpi="300" r:id="rId1"/>
  <headerFooter alignWithMargins="0">
    <oddHeader>&amp;C&amp;A</oddHeader>
    <oddFooter>&amp;CPage &amp;P</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J361"/>
  <sheetViews>
    <sheetView showGridLines="0" zoomScaleNormal="100" workbookViewId="0"/>
  </sheetViews>
  <sheetFormatPr defaultColWidth="8.85546875" defaultRowHeight="15" outlineLevelRow="1"/>
  <cols>
    <col min="1" max="1" width="2.42578125" style="1320" customWidth="1"/>
    <col min="2" max="2" width="29.28515625" style="1320" customWidth="1"/>
    <col min="3" max="3" width="13.140625" style="1320" customWidth="1"/>
    <col min="4" max="5" width="12" style="1320" customWidth="1"/>
    <col min="6" max="6" width="12.140625" style="1320" customWidth="1"/>
    <col min="7" max="7" width="12.28515625" style="1320" customWidth="1"/>
    <col min="8" max="8" width="8.85546875" style="1320"/>
    <col min="9" max="9" width="12.5703125" style="1320" customWidth="1"/>
    <col min="10" max="10" width="14.42578125" style="1320" customWidth="1"/>
    <col min="11" max="11" width="8.85546875" style="1318"/>
    <col min="12" max="15" width="10.42578125" style="1318" customWidth="1"/>
    <col min="16" max="16" width="7.42578125" style="1318" customWidth="1"/>
    <col min="17" max="18" width="6.140625" style="1318" customWidth="1"/>
    <col min="19" max="19" width="5.140625" style="1318" customWidth="1"/>
    <col min="20" max="20" width="6.28515625" style="1318" customWidth="1"/>
    <col min="21" max="21" width="6.42578125" style="1318" customWidth="1"/>
    <col min="22" max="22" width="9.7109375" style="1318" bestFit="1" customWidth="1"/>
    <col min="23" max="23" width="5.140625" style="1318" customWidth="1"/>
    <col min="24" max="24" width="28.85546875" style="1318" bestFit="1" customWidth="1"/>
    <col min="25" max="25" width="6.7109375" style="1318" customWidth="1"/>
    <col min="26" max="26" width="5.85546875" style="1318" customWidth="1"/>
    <col min="27" max="27" width="7.28515625" style="1318" customWidth="1"/>
    <col min="28" max="28" width="5" style="1318" customWidth="1"/>
    <col min="29" max="16384" width="8.85546875" style="1318"/>
  </cols>
  <sheetData>
    <row r="1" spans="1:34" ht="6.75" customHeight="1" thickBot="1">
      <c r="A1" s="1318"/>
      <c r="B1" s="1318"/>
      <c r="C1" s="1318"/>
      <c r="D1" s="1318"/>
      <c r="E1" s="1318"/>
      <c r="F1" s="1318"/>
      <c r="G1" s="1318"/>
      <c r="H1" s="1318"/>
      <c r="I1" s="1318"/>
      <c r="J1" s="1318"/>
    </row>
    <row r="2" spans="1:34" ht="21.75" thickBot="1">
      <c r="A2" s="1318"/>
      <c r="B2" s="1556" t="s">
        <v>750</v>
      </c>
      <c r="C2" s="1557"/>
      <c r="D2" s="1557"/>
      <c r="E2" s="1557"/>
      <c r="F2" s="1557"/>
      <c r="G2" s="1557"/>
      <c r="H2" s="1557"/>
      <c r="I2" s="1557"/>
      <c r="J2" s="1558"/>
      <c r="K2" s="1319" t="s">
        <v>4</v>
      </c>
    </row>
    <row r="3" spans="1:34" ht="9.75" customHeight="1">
      <c r="A3" s="1318"/>
      <c r="B3" s="1318"/>
      <c r="C3" s="1318"/>
      <c r="D3" s="1318"/>
      <c r="E3" s="1318"/>
      <c r="F3" s="1318"/>
      <c r="G3" s="1318"/>
      <c r="H3" s="1318"/>
      <c r="I3" s="1318"/>
      <c r="J3" s="1318"/>
    </row>
    <row r="4" spans="1:34" ht="33" customHeight="1">
      <c r="B4" s="1321" t="s">
        <v>726</v>
      </c>
      <c r="C4" s="1322" t="s">
        <v>727</v>
      </c>
      <c r="D4" s="1322" t="s">
        <v>728</v>
      </c>
      <c r="E4" s="1322" t="s">
        <v>752</v>
      </c>
      <c r="F4" s="1322" t="s">
        <v>429</v>
      </c>
      <c r="G4" s="1322" t="s">
        <v>729</v>
      </c>
      <c r="H4" s="1322" t="s">
        <v>730</v>
      </c>
      <c r="I4" s="1322" t="s">
        <v>731</v>
      </c>
      <c r="J4" s="1322" t="s">
        <v>732</v>
      </c>
      <c r="R4" s="1323"/>
      <c r="S4" s="1423" t="s">
        <v>694</v>
      </c>
      <c r="T4" s="1323"/>
      <c r="U4" s="1323"/>
      <c r="V4" s="1323"/>
      <c r="W4" s="1323"/>
      <c r="X4" s="1423" t="s">
        <v>694</v>
      </c>
      <c r="Y4" s="1352">
        <f>J5+J6+J7</f>
        <v>49.955280295557074</v>
      </c>
      <c r="Z4" s="1352"/>
      <c r="AA4" s="1352"/>
      <c r="AB4" s="1352"/>
      <c r="AC4" s="1352"/>
      <c r="AD4" s="1352"/>
      <c r="AG4" s="1380">
        <f>Y5+Z5</f>
        <v>54.117954637480139</v>
      </c>
      <c r="AH4" s="1318">
        <f>AG4/69.11</f>
        <v>0.78306981098943917</v>
      </c>
    </row>
    <row r="5" spans="1:34">
      <c r="A5" s="1318"/>
      <c r="B5" s="1324" t="s">
        <v>742</v>
      </c>
      <c r="C5" s="1325">
        <f>MAX(SOP!C6:S6)</f>
        <v>1317.949393312723</v>
      </c>
      <c r="D5" s="1326" t="s">
        <v>733</v>
      </c>
      <c r="E5" s="1326">
        <f>SOP!C15</f>
        <v>4872.9267462920288</v>
      </c>
      <c r="F5" s="1327">
        <f>SOP!C16</f>
        <v>1</v>
      </c>
      <c r="G5" s="1328">
        <f>SOP!C17</f>
        <v>4872.9267462920288</v>
      </c>
      <c r="H5" s="1329" t="s">
        <v>733</v>
      </c>
      <c r="I5" s="1330">
        <f>SOP!C20</f>
        <v>7.0000000000000007E-2</v>
      </c>
      <c r="J5" s="1331">
        <f>SOP!C18</f>
        <v>23.028954377561572</v>
      </c>
      <c r="L5" s="1530"/>
      <c r="Q5" s="1332"/>
      <c r="S5" s="1318" t="s">
        <v>416</v>
      </c>
      <c r="X5" s="1318" t="s">
        <v>416</v>
      </c>
      <c r="Y5" s="1352">
        <f>Y4</f>
        <v>49.955280295557074</v>
      </c>
      <c r="Z5" s="1352">
        <f>J9+J11+J12</f>
        <v>4.1626743419230641</v>
      </c>
      <c r="AA5" s="1352"/>
      <c r="AB5" s="1352"/>
      <c r="AC5" s="1352"/>
      <c r="AD5" s="1352"/>
    </row>
    <row r="6" spans="1:34">
      <c r="A6" s="1318"/>
      <c r="B6" s="1324" t="s">
        <v>743</v>
      </c>
      <c r="C6" s="1325">
        <f>MAX(SOP!C29:S29)</f>
        <v>1317.8208003248742</v>
      </c>
      <c r="D6" s="1326" t="s">
        <v>733</v>
      </c>
      <c r="E6" s="1326">
        <f>SOP!C38</f>
        <v>4373.2498468343983</v>
      </c>
      <c r="F6" s="1327">
        <f>SOP!C39</f>
        <v>1</v>
      </c>
      <c r="G6" s="1328">
        <f>SOP!C40</f>
        <v>4373.2498468343983</v>
      </c>
      <c r="H6" s="1329" t="s">
        <v>733</v>
      </c>
      <c r="I6" s="1330">
        <f>SOP!C43</f>
        <v>7.0000000000000007E-2</v>
      </c>
      <c r="J6" s="1331">
        <f>SOP!C41</f>
        <v>20.667532357440447</v>
      </c>
      <c r="L6" s="1400"/>
      <c r="M6" s="1400"/>
      <c r="N6" s="1400"/>
      <c r="O6" s="1400"/>
      <c r="Q6" s="1332"/>
      <c r="S6" s="1318" t="s">
        <v>766</v>
      </c>
      <c r="X6" s="1318" t="str">
        <f>S11</f>
        <v>Cash</v>
      </c>
      <c r="Y6" s="1352">
        <v>46</v>
      </c>
      <c r="Z6" s="1352">
        <v>15</v>
      </c>
      <c r="AA6" s="1352">
        <f>J13+J14+J16+J19</f>
        <v>0</v>
      </c>
      <c r="AB6" s="1352"/>
      <c r="AC6" s="1352"/>
      <c r="AD6" s="1352"/>
    </row>
    <row r="7" spans="1:34">
      <c r="A7" s="1318"/>
      <c r="B7" s="1324" t="s">
        <v>744</v>
      </c>
      <c r="C7" s="1325">
        <f>MAX(SOP!C52:S52)</f>
        <v>249.52225853216822</v>
      </c>
      <c r="D7" s="1326" t="s">
        <v>733</v>
      </c>
      <c r="E7" s="1326">
        <f>SOP!C61</f>
        <v>1324.3607174134504</v>
      </c>
      <c r="F7" s="1327">
        <f>SOP!C62</f>
        <v>1</v>
      </c>
      <c r="G7" s="1328">
        <f>SOP!C63</f>
        <v>1324.3607174134504</v>
      </c>
      <c r="H7" s="1329" t="s">
        <v>733</v>
      </c>
      <c r="I7" s="1330">
        <f>SOP!C66</f>
        <v>7.0000000000000007E-2</v>
      </c>
      <c r="J7" s="1331">
        <f>SOP!C64</f>
        <v>6.2587935605550591</v>
      </c>
      <c r="M7" s="1552"/>
      <c r="Q7" s="1332"/>
      <c r="S7" s="1318" t="s">
        <v>754</v>
      </c>
      <c r="X7" s="1318" t="str">
        <f>S6</f>
        <v>Epacadostat (IDO1)</v>
      </c>
      <c r="Y7" s="1352">
        <v>46</v>
      </c>
      <c r="Z7" s="1352">
        <v>15</v>
      </c>
      <c r="AA7" s="1352">
        <v>9</v>
      </c>
      <c r="AB7" s="1352">
        <f>J20+J21</f>
        <v>10.436976369899144</v>
      </c>
      <c r="AC7" s="1352"/>
      <c r="AD7" s="1352"/>
    </row>
    <row r="8" spans="1:34">
      <c r="A8" s="1318"/>
      <c r="B8" s="1324" t="s">
        <v>795</v>
      </c>
      <c r="C8" s="1325">
        <f>MAX(SOP!E75:S75)</f>
        <v>165.84104725650005</v>
      </c>
      <c r="D8" s="1326" t="s">
        <v>733</v>
      </c>
      <c r="E8" s="1326">
        <f>SOP!C84</f>
        <v>215.32425272822184</v>
      </c>
      <c r="F8" s="1327">
        <v>1</v>
      </c>
      <c r="G8" s="1328">
        <f>SOP!C86</f>
        <v>215.32425272822184</v>
      </c>
      <c r="H8" s="1329" t="s">
        <v>733</v>
      </c>
      <c r="I8" s="1330">
        <f>SOP!C89</f>
        <v>7.0000000000000007E-2</v>
      </c>
      <c r="J8" s="1331">
        <f>SOP!C87</f>
        <v>1.0176004382241108</v>
      </c>
      <c r="Q8" s="1332"/>
      <c r="Y8" s="1352"/>
      <c r="Z8" s="1352"/>
      <c r="AA8" s="1352"/>
      <c r="AB8" s="1352"/>
      <c r="AC8" s="1352"/>
      <c r="AD8" s="1352"/>
    </row>
    <row r="9" spans="1:34">
      <c r="A9" s="1318"/>
      <c r="B9" s="1324" t="s">
        <v>861</v>
      </c>
      <c r="C9" s="1325">
        <f>MAX(SOP!C98:S98)</f>
        <v>319.84975652704276</v>
      </c>
      <c r="D9" s="1326" t="s">
        <v>734</v>
      </c>
      <c r="E9" s="1326">
        <f>SOP!C107</f>
        <v>1243.1832361873999</v>
      </c>
      <c r="F9" s="1327">
        <f>SOP!C108</f>
        <v>0.3</v>
      </c>
      <c r="G9" s="1328">
        <f>SOP!C109</f>
        <v>372.95497085621997</v>
      </c>
      <c r="H9" s="1329">
        <v>2019</v>
      </c>
      <c r="I9" s="1330">
        <f>SOP!C112</f>
        <v>0.255</v>
      </c>
      <c r="J9" s="1331">
        <f>SOP!C110</f>
        <v>1.7625471212486767</v>
      </c>
      <c r="Q9" s="1332"/>
      <c r="S9" s="1318" t="s">
        <v>755</v>
      </c>
      <c r="X9" s="1318" t="str">
        <f>S7</f>
        <v>JAK1 / PI3Kδ</v>
      </c>
      <c r="Y9" s="1352">
        <v>46</v>
      </c>
      <c r="Z9" s="1352">
        <v>15</v>
      </c>
      <c r="AA9" s="1352">
        <v>9</v>
      </c>
      <c r="AB9" s="1352">
        <v>7</v>
      </c>
      <c r="AC9" s="1352">
        <f>J22</f>
        <v>4.7258979206049148</v>
      </c>
      <c r="AD9" s="1352"/>
    </row>
    <row r="10" spans="1:34">
      <c r="A10" s="1318"/>
      <c r="B10" s="1324" t="s">
        <v>862</v>
      </c>
      <c r="C10" s="1325">
        <f>MAX(SOP!C121:S121)</f>
        <v>92.840698799470346</v>
      </c>
      <c r="D10" s="1326" t="s">
        <v>863</v>
      </c>
      <c r="E10" s="1326">
        <f>SOP!C130</f>
        <v>520.49321673149302</v>
      </c>
      <c r="F10" s="1327">
        <f>SOP!C131</f>
        <v>1</v>
      </c>
      <c r="G10" s="1328">
        <f>SOP!C132</f>
        <v>520.49321673149302</v>
      </c>
      <c r="H10" s="1329">
        <v>2017</v>
      </c>
      <c r="I10" s="1330">
        <f>SOP!C135</f>
        <v>7.0000000000000007E-2</v>
      </c>
      <c r="J10" s="1331">
        <f>SOP!C133</f>
        <v>2.4597978106403264</v>
      </c>
      <c r="Q10" s="1332"/>
      <c r="Y10" s="1352"/>
      <c r="Z10" s="1352"/>
      <c r="AA10" s="1352"/>
      <c r="AB10" s="1352"/>
      <c r="AC10" s="1352"/>
      <c r="AD10" s="1352"/>
    </row>
    <row r="11" spans="1:34">
      <c r="A11" s="1318"/>
      <c r="B11" s="1324" t="s">
        <v>745</v>
      </c>
      <c r="C11" s="1325">
        <f>MAX(SOP!C144:S144)</f>
        <v>376.34776221308539</v>
      </c>
      <c r="D11" s="1326" t="s">
        <v>735</v>
      </c>
      <c r="E11" s="1326">
        <f>SOP!C153</f>
        <v>1039.3345994735018</v>
      </c>
      <c r="F11" s="1327">
        <f>SOP!C154</f>
        <v>0.2</v>
      </c>
      <c r="G11" s="1328">
        <f>SOP!C155</f>
        <v>207.86691989470037</v>
      </c>
      <c r="H11" s="1329">
        <v>2020</v>
      </c>
      <c r="I11" s="1330">
        <f>SOP!C158</f>
        <v>0.22080181241964802</v>
      </c>
      <c r="J11" s="1331">
        <f>SOP!C156</f>
        <v>0.98235784449291297</v>
      </c>
      <c r="Q11" s="1332"/>
      <c r="S11" s="1318" t="s">
        <v>767</v>
      </c>
      <c r="X11" s="1318" t="str">
        <f t="shared" ref="X11" si="0">S9</f>
        <v>Early Clin / Pre-Clin / Discovery</v>
      </c>
      <c r="Y11" s="1352">
        <v>46</v>
      </c>
      <c r="Z11" s="1352">
        <v>15</v>
      </c>
      <c r="AA11" s="1352">
        <v>9</v>
      </c>
      <c r="AB11" s="1352">
        <v>7</v>
      </c>
      <c r="AC11" s="1352">
        <v>5</v>
      </c>
      <c r="AD11" s="1352">
        <f>J26</f>
        <v>3.0718336483931949</v>
      </c>
    </row>
    <row r="12" spans="1:34">
      <c r="A12" s="1318"/>
      <c r="B12" s="1324" t="s">
        <v>764</v>
      </c>
      <c r="C12" s="1325"/>
      <c r="D12" s="1326" t="s">
        <v>735</v>
      </c>
      <c r="E12" s="1326">
        <f>SOP!C178</f>
        <v>300</v>
      </c>
      <c r="F12" s="1327"/>
      <c r="G12" s="1328">
        <f>SOP!C178</f>
        <v>300</v>
      </c>
      <c r="H12" s="1329">
        <v>2022</v>
      </c>
      <c r="I12" s="1330"/>
      <c r="J12" s="1331">
        <f>SOP!C179</f>
        <v>1.4177693761814745</v>
      </c>
      <c r="Q12" s="1332"/>
      <c r="S12" s="1318" t="s">
        <v>768</v>
      </c>
      <c r="X12" s="1318" t="s">
        <v>768</v>
      </c>
      <c r="Y12" s="1352">
        <v>46</v>
      </c>
      <c r="Z12" s="1352">
        <v>15</v>
      </c>
      <c r="AA12" s="1352">
        <v>9</v>
      </c>
      <c r="AB12" s="1352">
        <v>7</v>
      </c>
      <c r="AC12" s="1352">
        <v>5</v>
      </c>
      <c r="AD12" s="1352">
        <v>4</v>
      </c>
      <c r="AE12" s="1352">
        <v>85.5</v>
      </c>
    </row>
    <row r="13" spans="1:34" hidden="1" outlineLevel="1">
      <c r="A13" s="1318"/>
      <c r="B13" s="1324" t="s">
        <v>690</v>
      </c>
      <c r="C13" s="1326">
        <f>MAX(SOP!C190:S190)</f>
        <v>0</v>
      </c>
      <c r="D13" s="1326" t="s">
        <v>734</v>
      </c>
      <c r="E13" s="1326">
        <f>SOP!C199</f>
        <v>0</v>
      </c>
      <c r="F13" s="1327">
        <f>SOP!C200</f>
        <v>0</v>
      </c>
      <c r="G13" s="1328">
        <f>SOP!C201</f>
        <v>0</v>
      </c>
      <c r="H13" s="1329">
        <v>2019</v>
      </c>
      <c r="I13" s="1330"/>
      <c r="J13" s="1333">
        <f>SOP!C202</f>
        <v>0</v>
      </c>
      <c r="M13" s="1380">
        <f>SUM(J5:J8,J10)</f>
        <v>53.432678544421506</v>
      </c>
      <c r="N13" s="1360">
        <f>M13/64</f>
        <v>0.83488560225658603</v>
      </c>
      <c r="Q13" s="1332"/>
    </row>
    <row r="14" spans="1:34" hidden="1" outlineLevel="1">
      <c r="A14" s="1318"/>
      <c r="B14" s="1324" t="s">
        <v>853</v>
      </c>
      <c r="C14" s="1326">
        <f>MAX(SOP!C213:S213)</f>
        <v>0</v>
      </c>
      <c r="D14" s="1326" t="s">
        <v>734</v>
      </c>
      <c r="E14" s="1326">
        <f>SOP!C222</f>
        <v>0</v>
      </c>
      <c r="F14" s="1327">
        <f>SOP!C223</f>
        <v>0</v>
      </c>
      <c r="G14" s="1328">
        <f>SOP!C224</f>
        <v>0</v>
      </c>
      <c r="H14" s="1329">
        <v>2020</v>
      </c>
      <c r="I14" s="1330"/>
      <c r="J14" s="1333">
        <f>SOP!C225</f>
        <v>0</v>
      </c>
      <c r="Q14" s="1332"/>
    </row>
    <row r="15" spans="1:34" hidden="1" outlineLevel="1">
      <c r="A15" s="1318"/>
      <c r="B15" s="1324" t="s">
        <v>854</v>
      </c>
      <c r="C15" s="1326">
        <f>MAX(SOP!C236:S236)</f>
        <v>0.09</v>
      </c>
      <c r="D15" s="1326" t="s">
        <v>734</v>
      </c>
      <c r="E15" s="1326">
        <f>SOP!C245</f>
        <v>0</v>
      </c>
      <c r="F15" s="1327">
        <f>SOP!C246</f>
        <v>0</v>
      </c>
      <c r="G15" s="1328">
        <f>SOP!C247</f>
        <v>0</v>
      </c>
      <c r="H15" s="1329">
        <v>2020</v>
      </c>
      <c r="I15" s="1330"/>
      <c r="J15" s="1333">
        <f>SOP!C248</f>
        <v>0</v>
      </c>
      <c r="Q15" s="1332"/>
    </row>
    <row r="16" spans="1:34" hidden="1" outlineLevel="1">
      <c r="A16" s="1318"/>
      <c r="B16" s="1324" t="s">
        <v>746</v>
      </c>
      <c r="C16" s="1326">
        <f>MAX(SOP!C259:S259)</f>
        <v>0</v>
      </c>
      <c r="D16" s="1326" t="s">
        <v>734</v>
      </c>
      <c r="E16" s="1326">
        <f>SOP!C268</f>
        <v>0</v>
      </c>
      <c r="F16" s="1327">
        <f>SOP!C269</f>
        <v>0</v>
      </c>
      <c r="G16" s="1328">
        <f>SOP!C270</f>
        <v>0</v>
      </c>
      <c r="H16" s="1329">
        <v>2020</v>
      </c>
      <c r="I16" s="1330"/>
      <c r="J16" s="1333">
        <f>SOP!C271</f>
        <v>0</v>
      </c>
      <c r="Q16" s="1332"/>
    </row>
    <row r="17" spans="1:28" hidden="1" outlineLevel="1">
      <c r="A17" s="1318"/>
      <c r="B17" s="1324" t="s">
        <v>822</v>
      </c>
      <c r="C17" s="1326">
        <f>MAX(SOP!C282:S282)</f>
        <v>0</v>
      </c>
      <c r="D17" s="1326" t="s">
        <v>734</v>
      </c>
      <c r="E17" s="1326">
        <f>SOP!C291</f>
        <v>0</v>
      </c>
      <c r="F17" s="1327">
        <f>SOP!C292</f>
        <v>0</v>
      </c>
      <c r="G17" s="1328">
        <f>SOP!C293</f>
        <v>0</v>
      </c>
      <c r="H17" s="1329">
        <v>2020</v>
      </c>
      <c r="I17" s="1330"/>
      <c r="J17" s="1333">
        <f>SOP!C294</f>
        <v>0</v>
      </c>
      <c r="Q17" s="1332"/>
    </row>
    <row r="18" spans="1:28" hidden="1" outlineLevel="1">
      <c r="A18" s="1318"/>
      <c r="B18" s="1324" t="s">
        <v>823</v>
      </c>
      <c r="C18" s="1326">
        <f>MAX(SOP!C305:S305)</f>
        <v>0</v>
      </c>
      <c r="D18" s="1326" t="s">
        <v>734</v>
      </c>
      <c r="E18" s="1326">
        <f>SOP!C314</f>
        <v>0</v>
      </c>
      <c r="F18" s="1327">
        <f>SOP!C315</f>
        <v>0</v>
      </c>
      <c r="G18" s="1328">
        <f>SOP!C316</f>
        <v>0</v>
      </c>
      <c r="H18" s="1329">
        <v>2020</v>
      </c>
      <c r="I18" s="1330"/>
      <c r="J18" s="1333">
        <f>SOP!C317</f>
        <v>0</v>
      </c>
      <c r="Q18" s="1332"/>
    </row>
    <row r="19" spans="1:28" hidden="1" outlineLevel="1">
      <c r="A19" s="1318"/>
      <c r="B19" s="1324" t="s">
        <v>747</v>
      </c>
      <c r="C19" s="1326">
        <f>MAX(SOP!C328:S328)</f>
        <v>0</v>
      </c>
      <c r="D19" s="1326" t="s">
        <v>751</v>
      </c>
      <c r="E19" s="1326">
        <f>SOP!C337</f>
        <v>0</v>
      </c>
      <c r="F19" s="1327">
        <f>SOP!C338</f>
        <v>0</v>
      </c>
      <c r="G19" s="1328">
        <f>SOP!C339</f>
        <v>0</v>
      </c>
      <c r="H19" s="1329">
        <v>2020</v>
      </c>
      <c r="I19" s="1330"/>
      <c r="J19" s="1333">
        <f>SOP!C340</f>
        <v>0</v>
      </c>
      <c r="M19" s="1318">
        <f>350/245-1</f>
        <v>0.4285714285714286</v>
      </c>
      <c r="Q19" s="1332"/>
    </row>
    <row r="20" spans="1:28" collapsed="1">
      <c r="A20" s="1318"/>
      <c r="B20" s="1324" t="s">
        <v>802</v>
      </c>
      <c r="C20" s="1326">
        <f>MAX(SOP!C351:S351)</f>
        <v>1337.7611669945827</v>
      </c>
      <c r="D20" s="1326" t="s">
        <v>734</v>
      </c>
      <c r="E20" s="1326">
        <f>SOP!C360</f>
        <v>2810.9984697712662</v>
      </c>
      <c r="F20" s="1327">
        <f>SOP!C361</f>
        <v>0.65</v>
      </c>
      <c r="G20" s="1328">
        <f>SOP!C362</f>
        <v>1827.149005351323</v>
      </c>
      <c r="H20" s="1329">
        <v>2020</v>
      </c>
      <c r="I20" s="1330">
        <f>SOP!C365</f>
        <v>0.19682614117672381</v>
      </c>
      <c r="J20" s="1333">
        <f>SOP!C363</f>
        <v>8.6349196850251566</v>
      </c>
      <c r="O20" s="1318">
        <v>225</v>
      </c>
      <c r="Q20" s="1332"/>
    </row>
    <row r="21" spans="1:28">
      <c r="A21" s="1318"/>
      <c r="B21" s="1324" t="s">
        <v>765</v>
      </c>
      <c r="C21" s="1326">
        <f>MAX(SOP!C374:S374)</f>
        <v>919.47845653693537</v>
      </c>
      <c r="D21" s="1326" t="s">
        <v>749</v>
      </c>
      <c r="E21" s="1326">
        <f>SOP!C383</f>
        <v>1271.0506483977858</v>
      </c>
      <c r="F21" s="1327">
        <f>SOP!C384</f>
        <v>0.3</v>
      </c>
      <c r="G21" s="1328">
        <f>SOP!C385</f>
        <v>381.31519451933576</v>
      </c>
      <c r="H21" s="1329">
        <v>2022</v>
      </c>
      <c r="I21" s="1330">
        <f>SOP!C388</f>
        <v>0.19025001991246193</v>
      </c>
      <c r="J21" s="1333">
        <f>SOP!C386</f>
        <v>1.8020566848739876</v>
      </c>
      <c r="O21" s="1318">
        <f>350-O20</f>
        <v>125</v>
      </c>
      <c r="Q21" s="1332"/>
    </row>
    <row r="22" spans="1:28">
      <c r="A22" s="1318"/>
      <c r="B22" s="1324" t="s">
        <v>753</v>
      </c>
      <c r="C22" s="1326"/>
      <c r="D22" s="1326" t="s">
        <v>748</v>
      </c>
      <c r="E22" s="1326">
        <f>SOP!C408</f>
        <v>1000</v>
      </c>
      <c r="F22" s="1327"/>
      <c r="G22" s="1328">
        <f>SOP!C408</f>
        <v>1000</v>
      </c>
      <c r="H22" s="1329"/>
      <c r="I22" s="1329"/>
      <c r="J22" s="1333">
        <f>SOP!C409</f>
        <v>4.7258979206049148</v>
      </c>
      <c r="M22" s="1380"/>
      <c r="Q22" s="1332"/>
    </row>
    <row r="23" spans="1:28" ht="12" customHeight="1">
      <c r="A23" s="1318"/>
      <c r="B23" s="1324"/>
      <c r="C23" s="1334"/>
      <c r="D23" s="1334"/>
      <c r="E23" s="1334"/>
      <c r="F23" s="1335"/>
      <c r="G23" s="1328"/>
      <c r="H23" s="1336"/>
      <c r="I23" s="1336"/>
      <c r="J23" s="1333"/>
      <c r="M23" s="1553"/>
      <c r="Q23" s="1332"/>
    </row>
    <row r="24" spans="1:28">
      <c r="B24" s="1337"/>
      <c r="C24" s="1338"/>
      <c r="D24" s="1338"/>
      <c r="E24" s="1338"/>
      <c r="F24" s="1339"/>
      <c r="G24" s="1340"/>
      <c r="H24" s="1341"/>
      <c r="I24" s="1341"/>
      <c r="J24" s="1342"/>
      <c r="M24" s="1553"/>
      <c r="Q24" s="1332"/>
    </row>
    <row r="25" spans="1:28">
      <c r="A25" s="1318"/>
      <c r="B25" s="1343" t="s">
        <v>736</v>
      </c>
      <c r="C25" s="1344"/>
      <c r="D25" s="1344"/>
      <c r="E25" s="1328">
        <f>SUM(E5:E22)</f>
        <v>18970.921733829546</v>
      </c>
      <c r="F25" s="1344"/>
      <c r="G25" s="1328">
        <f>SUM(G5:G22)</f>
        <v>15395.640870621171</v>
      </c>
      <c r="H25" s="1344"/>
      <c r="I25" s="1330">
        <f>SOP!C449</f>
        <v>0.10549392518475385</v>
      </c>
      <c r="J25" s="1345">
        <f>SOP!C415</f>
        <v>72.758227176848635</v>
      </c>
      <c r="Q25" s="1332"/>
    </row>
    <row r="26" spans="1:28">
      <c r="A26" s="1318"/>
      <c r="B26" s="1343" t="s">
        <v>737</v>
      </c>
      <c r="C26" s="1346"/>
      <c r="D26" s="1347"/>
      <c r="E26" s="1347"/>
      <c r="F26" s="1344"/>
      <c r="G26" s="1344"/>
      <c r="H26" s="1344"/>
      <c r="I26" s="1344"/>
      <c r="J26" s="1345">
        <f>SOP!C428</f>
        <v>3.0718336483931949</v>
      </c>
      <c r="Q26" s="1332"/>
    </row>
    <row r="27" spans="1:28">
      <c r="B27" s="1348"/>
      <c r="C27" s="1349"/>
      <c r="D27" s="1349"/>
      <c r="E27" s="1349"/>
      <c r="F27" s="1349"/>
      <c r="G27" s="1349"/>
      <c r="H27" s="1349"/>
      <c r="I27" s="1349"/>
      <c r="J27" s="1350"/>
      <c r="Q27" s="1332"/>
      <c r="S27" s="1351"/>
    </row>
    <row r="28" spans="1:28" ht="7.5" customHeight="1" thickBot="1">
      <c r="A28" s="1318"/>
      <c r="B28" s="1343"/>
      <c r="C28" s="1344"/>
      <c r="D28" s="1344"/>
      <c r="E28" s="1344"/>
      <c r="F28" s="1344"/>
      <c r="G28" s="1344"/>
      <c r="H28" s="1344"/>
      <c r="I28" s="1344"/>
      <c r="J28" s="1352"/>
      <c r="P28" s="1351"/>
      <c r="Q28" s="1332"/>
    </row>
    <row r="29" spans="1:28" ht="15.75" thickBot="1">
      <c r="A29" s="1318"/>
      <c r="B29" s="1353" t="s">
        <v>738</v>
      </c>
      <c r="C29" s="1354">
        <f>SOP!C413</f>
        <v>211.6</v>
      </c>
      <c r="D29" s="1355"/>
      <c r="E29" s="1355"/>
      <c r="F29" s="1344"/>
      <c r="G29" s="1344"/>
      <c r="H29" s="1344"/>
      <c r="I29" s="1344"/>
      <c r="J29" s="1352"/>
      <c r="Q29" s="1332"/>
    </row>
    <row r="30" spans="1:28" ht="7.5" customHeight="1" thickBot="1">
      <c r="A30" s="1318"/>
      <c r="B30" s="1343"/>
      <c r="C30" s="1344"/>
      <c r="D30" s="1344"/>
      <c r="E30" s="1344"/>
      <c r="F30" s="1344"/>
      <c r="G30" s="1344"/>
      <c r="H30" s="1344"/>
      <c r="I30" s="1344"/>
      <c r="J30" s="1352"/>
      <c r="P30" s="1356"/>
      <c r="Q30" s="1357"/>
      <c r="R30" s="1356"/>
      <c r="S30" s="1356"/>
      <c r="T30" s="1356"/>
      <c r="U30" s="1356"/>
      <c r="V30" s="1356"/>
      <c r="W30" s="1356"/>
      <c r="X30" s="1356"/>
      <c r="Y30" s="1356"/>
      <c r="Z30" s="1356"/>
      <c r="AA30" s="1356"/>
      <c r="AB30" s="1356"/>
    </row>
    <row r="31" spans="1:28" ht="15.75" thickBot="1">
      <c r="A31" s="1318"/>
      <c r="B31" s="1353" t="s">
        <v>880</v>
      </c>
      <c r="C31" s="1358"/>
      <c r="D31" s="1358"/>
      <c r="E31" s="1358"/>
      <c r="F31" s="1358"/>
      <c r="G31" s="1358"/>
      <c r="H31" s="1358"/>
      <c r="I31" s="1358"/>
      <c r="J31" s="1359">
        <f>SOP!C431</f>
        <v>75.83006082524183</v>
      </c>
      <c r="K31" s="1360"/>
      <c r="L31" s="1380"/>
      <c r="P31" s="1356"/>
      <c r="Q31" s="1356"/>
      <c r="R31" s="1559"/>
      <c r="S31" s="1560"/>
      <c r="T31" s="1560"/>
      <c r="U31" s="1560"/>
      <c r="V31" s="1560"/>
      <c r="W31" s="1560"/>
      <c r="X31" s="1560"/>
      <c r="Y31" s="1560"/>
      <c r="Z31" s="1560"/>
      <c r="AA31" s="1560"/>
      <c r="AB31" s="1356"/>
    </row>
    <row r="32" spans="1:28" ht="7.5" customHeight="1" thickBot="1">
      <c r="A32" s="1318"/>
      <c r="B32" s="1318"/>
      <c r="C32" s="1318"/>
      <c r="D32" s="1318"/>
      <c r="E32" s="1318"/>
      <c r="F32" s="1318"/>
      <c r="G32" s="1318"/>
      <c r="H32" s="1318"/>
      <c r="I32" s="1318"/>
      <c r="J32" s="1318"/>
      <c r="P32" s="1356"/>
      <c r="Q32" s="1356"/>
      <c r="R32" s="1356"/>
      <c r="S32" s="1356"/>
      <c r="T32" s="1356"/>
      <c r="U32" s="1356"/>
      <c r="V32" s="1356"/>
      <c r="W32" s="1356"/>
      <c r="X32" s="1356"/>
      <c r="Y32" s="1356"/>
      <c r="Z32" s="1356"/>
      <c r="AA32" s="1356"/>
      <c r="AB32" s="1356"/>
    </row>
    <row r="33" spans="1:36" ht="15.75" hidden="1" outlineLevel="1" thickBot="1">
      <c r="A33" s="1318"/>
      <c r="B33" s="1361" t="s">
        <v>739</v>
      </c>
      <c r="C33" s="1358"/>
      <c r="D33" s="1358"/>
      <c r="E33" s="1358"/>
      <c r="F33" s="1358"/>
      <c r="G33" s="1358"/>
      <c r="H33" s="1358"/>
      <c r="I33" s="1358"/>
      <c r="J33" s="1359">
        <f>SOP!E431</f>
        <v>92.726473222256814</v>
      </c>
      <c r="P33" s="1356"/>
      <c r="Q33" s="1356"/>
      <c r="R33" s="1559"/>
      <c r="S33" s="1560"/>
      <c r="T33" s="1560"/>
      <c r="U33" s="1560"/>
      <c r="V33" s="1560"/>
      <c r="W33" s="1560"/>
      <c r="X33" s="1560"/>
      <c r="Y33" s="1560"/>
      <c r="Z33" s="1560"/>
      <c r="AA33" s="1560"/>
      <c r="AB33" s="1356"/>
    </row>
    <row r="34" spans="1:36" ht="7.5" hidden="1" customHeight="1" outlineLevel="1" thickBot="1">
      <c r="A34" s="1318"/>
      <c r="B34" s="1318"/>
      <c r="C34" s="1318"/>
      <c r="D34" s="1318"/>
      <c r="E34" s="1318"/>
      <c r="F34" s="1318"/>
      <c r="G34" s="1318"/>
      <c r="H34" s="1318"/>
      <c r="I34" s="1318"/>
      <c r="J34" s="1318"/>
      <c r="P34" s="1356"/>
      <c r="Q34" s="1356"/>
      <c r="R34" s="1356"/>
      <c r="S34" s="1356"/>
      <c r="T34" s="1356"/>
      <c r="U34" s="1356"/>
      <c r="V34" s="1356"/>
      <c r="W34" s="1356"/>
      <c r="X34" s="1356"/>
      <c r="Y34" s="1356"/>
      <c r="Z34" s="1356"/>
      <c r="AA34" s="1356"/>
      <c r="AB34" s="1356"/>
    </row>
    <row r="35" spans="1:36" ht="15.75" collapsed="1" thickBot="1">
      <c r="A35" s="1318"/>
      <c r="B35" s="1361" t="s">
        <v>740</v>
      </c>
      <c r="C35" s="1358"/>
      <c r="D35" s="1358"/>
      <c r="E35" s="1358"/>
      <c r="F35" s="1358"/>
      <c r="G35" s="1358"/>
      <c r="H35" s="1358"/>
      <c r="I35" s="1358"/>
      <c r="J35" s="1362">
        <f>SOP!G415</f>
        <v>0.18846110449303144</v>
      </c>
      <c r="P35" s="1356"/>
      <c r="Q35" s="1356"/>
      <c r="R35" s="1559"/>
      <c r="S35" s="1560"/>
      <c r="T35" s="1560"/>
      <c r="U35" s="1560"/>
      <c r="V35" s="1560"/>
      <c r="W35" s="1560"/>
      <c r="X35" s="1560"/>
      <c r="Y35" s="1560"/>
      <c r="Z35" s="1560"/>
      <c r="AA35" s="1560"/>
      <c r="AB35" s="1356"/>
    </row>
    <row r="36" spans="1:36" ht="7.5" customHeight="1">
      <c r="A36" s="1318"/>
      <c r="B36" s="1318"/>
      <c r="C36" s="1318"/>
      <c r="D36" s="1318"/>
      <c r="E36" s="1318"/>
      <c r="F36" s="1318"/>
      <c r="G36" s="1318"/>
      <c r="H36" s="1318"/>
      <c r="I36" s="1318"/>
      <c r="J36" s="1318"/>
      <c r="P36" s="1356"/>
      <c r="Q36" s="1356"/>
      <c r="R36" s="1356"/>
      <c r="S36" s="1356"/>
      <c r="T36" s="1356"/>
      <c r="U36" s="1356"/>
      <c r="V36" s="1356"/>
      <c r="W36" s="1356"/>
      <c r="X36" s="1356"/>
      <c r="Y36" s="1356"/>
      <c r="Z36" s="1356"/>
      <c r="AA36" s="1356"/>
      <c r="AB36" s="1356"/>
    </row>
    <row r="37" spans="1:36">
      <c r="B37" s="1363"/>
      <c r="C37" s="1363"/>
      <c r="D37" s="1363"/>
      <c r="E37" s="1363"/>
      <c r="F37" s="1363"/>
      <c r="G37" s="1363"/>
      <c r="H37" s="1363"/>
      <c r="I37" s="1363"/>
      <c r="J37" s="1363"/>
      <c r="P37" s="1356"/>
      <c r="Q37" s="1356"/>
      <c r="R37" s="1559"/>
      <c r="S37" s="1559"/>
      <c r="T37" s="1559"/>
      <c r="U37" s="1559"/>
      <c r="V37" s="1559"/>
      <c r="W37" s="1559"/>
      <c r="X37" s="1559"/>
      <c r="Y37" s="1559"/>
      <c r="Z37" s="1559"/>
      <c r="AA37" s="1559"/>
      <c r="AB37" s="1356"/>
    </row>
    <row r="38" spans="1:36">
      <c r="A38" s="1318"/>
      <c r="B38" s="1364" t="s">
        <v>741</v>
      </c>
      <c r="C38" s="1318"/>
      <c r="D38" s="1318"/>
      <c r="E38" s="1318"/>
      <c r="F38" s="1318"/>
      <c r="G38" s="1318"/>
      <c r="H38" s="1318"/>
      <c r="I38" s="1318"/>
      <c r="J38" s="1318"/>
      <c r="P38" s="1356"/>
      <c r="Q38" s="1356"/>
      <c r="R38" s="1356"/>
      <c r="S38" s="1356"/>
      <c r="T38" s="1356"/>
      <c r="U38" s="1356"/>
      <c r="V38" s="1356"/>
      <c r="W38" s="1356"/>
      <c r="X38" s="1356"/>
      <c r="Y38" s="1356"/>
      <c r="Z38" s="1356"/>
      <c r="AA38" s="1356"/>
      <c r="AB38" s="1356"/>
    </row>
    <row r="39" spans="1:36">
      <c r="A39" s="1318"/>
      <c r="B39" s="1318"/>
      <c r="C39" s="1318"/>
      <c r="D39" s="1318"/>
      <c r="E39" s="1318"/>
      <c r="F39" s="1318"/>
      <c r="G39" s="1318"/>
      <c r="H39" s="1318"/>
      <c r="I39" s="1318"/>
      <c r="J39" s="1318"/>
      <c r="P39" s="1356"/>
      <c r="Q39" s="1356"/>
      <c r="R39" s="1365"/>
      <c r="S39" s="1365"/>
      <c r="T39" s="1365"/>
      <c r="U39" s="1365"/>
      <c r="V39" s="1365"/>
      <c r="W39" s="1365"/>
      <c r="X39" s="1365"/>
      <c r="Y39" s="1365"/>
      <c r="Z39" s="1365"/>
      <c r="AA39" s="1365"/>
      <c r="AB39" s="1356"/>
    </row>
    <row r="40" spans="1:36">
      <c r="A40" s="1318"/>
      <c r="B40" s="1318"/>
      <c r="C40" s="1318"/>
      <c r="D40" s="1318"/>
      <c r="E40" s="1318"/>
      <c r="F40" s="1318"/>
      <c r="G40" s="1318"/>
      <c r="H40" s="1318"/>
      <c r="I40" s="1318"/>
      <c r="J40" s="1318"/>
      <c r="L40" s="1424"/>
      <c r="M40" s="1424"/>
      <c r="N40" s="1424"/>
      <c r="O40" s="1424"/>
      <c r="P40" s="1555"/>
      <c r="Q40" s="1425"/>
      <c r="R40" s="1426"/>
      <c r="S40" s="1426"/>
      <c r="T40" s="1426"/>
      <c r="U40" s="1426"/>
      <c r="V40" s="1426"/>
      <c r="W40" s="1426"/>
      <c r="X40" s="1426"/>
      <c r="Y40" s="1426"/>
      <c r="Z40" s="1426"/>
      <c r="AA40" s="1426"/>
      <c r="AB40" s="1426"/>
      <c r="AC40" s="1424"/>
      <c r="AD40" s="1424"/>
      <c r="AE40" s="1424"/>
      <c r="AF40" s="1424"/>
      <c r="AG40" s="1424"/>
      <c r="AH40" s="1424"/>
      <c r="AI40" s="1424"/>
      <c r="AJ40" s="1424"/>
    </row>
    <row r="41" spans="1:36">
      <c r="A41" s="1318"/>
      <c r="B41" s="1318"/>
      <c r="C41" s="1318"/>
      <c r="D41" s="1318"/>
      <c r="E41" s="1318"/>
      <c r="F41" s="1318"/>
      <c r="G41" s="1318"/>
      <c r="H41" s="1318"/>
      <c r="I41" s="1318"/>
      <c r="J41" s="1318"/>
      <c r="L41" s="1424"/>
      <c r="M41" s="1424"/>
      <c r="N41" s="1424"/>
      <c r="O41" s="1424"/>
      <c r="P41" s="1555"/>
      <c r="Q41" s="1425"/>
      <c r="R41" s="1426"/>
      <c r="S41" s="1426"/>
      <c r="T41" s="1426"/>
      <c r="U41" s="1426"/>
      <c r="V41" s="1426"/>
      <c r="W41" s="1426"/>
      <c r="X41" s="1426"/>
      <c r="Y41" s="1426"/>
      <c r="Z41" s="1426"/>
      <c r="AA41" s="1426"/>
      <c r="AB41" s="1426"/>
      <c r="AC41" s="1424"/>
      <c r="AD41" s="1424"/>
      <c r="AE41" s="1424"/>
      <c r="AF41" s="1424"/>
      <c r="AG41" s="1424"/>
      <c r="AH41" s="1424"/>
      <c r="AI41" s="1424"/>
      <c r="AJ41" s="1424"/>
    </row>
    <row r="42" spans="1:36">
      <c r="A42" s="1318"/>
      <c r="B42" s="1318"/>
      <c r="C42" s="1318"/>
      <c r="D42" s="1318"/>
      <c r="E42" s="1318"/>
      <c r="F42" s="1318"/>
      <c r="G42" s="1318"/>
      <c r="H42" s="1318"/>
      <c r="I42" s="1318"/>
      <c r="J42" s="1318"/>
      <c r="L42" s="1424"/>
      <c r="M42" s="1424"/>
      <c r="N42" s="1424"/>
      <c r="O42" s="1424"/>
      <c r="P42" s="1555"/>
      <c r="Q42" s="1425"/>
      <c r="R42" s="1426"/>
      <c r="S42" s="1426"/>
      <c r="T42" s="1426"/>
      <c r="U42" s="1426"/>
      <c r="V42" s="1426"/>
      <c r="W42" s="1426"/>
      <c r="X42" s="1426"/>
      <c r="Y42" s="1426"/>
      <c r="Z42" s="1426"/>
      <c r="AA42" s="1426"/>
      <c r="AB42" s="1426"/>
      <c r="AC42" s="1424"/>
      <c r="AD42" s="1424"/>
      <c r="AE42" s="1424"/>
      <c r="AF42" s="1424"/>
      <c r="AG42" s="1424"/>
      <c r="AH42" s="1424"/>
      <c r="AI42" s="1424"/>
      <c r="AJ42" s="1424"/>
    </row>
    <row r="43" spans="1:36">
      <c r="A43" s="1318"/>
      <c r="B43" s="1318"/>
      <c r="C43" s="1318"/>
      <c r="D43" s="1318"/>
      <c r="E43" s="1318"/>
      <c r="F43" s="1318"/>
      <c r="G43" s="1318"/>
      <c r="H43" s="1318"/>
      <c r="I43" s="1318"/>
      <c r="J43" s="1318"/>
      <c r="L43" s="1424"/>
      <c r="M43" s="1424"/>
      <c r="N43" s="1424"/>
      <c r="O43" s="1424"/>
      <c r="P43" s="1555"/>
      <c r="Q43" s="1425"/>
      <c r="R43" s="1426"/>
      <c r="S43" s="1426"/>
      <c r="T43" s="1426"/>
      <c r="U43" s="1426"/>
      <c r="V43" s="1426"/>
      <c r="W43" s="1426"/>
      <c r="X43" s="1426"/>
      <c r="Y43" s="1426"/>
      <c r="Z43" s="1426"/>
      <c r="AA43" s="1426"/>
      <c r="AB43" s="1426"/>
      <c r="AC43" s="1424"/>
      <c r="AD43" s="1424"/>
      <c r="AE43" s="1424"/>
      <c r="AF43" s="1424"/>
      <c r="AG43" s="1424"/>
      <c r="AH43" s="1424"/>
      <c r="AI43" s="1424"/>
      <c r="AJ43" s="1424"/>
    </row>
    <row r="44" spans="1:36">
      <c r="A44" s="1318"/>
      <c r="B44" s="1318"/>
      <c r="C44" s="1318"/>
      <c r="D44" s="1318"/>
      <c r="E44" s="1318"/>
      <c r="F44" s="1318"/>
      <c r="G44" s="1318"/>
      <c r="H44" s="1318"/>
      <c r="I44" s="1318"/>
      <c r="J44" s="1318"/>
      <c r="L44" s="1424"/>
      <c r="M44" s="1424"/>
      <c r="N44" s="1424"/>
      <c r="O44" s="1424"/>
      <c r="P44" s="1555"/>
      <c r="Q44" s="1425"/>
      <c r="R44" s="1426"/>
      <c r="S44" s="1426"/>
      <c r="T44" s="1426"/>
      <c r="U44" s="1426"/>
      <c r="V44" s="1426"/>
      <c r="W44" s="1426"/>
      <c r="X44" s="1426"/>
      <c r="Y44" s="1426"/>
      <c r="Z44" s="1426"/>
      <c r="AA44" s="1426"/>
      <c r="AB44" s="1426"/>
      <c r="AC44" s="1424"/>
      <c r="AD44" s="1424"/>
      <c r="AE44" s="1424"/>
      <c r="AF44" s="1424"/>
      <c r="AG44" s="1424"/>
      <c r="AH44" s="1424"/>
      <c r="AI44" s="1424"/>
      <c r="AJ44" s="1424"/>
    </row>
    <row r="45" spans="1:36">
      <c r="A45" s="1318"/>
      <c r="B45" s="1318"/>
      <c r="C45" s="1318"/>
      <c r="D45" s="1318"/>
      <c r="E45" s="1318"/>
      <c r="F45" s="1318"/>
      <c r="G45" s="1318"/>
      <c r="H45" s="1318"/>
      <c r="I45" s="1318"/>
      <c r="J45" s="1318"/>
      <c r="L45" s="1424"/>
      <c r="M45" s="1424"/>
      <c r="N45" s="1424"/>
      <c r="O45" s="1424"/>
      <c r="P45" s="1555"/>
      <c r="Q45" s="1425"/>
      <c r="R45" s="1426"/>
      <c r="S45" s="1426"/>
      <c r="T45" s="1426"/>
      <c r="U45" s="1426"/>
      <c r="V45" s="1426"/>
      <c r="W45" s="1426"/>
      <c r="X45" s="1426"/>
      <c r="Y45" s="1426"/>
      <c r="Z45" s="1426"/>
      <c r="AA45" s="1426"/>
      <c r="AB45" s="1426"/>
      <c r="AC45" s="1424"/>
      <c r="AD45" s="1424"/>
      <c r="AE45" s="1424"/>
      <c r="AF45" s="1424"/>
      <c r="AG45" s="1424"/>
      <c r="AH45" s="1424"/>
      <c r="AI45" s="1424"/>
      <c r="AJ45" s="1424"/>
    </row>
    <row r="46" spans="1:36">
      <c r="A46" s="1318"/>
      <c r="B46" s="1318"/>
      <c r="C46" s="1318"/>
      <c r="D46" s="1318"/>
      <c r="E46" s="1318"/>
      <c r="F46" s="1318"/>
      <c r="G46" s="1318"/>
      <c r="H46" s="1318"/>
      <c r="I46" s="1318"/>
      <c r="J46" s="1318"/>
      <c r="L46" s="1424"/>
      <c r="M46" s="1424"/>
      <c r="N46" s="1424"/>
      <c r="O46" s="1424"/>
      <c r="P46" s="1555"/>
      <c r="Q46" s="1425"/>
      <c r="R46" s="1426"/>
      <c r="S46" s="1426"/>
      <c r="T46" s="1426"/>
      <c r="U46" s="1426"/>
      <c r="V46" s="1426"/>
      <c r="W46" s="1426"/>
      <c r="X46" s="1426"/>
      <c r="Y46" s="1426"/>
      <c r="Z46" s="1426"/>
      <c r="AA46" s="1426"/>
      <c r="AB46" s="1426"/>
      <c r="AC46" s="1424"/>
      <c r="AD46" s="1424"/>
      <c r="AE46" s="1424"/>
      <c r="AF46" s="1424"/>
      <c r="AG46" s="1424"/>
      <c r="AH46" s="1424"/>
      <c r="AI46" s="1424"/>
      <c r="AJ46" s="1424"/>
    </row>
    <row r="47" spans="1:36">
      <c r="A47" s="1318"/>
      <c r="B47" s="1318"/>
      <c r="C47" s="1318"/>
      <c r="D47" s="1318"/>
      <c r="E47" s="1318"/>
      <c r="F47" s="1318"/>
      <c r="G47" s="1318"/>
      <c r="H47" s="1318"/>
      <c r="I47" s="1318"/>
      <c r="J47" s="1318"/>
      <c r="L47" s="1424"/>
      <c r="M47" s="1424"/>
      <c r="N47" s="1424"/>
      <c r="O47" s="1424"/>
      <c r="P47" s="1555"/>
      <c r="Q47" s="1425"/>
      <c r="R47" s="1426"/>
      <c r="S47" s="1426"/>
      <c r="T47" s="1426"/>
      <c r="U47" s="1426"/>
      <c r="V47" s="1426"/>
      <c r="W47" s="1426"/>
      <c r="X47" s="1426"/>
      <c r="Y47" s="1426"/>
      <c r="Z47" s="1426"/>
      <c r="AA47" s="1426"/>
      <c r="AB47" s="1426"/>
      <c r="AC47" s="1424"/>
      <c r="AD47" s="1424"/>
      <c r="AE47" s="1424"/>
      <c r="AF47" s="1424"/>
      <c r="AG47" s="1424"/>
      <c r="AH47" s="1424"/>
      <c r="AI47" s="1424"/>
      <c r="AJ47" s="1424"/>
    </row>
    <row r="48" spans="1:36">
      <c r="A48" s="1318"/>
      <c r="B48" s="1318"/>
      <c r="C48" s="1318"/>
      <c r="D48" s="1318"/>
      <c r="E48" s="1318"/>
      <c r="F48" s="1318"/>
      <c r="G48" s="1318"/>
      <c r="H48" s="1318"/>
      <c r="I48" s="1318"/>
      <c r="J48" s="1318"/>
      <c r="L48" s="1424"/>
      <c r="M48" s="1424"/>
      <c r="N48" s="1424"/>
      <c r="O48" s="1424"/>
      <c r="P48" s="1555"/>
      <c r="Q48" s="1425"/>
      <c r="R48" s="1426"/>
      <c r="S48" s="1426"/>
      <c r="T48" s="1426"/>
      <c r="U48" s="1426"/>
      <c r="V48" s="1426"/>
      <c r="W48" s="1426"/>
      <c r="X48" s="1426"/>
      <c r="Y48" s="1426"/>
      <c r="Z48" s="1426"/>
      <c r="AA48" s="1426"/>
      <c r="AB48" s="1426"/>
      <c r="AC48" s="1424"/>
      <c r="AD48" s="1424"/>
      <c r="AE48" s="1424"/>
      <c r="AF48" s="1424"/>
      <c r="AG48" s="1424"/>
      <c r="AH48" s="1424"/>
      <c r="AI48" s="1424"/>
      <c r="AJ48" s="1424"/>
    </row>
    <row r="49" spans="1:36">
      <c r="A49" s="1318"/>
      <c r="B49" s="1318"/>
      <c r="C49" s="1318"/>
      <c r="D49" s="1318"/>
      <c r="E49" s="1318"/>
      <c r="F49" s="1318"/>
      <c r="G49" s="1318"/>
      <c r="H49" s="1318"/>
      <c r="I49" s="1318"/>
      <c r="J49" s="1318"/>
      <c r="L49" s="1424"/>
      <c r="M49" s="1424"/>
      <c r="N49" s="1424"/>
      <c r="O49" s="1424"/>
      <c r="P49" s="1555"/>
      <c r="Q49" s="1425"/>
      <c r="R49" s="1426"/>
      <c r="S49" s="1426"/>
      <c r="T49" s="1426"/>
      <c r="U49" s="1426"/>
      <c r="V49" s="1426"/>
      <c r="W49" s="1426"/>
      <c r="X49" s="1426"/>
      <c r="Y49" s="1426"/>
      <c r="Z49" s="1426"/>
      <c r="AA49" s="1426"/>
      <c r="AB49" s="1426"/>
      <c r="AC49" s="1424"/>
      <c r="AD49" s="1424"/>
      <c r="AE49" s="1424"/>
      <c r="AF49" s="1424"/>
      <c r="AG49" s="1424"/>
      <c r="AH49" s="1424"/>
      <c r="AI49" s="1424"/>
      <c r="AJ49" s="1424"/>
    </row>
    <row r="50" spans="1:36">
      <c r="A50" s="1318"/>
      <c r="B50" s="1318"/>
      <c r="C50" s="1318"/>
      <c r="D50" s="1318"/>
      <c r="E50" s="1318"/>
      <c r="F50" s="1318"/>
      <c r="G50" s="1318"/>
      <c r="H50" s="1318"/>
      <c r="I50" s="1318"/>
      <c r="J50" s="1318"/>
      <c r="L50" s="1424"/>
      <c r="M50" s="1424"/>
      <c r="N50" s="1424"/>
      <c r="O50" s="1424"/>
      <c r="P50" s="1426"/>
      <c r="Q50" s="1426"/>
      <c r="R50" s="1426"/>
      <c r="S50" s="1426"/>
      <c r="T50" s="1426"/>
      <c r="U50" s="1426"/>
      <c r="V50" s="1426"/>
      <c r="W50" s="1426"/>
      <c r="X50" s="1426"/>
      <c r="Y50" s="1426"/>
      <c r="Z50" s="1426"/>
      <c r="AA50" s="1426"/>
      <c r="AB50" s="1426"/>
      <c r="AC50" s="1424"/>
      <c r="AD50" s="1424"/>
      <c r="AE50" s="1424"/>
      <c r="AF50" s="1424"/>
      <c r="AG50" s="1424"/>
      <c r="AH50" s="1424"/>
      <c r="AI50" s="1424"/>
      <c r="AJ50" s="1424"/>
    </row>
    <row r="51" spans="1:36">
      <c r="A51" s="1318"/>
      <c r="B51" s="1318"/>
      <c r="C51" s="1318"/>
      <c r="D51" s="1318"/>
      <c r="E51" s="1318"/>
      <c r="F51" s="1318"/>
      <c r="G51" s="1318"/>
      <c r="H51" s="1318"/>
      <c r="I51" s="1318"/>
      <c r="J51" s="1318"/>
      <c r="L51" s="1424"/>
      <c r="M51" s="1424"/>
      <c r="N51" s="1424"/>
      <c r="O51" s="1424"/>
      <c r="P51" s="1424"/>
      <c r="Q51" s="1424"/>
      <c r="R51" s="1424"/>
      <c r="S51" s="1424"/>
      <c r="T51" s="1424"/>
      <c r="U51" s="1424"/>
      <c r="V51" s="1424"/>
      <c r="W51" s="1424"/>
      <c r="X51" s="1424"/>
      <c r="Y51" s="1424"/>
      <c r="Z51" s="1424"/>
      <c r="AA51" s="1424"/>
      <c r="AB51" s="1424"/>
      <c r="AC51" s="1424"/>
      <c r="AD51" s="1424"/>
      <c r="AE51" s="1424"/>
      <c r="AF51" s="1424"/>
      <c r="AG51" s="1424"/>
      <c r="AH51" s="1424"/>
      <c r="AI51" s="1424"/>
      <c r="AJ51" s="1424"/>
    </row>
    <row r="52" spans="1:36">
      <c r="A52" s="1318"/>
      <c r="B52" s="1318"/>
      <c r="C52" s="1318"/>
      <c r="D52" s="1318"/>
      <c r="E52" s="1318"/>
      <c r="F52" s="1318"/>
      <c r="G52" s="1318"/>
      <c r="H52" s="1318"/>
      <c r="I52" s="1318"/>
      <c r="J52" s="1318"/>
      <c r="L52" s="1424"/>
      <c r="M52" s="1424"/>
      <c r="N52" s="1424"/>
      <c r="O52" s="1424"/>
      <c r="P52" s="1424"/>
      <c r="Q52" s="1424"/>
      <c r="R52" s="1424"/>
      <c r="S52" s="1424"/>
      <c r="T52" s="1424"/>
      <c r="U52" s="1424"/>
      <c r="V52" s="1424"/>
      <c r="W52" s="1424"/>
      <c r="X52" s="1424"/>
      <c r="Y52" s="1424"/>
      <c r="Z52" s="1424"/>
      <c r="AA52" s="1424"/>
      <c r="AB52" s="1424"/>
      <c r="AC52" s="1424"/>
      <c r="AD52" s="1424"/>
      <c r="AE52" s="1424"/>
      <c r="AF52" s="1424"/>
      <c r="AG52" s="1424"/>
      <c r="AH52" s="1424"/>
      <c r="AI52" s="1424"/>
      <c r="AJ52" s="1424"/>
    </row>
    <row r="53" spans="1:36">
      <c r="A53" s="1318"/>
      <c r="B53" s="1318"/>
      <c r="C53" s="1318"/>
      <c r="D53" s="1318"/>
      <c r="E53" s="1318"/>
      <c r="F53" s="1318"/>
      <c r="G53" s="1318"/>
      <c r="H53" s="1318"/>
      <c r="I53" s="1318"/>
      <c r="J53" s="1318"/>
      <c r="L53" s="1424"/>
      <c r="M53" s="1424"/>
      <c r="N53" s="1424"/>
      <c r="O53" s="1424"/>
      <c r="P53" s="1424"/>
      <c r="Q53" s="1424"/>
      <c r="R53" s="1424"/>
      <c r="S53" s="1424"/>
      <c r="T53" s="1424"/>
      <c r="U53" s="1424"/>
      <c r="V53" s="1424"/>
      <c r="W53" s="1424"/>
      <c r="X53" s="1424"/>
      <c r="Y53" s="1424"/>
      <c r="Z53" s="1424"/>
      <c r="AA53" s="1424"/>
      <c r="AB53" s="1424"/>
      <c r="AC53" s="1424"/>
      <c r="AD53" s="1424"/>
      <c r="AE53" s="1424"/>
      <c r="AF53" s="1424"/>
      <c r="AG53" s="1424"/>
      <c r="AH53" s="1424"/>
      <c r="AI53" s="1424"/>
      <c r="AJ53" s="1424"/>
    </row>
    <row r="54" spans="1:36">
      <c r="A54" s="1318"/>
      <c r="B54" s="1318"/>
      <c r="C54" s="1318"/>
      <c r="D54" s="1318"/>
      <c r="E54" s="1318"/>
      <c r="F54" s="1318"/>
      <c r="G54" s="1318"/>
      <c r="H54" s="1318"/>
      <c r="I54" s="1318"/>
      <c r="J54" s="1318"/>
      <c r="L54" s="1424"/>
      <c r="M54" s="1424"/>
      <c r="N54" s="1424"/>
      <c r="O54" s="1424"/>
      <c r="P54" s="1424"/>
      <c r="Q54" s="1424"/>
      <c r="R54" s="1424"/>
      <c r="S54" s="1424"/>
      <c r="T54" s="1424"/>
      <c r="U54" s="1424"/>
      <c r="V54" s="1424"/>
      <c r="W54" s="1424"/>
      <c r="X54" s="1424"/>
      <c r="Y54" s="1424"/>
      <c r="Z54" s="1424"/>
      <c r="AA54" s="1424"/>
      <c r="AB54" s="1424"/>
      <c r="AC54" s="1424"/>
      <c r="AD54" s="1424"/>
      <c r="AE54" s="1424"/>
      <c r="AF54" s="1424"/>
      <c r="AG54" s="1424"/>
      <c r="AH54" s="1424"/>
      <c r="AI54" s="1424"/>
      <c r="AJ54" s="1424"/>
    </row>
    <row r="55" spans="1:36">
      <c r="A55" s="1318"/>
      <c r="B55" s="1318"/>
      <c r="C55" s="1318"/>
      <c r="D55" s="1318"/>
      <c r="E55" s="1318"/>
      <c r="F55" s="1318"/>
      <c r="G55" s="1318"/>
      <c r="H55" s="1318"/>
      <c r="I55" s="1318"/>
      <c r="J55" s="1318"/>
      <c r="L55" s="1424"/>
      <c r="M55" s="1424"/>
      <c r="N55" s="1424"/>
      <c r="O55" s="1424"/>
      <c r="P55" s="1424"/>
      <c r="Q55" s="1424"/>
      <c r="R55" s="1424"/>
      <c r="S55" s="1424"/>
      <c r="T55" s="1424"/>
      <c r="U55" s="1424"/>
      <c r="V55" s="1424"/>
      <c r="W55" s="1424"/>
      <c r="X55" s="1424"/>
      <c r="Y55" s="1424"/>
      <c r="Z55" s="1424"/>
      <c r="AA55" s="1424"/>
      <c r="AB55" s="1424"/>
      <c r="AC55" s="1424"/>
      <c r="AD55" s="1424"/>
      <c r="AE55" s="1424"/>
      <c r="AF55" s="1424"/>
      <c r="AG55" s="1424"/>
      <c r="AH55" s="1424"/>
      <c r="AI55" s="1424"/>
      <c r="AJ55" s="1424"/>
    </row>
    <row r="56" spans="1:36">
      <c r="A56" s="1318"/>
      <c r="B56" s="1318"/>
      <c r="C56" s="1318"/>
      <c r="D56" s="1318"/>
      <c r="E56" s="1318"/>
      <c r="F56" s="1318"/>
      <c r="G56" s="1318"/>
      <c r="H56" s="1318"/>
      <c r="I56" s="1318"/>
      <c r="J56" s="1318"/>
      <c r="L56" s="1424"/>
      <c r="M56" s="1424"/>
      <c r="N56" s="1424"/>
      <c r="O56" s="1424"/>
      <c r="P56" s="1424"/>
      <c r="Q56" s="1424"/>
      <c r="R56" s="1424"/>
      <c r="S56" s="1424"/>
      <c r="T56" s="1424"/>
      <c r="U56" s="1424"/>
      <c r="V56" s="1424"/>
      <c r="W56" s="1424"/>
      <c r="X56" s="1424"/>
      <c r="Y56" s="1424"/>
      <c r="Z56" s="1424"/>
      <c r="AA56" s="1424"/>
      <c r="AB56" s="1424"/>
      <c r="AC56" s="1424"/>
      <c r="AD56" s="1424"/>
      <c r="AE56" s="1424"/>
      <c r="AF56" s="1424"/>
      <c r="AG56" s="1424"/>
      <c r="AH56" s="1424"/>
      <c r="AI56" s="1424"/>
      <c r="AJ56" s="1424"/>
    </row>
    <row r="57" spans="1:36">
      <c r="A57" s="1318"/>
      <c r="B57" s="1318"/>
      <c r="C57" s="1318"/>
      <c r="D57" s="1318"/>
      <c r="E57" s="1318"/>
      <c r="F57" s="1318"/>
      <c r="G57" s="1318"/>
      <c r="H57" s="1318"/>
      <c r="I57" s="1318"/>
      <c r="J57" s="1318"/>
      <c r="L57" s="1424"/>
      <c r="M57" s="1424"/>
      <c r="N57" s="1424"/>
      <c r="O57" s="1424"/>
      <c r="P57" s="1424"/>
      <c r="Q57" s="1424"/>
      <c r="R57" s="1424"/>
      <c r="S57" s="1424"/>
      <c r="T57" s="1424"/>
      <c r="U57" s="1424"/>
      <c r="V57" s="1424"/>
      <c r="W57" s="1424"/>
      <c r="X57" s="1424"/>
      <c r="Y57" s="1424"/>
      <c r="Z57" s="1424"/>
      <c r="AA57" s="1424"/>
      <c r="AB57" s="1424"/>
      <c r="AC57" s="1424"/>
      <c r="AD57" s="1424"/>
      <c r="AE57" s="1424"/>
      <c r="AF57" s="1424"/>
      <c r="AG57" s="1424"/>
      <c r="AH57" s="1424"/>
      <c r="AI57" s="1424"/>
      <c r="AJ57" s="1424"/>
    </row>
    <row r="58" spans="1:36">
      <c r="A58" s="1318"/>
      <c r="B58" s="1318"/>
      <c r="C58" s="1318"/>
      <c r="D58" s="1318"/>
      <c r="E58" s="1318"/>
      <c r="F58" s="1318"/>
      <c r="G58" s="1318"/>
      <c r="H58" s="1318"/>
      <c r="I58" s="1318"/>
      <c r="J58" s="1318"/>
      <c r="L58" s="1424"/>
      <c r="M58" s="1424"/>
      <c r="N58" s="1424"/>
      <c r="O58" s="1424"/>
      <c r="P58" s="1424"/>
      <c r="Q58" s="1424"/>
      <c r="R58" s="1424"/>
      <c r="S58" s="1424"/>
      <c r="T58" s="1424"/>
      <c r="U58" s="1424"/>
      <c r="V58" s="1427"/>
      <c r="W58" s="1424"/>
      <c r="X58" s="1424"/>
      <c r="Y58" s="1424"/>
      <c r="Z58" s="1424"/>
      <c r="AA58" s="1424"/>
      <c r="AB58" s="1424"/>
      <c r="AC58" s="1424"/>
      <c r="AD58" s="1424"/>
      <c r="AE58" s="1424"/>
      <c r="AF58" s="1424"/>
      <c r="AG58" s="1424"/>
      <c r="AH58" s="1424"/>
      <c r="AI58" s="1424"/>
      <c r="AJ58" s="1424"/>
    </row>
    <row r="59" spans="1:36">
      <c r="A59" s="1318"/>
      <c r="B59" s="1318"/>
      <c r="C59" s="1366"/>
      <c r="D59" s="1366"/>
      <c r="E59" s="1366"/>
      <c r="F59" s="1366"/>
      <c r="G59" s="1366"/>
      <c r="H59" s="1318"/>
      <c r="I59" s="1318"/>
      <c r="J59" s="1318"/>
      <c r="L59" s="1424"/>
      <c r="M59" s="1424"/>
      <c r="N59" s="1424"/>
      <c r="O59" s="1424"/>
      <c r="P59" s="1424"/>
      <c r="Q59" s="1424"/>
      <c r="R59" s="1424"/>
      <c r="S59" s="1424"/>
      <c r="T59" s="1424"/>
      <c r="U59" s="1424"/>
      <c r="V59" s="1427"/>
      <c r="W59" s="1424"/>
      <c r="X59" s="1424"/>
      <c r="Y59" s="1424"/>
      <c r="Z59" s="1424"/>
      <c r="AA59" s="1424"/>
      <c r="AB59" s="1424"/>
      <c r="AC59" s="1424"/>
      <c r="AD59" s="1424"/>
      <c r="AE59" s="1424"/>
      <c r="AF59" s="1424"/>
      <c r="AG59" s="1424"/>
      <c r="AH59" s="1424"/>
      <c r="AI59" s="1424"/>
      <c r="AJ59" s="1424"/>
    </row>
    <row r="60" spans="1:36">
      <c r="A60" s="1318"/>
      <c r="D60" s="1366"/>
      <c r="E60" s="1366"/>
      <c r="F60" s="1318"/>
      <c r="G60" s="1318"/>
      <c r="H60" s="1318"/>
      <c r="I60" s="1318"/>
      <c r="J60" s="1318"/>
      <c r="L60" s="1424"/>
      <c r="M60" s="1424"/>
      <c r="N60" s="1424"/>
      <c r="O60" s="1424"/>
      <c r="P60" s="1424"/>
      <c r="Q60" s="1424"/>
      <c r="R60" s="1424"/>
      <c r="S60" s="1424"/>
      <c r="T60" s="1424"/>
      <c r="U60" s="1424"/>
      <c r="V60" s="1427"/>
      <c r="W60" s="1424"/>
      <c r="X60" s="1424"/>
      <c r="Y60" s="1424"/>
      <c r="Z60" s="1424"/>
      <c r="AA60" s="1424"/>
      <c r="AB60" s="1424"/>
      <c r="AC60" s="1424"/>
      <c r="AD60" s="1424"/>
      <c r="AE60" s="1424"/>
      <c r="AF60" s="1424"/>
      <c r="AG60" s="1424"/>
      <c r="AH60" s="1424"/>
      <c r="AI60" s="1424"/>
      <c r="AJ60" s="1424"/>
    </row>
    <row r="61" spans="1:36">
      <c r="A61" s="1318"/>
      <c r="D61" s="1318"/>
      <c r="E61" s="1318"/>
      <c r="F61" s="1318"/>
      <c r="G61" s="1318"/>
      <c r="H61" s="1318"/>
      <c r="I61" s="1318"/>
      <c r="J61" s="1318"/>
      <c r="L61" s="1424"/>
      <c r="M61" s="1424"/>
      <c r="N61" s="1424"/>
      <c r="O61" s="1424"/>
      <c r="P61" s="1424"/>
      <c r="Q61" s="1424"/>
      <c r="R61" s="1424"/>
      <c r="S61" s="1424"/>
      <c r="T61" s="1424"/>
      <c r="U61" s="1424"/>
      <c r="V61" s="1424"/>
      <c r="W61" s="1424"/>
      <c r="X61" s="1424"/>
      <c r="Y61" s="1424"/>
      <c r="Z61" s="1424"/>
      <c r="AA61" s="1424"/>
      <c r="AB61" s="1424"/>
      <c r="AC61" s="1424"/>
      <c r="AD61" s="1424"/>
      <c r="AE61" s="1424"/>
      <c r="AF61" s="1424"/>
      <c r="AG61" s="1424"/>
      <c r="AH61" s="1424"/>
      <c r="AI61" s="1424"/>
      <c r="AJ61" s="1424"/>
    </row>
    <row r="62" spans="1:36">
      <c r="A62" s="1318"/>
      <c r="D62" s="1318"/>
      <c r="E62" s="1318"/>
      <c r="F62" s="1318"/>
      <c r="G62" s="1318"/>
      <c r="H62" s="1318"/>
      <c r="I62" s="1318"/>
      <c r="J62" s="1318"/>
      <c r="L62" s="1424"/>
      <c r="M62" s="1424"/>
      <c r="N62" s="1424"/>
      <c r="O62" s="1424"/>
      <c r="P62" s="1424"/>
      <c r="Q62" s="1424"/>
      <c r="R62" s="1424"/>
      <c r="S62" s="1424"/>
      <c r="T62" s="1424"/>
      <c r="U62" s="1424"/>
      <c r="V62" s="1424"/>
      <c r="W62" s="1424"/>
      <c r="X62" s="1424"/>
      <c r="Y62" s="1424"/>
      <c r="Z62" s="1424"/>
      <c r="AA62" s="1424"/>
      <c r="AB62" s="1424"/>
      <c r="AC62" s="1424"/>
      <c r="AD62" s="1424"/>
      <c r="AE62" s="1424"/>
      <c r="AF62" s="1424"/>
      <c r="AG62" s="1424"/>
      <c r="AH62" s="1424"/>
      <c r="AI62" s="1424"/>
      <c r="AJ62" s="1424"/>
    </row>
    <row r="63" spans="1:36">
      <c r="A63" s="1367"/>
      <c r="D63" s="1318"/>
      <c r="E63" s="1318"/>
      <c r="F63" s="1318"/>
      <c r="G63" s="1318"/>
      <c r="H63" s="1318"/>
      <c r="I63" s="1318"/>
      <c r="J63" s="1318"/>
      <c r="L63" s="1424"/>
      <c r="M63" s="1424"/>
      <c r="N63" s="1424"/>
      <c r="O63" s="1424"/>
      <c r="P63" s="1424"/>
      <c r="Q63" s="1424"/>
      <c r="R63" s="1424"/>
      <c r="S63" s="1424"/>
      <c r="T63" s="1424"/>
      <c r="U63" s="1424"/>
      <c r="V63" s="1424"/>
      <c r="W63" s="1424"/>
      <c r="X63" s="1424"/>
      <c r="Y63" s="1424"/>
      <c r="Z63" s="1424"/>
      <c r="AA63" s="1424"/>
      <c r="AB63" s="1424"/>
      <c r="AC63" s="1424"/>
      <c r="AD63" s="1424"/>
      <c r="AE63" s="1424"/>
      <c r="AF63" s="1424"/>
      <c r="AG63" s="1424"/>
      <c r="AH63" s="1424"/>
      <c r="AI63" s="1424"/>
      <c r="AJ63" s="1424"/>
    </row>
    <row r="64" spans="1:36">
      <c r="A64" s="1367"/>
      <c r="D64" s="1318"/>
      <c r="E64" s="1318"/>
      <c r="F64" s="1318"/>
      <c r="G64" s="1318"/>
      <c r="H64" s="1318"/>
      <c r="I64" s="1318"/>
      <c r="J64" s="1318"/>
      <c r="L64" s="1424"/>
      <c r="M64" s="1424"/>
      <c r="N64" s="1424"/>
      <c r="O64" s="1424"/>
      <c r="P64" s="1424"/>
      <c r="Q64" s="1424"/>
      <c r="R64" s="1424"/>
      <c r="S64" s="1424"/>
      <c r="T64" s="1424"/>
      <c r="U64" s="1424"/>
      <c r="V64" s="1424"/>
      <c r="W64" s="1424"/>
      <c r="X64" s="1424"/>
      <c r="Y64" s="1424"/>
      <c r="Z64" s="1424"/>
      <c r="AA64" s="1424"/>
      <c r="AB64" s="1424"/>
      <c r="AC64" s="1424"/>
      <c r="AD64" s="1424"/>
      <c r="AE64" s="1424"/>
      <c r="AF64" s="1424"/>
      <c r="AG64" s="1424"/>
      <c r="AH64" s="1424"/>
      <c r="AI64" s="1424"/>
      <c r="AJ64" s="1424"/>
    </row>
    <row r="65" spans="1:36">
      <c r="A65" s="1367"/>
      <c r="D65" s="1318"/>
      <c r="E65" s="1318"/>
      <c r="F65" s="1318"/>
      <c r="G65" s="1318"/>
      <c r="H65" s="1318"/>
      <c r="I65" s="1318"/>
      <c r="J65" s="1318"/>
      <c r="L65" s="1424"/>
      <c r="M65" s="1424"/>
      <c r="N65" s="1424"/>
      <c r="O65" s="1424"/>
      <c r="P65" s="1424"/>
      <c r="Q65" s="1424"/>
      <c r="R65" s="1424"/>
      <c r="S65" s="1424"/>
      <c r="T65" s="1424"/>
      <c r="U65" s="1424"/>
      <c r="V65" s="1424"/>
      <c r="W65" s="1424"/>
      <c r="X65" s="1424"/>
      <c r="Y65" s="1424"/>
      <c r="Z65" s="1424"/>
      <c r="AA65" s="1424"/>
      <c r="AB65" s="1424"/>
      <c r="AC65" s="1424"/>
      <c r="AD65" s="1424"/>
      <c r="AE65" s="1424"/>
      <c r="AF65" s="1424"/>
      <c r="AG65" s="1424"/>
      <c r="AH65" s="1424"/>
      <c r="AI65" s="1424"/>
      <c r="AJ65" s="1424"/>
    </row>
    <row r="66" spans="1:36">
      <c r="A66" s="1367"/>
      <c r="B66" s="1318"/>
      <c r="C66" s="1318"/>
      <c r="D66" s="1318"/>
      <c r="E66" s="1318"/>
      <c r="F66" s="1318"/>
      <c r="G66" s="1318"/>
      <c r="H66" s="1318"/>
      <c r="I66" s="1318"/>
      <c r="J66" s="1318"/>
      <c r="L66" s="1424"/>
      <c r="M66" s="1424"/>
      <c r="N66" s="1424"/>
      <c r="O66" s="1424"/>
      <c r="P66" s="1424"/>
      <c r="Q66" s="1424"/>
      <c r="R66" s="1424"/>
      <c r="S66" s="1424"/>
      <c r="T66" s="1424"/>
      <c r="U66" s="1424"/>
      <c r="V66" s="1424"/>
      <c r="W66" s="1424"/>
      <c r="X66" s="1424"/>
      <c r="Y66" s="1424"/>
      <c r="Z66" s="1424"/>
      <c r="AA66" s="1424"/>
      <c r="AB66" s="1424"/>
      <c r="AC66" s="1424"/>
      <c r="AD66" s="1424"/>
      <c r="AE66" s="1424"/>
      <c r="AF66" s="1424"/>
      <c r="AG66" s="1424"/>
      <c r="AH66" s="1424"/>
      <c r="AI66" s="1424"/>
      <c r="AJ66" s="1424"/>
    </row>
    <row r="67" spans="1:36">
      <c r="A67" s="1367"/>
      <c r="B67" s="1318"/>
      <c r="C67" s="1318"/>
      <c r="D67" s="1318"/>
      <c r="E67" s="1318"/>
      <c r="F67" s="1318"/>
      <c r="G67" s="1318"/>
      <c r="H67" s="1318"/>
      <c r="I67" s="1318"/>
      <c r="J67" s="1318"/>
      <c r="L67" s="1424"/>
      <c r="M67" s="1424"/>
      <c r="N67" s="1424"/>
      <c r="O67" s="1424"/>
      <c r="P67" s="1424"/>
      <c r="Q67" s="1424"/>
      <c r="R67" s="1424"/>
      <c r="S67" s="1424"/>
      <c r="T67" s="1424"/>
      <c r="U67" s="1424"/>
      <c r="V67" s="1424"/>
      <c r="W67" s="1424"/>
      <c r="X67" s="1424"/>
      <c r="Y67" s="1424"/>
      <c r="Z67" s="1424"/>
      <c r="AA67" s="1424"/>
      <c r="AB67" s="1424"/>
      <c r="AC67" s="1424"/>
      <c r="AD67" s="1424"/>
      <c r="AE67" s="1424"/>
      <c r="AF67" s="1424"/>
      <c r="AG67" s="1424"/>
      <c r="AH67" s="1424"/>
      <c r="AI67" s="1424"/>
      <c r="AJ67" s="1424"/>
    </row>
    <row r="68" spans="1:36">
      <c r="A68" s="1318"/>
      <c r="B68" s="1318"/>
      <c r="C68" s="1318"/>
      <c r="D68" s="1318"/>
      <c r="E68" s="1318"/>
      <c r="F68" s="1318"/>
      <c r="G68" s="1318"/>
      <c r="H68" s="1318"/>
      <c r="I68" s="1318"/>
      <c r="J68" s="1318"/>
      <c r="L68" s="1424"/>
      <c r="M68" s="1424"/>
      <c r="N68" s="1424"/>
      <c r="O68" s="1424"/>
      <c r="P68" s="1424"/>
      <c r="Q68" s="1424"/>
      <c r="R68" s="1424"/>
      <c r="S68" s="1424"/>
      <c r="T68" s="1424"/>
      <c r="U68" s="1424"/>
      <c r="V68" s="1424"/>
      <c r="W68" s="1424"/>
      <c r="X68" s="1424"/>
      <c r="Y68" s="1424"/>
      <c r="Z68" s="1424"/>
      <c r="AA68" s="1424"/>
      <c r="AB68" s="1424"/>
      <c r="AC68" s="1424"/>
      <c r="AD68" s="1424"/>
      <c r="AE68" s="1424"/>
      <c r="AF68" s="1424"/>
      <c r="AG68" s="1424"/>
      <c r="AH68" s="1424"/>
      <c r="AI68" s="1424"/>
      <c r="AJ68" s="1424"/>
    </row>
    <row r="69" spans="1:36">
      <c r="A69" s="1318"/>
      <c r="B69" s="1318"/>
      <c r="C69" s="1318"/>
      <c r="D69" s="1318"/>
      <c r="E69" s="1318"/>
      <c r="F69" s="1318"/>
      <c r="G69" s="1318"/>
      <c r="H69" s="1318"/>
      <c r="I69" s="1318"/>
      <c r="J69" s="1318"/>
      <c r="L69" s="1424"/>
      <c r="M69" s="1424"/>
      <c r="N69" s="1424"/>
      <c r="O69" s="1424"/>
      <c r="P69" s="1424"/>
      <c r="Q69" s="1424"/>
      <c r="R69" s="1424"/>
      <c r="S69" s="1424"/>
      <c r="T69" s="1424"/>
      <c r="U69" s="1424"/>
      <c r="V69" s="1424"/>
      <c r="W69" s="1424"/>
      <c r="X69" s="1424"/>
      <c r="Y69" s="1424"/>
      <c r="Z69" s="1424"/>
      <c r="AA69" s="1424"/>
      <c r="AB69" s="1424"/>
      <c r="AC69" s="1424"/>
      <c r="AD69" s="1424"/>
      <c r="AE69" s="1424"/>
      <c r="AF69" s="1424"/>
      <c r="AG69" s="1424"/>
      <c r="AH69" s="1424"/>
      <c r="AI69" s="1424"/>
      <c r="AJ69" s="1424"/>
    </row>
    <row r="70" spans="1:36">
      <c r="A70" s="1318"/>
      <c r="B70" s="1318"/>
      <c r="C70" s="1318"/>
      <c r="D70" s="1318"/>
      <c r="E70" s="1318"/>
      <c r="F70" s="1318"/>
      <c r="G70" s="1318"/>
      <c r="H70" s="1318"/>
      <c r="I70" s="1318"/>
      <c r="J70" s="1318"/>
      <c r="L70" s="1424"/>
      <c r="M70" s="1424"/>
      <c r="N70" s="1424"/>
      <c r="O70" s="1424"/>
      <c r="P70" s="1424"/>
      <c r="Q70" s="1424"/>
      <c r="R70" s="1424"/>
      <c r="S70" s="1424"/>
      <c r="T70" s="1424"/>
      <c r="U70" s="1424"/>
      <c r="V70" s="1424"/>
      <c r="W70" s="1424"/>
      <c r="X70" s="1424"/>
      <c r="Y70" s="1424"/>
      <c r="Z70" s="1424"/>
      <c r="AA70" s="1424"/>
      <c r="AB70" s="1424"/>
      <c r="AC70" s="1424"/>
      <c r="AD70" s="1424"/>
      <c r="AE70" s="1424"/>
      <c r="AF70" s="1424"/>
      <c r="AG70" s="1424"/>
      <c r="AH70" s="1424"/>
      <c r="AI70" s="1424"/>
      <c r="AJ70" s="1424"/>
    </row>
    <row r="71" spans="1:36">
      <c r="A71" s="1318"/>
      <c r="B71" s="1318" t="s">
        <v>694</v>
      </c>
      <c r="C71" s="1379">
        <f>J5+J6+J7</f>
        <v>49.955280295557074</v>
      </c>
      <c r="D71" s="1318"/>
      <c r="E71" s="1318"/>
      <c r="F71" s="1318"/>
      <c r="G71" s="1318"/>
      <c r="H71" s="1318"/>
      <c r="I71" s="1318"/>
      <c r="J71" s="1318"/>
      <c r="L71" s="1424"/>
      <c r="M71" s="1424"/>
      <c r="N71" s="1424"/>
      <c r="O71" s="1424"/>
      <c r="P71" s="1424"/>
      <c r="Q71" s="1424"/>
      <c r="R71" s="1424"/>
      <c r="S71" s="1424"/>
      <c r="T71" s="1424"/>
      <c r="U71" s="1424"/>
      <c r="V71" s="1424"/>
      <c r="W71" s="1424"/>
      <c r="X71" s="1424"/>
      <c r="Y71" s="1424"/>
      <c r="Z71" s="1424"/>
      <c r="AA71" s="1424"/>
      <c r="AB71" s="1424"/>
      <c r="AC71" s="1424"/>
      <c r="AD71" s="1424"/>
      <c r="AE71" s="1424"/>
      <c r="AF71" s="1424"/>
      <c r="AG71" s="1424"/>
      <c r="AH71" s="1424"/>
      <c r="AI71" s="1424"/>
      <c r="AJ71" s="1424"/>
    </row>
    <row r="72" spans="1:36">
      <c r="A72" s="1318"/>
      <c r="B72" s="1318" t="s">
        <v>416</v>
      </c>
      <c r="C72" s="1380">
        <f>J9+J11+J12</f>
        <v>4.1626743419230641</v>
      </c>
      <c r="D72" s="1318"/>
      <c r="E72" s="1318"/>
      <c r="F72" s="1318"/>
      <c r="G72" s="1318"/>
      <c r="H72" s="1318"/>
      <c r="I72" s="1318"/>
      <c r="J72" s="1318"/>
      <c r="L72" s="1424"/>
      <c r="M72" s="1424"/>
      <c r="N72" s="1424"/>
      <c r="O72" s="1424"/>
      <c r="P72" s="1424"/>
      <c r="Q72" s="1424"/>
      <c r="R72" s="1424"/>
      <c r="S72" s="1424"/>
      <c r="T72" s="1424"/>
      <c r="U72" s="1424"/>
      <c r="V72" s="1424"/>
      <c r="W72" s="1424"/>
      <c r="X72" s="1424"/>
      <c r="Y72" s="1424"/>
      <c r="Z72" s="1424"/>
      <c r="AA72" s="1424"/>
      <c r="AB72" s="1424"/>
      <c r="AC72" s="1424"/>
      <c r="AD72" s="1424"/>
      <c r="AE72" s="1424"/>
      <c r="AF72" s="1424"/>
      <c r="AG72" s="1424"/>
      <c r="AH72" s="1424"/>
      <c r="AI72" s="1424"/>
      <c r="AJ72" s="1424"/>
    </row>
    <row r="73" spans="1:36">
      <c r="A73" s="1318"/>
      <c r="B73" s="1318" t="s">
        <v>678</v>
      </c>
      <c r="C73" s="1380">
        <f>J13+J14+J15+J18+J16+J17+J19</f>
        <v>0</v>
      </c>
      <c r="D73" s="1318"/>
      <c r="E73" s="1318"/>
      <c r="F73" s="1318"/>
      <c r="G73" s="1318"/>
      <c r="H73" s="1318"/>
      <c r="I73" s="1318"/>
      <c r="J73" s="1318"/>
      <c r="L73" s="1424"/>
      <c r="M73" s="1424"/>
      <c r="N73" s="1424"/>
      <c r="O73" s="1424"/>
      <c r="P73" s="1424"/>
      <c r="Q73" s="1424"/>
      <c r="R73" s="1424"/>
      <c r="S73" s="1424"/>
      <c r="T73" s="1424"/>
      <c r="U73" s="1424"/>
      <c r="V73" s="1424"/>
      <c r="W73" s="1424"/>
      <c r="X73" s="1424"/>
      <c r="Y73" s="1424"/>
      <c r="Z73" s="1424"/>
      <c r="AA73" s="1424"/>
      <c r="AB73" s="1424"/>
      <c r="AC73" s="1424"/>
      <c r="AD73" s="1424"/>
      <c r="AE73" s="1424"/>
      <c r="AF73" s="1424"/>
      <c r="AG73" s="1424"/>
      <c r="AH73" s="1424"/>
      <c r="AI73" s="1424"/>
      <c r="AJ73" s="1424"/>
    </row>
    <row r="74" spans="1:36">
      <c r="A74" s="1318"/>
      <c r="B74" s="1318" t="s">
        <v>754</v>
      </c>
      <c r="C74" s="1380">
        <f>J20+J21</f>
        <v>10.436976369899144</v>
      </c>
      <c r="D74" s="1318"/>
      <c r="E74" s="1318"/>
      <c r="F74" s="1318"/>
      <c r="G74" s="1318"/>
      <c r="H74" s="1318"/>
      <c r="I74" s="1318"/>
      <c r="J74" s="1318"/>
      <c r="L74" s="1424"/>
      <c r="M74" s="1424"/>
      <c r="N74" s="1424"/>
      <c r="O74" s="1424"/>
      <c r="P74" s="1424"/>
      <c r="Q74" s="1424"/>
      <c r="R74" s="1424"/>
      <c r="S74" s="1424"/>
      <c r="T74" s="1424"/>
      <c r="U74" s="1424"/>
      <c r="V74" s="1424"/>
      <c r="W74" s="1424"/>
      <c r="X74" s="1424"/>
      <c r="Y74" s="1424"/>
      <c r="Z74" s="1424"/>
      <c r="AA74" s="1424"/>
      <c r="AB74" s="1424"/>
      <c r="AC74" s="1424"/>
      <c r="AD74" s="1424"/>
      <c r="AE74" s="1424"/>
      <c r="AF74" s="1424"/>
      <c r="AG74" s="1424"/>
      <c r="AH74" s="1424"/>
      <c r="AI74" s="1424"/>
      <c r="AJ74" s="1424"/>
    </row>
    <row r="75" spans="1:36">
      <c r="A75" s="1318"/>
      <c r="B75" s="1519" t="s">
        <v>797</v>
      </c>
      <c r="C75" s="1380">
        <f>J8</f>
        <v>1.0176004382241108</v>
      </c>
      <c r="D75" s="1318"/>
      <c r="E75" s="1318"/>
      <c r="F75" s="1318"/>
      <c r="G75" s="1318"/>
      <c r="H75" s="1318"/>
      <c r="I75" s="1318"/>
      <c r="J75" s="1318"/>
      <c r="L75" s="1424"/>
      <c r="M75" s="1424"/>
      <c r="N75" s="1424"/>
      <c r="O75" s="1424"/>
      <c r="P75" s="1424"/>
      <c r="Q75" s="1424"/>
      <c r="R75" s="1424"/>
      <c r="S75" s="1424"/>
      <c r="T75" s="1424"/>
      <c r="U75" s="1424"/>
      <c r="V75" s="1424"/>
      <c r="W75" s="1424"/>
      <c r="X75" s="1424"/>
      <c r="Y75" s="1424"/>
      <c r="Z75" s="1424"/>
      <c r="AA75" s="1424"/>
      <c r="AB75" s="1424"/>
      <c r="AC75" s="1424"/>
      <c r="AD75" s="1424"/>
      <c r="AE75" s="1424"/>
      <c r="AF75" s="1424"/>
      <c r="AG75" s="1424"/>
      <c r="AH75" s="1424"/>
      <c r="AI75" s="1424"/>
      <c r="AJ75" s="1424"/>
    </row>
    <row r="76" spans="1:36">
      <c r="A76" s="1318"/>
      <c r="B76" s="1318" t="s">
        <v>755</v>
      </c>
      <c r="C76" s="1380">
        <f>J22</f>
        <v>4.7258979206049148</v>
      </c>
      <c r="D76" s="1318"/>
      <c r="E76" s="1318"/>
      <c r="F76" s="1318"/>
      <c r="G76" s="1318"/>
      <c r="H76" s="1318"/>
      <c r="I76" s="1318"/>
      <c r="J76" s="1318"/>
      <c r="L76" s="1424"/>
      <c r="M76" s="1424"/>
      <c r="N76" s="1424"/>
      <c r="O76" s="1424"/>
      <c r="P76" s="1424"/>
      <c r="Q76" s="1424"/>
      <c r="R76" s="1424"/>
      <c r="S76" s="1424"/>
      <c r="T76" s="1424"/>
      <c r="U76" s="1424"/>
      <c r="V76" s="1424"/>
      <c r="W76" s="1424"/>
      <c r="X76" s="1424"/>
      <c r="Y76" s="1424"/>
      <c r="Z76" s="1424"/>
      <c r="AA76" s="1424"/>
      <c r="AB76" s="1424"/>
      <c r="AC76" s="1424"/>
      <c r="AD76" s="1424"/>
      <c r="AE76" s="1424"/>
      <c r="AF76" s="1424"/>
      <c r="AG76" s="1424"/>
      <c r="AH76" s="1424"/>
      <c r="AI76" s="1424"/>
      <c r="AJ76" s="1424"/>
    </row>
    <row r="77" spans="1:36">
      <c r="A77" s="1318"/>
      <c r="B77" s="1318"/>
      <c r="C77" s="1318"/>
      <c r="D77" s="1318"/>
      <c r="E77" s="1318"/>
      <c r="F77" s="1318"/>
      <c r="G77" s="1318"/>
      <c r="H77" s="1318"/>
      <c r="I77" s="1318"/>
      <c r="J77" s="1318"/>
      <c r="L77" s="1424"/>
      <c r="M77" s="1424"/>
      <c r="N77" s="1424"/>
      <c r="O77" s="1424"/>
      <c r="P77" s="1424"/>
      <c r="Q77" s="1424"/>
      <c r="R77" s="1424"/>
      <c r="S77" s="1424"/>
      <c r="T77" s="1424"/>
      <c r="U77" s="1424"/>
      <c r="V77" s="1424"/>
      <c r="W77" s="1424"/>
      <c r="X77" s="1424"/>
      <c r="Y77" s="1424"/>
      <c r="Z77" s="1424"/>
      <c r="AA77" s="1424"/>
      <c r="AB77" s="1424"/>
      <c r="AC77" s="1424"/>
      <c r="AD77" s="1424"/>
      <c r="AE77" s="1424"/>
      <c r="AF77" s="1424"/>
      <c r="AG77" s="1424"/>
      <c r="AH77" s="1424"/>
      <c r="AI77" s="1424"/>
      <c r="AJ77" s="1424"/>
    </row>
    <row r="78" spans="1:36">
      <c r="A78" s="1318"/>
      <c r="B78" s="1318"/>
      <c r="C78" s="1318"/>
      <c r="D78" s="1318"/>
      <c r="E78" s="1318"/>
      <c r="F78" s="1318"/>
      <c r="G78" s="1318"/>
      <c r="H78" s="1318"/>
      <c r="I78" s="1318"/>
      <c r="J78" s="1318"/>
    </row>
    <row r="79" spans="1:36">
      <c r="A79" s="1318"/>
      <c r="B79" s="1318"/>
      <c r="C79" s="1318"/>
      <c r="D79" s="1318"/>
      <c r="E79" s="1318"/>
      <c r="F79" s="1318"/>
      <c r="G79" s="1318"/>
      <c r="H79" s="1318"/>
      <c r="I79" s="1318"/>
      <c r="J79" s="1318"/>
    </row>
    <row r="80" spans="1:36">
      <c r="A80" s="1318"/>
      <c r="B80" s="1318"/>
      <c r="C80" s="1318"/>
      <c r="D80" s="1318"/>
      <c r="E80" s="1318"/>
      <c r="F80" s="1318"/>
      <c r="G80" s="1318"/>
      <c r="H80" s="1318"/>
      <c r="I80" s="1318"/>
      <c r="J80" s="1318"/>
    </row>
    <row r="81" spans="1:10">
      <c r="A81" s="1318"/>
      <c r="B81" s="1318"/>
      <c r="C81" s="1318"/>
      <c r="D81" s="1318"/>
      <c r="E81" s="1318"/>
      <c r="F81" s="1318"/>
      <c r="G81" s="1318"/>
      <c r="H81" s="1318"/>
      <c r="I81" s="1318"/>
      <c r="J81" s="1318"/>
    </row>
    <row r="82" spans="1:10">
      <c r="A82" s="1318"/>
      <c r="B82" s="1318"/>
      <c r="C82" s="1318"/>
      <c r="D82" s="1318"/>
      <c r="E82" s="1318"/>
      <c r="F82" s="1318"/>
      <c r="G82" s="1318"/>
      <c r="H82" s="1318"/>
      <c r="I82" s="1318"/>
      <c r="J82" s="1318"/>
    </row>
    <row r="83" spans="1:10">
      <c r="A83" s="1318"/>
      <c r="B83" s="1318"/>
      <c r="C83" s="1318"/>
      <c r="D83" s="1318"/>
      <c r="E83" s="1318"/>
      <c r="F83" s="1318"/>
      <c r="G83" s="1318"/>
      <c r="H83" s="1318"/>
      <c r="I83" s="1318"/>
      <c r="J83" s="1318"/>
    </row>
    <row r="84" spans="1:10">
      <c r="A84" s="1318"/>
      <c r="B84" s="1554" t="s">
        <v>881</v>
      </c>
      <c r="C84" s="1380">
        <f>SUM(J5:J8,J10)</f>
        <v>53.432678544421506</v>
      </c>
      <c r="D84" s="1318"/>
      <c r="E84" s="1318"/>
      <c r="F84" s="1318"/>
      <c r="G84" s="1318"/>
      <c r="H84" s="1318"/>
      <c r="I84" s="1318"/>
      <c r="J84" s="1318"/>
    </row>
    <row r="85" spans="1:10">
      <c r="A85" s="1318"/>
      <c r="B85" s="1554" t="s">
        <v>883</v>
      </c>
      <c r="C85" s="1380">
        <f>SUM(J9,J11:J22)</f>
        <v>19.325548632427122</v>
      </c>
      <c r="D85" s="1318"/>
      <c r="E85" s="1318"/>
      <c r="F85" s="1318"/>
      <c r="G85" s="1318"/>
      <c r="H85" s="1318"/>
      <c r="I85" s="1318"/>
      <c r="J85" s="1318"/>
    </row>
    <row r="86" spans="1:10">
      <c r="A86" s="1318"/>
      <c r="B86" s="1554" t="s">
        <v>882</v>
      </c>
      <c r="C86" s="1380">
        <f>J26</f>
        <v>3.0718336483931949</v>
      </c>
      <c r="D86" s="1318"/>
      <c r="E86" s="1318"/>
      <c r="F86" s="1318"/>
      <c r="G86" s="1318"/>
      <c r="H86" s="1318"/>
      <c r="I86" s="1318"/>
      <c r="J86" s="1318"/>
    </row>
    <row r="87" spans="1:10">
      <c r="A87" s="1318"/>
      <c r="B87" s="1318"/>
      <c r="C87" s="1318"/>
      <c r="D87" s="1318"/>
      <c r="E87" s="1318"/>
      <c r="F87" s="1318"/>
      <c r="G87" s="1318"/>
      <c r="H87" s="1318"/>
      <c r="I87" s="1318"/>
      <c r="J87" s="1318"/>
    </row>
    <row r="88" spans="1:10">
      <c r="A88" s="1318"/>
      <c r="B88" s="1318"/>
      <c r="C88" s="1318"/>
      <c r="D88" s="1318"/>
      <c r="E88" s="1318"/>
      <c r="F88" s="1318"/>
      <c r="G88" s="1318"/>
      <c r="H88" s="1318"/>
      <c r="I88" s="1318"/>
      <c r="J88" s="1318"/>
    </row>
    <row r="89" spans="1:10">
      <c r="A89" s="1318"/>
      <c r="B89" s="1318"/>
      <c r="C89" s="1318"/>
      <c r="D89" s="1318"/>
      <c r="E89" s="1318"/>
      <c r="F89" s="1318"/>
      <c r="G89" s="1318"/>
      <c r="H89" s="1318"/>
      <c r="I89" s="1318"/>
      <c r="J89" s="1318"/>
    </row>
    <row r="90" spans="1:10">
      <c r="A90" s="1318"/>
      <c r="B90" s="1318"/>
      <c r="C90" s="1318"/>
      <c r="D90" s="1318"/>
      <c r="E90" s="1318"/>
      <c r="F90" s="1318"/>
      <c r="G90" s="1318"/>
      <c r="H90" s="1318"/>
      <c r="I90" s="1318"/>
      <c r="J90" s="1318"/>
    </row>
    <row r="91" spans="1:10">
      <c r="A91" s="1318"/>
      <c r="B91" s="1318"/>
      <c r="C91" s="1318"/>
      <c r="D91" s="1318"/>
      <c r="E91" s="1318"/>
      <c r="F91" s="1318"/>
      <c r="G91" s="1318"/>
      <c r="H91" s="1318"/>
      <c r="I91" s="1318"/>
      <c r="J91" s="1318"/>
    </row>
    <row r="92" spans="1:10">
      <c r="A92" s="1318"/>
      <c r="B92" s="1318"/>
      <c r="C92" s="1318"/>
      <c r="D92" s="1318"/>
      <c r="E92" s="1318"/>
      <c r="F92" s="1318"/>
      <c r="G92" s="1318"/>
      <c r="H92" s="1318"/>
      <c r="I92" s="1318"/>
      <c r="J92" s="1318"/>
    </row>
    <row r="93" spans="1:10">
      <c r="A93" s="1318"/>
      <c r="B93" s="1318"/>
      <c r="C93" s="1318"/>
      <c r="D93" s="1318"/>
      <c r="E93" s="1318"/>
      <c r="F93" s="1318"/>
      <c r="G93" s="1318"/>
      <c r="H93" s="1318"/>
      <c r="I93" s="1318"/>
      <c r="J93" s="1318"/>
    </row>
    <row r="94" spans="1:10">
      <c r="A94" s="1318"/>
      <c r="B94" s="1318"/>
      <c r="C94" s="1318"/>
      <c r="D94" s="1318"/>
      <c r="E94" s="1318"/>
      <c r="F94" s="1318"/>
      <c r="G94" s="1318"/>
      <c r="H94" s="1318"/>
      <c r="I94" s="1318"/>
      <c r="J94" s="1318"/>
    </row>
    <row r="95" spans="1:10">
      <c r="A95" s="1318"/>
      <c r="B95" s="1318"/>
      <c r="C95" s="1318"/>
      <c r="D95" s="1318"/>
      <c r="E95" s="1318"/>
      <c r="F95" s="1318"/>
      <c r="G95" s="1318"/>
      <c r="H95" s="1318"/>
      <c r="I95" s="1318"/>
      <c r="J95" s="1318"/>
    </row>
    <row r="96" spans="1:10">
      <c r="A96" s="1318"/>
      <c r="B96" s="1318"/>
      <c r="C96" s="1318"/>
      <c r="D96" s="1318"/>
      <c r="E96" s="1318"/>
      <c r="F96" s="1318"/>
      <c r="G96" s="1318"/>
      <c r="H96" s="1318"/>
      <c r="I96" s="1318"/>
      <c r="J96" s="1318"/>
    </row>
    <row r="97" spans="1:10">
      <c r="A97" s="1318"/>
      <c r="B97" s="1318"/>
      <c r="C97" s="1318"/>
      <c r="D97" s="1318"/>
      <c r="E97" s="1318"/>
      <c r="F97" s="1318"/>
      <c r="G97" s="1318"/>
      <c r="H97" s="1318"/>
      <c r="I97" s="1318"/>
      <c r="J97" s="1318"/>
    </row>
    <row r="98" spans="1:10">
      <c r="A98" s="1318"/>
      <c r="B98" s="1318"/>
      <c r="C98" s="1318"/>
      <c r="D98" s="1318"/>
      <c r="E98" s="1318"/>
      <c r="F98" s="1318"/>
      <c r="G98" s="1318"/>
      <c r="H98" s="1318"/>
      <c r="I98" s="1318"/>
      <c r="J98" s="1318"/>
    </row>
    <row r="99" spans="1:10">
      <c r="A99" s="1318"/>
      <c r="B99" s="1318"/>
      <c r="C99" s="1318"/>
      <c r="D99" s="1318"/>
      <c r="E99" s="1318"/>
      <c r="F99" s="1318"/>
      <c r="G99" s="1318"/>
      <c r="H99" s="1318"/>
      <c r="I99" s="1318"/>
      <c r="J99" s="1318"/>
    </row>
    <row r="100" spans="1:10">
      <c r="A100" s="1318"/>
      <c r="B100" s="1318"/>
      <c r="C100" s="1318"/>
      <c r="D100" s="1318"/>
      <c r="E100" s="1318"/>
      <c r="F100" s="1318"/>
      <c r="G100" s="1318"/>
      <c r="H100" s="1318"/>
      <c r="I100" s="1318"/>
      <c r="J100" s="1318"/>
    </row>
    <row r="101" spans="1:10">
      <c r="A101" s="1318"/>
      <c r="B101" s="1318"/>
      <c r="C101" s="1318"/>
      <c r="D101" s="1318"/>
      <c r="E101" s="1318"/>
      <c r="F101" s="1318"/>
      <c r="G101" s="1318"/>
      <c r="H101" s="1318"/>
      <c r="I101" s="1318"/>
      <c r="J101" s="1318"/>
    </row>
    <row r="102" spans="1:10">
      <c r="A102" s="1318"/>
      <c r="B102" s="1318"/>
      <c r="C102" s="1318"/>
      <c r="D102" s="1318"/>
      <c r="E102" s="1318"/>
      <c r="F102" s="1318"/>
      <c r="G102" s="1318"/>
      <c r="H102" s="1318"/>
      <c r="I102" s="1318"/>
      <c r="J102" s="1318"/>
    </row>
    <row r="103" spans="1:10">
      <c r="A103" s="1318"/>
      <c r="B103" s="1318"/>
      <c r="C103" s="1318"/>
      <c r="D103" s="1318"/>
      <c r="E103" s="1318"/>
      <c r="F103" s="1318"/>
      <c r="G103" s="1318"/>
      <c r="H103" s="1318"/>
      <c r="I103" s="1318"/>
      <c r="J103" s="1318"/>
    </row>
    <row r="104" spans="1:10">
      <c r="A104" s="1318"/>
      <c r="B104" s="1318"/>
      <c r="C104" s="1318"/>
      <c r="D104" s="1318"/>
      <c r="E104" s="1318"/>
      <c r="F104" s="1318"/>
      <c r="G104" s="1318"/>
      <c r="H104" s="1318"/>
      <c r="I104" s="1318"/>
      <c r="J104" s="1318"/>
    </row>
    <row r="105" spans="1:10">
      <c r="A105" s="1318"/>
      <c r="B105" s="1318"/>
      <c r="C105" s="1318"/>
      <c r="D105" s="1318"/>
      <c r="E105" s="1318"/>
      <c r="F105" s="1318"/>
      <c r="G105" s="1318"/>
      <c r="H105" s="1318"/>
      <c r="I105" s="1318"/>
      <c r="J105" s="1318"/>
    </row>
    <row r="106" spans="1:10">
      <c r="A106" s="1318"/>
      <c r="B106" s="1318"/>
      <c r="C106" s="1318"/>
      <c r="D106" s="1318"/>
      <c r="E106" s="1318"/>
      <c r="F106" s="1318"/>
      <c r="G106" s="1318"/>
      <c r="H106" s="1318"/>
      <c r="I106" s="1318"/>
      <c r="J106" s="1318"/>
    </row>
    <row r="107" spans="1:10">
      <c r="A107" s="1318"/>
      <c r="B107" s="1318"/>
      <c r="C107" s="1318"/>
      <c r="D107" s="1318"/>
      <c r="E107" s="1318"/>
      <c r="F107" s="1318"/>
      <c r="G107" s="1318"/>
      <c r="H107" s="1318"/>
      <c r="I107" s="1318"/>
      <c r="J107" s="1318"/>
    </row>
    <row r="108" spans="1:10">
      <c r="A108" s="1318"/>
      <c r="B108" s="1318"/>
      <c r="C108" s="1318"/>
      <c r="D108" s="1318"/>
      <c r="E108" s="1318"/>
      <c r="F108" s="1318"/>
      <c r="G108" s="1318"/>
      <c r="H108" s="1318"/>
      <c r="I108" s="1318"/>
      <c r="J108" s="1318"/>
    </row>
    <row r="109" spans="1:10">
      <c r="A109" s="1318"/>
      <c r="B109" s="1318"/>
      <c r="C109" s="1318"/>
      <c r="D109" s="1318"/>
      <c r="E109" s="1318"/>
      <c r="F109" s="1318"/>
      <c r="G109" s="1318"/>
      <c r="H109" s="1318"/>
      <c r="I109" s="1318"/>
      <c r="J109" s="1318"/>
    </row>
    <row r="110" spans="1:10">
      <c r="A110" s="1318"/>
      <c r="B110" s="1318"/>
      <c r="C110" s="1318"/>
      <c r="D110" s="1318"/>
      <c r="E110" s="1318"/>
      <c r="F110" s="1318"/>
      <c r="G110" s="1318"/>
      <c r="H110" s="1318"/>
      <c r="I110" s="1318"/>
      <c r="J110" s="1318"/>
    </row>
    <row r="111" spans="1:10">
      <c r="A111" s="1318"/>
      <c r="B111" s="1318"/>
      <c r="C111" s="1318"/>
      <c r="D111" s="1318"/>
      <c r="E111" s="1318"/>
      <c r="F111" s="1318"/>
      <c r="G111" s="1318"/>
      <c r="H111" s="1318"/>
      <c r="I111" s="1318"/>
      <c r="J111" s="1318"/>
    </row>
    <row r="112" spans="1:10">
      <c r="A112" s="1318"/>
      <c r="B112" s="1318"/>
      <c r="C112" s="1318"/>
      <c r="D112" s="1318"/>
      <c r="E112" s="1318"/>
      <c r="F112" s="1318"/>
      <c r="G112" s="1318"/>
      <c r="H112" s="1318"/>
      <c r="I112" s="1318"/>
      <c r="J112" s="1318"/>
    </row>
    <row r="113" spans="1:10">
      <c r="A113" s="1318"/>
      <c r="B113" s="1318"/>
      <c r="C113" s="1318"/>
      <c r="D113" s="1318"/>
      <c r="E113" s="1318"/>
      <c r="F113" s="1318"/>
      <c r="G113" s="1318"/>
      <c r="H113" s="1318"/>
      <c r="I113" s="1318"/>
      <c r="J113" s="1318"/>
    </row>
    <row r="114" spans="1:10">
      <c r="A114" s="1318"/>
      <c r="B114" s="1318"/>
      <c r="C114" s="1318"/>
      <c r="D114" s="1318"/>
      <c r="E114" s="1318"/>
      <c r="F114" s="1318"/>
      <c r="G114" s="1318"/>
      <c r="H114" s="1318"/>
      <c r="I114" s="1318"/>
      <c r="J114" s="1318"/>
    </row>
    <row r="115" spans="1:10">
      <c r="A115" s="1318"/>
      <c r="B115" s="1318"/>
      <c r="C115" s="1318"/>
      <c r="D115" s="1318"/>
      <c r="E115" s="1318"/>
      <c r="F115" s="1318"/>
      <c r="G115" s="1318"/>
      <c r="H115" s="1318"/>
      <c r="I115" s="1318"/>
      <c r="J115" s="1318"/>
    </row>
    <row r="116" spans="1:10">
      <c r="A116" s="1318"/>
      <c r="B116" s="1318"/>
      <c r="C116" s="1318"/>
      <c r="D116" s="1318"/>
      <c r="E116" s="1318"/>
      <c r="F116" s="1318"/>
      <c r="G116" s="1318"/>
      <c r="H116" s="1318"/>
      <c r="I116" s="1318"/>
      <c r="J116" s="1318"/>
    </row>
    <row r="117" spans="1:10">
      <c r="A117" s="1318"/>
      <c r="B117" s="1318"/>
      <c r="C117" s="1318"/>
      <c r="D117" s="1318"/>
      <c r="E117" s="1318"/>
      <c r="F117" s="1318"/>
      <c r="G117" s="1318"/>
      <c r="H117" s="1318"/>
      <c r="I117" s="1318"/>
      <c r="J117" s="1318"/>
    </row>
    <row r="118" spans="1:10">
      <c r="A118" s="1318"/>
      <c r="B118" s="1318"/>
      <c r="C118" s="1318"/>
      <c r="D118" s="1318"/>
      <c r="E118" s="1318"/>
      <c r="F118" s="1318"/>
      <c r="G118" s="1318"/>
      <c r="H118" s="1318"/>
      <c r="I118" s="1318"/>
      <c r="J118" s="1318"/>
    </row>
    <row r="119" spans="1:10">
      <c r="A119" s="1318"/>
      <c r="B119" s="1318"/>
      <c r="C119" s="1318"/>
      <c r="D119" s="1318"/>
      <c r="E119" s="1318"/>
      <c r="F119" s="1318"/>
      <c r="G119" s="1318"/>
      <c r="H119" s="1318"/>
      <c r="I119" s="1318"/>
      <c r="J119" s="1318"/>
    </row>
    <row r="120" spans="1:10">
      <c r="A120" s="1318"/>
      <c r="B120" s="1318"/>
      <c r="C120" s="1318"/>
      <c r="D120" s="1318"/>
      <c r="E120" s="1318"/>
      <c r="F120" s="1318"/>
      <c r="G120" s="1318"/>
      <c r="H120" s="1318"/>
      <c r="I120" s="1318"/>
      <c r="J120" s="1318"/>
    </row>
    <row r="121" spans="1:10">
      <c r="A121" s="1318"/>
      <c r="B121" s="1318"/>
      <c r="C121" s="1318"/>
      <c r="D121" s="1318"/>
      <c r="E121" s="1318"/>
      <c r="F121" s="1318"/>
      <c r="G121" s="1318"/>
      <c r="H121" s="1318"/>
      <c r="I121" s="1318"/>
      <c r="J121" s="1318"/>
    </row>
    <row r="122" spans="1:10">
      <c r="A122" s="1318"/>
      <c r="B122" s="1318"/>
      <c r="C122" s="1318"/>
      <c r="D122" s="1318"/>
      <c r="E122" s="1318"/>
      <c r="F122" s="1318"/>
      <c r="G122" s="1318"/>
      <c r="H122" s="1318"/>
      <c r="I122" s="1318"/>
      <c r="J122" s="1318"/>
    </row>
    <row r="123" spans="1:10">
      <c r="A123" s="1318"/>
      <c r="B123" s="1318"/>
      <c r="C123" s="1318"/>
      <c r="D123" s="1318"/>
      <c r="E123" s="1318"/>
      <c r="F123" s="1318"/>
      <c r="G123" s="1318"/>
      <c r="H123" s="1318"/>
      <c r="I123" s="1318"/>
      <c r="J123" s="1318"/>
    </row>
    <row r="124" spans="1:10">
      <c r="A124" s="1318"/>
      <c r="B124" s="1318"/>
      <c r="C124" s="1318"/>
      <c r="D124" s="1318"/>
      <c r="E124" s="1318"/>
      <c r="F124" s="1318"/>
      <c r="G124" s="1318"/>
      <c r="H124" s="1318"/>
      <c r="I124" s="1318"/>
      <c r="J124" s="1318"/>
    </row>
    <row r="125" spans="1:10">
      <c r="A125" s="1318"/>
      <c r="B125" s="1318"/>
      <c r="C125" s="1318"/>
      <c r="D125" s="1318"/>
      <c r="E125" s="1318"/>
      <c r="F125" s="1318"/>
      <c r="G125" s="1318"/>
      <c r="H125" s="1318"/>
      <c r="I125" s="1318"/>
      <c r="J125" s="1318"/>
    </row>
    <row r="126" spans="1:10">
      <c r="A126" s="1318"/>
      <c r="B126" s="1318"/>
      <c r="C126" s="1318"/>
      <c r="D126" s="1318"/>
      <c r="E126" s="1318"/>
      <c r="F126" s="1318"/>
      <c r="G126" s="1318"/>
      <c r="H126" s="1318"/>
      <c r="I126" s="1318"/>
      <c r="J126" s="1318"/>
    </row>
    <row r="127" spans="1:10">
      <c r="A127" s="1318"/>
      <c r="B127" s="1318"/>
      <c r="C127" s="1318"/>
      <c r="D127" s="1318"/>
      <c r="E127" s="1318"/>
      <c r="F127" s="1318"/>
      <c r="G127" s="1318"/>
      <c r="H127" s="1318"/>
      <c r="I127" s="1318"/>
      <c r="J127" s="1318"/>
    </row>
    <row r="128" spans="1:10">
      <c r="A128" s="1318"/>
      <c r="B128" s="1318"/>
      <c r="C128" s="1318"/>
      <c r="D128" s="1318"/>
      <c r="E128" s="1318"/>
      <c r="F128" s="1318"/>
      <c r="G128" s="1318"/>
      <c r="H128" s="1318"/>
      <c r="I128" s="1318"/>
      <c r="J128" s="1318"/>
    </row>
    <row r="129" spans="1:10">
      <c r="A129" s="1318"/>
      <c r="B129" s="1318"/>
      <c r="C129" s="1318"/>
      <c r="D129" s="1318"/>
      <c r="E129" s="1318"/>
      <c r="F129" s="1318"/>
      <c r="G129" s="1318"/>
      <c r="H129" s="1318"/>
      <c r="I129" s="1318"/>
      <c r="J129" s="1318"/>
    </row>
    <row r="130" spans="1:10">
      <c r="A130" s="1318"/>
      <c r="B130" s="1318"/>
      <c r="C130" s="1318"/>
      <c r="D130" s="1318"/>
      <c r="E130" s="1318"/>
      <c r="F130" s="1318"/>
      <c r="G130" s="1318"/>
      <c r="H130" s="1318"/>
      <c r="I130" s="1318"/>
      <c r="J130" s="1318"/>
    </row>
    <row r="131" spans="1:10">
      <c r="A131" s="1318"/>
      <c r="B131" s="1318"/>
      <c r="C131" s="1318"/>
      <c r="D131" s="1318"/>
      <c r="E131" s="1318"/>
      <c r="F131" s="1318"/>
      <c r="G131" s="1318"/>
      <c r="H131" s="1318"/>
      <c r="I131" s="1318"/>
      <c r="J131" s="1318"/>
    </row>
    <row r="132" spans="1:10">
      <c r="A132" s="1318"/>
      <c r="B132" s="1318"/>
      <c r="C132" s="1318"/>
      <c r="D132" s="1318"/>
      <c r="E132" s="1318"/>
      <c r="F132" s="1318"/>
      <c r="G132" s="1318"/>
      <c r="H132" s="1318"/>
      <c r="I132" s="1318"/>
      <c r="J132" s="1318"/>
    </row>
    <row r="133" spans="1:10">
      <c r="A133" s="1318"/>
      <c r="B133" s="1318"/>
      <c r="C133" s="1318"/>
      <c r="D133" s="1318"/>
      <c r="E133" s="1318"/>
      <c r="F133" s="1318"/>
      <c r="G133" s="1318"/>
      <c r="H133" s="1318"/>
      <c r="I133" s="1318"/>
      <c r="J133" s="1318"/>
    </row>
    <row r="134" spans="1:10">
      <c r="A134" s="1318"/>
      <c r="B134" s="1318"/>
      <c r="C134" s="1318"/>
      <c r="D134" s="1318"/>
      <c r="E134" s="1318"/>
      <c r="F134" s="1318"/>
      <c r="G134" s="1318"/>
      <c r="H134" s="1318"/>
      <c r="I134" s="1318"/>
      <c r="J134" s="1318"/>
    </row>
    <row r="135" spans="1:10">
      <c r="A135" s="1318"/>
      <c r="B135" s="1318"/>
      <c r="C135" s="1318"/>
      <c r="D135" s="1318"/>
      <c r="E135" s="1318"/>
      <c r="F135" s="1318"/>
      <c r="G135" s="1318"/>
      <c r="H135" s="1318"/>
      <c r="I135" s="1318"/>
      <c r="J135" s="1318"/>
    </row>
    <row r="136" spans="1:10">
      <c r="A136" s="1318"/>
      <c r="B136" s="1318"/>
      <c r="C136" s="1318"/>
      <c r="D136" s="1318"/>
      <c r="E136" s="1318"/>
      <c r="F136" s="1318"/>
      <c r="G136" s="1318"/>
      <c r="H136" s="1318"/>
      <c r="I136" s="1318"/>
      <c r="J136" s="1318"/>
    </row>
    <row r="137" spans="1:10">
      <c r="A137" s="1318"/>
      <c r="B137" s="1318"/>
      <c r="C137" s="1318"/>
      <c r="D137" s="1318"/>
      <c r="E137" s="1318"/>
      <c r="F137" s="1318"/>
      <c r="G137" s="1318"/>
      <c r="H137" s="1318"/>
      <c r="I137" s="1318"/>
      <c r="J137" s="1318"/>
    </row>
    <row r="138" spans="1:10">
      <c r="A138" s="1318"/>
      <c r="B138" s="1318"/>
      <c r="C138" s="1318"/>
      <c r="D138" s="1318"/>
      <c r="E138" s="1318"/>
      <c r="F138" s="1318"/>
      <c r="G138" s="1318"/>
      <c r="H138" s="1318"/>
      <c r="I138" s="1318"/>
      <c r="J138" s="1318"/>
    </row>
    <row r="139" spans="1:10">
      <c r="A139" s="1318"/>
      <c r="B139" s="1318"/>
      <c r="C139" s="1318"/>
      <c r="D139" s="1318"/>
      <c r="E139" s="1318"/>
      <c r="F139" s="1318"/>
      <c r="G139" s="1318"/>
      <c r="H139" s="1318"/>
      <c r="I139" s="1318"/>
      <c r="J139" s="1318"/>
    </row>
    <row r="140" spans="1:10">
      <c r="A140" s="1318"/>
      <c r="B140" s="1318"/>
      <c r="C140" s="1318"/>
      <c r="D140" s="1318"/>
      <c r="E140" s="1318"/>
      <c r="F140" s="1318"/>
      <c r="G140" s="1318"/>
      <c r="H140" s="1318"/>
      <c r="I140" s="1318"/>
      <c r="J140" s="1318"/>
    </row>
    <row r="141" spans="1:10">
      <c r="A141" s="1318"/>
      <c r="B141" s="1318"/>
      <c r="C141" s="1318"/>
      <c r="D141" s="1318"/>
      <c r="E141" s="1318"/>
      <c r="F141" s="1318"/>
      <c r="G141" s="1318"/>
      <c r="H141" s="1318"/>
      <c r="I141" s="1318"/>
      <c r="J141" s="1318"/>
    </row>
    <row r="142" spans="1:10">
      <c r="A142" s="1318"/>
      <c r="B142" s="1318"/>
      <c r="C142" s="1318"/>
      <c r="D142" s="1318"/>
      <c r="E142" s="1318"/>
      <c r="F142" s="1318"/>
      <c r="G142" s="1318"/>
      <c r="H142" s="1318"/>
      <c r="I142" s="1318"/>
      <c r="J142" s="1318"/>
    </row>
    <row r="143" spans="1:10">
      <c r="A143" s="1318"/>
      <c r="B143" s="1318"/>
      <c r="C143" s="1318"/>
      <c r="D143" s="1318"/>
      <c r="E143" s="1318"/>
      <c r="F143" s="1318"/>
      <c r="G143" s="1318"/>
      <c r="H143" s="1318"/>
      <c r="I143" s="1318"/>
      <c r="J143" s="1318"/>
    </row>
    <row r="144" spans="1:10">
      <c r="A144" s="1318"/>
      <c r="B144" s="1318"/>
      <c r="C144" s="1318"/>
      <c r="D144" s="1318"/>
      <c r="E144" s="1318"/>
      <c r="F144" s="1318"/>
      <c r="G144" s="1318"/>
      <c r="H144" s="1318"/>
      <c r="I144" s="1318"/>
      <c r="J144" s="1318"/>
    </row>
    <row r="145" spans="1:10">
      <c r="A145" s="1318"/>
      <c r="B145" s="1318"/>
      <c r="C145" s="1318"/>
      <c r="D145" s="1318"/>
      <c r="E145" s="1318"/>
      <c r="F145" s="1318"/>
      <c r="G145" s="1318"/>
      <c r="H145" s="1318"/>
      <c r="I145" s="1318"/>
      <c r="J145" s="1318"/>
    </row>
    <row r="146" spans="1:10">
      <c r="A146" s="1318"/>
      <c r="B146" s="1318"/>
      <c r="C146" s="1318"/>
      <c r="D146" s="1318"/>
      <c r="E146" s="1318"/>
      <c r="F146" s="1318"/>
      <c r="G146" s="1318"/>
      <c r="H146" s="1318"/>
      <c r="I146" s="1318"/>
      <c r="J146" s="1318"/>
    </row>
    <row r="147" spans="1:10">
      <c r="A147" s="1318"/>
      <c r="B147" s="1318"/>
      <c r="C147" s="1318"/>
      <c r="D147" s="1318"/>
      <c r="E147" s="1318"/>
      <c r="F147" s="1318"/>
      <c r="G147" s="1318"/>
      <c r="H147" s="1318"/>
      <c r="I147" s="1318"/>
      <c r="J147" s="1318"/>
    </row>
    <row r="148" spans="1:10">
      <c r="A148" s="1318"/>
      <c r="B148" s="1318"/>
      <c r="C148" s="1318"/>
      <c r="D148" s="1318"/>
      <c r="E148" s="1318"/>
      <c r="F148" s="1318"/>
      <c r="G148" s="1318"/>
      <c r="H148" s="1318"/>
      <c r="I148" s="1318"/>
      <c r="J148" s="1318"/>
    </row>
    <row r="149" spans="1:10">
      <c r="A149" s="1318"/>
      <c r="B149" s="1318"/>
      <c r="C149" s="1318"/>
      <c r="D149" s="1318"/>
      <c r="E149" s="1318"/>
      <c r="F149" s="1318"/>
      <c r="G149" s="1318"/>
      <c r="H149" s="1318"/>
      <c r="I149" s="1318"/>
      <c r="J149" s="1318"/>
    </row>
    <row r="150" spans="1:10">
      <c r="A150" s="1318"/>
      <c r="B150" s="1318"/>
      <c r="C150" s="1318"/>
      <c r="D150" s="1318"/>
      <c r="E150" s="1318"/>
      <c r="F150" s="1318"/>
      <c r="G150" s="1318"/>
      <c r="H150" s="1318"/>
      <c r="I150" s="1318"/>
      <c r="J150" s="1318"/>
    </row>
    <row r="151" spans="1:10">
      <c r="A151" s="1318"/>
      <c r="B151" s="1318"/>
      <c r="C151" s="1318"/>
      <c r="D151" s="1318"/>
      <c r="E151" s="1318"/>
      <c r="F151" s="1318"/>
      <c r="G151" s="1318"/>
      <c r="H151" s="1318"/>
      <c r="I151" s="1318"/>
      <c r="J151" s="1318"/>
    </row>
    <row r="152" spans="1:10">
      <c r="A152" s="1318"/>
      <c r="B152" s="1318"/>
      <c r="C152" s="1318"/>
      <c r="D152" s="1318"/>
      <c r="E152" s="1318"/>
      <c r="F152" s="1318"/>
      <c r="G152" s="1318"/>
      <c r="H152" s="1318"/>
      <c r="I152" s="1318"/>
      <c r="J152" s="1318"/>
    </row>
    <row r="153" spans="1:10">
      <c r="A153" s="1318"/>
      <c r="B153" s="1318"/>
      <c r="C153" s="1318"/>
      <c r="D153" s="1318"/>
      <c r="E153" s="1318"/>
      <c r="F153" s="1318"/>
      <c r="G153" s="1318"/>
      <c r="H153" s="1318"/>
      <c r="I153" s="1318"/>
      <c r="J153" s="1318"/>
    </row>
    <row r="154" spans="1:10">
      <c r="A154" s="1318"/>
      <c r="B154" s="1318"/>
      <c r="C154" s="1318"/>
      <c r="D154" s="1318"/>
      <c r="E154" s="1318"/>
      <c r="F154" s="1318"/>
      <c r="G154" s="1318"/>
      <c r="H154" s="1318"/>
      <c r="I154" s="1318"/>
      <c r="J154" s="1318"/>
    </row>
    <row r="155" spans="1:10">
      <c r="A155" s="1318"/>
      <c r="B155" s="1318"/>
      <c r="C155" s="1318"/>
      <c r="D155" s="1318"/>
      <c r="E155" s="1318"/>
      <c r="F155" s="1318"/>
      <c r="G155" s="1318"/>
      <c r="H155" s="1318"/>
      <c r="I155" s="1318"/>
      <c r="J155" s="1318"/>
    </row>
    <row r="156" spans="1:10">
      <c r="A156" s="1318"/>
      <c r="B156" s="1318"/>
      <c r="C156" s="1318"/>
      <c r="D156" s="1318"/>
      <c r="E156" s="1318"/>
      <c r="F156" s="1318"/>
      <c r="G156" s="1318"/>
      <c r="H156" s="1318"/>
      <c r="I156" s="1318"/>
      <c r="J156" s="1318"/>
    </row>
    <row r="157" spans="1:10">
      <c r="A157" s="1318"/>
      <c r="B157" s="1318"/>
      <c r="C157" s="1318"/>
      <c r="D157" s="1318"/>
      <c r="E157" s="1318"/>
      <c r="F157" s="1318"/>
      <c r="G157" s="1318"/>
      <c r="H157" s="1318"/>
      <c r="I157" s="1318"/>
      <c r="J157" s="1318"/>
    </row>
    <row r="158" spans="1:10">
      <c r="A158" s="1318"/>
      <c r="B158" s="1318"/>
      <c r="C158" s="1318"/>
      <c r="D158" s="1318"/>
      <c r="E158" s="1318"/>
      <c r="F158" s="1318"/>
      <c r="G158" s="1318"/>
      <c r="H158" s="1318"/>
      <c r="I158" s="1318"/>
      <c r="J158" s="1318"/>
    </row>
    <row r="159" spans="1:10">
      <c r="A159" s="1318"/>
      <c r="B159" s="1318"/>
      <c r="C159" s="1318"/>
      <c r="D159" s="1318"/>
      <c r="E159" s="1318"/>
      <c r="F159" s="1318"/>
      <c r="G159" s="1318"/>
      <c r="H159" s="1318"/>
      <c r="I159" s="1318"/>
      <c r="J159" s="1318"/>
    </row>
    <row r="160" spans="1:10">
      <c r="A160" s="1318"/>
      <c r="B160" s="1318"/>
      <c r="C160" s="1318"/>
      <c r="D160" s="1318"/>
      <c r="E160" s="1318"/>
      <c r="F160" s="1318"/>
      <c r="G160" s="1318"/>
      <c r="H160" s="1318"/>
      <c r="I160" s="1318"/>
      <c r="J160" s="1318"/>
    </row>
    <row r="161" spans="1:10">
      <c r="A161" s="1318"/>
      <c r="B161" s="1318"/>
      <c r="C161" s="1318"/>
      <c r="D161" s="1318"/>
      <c r="E161" s="1318"/>
      <c r="F161" s="1318"/>
      <c r="G161" s="1318"/>
      <c r="H161" s="1318"/>
      <c r="I161" s="1318"/>
      <c r="J161" s="1318"/>
    </row>
    <row r="162" spans="1:10">
      <c r="A162" s="1318"/>
      <c r="B162" s="1318"/>
      <c r="C162" s="1318"/>
      <c r="D162" s="1318"/>
      <c r="E162" s="1318"/>
      <c r="F162" s="1318"/>
      <c r="G162" s="1318"/>
      <c r="H162" s="1318"/>
      <c r="I162" s="1318"/>
      <c r="J162" s="1318"/>
    </row>
    <row r="163" spans="1:10">
      <c r="A163" s="1318"/>
      <c r="B163" s="1318"/>
      <c r="C163" s="1318"/>
      <c r="D163" s="1318"/>
      <c r="E163" s="1318"/>
      <c r="F163" s="1318"/>
      <c r="G163" s="1318"/>
      <c r="H163" s="1318"/>
      <c r="I163" s="1318"/>
      <c r="J163" s="1318"/>
    </row>
    <row r="164" spans="1:10">
      <c r="A164" s="1318"/>
      <c r="B164" s="1318"/>
      <c r="C164" s="1318"/>
      <c r="D164" s="1318"/>
      <c r="E164" s="1318"/>
      <c r="F164" s="1318"/>
      <c r="G164" s="1318"/>
      <c r="H164" s="1318"/>
      <c r="I164" s="1318"/>
      <c r="J164" s="1318"/>
    </row>
    <row r="165" spans="1:10">
      <c r="A165" s="1318"/>
      <c r="B165" s="1318"/>
      <c r="C165" s="1318"/>
      <c r="D165" s="1318"/>
      <c r="E165" s="1318"/>
      <c r="F165" s="1318"/>
      <c r="G165" s="1318"/>
      <c r="H165" s="1318"/>
      <c r="I165" s="1318"/>
      <c r="J165" s="1318"/>
    </row>
    <row r="166" spans="1:10">
      <c r="A166" s="1318"/>
      <c r="B166" s="1318"/>
      <c r="C166" s="1318"/>
      <c r="D166" s="1318"/>
      <c r="E166" s="1318"/>
      <c r="F166" s="1318"/>
      <c r="G166" s="1318"/>
      <c r="H166" s="1318"/>
      <c r="I166" s="1318"/>
      <c r="J166" s="1318"/>
    </row>
    <row r="167" spans="1:10">
      <c r="A167" s="1318"/>
      <c r="B167" s="1318"/>
      <c r="C167" s="1318"/>
      <c r="D167" s="1318"/>
      <c r="E167" s="1318"/>
      <c r="F167" s="1318"/>
      <c r="G167" s="1318"/>
      <c r="H167" s="1318"/>
      <c r="I167" s="1318"/>
      <c r="J167" s="1318"/>
    </row>
    <row r="168" spans="1:10">
      <c r="A168" s="1318"/>
      <c r="B168" s="1318"/>
      <c r="C168" s="1318"/>
      <c r="D168" s="1318"/>
      <c r="E168" s="1318"/>
      <c r="F168" s="1318"/>
      <c r="G168" s="1318"/>
      <c r="H168" s="1318"/>
      <c r="I168" s="1318"/>
      <c r="J168" s="1318"/>
    </row>
    <row r="169" spans="1:10">
      <c r="A169" s="1318"/>
      <c r="B169" s="1318"/>
      <c r="C169" s="1318"/>
      <c r="D169" s="1318"/>
      <c r="E169" s="1318"/>
      <c r="F169" s="1318"/>
      <c r="G169" s="1318"/>
      <c r="H169" s="1318"/>
      <c r="I169" s="1318"/>
      <c r="J169" s="1318"/>
    </row>
    <row r="170" spans="1:10">
      <c r="A170" s="1318"/>
      <c r="B170" s="1318"/>
      <c r="C170" s="1318"/>
      <c r="D170" s="1318"/>
      <c r="E170" s="1318"/>
      <c r="F170" s="1318"/>
      <c r="G170" s="1318"/>
      <c r="H170" s="1318"/>
      <c r="I170" s="1318"/>
      <c r="J170" s="1318"/>
    </row>
    <row r="171" spans="1:10">
      <c r="A171" s="1318"/>
      <c r="B171" s="1318"/>
      <c r="C171" s="1318"/>
      <c r="D171" s="1318"/>
      <c r="E171" s="1318"/>
      <c r="F171" s="1318"/>
      <c r="G171" s="1318"/>
      <c r="H171" s="1318"/>
      <c r="I171" s="1318"/>
      <c r="J171" s="1318"/>
    </row>
    <row r="172" spans="1:10">
      <c r="A172" s="1318"/>
      <c r="B172" s="1318"/>
      <c r="C172" s="1318"/>
      <c r="D172" s="1318"/>
      <c r="E172" s="1318"/>
      <c r="F172" s="1318"/>
      <c r="G172" s="1318"/>
      <c r="H172" s="1318"/>
      <c r="I172" s="1318"/>
      <c r="J172" s="1318"/>
    </row>
    <row r="173" spans="1:10">
      <c r="A173" s="1318"/>
      <c r="B173" s="1318"/>
      <c r="C173" s="1318"/>
      <c r="D173" s="1318"/>
      <c r="E173" s="1318"/>
      <c r="F173" s="1318"/>
      <c r="G173" s="1318"/>
      <c r="H173" s="1318"/>
      <c r="I173" s="1318"/>
      <c r="J173" s="1318"/>
    </row>
    <row r="174" spans="1:10">
      <c r="A174" s="1318"/>
      <c r="B174" s="1318"/>
      <c r="C174" s="1318"/>
      <c r="D174" s="1318"/>
      <c r="E174" s="1318"/>
      <c r="F174" s="1318"/>
      <c r="G174" s="1318"/>
      <c r="H174" s="1318"/>
      <c r="I174" s="1318"/>
      <c r="J174" s="1318"/>
    </row>
    <row r="175" spans="1:10">
      <c r="A175" s="1318"/>
      <c r="B175" s="1318"/>
      <c r="C175" s="1318"/>
      <c r="D175" s="1318"/>
      <c r="E175" s="1318"/>
      <c r="F175" s="1318"/>
      <c r="G175" s="1318"/>
      <c r="H175" s="1318"/>
      <c r="I175" s="1318"/>
      <c r="J175" s="1318"/>
    </row>
    <row r="176" spans="1:10">
      <c r="A176" s="1318"/>
      <c r="B176" s="1318"/>
      <c r="C176" s="1318"/>
      <c r="D176" s="1318"/>
      <c r="E176" s="1318"/>
      <c r="F176" s="1318"/>
      <c r="G176" s="1318"/>
      <c r="H176" s="1318"/>
      <c r="I176" s="1318"/>
      <c r="J176" s="1318"/>
    </row>
    <row r="177" spans="1:10">
      <c r="A177" s="1318"/>
      <c r="B177" s="1318"/>
      <c r="C177" s="1318"/>
      <c r="D177" s="1318"/>
      <c r="E177" s="1318"/>
      <c r="F177" s="1318"/>
      <c r="G177" s="1318"/>
      <c r="H177" s="1318"/>
      <c r="I177" s="1318"/>
      <c r="J177" s="1318"/>
    </row>
    <row r="178" spans="1:10">
      <c r="A178" s="1318"/>
      <c r="B178" s="1318"/>
      <c r="C178" s="1318"/>
      <c r="D178" s="1318"/>
      <c r="E178" s="1318"/>
      <c r="F178" s="1318"/>
      <c r="G178" s="1318"/>
      <c r="H178" s="1318"/>
      <c r="I178" s="1318"/>
      <c r="J178" s="1318"/>
    </row>
    <row r="179" spans="1:10">
      <c r="A179" s="1318"/>
      <c r="B179" s="1318"/>
      <c r="C179" s="1318"/>
      <c r="D179" s="1318"/>
      <c r="E179" s="1318"/>
      <c r="F179" s="1318"/>
      <c r="G179" s="1318"/>
      <c r="H179" s="1318"/>
      <c r="I179" s="1318"/>
      <c r="J179" s="1318"/>
    </row>
    <row r="180" spans="1:10">
      <c r="A180" s="1318"/>
      <c r="B180" s="1318"/>
      <c r="C180" s="1318"/>
      <c r="D180" s="1318"/>
      <c r="E180" s="1318"/>
      <c r="F180" s="1318"/>
      <c r="G180" s="1318"/>
      <c r="H180" s="1318"/>
      <c r="I180" s="1318"/>
      <c r="J180" s="1318"/>
    </row>
    <row r="181" spans="1:10">
      <c r="A181" s="1318"/>
      <c r="B181" s="1318"/>
      <c r="C181" s="1318"/>
      <c r="D181" s="1318"/>
      <c r="E181" s="1318"/>
      <c r="F181" s="1318"/>
      <c r="G181" s="1318"/>
      <c r="H181" s="1318"/>
      <c r="I181" s="1318"/>
      <c r="J181" s="1318"/>
    </row>
    <row r="182" spans="1:10">
      <c r="A182" s="1318"/>
      <c r="B182" s="1318"/>
      <c r="C182" s="1318"/>
      <c r="D182" s="1318"/>
      <c r="E182" s="1318"/>
      <c r="F182" s="1318"/>
      <c r="G182" s="1318"/>
      <c r="H182" s="1318"/>
      <c r="I182" s="1318"/>
      <c r="J182" s="1318"/>
    </row>
    <row r="183" spans="1:10">
      <c r="A183" s="1318"/>
      <c r="B183" s="1318"/>
      <c r="C183" s="1318"/>
      <c r="D183" s="1318"/>
      <c r="E183" s="1318"/>
      <c r="F183" s="1318"/>
      <c r="G183" s="1318"/>
      <c r="H183" s="1318"/>
      <c r="I183" s="1318"/>
      <c r="J183" s="1318"/>
    </row>
    <row r="184" spans="1:10">
      <c r="A184" s="1318"/>
      <c r="B184" s="1318"/>
      <c r="C184" s="1318"/>
      <c r="D184" s="1318"/>
      <c r="E184" s="1318"/>
      <c r="F184" s="1318"/>
      <c r="G184" s="1318"/>
      <c r="H184" s="1318"/>
      <c r="I184" s="1318"/>
      <c r="J184" s="1318"/>
    </row>
    <row r="185" spans="1:10">
      <c r="A185" s="1318"/>
      <c r="B185" s="1318"/>
      <c r="C185" s="1318"/>
      <c r="D185" s="1318"/>
      <c r="E185" s="1318"/>
      <c r="F185" s="1318"/>
      <c r="G185" s="1318"/>
      <c r="H185" s="1318"/>
      <c r="I185" s="1318"/>
      <c r="J185" s="1318"/>
    </row>
    <row r="186" spans="1:10">
      <c r="A186" s="1318"/>
      <c r="B186" s="1318"/>
      <c r="C186" s="1318"/>
      <c r="D186" s="1318"/>
      <c r="E186" s="1318"/>
      <c r="F186" s="1318"/>
      <c r="G186" s="1318"/>
      <c r="H186" s="1318"/>
      <c r="I186" s="1318"/>
      <c r="J186" s="1318"/>
    </row>
    <row r="187" spans="1:10">
      <c r="A187" s="1318"/>
      <c r="B187" s="1318"/>
      <c r="C187" s="1318"/>
      <c r="D187" s="1318"/>
      <c r="E187" s="1318"/>
      <c r="F187" s="1318"/>
      <c r="G187" s="1318"/>
      <c r="H187" s="1318"/>
      <c r="I187" s="1318"/>
      <c r="J187" s="1318"/>
    </row>
    <row r="188" spans="1:10">
      <c r="A188" s="1318"/>
      <c r="B188" s="1318"/>
      <c r="C188" s="1318"/>
      <c r="D188" s="1318"/>
      <c r="E188" s="1318"/>
      <c r="F188" s="1318"/>
      <c r="G188" s="1318"/>
      <c r="H188" s="1318"/>
      <c r="I188" s="1318"/>
      <c r="J188" s="1318"/>
    </row>
    <row r="189" spans="1:10">
      <c r="A189" s="1318"/>
      <c r="B189" s="1318"/>
      <c r="C189" s="1318"/>
      <c r="D189" s="1318"/>
      <c r="E189" s="1318"/>
      <c r="F189" s="1318"/>
      <c r="G189" s="1318"/>
      <c r="H189" s="1318"/>
      <c r="I189" s="1318"/>
      <c r="J189" s="1318"/>
    </row>
    <row r="190" spans="1:10">
      <c r="A190" s="1318"/>
      <c r="B190" s="1318"/>
      <c r="C190" s="1318"/>
      <c r="D190" s="1318"/>
      <c r="E190" s="1318"/>
      <c r="F190" s="1318"/>
      <c r="G190" s="1318"/>
      <c r="H190" s="1318"/>
      <c r="I190" s="1318"/>
      <c r="J190" s="1318"/>
    </row>
    <row r="191" spans="1:10">
      <c r="A191" s="1318"/>
      <c r="B191" s="1318"/>
      <c r="C191" s="1318"/>
      <c r="D191" s="1318"/>
      <c r="E191" s="1318"/>
      <c r="F191" s="1318"/>
      <c r="G191" s="1318"/>
      <c r="H191" s="1318"/>
      <c r="I191" s="1318"/>
      <c r="J191" s="1318"/>
    </row>
    <row r="192" spans="1:10">
      <c r="A192" s="1318"/>
      <c r="B192" s="1318"/>
      <c r="C192" s="1318"/>
      <c r="D192" s="1318"/>
      <c r="E192" s="1318"/>
      <c r="F192" s="1318"/>
      <c r="G192" s="1318"/>
      <c r="H192" s="1318"/>
      <c r="I192" s="1318"/>
      <c r="J192" s="1318"/>
    </row>
    <row r="193" spans="1:10">
      <c r="A193" s="1318"/>
      <c r="B193" s="1318"/>
      <c r="C193" s="1318"/>
      <c r="D193" s="1318"/>
      <c r="E193" s="1318"/>
      <c r="F193" s="1318"/>
      <c r="G193" s="1318"/>
      <c r="H193" s="1318"/>
      <c r="I193" s="1318"/>
      <c r="J193" s="1318"/>
    </row>
    <row r="194" spans="1:10">
      <c r="A194" s="1318"/>
      <c r="B194" s="1318"/>
      <c r="C194" s="1318"/>
      <c r="D194" s="1318"/>
      <c r="E194" s="1318"/>
      <c r="F194" s="1318"/>
      <c r="G194" s="1318"/>
      <c r="H194" s="1318"/>
      <c r="I194" s="1318"/>
      <c r="J194" s="1318"/>
    </row>
    <row r="195" spans="1:10">
      <c r="A195" s="1318"/>
      <c r="B195" s="1318"/>
      <c r="C195" s="1318"/>
      <c r="D195" s="1318"/>
      <c r="E195" s="1318"/>
      <c r="F195" s="1318"/>
      <c r="G195" s="1318"/>
      <c r="H195" s="1318"/>
      <c r="I195" s="1318"/>
      <c r="J195" s="1318"/>
    </row>
    <row r="196" spans="1:10">
      <c r="A196" s="1318"/>
      <c r="B196" s="1318"/>
      <c r="C196" s="1318"/>
      <c r="D196" s="1318"/>
      <c r="E196" s="1318"/>
      <c r="F196" s="1318"/>
      <c r="G196" s="1318"/>
      <c r="H196" s="1318"/>
      <c r="I196" s="1318"/>
      <c r="J196" s="1318"/>
    </row>
    <row r="197" spans="1:10">
      <c r="A197" s="1318"/>
      <c r="B197" s="1318"/>
      <c r="C197" s="1318"/>
      <c r="D197" s="1318"/>
      <c r="E197" s="1318"/>
      <c r="F197" s="1318"/>
      <c r="G197" s="1318"/>
      <c r="H197" s="1318"/>
      <c r="I197" s="1318"/>
      <c r="J197" s="1318"/>
    </row>
    <row r="198" spans="1:10">
      <c r="A198" s="1318"/>
      <c r="B198" s="1318"/>
      <c r="C198" s="1318"/>
      <c r="D198" s="1318"/>
      <c r="E198" s="1318"/>
      <c r="F198" s="1318"/>
      <c r="G198" s="1318"/>
      <c r="H198" s="1318"/>
      <c r="I198" s="1318"/>
      <c r="J198" s="1318"/>
    </row>
    <row r="199" spans="1:10">
      <c r="A199" s="1318"/>
      <c r="B199" s="1318"/>
      <c r="C199" s="1318"/>
      <c r="D199" s="1318"/>
      <c r="E199" s="1318"/>
      <c r="F199" s="1318"/>
      <c r="G199" s="1318"/>
      <c r="H199" s="1318"/>
      <c r="I199" s="1318"/>
      <c r="J199" s="1318"/>
    </row>
    <row r="200" spans="1:10">
      <c r="A200" s="1318"/>
      <c r="B200" s="1318"/>
      <c r="C200" s="1318"/>
      <c r="D200" s="1318"/>
      <c r="E200" s="1318"/>
      <c r="F200" s="1318"/>
      <c r="G200" s="1318"/>
      <c r="H200" s="1318"/>
      <c r="I200" s="1318"/>
      <c r="J200" s="1318"/>
    </row>
    <row r="201" spans="1:10">
      <c r="A201" s="1318"/>
      <c r="B201" s="1318"/>
      <c r="C201" s="1318"/>
      <c r="D201" s="1318"/>
      <c r="E201" s="1318"/>
      <c r="F201" s="1318"/>
      <c r="G201" s="1318"/>
      <c r="H201" s="1318"/>
      <c r="I201" s="1318"/>
      <c r="J201" s="1318"/>
    </row>
    <row r="202" spans="1:10">
      <c r="A202" s="1318"/>
      <c r="B202" s="1318"/>
      <c r="C202" s="1318"/>
      <c r="D202" s="1318"/>
      <c r="E202" s="1318"/>
      <c r="F202" s="1318"/>
      <c r="G202" s="1318"/>
      <c r="H202" s="1318"/>
      <c r="I202" s="1318"/>
      <c r="J202" s="1318"/>
    </row>
    <row r="203" spans="1:10">
      <c r="A203" s="1318"/>
      <c r="B203" s="1318"/>
      <c r="C203" s="1318"/>
      <c r="D203" s="1318"/>
      <c r="E203" s="1318"/>
      <c r="F203" s="1318"/>
      <c r="G203" s="1318"/>
      <c r="H203" s="1318"/>
      <c r="I203" s="1318"/>
      <c r="J203" s="1318"/>
    </row>
    <row r="204" spans="1:10">
      <c r="A204" s="1318"/>
      <c r="B204" s="1318"/>
      <c r="C204" s="1318"/>
      <c r="D204" s="1318"/>
      <c r="E204" s="1318"/>
      <c r="F204" s="1318"/>
      <c r="G204" s="1318"/>
      <c r="H204" s="1318"/>
      <c r="I204" s="1318"/>
      <c r="J204" s="1318"/>
    </row>
    <row r="205" spans="1:10">
      <c r="A205" s="1318"/>
      <c r="B205" s="1318"/>
      <c r="C205" s="1318"/>
      <c r="D205" s="1318"/>
      <c r="E205" s="1318"/>
      <c r="F205" s="1318"/>
      <c r="G205" s="1318"/>
      <c r="H205" s="1318"/>
      <c r="I205" s="1318"/>
      <c r="J205" s="1318"/>
    </row>
    <row r="206" spans="1:10">
      <c r="A206" s="1318"/>
      <c r="B206" s="1318"/>
      <c r="C206" s="1318"/>
      <c r="D206" s="1318"/>
      <c r="E206" s="1318"/>
      <c r="F206" s="1318"/>
      <c r="G206" s="1318"/>
      <c r="H206" s="1318"/>
      <c r="I206" s="1318"/>
      <c r="J206" s="1318"/>
    </row>
    <row r="207" spans="1:10">
      <c r="A207" s="1318"/>
      <c r="B207" s="1318"/>
      <c r="C207" s="1318"/>
      <c r="D207" s="1318"/>
      <c r="E207" s="1318"/>
      <c r="F207" s="1318"/>
      <c r="G207" s="1318"/>
      <c r="H207" s="1318"/>
      <c r="I207" s="1318"/>
      <c r="J207" s="1318"/>
    </row>
    <row r="208" spans="1:10">
      <c r="A208" s="1318"/>
      <c r="B208" s="1318"/>
      <c r="C208" s="1318"/>
      <c r="D208" s="1318"/>
      <c r="E208" s="1318"/>
      <c r="F208" s="1318"/>
      <c r="G208" s="1318"/>
      <c r="H208" s="1318"/>
      <c r="I208" s="1318"/>
      <c r="J208" s="1318"/>
    </row>
    <row r="209" spans="1:10">
      <c r="A209" s="1318"/>
      <c r="B209" s="1318"/>
      <c r="C209" s="1318"/>
      <c r="D209" s="1318"/>
      <c r="E209" s="1318"/>
      <c r="F209" s="1318"/>
      <c r="G209" s="1318"/>
      <c r="H209" s="1318"/>
      <c r="I209" s="1318"/>
      <c r="J209" s="1318"/>
    </row>
    <row r="210" spans="1:10">
      <c r="A210" s="1318"/>
      <c r="B210" s="1318"/>
      <c r="C210" s="1318"/>
      <c r="D210" s="1318"/>
      <c r="E210" s="1318"/>
      <c r="F210" s="1318"/>
      <c r="G210" s="1318"/>
      <c r="H210" s="1318"/>
      <c r="I210" s="1318"/>
      <c r="J210" s="1318"/>
    </row>
    <row r="211" spans="1:10">
      <c r="A211" s="1318"/>
      <c r="B211" s="1318"/>
      <c r="C211" s="1318"/>
      <c r="D211" s="1318"/>
      <c r="E211" s="1318"/>
      <c r="F211" s="1318"/>
      <c r="G211" s="1318"/>
      <c r="H211" s="1318"/>
      <c r="I211" s="1318"/>
      <c r="J211" s="1318"/>
    </row>
    <row r="212" spans="1:10">
      <c r="A212" s="1318"/>
      <c r="B212" s="1318"/>
      <c r="C212" s="1318"/>
      <c r="D212" s="1318"/>
      <c r="E212" s="1318"/>
      <c r="F212" s="1318"/>
      <c r="G212" s="1318"/>
      <c r="H212" s="1318"/>
      <c r="I212" s="1318"/>
      <c r="J212" s="1318"/>
    </row>
    <row r="213" spans="1:10">
      <c r="A213" s="1318"/>
      <c r="B213" s="1318"/>
      <c r="C213" s="1318"/>
      <c r="D213" s="1318"/>
      <c r="E213" s="1318"/>
      <c r="F213" s="1318"/>
      <c r="G213" s="1318"/>
      <c r="H213" s="1318"/>
      <c r="I213" s="1318"/>
      <c r="J213" s="1318"/>
    </row>
    <row r="214" spans="1:10">
      <c r="A214" s="1318"/>
      <c r="B214" s="1318"/>
      <c r="C214" s="1318"/>
      <c r="D214" s="1318"/>
      <c r="E214" s="1318"/>
      <c r="F214" s="1318"/>
      <c r="G214" s="1318"/>
      <c r="H214" s="1318"/>
      <c r="I214" s="1318"/>
      <c r="J214" s="1318"/>
    </row>
    <row r="215" spans="1:10">
      <c r="A215" s="1318"/>
      <c r="B215" s="1318"/>
      <c r="C215" s="1318"/>
      <c r="D215" s="1318"/>
      <c r="E215" s="1318"/>
      <c r="F215" s="1318"/>
      <c r="G215" s="1318"/>
      <c r="H215" s="1318"/>
      <c r="I215" s="1318"/>
      <c r="J215" s="1318"/>
    </row>
    <row r="216" spans="1:10">
      <c r="A216" s="1318"/>
      <c r="B216" s="1318"/>
      <c r="C216" s="1318"/>
      <c r="D216" s="1318"/>
      <c r="E216" s="1318"/>
      <c r="F216" s="1318"/>
      <c r="G216" s="1318"/>
      <c r="H216" s="1318"/>
      <c r="I216" s="1318"/>
      <c r="J216" s="1318"/>
    </row>
    <row r="217" spans="1:10">
      <c r="A217" s="1318"/>
      <c r="B217" s="1318"/>
      <c r="C217" s="1318"/>
      <c r="D217" s="1318"/>
      <c r="E217" s="1318"/>
      <c r="F217" s="1318"/>
      <c r="G217" s="1318"/>
      <c r="H217" s="1318"/>
      <c r="I217" s="1318"/>
      <c r="J217" s="1318"/>
    </row>
    <row r="218" spans="1:10">
      <c r="A218" s="1318"/>
      <c r="B218" s="1318"/>
      <c r="C218" s="1318"/>
      <c r="D218" s="1318"/>
      <c r="E218" s="1318"/>
      <c r="F218" s="1318"/>
      <c r="G218" s="1318"/>
      <c r="H218" s="1318"/>
      <c r="I218" s="1318"/>
      <c r="J218" s="1318"/>
    </row>
    <row r="219" spans="1:10">
      <c r="A219" s="1318"/>
      <c r="B219" s="1318"/>
      <c r="C219" s="1318"/>
      <c r="D219" s="1318"/>
      <c r="E219" s="1318"/>
      <c r="F219" s="1318"/>
      <c r="G219" s="1318"/>
      <c r="H219" s="1318"/>
      <c r="I219" s="1318"/>
      <c r="J219" s="1318"/>
    </row>
    <row r="220" spans="1:10">
      <c r="A220" s="1318"/>
      <c r="B220" s="1318"/>
      <c r="C220" s="1318"/>
      <c r="D220" s="1318"/>
      <c r="E220" s="1318"/>
      <c r="F220" s="1318"/>
      <c r="G220" s="1318"/>
      <c r="H220" s="1318"/>
      <c r="I220" s="1318"/>
      <c r="J220" s="1318"/>
    </row>
    <row r="221" spans="1:10">
      <c r="A221" s="1318"/>
      <c r="B221" s="1318"/>
      <c r="C221" s="1318"/>
      <c r="D221" s="1318"/>
      <c r="E221" s="1318"/>
      <c r="F221" s="1318"/>
      <c r="G221" s="1318"/>
      <c r="H221" s="1318"/>
      <c r="I221" s="1318"/>
      <c r="J221" s="1318"/>
    </row>
    <row r="222" spans="1:10">
      <c r="A222" s="1318"/>
      <c r="B222" s="1318"/>
      <c r="C222" s="1318"/>
      <c r="D222" s="1318"/>
      <c r="E222" s="1318"/>
      <c r="F222" s="1318"/>
      <c r="G222" s="1318"/>
      <c r="H222" s="1318"/>
      <c r="I222" s="1318"/>
      <c r="J222" s="1318"/>
    </row>
    <row r="223" spans="1:10">
      <c r="A223" s="1318"/>
      <c r="B223" s="1318"/>
      <c r="C223" s="1318"/>
      <c r="D223" s="1318"/>
      <c r="E223" s="1318"/>
      <c r="F223" s="1318"/>
      <c r="G223" s="1318"/>
      <c r="H223" s="1318"/>
      <c r="I223" s="1318"/>
      <c r="J223" s="1318"/>
    </row>
    <row r="224" spans="1:10">
      <c r="A224" s="1318"/>
      <c r="B224" s="1318"/>
      <c r="C224" s="1318"/>
      <c r="D224" s="1318"/>
      <c r="E224" s="1318"/>
      <c r="F224" s="1318"/>
      <c r="G224" s="1318"/>
      <c r="H224" s="1318"/>
      <c r="I224" s="1318"/>
      <c r="J224" s="1318"/>
    </row>
    <row r="225" spans="1:10">
      <c r="A225" s="1318"/>
      <c r="B225" s="1318"/>
      <c r="C225" s="1318"/>
      <c r="D225" s="1318"/>
      <c r="E225" s="1318"/>
      <c r="F225" s="1318"/>
      <c r="G225" s="1318"/>
      <c r="H225" s="1318"/>
      <c r="I225" s="1318"/>
      <c r="J225" s="1318"/>
    </row>
    <row r="226" spans="1:10">
      <c r="A226" s="1318"/>
      <c r="B226" s="1318"/>
      <c r="C226" s="1318"/>
      <c r="D226" s="1318"/>
      <c r="E226" s="1318"/>
      <c r="F226" s="1318"/>
      <c r="G226" s="1318"/>
      <c r="H226" s="1318"/>
      <c r="I226" s="1318"/>
      <c r="J226" s="1318"/>
    </row>
    <row r="227" spans="1:10">
      <c r="A227" s="1318"/>
      <c r="B227" s="1318"/>
      <c r="C227" s="1318"/>
      <c r="D227" s="1318"/>
      <c r="E227" s="1318"/>
      <c r="F227" s="1318"/>
      <c r="G227" s="1318"/>
      <c r="H227" s="1318"/>
      <c r="I227" s="1318"/>
      <c r="J227" s="1318"/>
    </row>
    <row r="228" spans="1:10">
      <c r="A228" s="1318"/>
      <c r="B228" s="1318"/>
      <c r="C228" s="1318"/>
      <c r="D228" s="1318"/>
      <c r="E228" s="1318"/>
      <c r="F228" s="1318"/>
      <c r="G228" s="1318"/>
      <c r="H228" s="1318"/>
      <c r="I228" s="1318"/>
      <c r="J228" s="1318"/>
    </row>
    <row r="229" spans="1:10">
      <c r="A229" s="1318"/>
      <c r="B229" s="1318"/>
      <c r="C229" s="1318"/>
      <c r="D229" s="1318"/>
      <c r="E229" s="1318"/>
      <c r="F229" s="1318"/>
      <c r="G229" s="1318"/>
      <c r="H229" s="1318"/>
      <c r="I229" s="1318"/>
      <c r="J229" s="1318"/>
    </row>
    <row r="230" spans="1:10">
      <c r="A230" s="1318"/>
      <c r="B230" s="1318"/>
      <c r="C230" s="1318"/>
      <c r="D230" s="1318"/>
      <c r="E230" s="1318"/>
      <c r="F230" s="1318"/>
      <c r="G230" s="1318"/>
      <c r="H230" s="1318"/>
      <c r="I230" s="1318"/>
      <c r="J230" s="1318"/>
    </row>
    <row r="231" spans="1:10">
      <c r="A231" s="1318"/>
      <c r="B231" s="1318"/>
      <c r="C231" s="1318"/>
      <c r="D231" s="1318"/>
      <c r="E231" s="1318"/>
      <c r="F231" s="1318"/>
      <c r="G231" s="1318"/>
      <c r="H231" s="1318"/>
      <c r="I231" s="1318"/>
      <c r="J231" s="1318"/>
    </row>
    <row r="232" spans="1:10">
      <c r="A232" s="1318"/>
      <c r="B232" s="1318"/>
      <c r="C232" s="1318"/>
      <c r="D232" s="1318"/>
      <c r="E232" s="1318"/>
      <c r="F232" s="1318"/>
      <c r="G232" s="1318"/>
      <c r="H232" s="1318"/>
      <c r="I232" s="1318"/>
      <c r="J232" s="1318"/>
    </row>
    <row r="233" spans="1:10">
      <c r="A233" s="1318"/>
      <c r="B233" s="1318"/>
      <c r="C233" s="1318"/>
      <c r="D233" s="1318"/>
      <c r="E233" s="1318"/>
      <c r="F233" s="1318"/>
      <c r="G233" s="1318"/>
      <c r="H233" s="1318"/>
      <c r="I233" s="1318"/>
      <c r="J233" s="1318"/>
    </row>
    <row r="234" spans="1:10">
      <c r="A234" s="1318"/>
      <c r="B234" s="1318"/>
      <c r="C234" s="1318"/>
      <c r="D234" s="1318"/>
      <c r="E234" s="1318"/>
      <c r="F234" s="1318"/>
      <c r="G234" s="1318"/>
      <c r="H234" s="1318"/>
      <c r="I234" s="1318"/>
      <c r="J234" s="1318"/>
    </row>
    <row r="235" spans="1:10">
      <c r="A235" s="1318"/>
      <c r="B235" s="1318"/>
      <c r="C235" s="1318"/>
      <c r="D235" s="1318"/>
      <c r="E235" s="1318"/>
      <c r="F235" s="1318"/>
      <c r="G235" s="1318"/>
      <c r="H235" s="1318"/>
      <c r="I235" s="1318"/>
      <c r="J235" s="1318"/>
    </row>
    <row r="236" spans="1:10">
      <c r="A236" s="1318"/>
      <c r="B236" s="1318"/>
      <c r="C236" s="1318"/>
      <c r="D236" s="1318"/>
      <c r="E236" s="1318"/>
      <c r="F236" s="1318"/>
      <c r="G236" s="1318"/>
      <c r="H236" s="1318"/>
      <c r="I236" s="1318"/>
      <c r="J236" s="1318"/>
    </row>
    <row r="237" spans="1:10">
      <c r="A237" s="1318"/>
      <c r="B237" s="1318"/>
      <c r="C237" s="1318"/>
      <c r="D237" s="1318"/>
      <c r="E237" s="1318"/>
      <c r="F237" s="1318"/>
      <c r="G237" s="1318"/>
      <c r="H237" s="1318"/>
      <c r="I237" s="1318"/>
      <c r="J237" s="1318"/>
    </row>
    <row r="238" spans="1:10">
      <c r="A238" s="1318"/>
      <c r="B238" s="1318"/>
      <c r="C238" s="1318"/>
      <c r="D238" s="1318"/>
      <c r="E238" s="1318"/>
      <c r="F238" s="1318"/>
      <c r="G238" s="1318"/>
      <c r="H238" s="1318"/>
      <c r="I238" s="1318"/>
      <c r="J238" s="1318"/>
    </row>
    <row r="239" spans="1:10">
      <c r="A239" s="1318"/>
      <c r="B239" s="1318"/>
      <c r="C239" s="1318"/>
      <c r="D239" s="1318"/>
      <c r="E239" s="1318"/>
      <c r="F239" s="1318"/>
      <c r="G239" s="1318"/>
      <c r="H239" s="1318"/>
      <c r="I239" s="1318"/>
      <c r="J239" s="1318"/>
    </row>
    <row r="240" spans="1:10">
      <c r="A240" s="1318"/>
      <c r="B240" s="1318"/>
      <c r="C240" s="1318"/>
      <c r="D240" s="1318"/>
      <c r="E240" s="1318"/>
      <c r="F240" s="1318"/>
      <c r="G240" s="1318"/>
      <c r="H240" s="1318"/>
      <c r="I240" s="1318"/>
      <c r="J240" s="1318"/>
    </row>
    <row r="241" spans="1:10">
      <c r="A241" s="1318"/>
      <c r="B241" s="1318"/>
      <c r="C241" s="1318"/>
      <c r="D241" s="1318"/>
      <c r="E241" s="1318"/>
      <c r="F241" s="1318"/>
      <c r="G241" s="1318"/>
      <c r="H241" s="1318"/>
      <c r="I241" s="1318"/>
      <c r="J241" s="1318"/>
    </row>
    <row r="242" spans="1:10">
      <c r="A242" s="1318"/>
      <c r="B242" s="1318"/>
      <c r="C242" s="1318"/>
      <c r="D242" s="1318"/>
      <c r="E242" s="1318"/>
      <c r="F242" s="1318"/>
      <c r="G242" s="1318"/>
      <c r="H242" s="1318"/>
      <c r="I242" s="1318"/>
      <c r="J242" s="1318"/>
    </row>
    <row r="243" spans="1:10">
      <c r="A243" s="1318"/>
      <c r="B243" s="1318"/>
      <c r="C243" s="1318"/>
      <c r="D243" s="1318"/>
      <c r="E243" s="1318"/>
      <c r="F243" s="1318"/>
      <c r="G243" s="1318"/>
      <c r="H243" s="1318"/>
      <c r="I243" s="1318"/>
      <c r="J243" s="1318"/>
    </row>
    <row r="244" spans="1:10">
      <c r="A244" s="1318"/>
      <c r="B244" s="1318"/>
      <c r="C244" s="1318"/>
      <c r="D244" s="1318"/>
      <c r="E244" s="1318"/>
      <c r="F244" s="1318"/>
      <c r="G244" s="1318"/>
      <c r="H244" s="1318"/>
      <c r="I244" s="1318"/>
      <c r="J244" s="1318"/>
    </row>
    <row r="245" spans="1:10">
      <c r="A245" s="1318"/>
      <c r="B245" s="1318"/>
      <c r="C245" s="1318"/>
      <c r="D245" s="1318"/>
      <c r="E245" s="1318"/>
      <c r="F245" s="1318"/>
      <c r="G245" s="1318"/>
      <c r="H245" s="1318"/>
      <c r="I245" s="1318"/>
      <c r="J245" s="1318"/>
    </row>
    <row r="246" spans="1:10">
      <c r="A246" s="1318"/>
      <c r="B246" s="1318"/>
      <c r="C246" s="1318"/>
      <c r="D246" s="1318"/>
      <c r="E246" s="1318"/>
      <c r="F246" s="1318"/>
      <c r="G246" s="1318"/>
      <c r="H246" s="1318"/>
      <c r="I246" s="1318"/>
      <c r="J246" s="1318"/>
    </row>
    <row r="247" spans="1:10">
      <c r="A247" s="1318"/>
      <c r="B247" s="1318"/>
      <c r="C247" s="1318"/>
      <c r="D247" s="1318"/>
      <c r="E247" s="1318"/>
      <c r="F247" s="1318"/>
      <c r="G247" s="1318"/>
      <c r="H247" s="1318"/>
      <c r="I247" s="1318"/>
      <c r="J247" s="1318"/>
    </row>
    <row r="248" spans="1:10">
      <c r="A248" s="1318"/>
      <c r="B248" s="1318"/>
      <c r="C248" s="1318"/>
      <c r="D248" s="1318"/>
      <c r="E248" s="1318"/>
      <c r="F248" s="1318"/>
      <c r="G248" s="1318"/>
      <c r="H248" s="1318"/>
      <c r="I248" s="1318"/>
      <c r="J248" s="1318"/>
    </row>
    <row r="249" spans="1:10">
      <c r="A249" s="1318"/>
      <c r="B249" s="1318"/>
      <c r="C249" s="1318"/>
      <c r="D249" s="1318"/>
      <c r="E249" s="1318"/>
      <c r="F249" s="1318"/>
      <c r="G249" s="1318"/>
      <c r="H249" s="1318"/>
      <c r="I249" s="1318"/>
      <c r="J249" s="1318"/>
    </row>
    <row r="250" spans="1:10">
      <c r="A250" s="1318"/>
      <c r="B250" s="1318"/>
      <c r="C250" s="1318"/>
      <c r="D250" s="1318"/>
      <c r="E250" s="1318"/>
      <c r="F250" s="1318"/>
      <c r="G250" s="1318"/>
      <c r="H250" s="1318"/>
      <c r="I250" s="1318"/>
      <c r="J250" s="1318"/>
    </row>
    <row r="251" spans="1:10">
      <c r="A251" s="1318"/>
      <c r="B251" s="1318"/>
      <c r="C251" s="1318"/>
      <c r="D251" s="1318"/>
      <c r="E251" s="1318"/>
      <c r="F251" s="1318"/>
      <c r="G251" s="1318"/>
      <c r="H251" s="1318"/>
      <c r="I251" s="1318"/>
      <c r="J251" s="1318"/>
    </row>
    <row r="252" spans="1:10">
      <c r="A252" s="1318"/>
      <c r="B252" s="1318"/>
      <c r="C252" s="1318"/>
      <c r="D252" s="1318"/>
      <c r="E252" s="1318"/>
      <c r="F252" s="1318"/>
      <c r="G252" s="1318"/>
      <c r="H252" s="1318"/>
      <c r="I252" s="1318"/>
      <c r="J252" s="1318"/>
    </row>
    <row r="253" spans="1:10">
      <c r="A253" s="1318"/>
      <c r="B253" s="1318"/>
      <c r="C253" s="1318"/>
      <c r="D253" s="1318"/>
      <c r="E253" s="1318"/>
      <c r="F253" s="1318"/>
      <c r="G253" s="1318"/>
      <c r="H253" s="1318"/>
      <c r="I253" s="1318"/>
      <c r="J253" s="1318"/>
    </row>
    <row r="254" spans="1:10">
      <c r="A254" s="1318"/>
      <c r="B254" s="1318"/>
      <c r="C254" s="1318"/>
      <c r="D254" s="1318"/>
      <c r="E254" s="1318"/>
      <c r="F254" s="1318"/>
      <c r="G254" s="1318"/>
      <c r="H254" s="1318"/>
      <c r="I254" s="1318"/>
      <c r="J254" s="1318"/>
    </row>
    <row r="255" spans="1:10">
      <c r="A255" s="1318"/>
      <c r="B255" s="1318"/>
      <c r="C255" s="1318"/>
      <c r="D255" s="1318"/>
      <c r="E255" s="1318"/>
      <c r="F255" s="1318"/>
      <c r="G255" s="1318"/>
      <c r="H255" s="1318"/>
      <c r="I255" s="1318"/>
      <c r="J255" s="1318"/>
    </row>
    <row r="256" spans="1:10">
      <c r="A256" s="1318"/>
      <c r="B256" s="1318"/>
      <c r="C256" s="1318"/>
      <c r="D256" s="1318"/>
      <c r="E256" s="1318"/>
      <c r="F256" s="1318"/>
      <c r="G256" s="1318"/>
      <c r="H256" s="1318"/>
      <c r="I256" s="1318"/>
      <c r="J256" s="1318"/>
    </row>
    <row r="257" spans="1:10">
      <c r="A257" s="1318"/>
      <c r="B257" s="1318"/>
      <c r="C257" s="1318"/>
      <c r="D257" s="1318"/>
      <c r="E257" s="1318"/>
      <c r="F257" s="1318"/>
      <c r="G257" s="1318"/>
      <c r="H257" s="1318"/>
      <c r="I257" s="1318"/>
      <c r="J257" s="1318"/>
    </row>
    <row r="258" spans="1:10">
      <c r="A258" s="1318"/>
      <c r="B258" s="1318"/>
      <c r="C258" s="1318"/>
      <c r="D258" s="1318"/>
      <c r="E258" s="1318"/>
      <c r="F258" s="1318"/>
      <c r="G258" s="1318"/>
      <c r="H258" s="1318"/>
      <c r="I258" s="1318"/>
      <c r="J258" s="1318"/>
    </row>
    <row r="259" spans="1:10">
      <c r="A259" s="1318"/>
      <c r="B259" s="1318"/>
      <c r="C259" s="1318"/>
      <c r="D259" s="1318"/>
      <c r="E259" s="1318"/>
      <c r="F259" s="1318"/>
      <c r="G259" s="1318"/>
      <c r="H259" s="1318"/>
      <c r="I259" s="1318"/>
      <c r="J259" s="1318"/>
    </row>
    <row r="260" spans="1:10">
      <c r="A260" s="1318"/>
      <c r="B260" s="1318"/>
      <c r="C260" s="1318"/>
      <c r="D260" s="1318"/>
      <c r="E260" s="1318"/>
      <c r="F260" s="1318"/>
      <c r="G260" s="1318"/>
      <c r="H260" s="1318"/>
      <c r="I260" s="1318"/>
      <c r="J260" s="1318"/>
    </row>
    <row r="261" spans="1:10">
      <c r="A261" s="1318"/>
      <c r="B261" s="1318"/>
      <c r="C261" s="1318"/>
      <c r="D261" s="1318"/>
      <c r="E261" s="1318"/>
      <c r="F261" s="1318"/>
      <c r="G261" s="1318"/>
      <c r="H261" s="1318"/>
      <c r="I261" s="1318"/>
      <c r="J261" s="1318"/>
    </row>
    <row r="262" spans="1:10">
      <c r="A262" s="1318"/>
      <c r="B262" s="1318"/>
      <c r="C262" s="1318"/>
      <c r="D262" s="1318"/>
      <c r="E262" s="1318"/>
      <c r="F262" s="1318"/>
      <c r="G262" s="1318"/>
      <c r="H262" s="1318"/>
      <c r="I262" s="1318"/>
      <c r="J262" s="1318"/>
    </row>
    <row r="263" spans="1:10">
      <c r="A263" s="1318"/>
      <c r="B263" s="1318"/>
      <c r="C263" s="1318"/>
      <c r="D263" s="1318"/>
      <c r="E263" s="1318"/>
      <c r="F263" s="1318"/>
      <c r="G263" s="1318"/>
      <c r="H263" s="1318"/>
      <c r="I263" s="1318"/>
      <c r="J263" s="1318"/>
    </row>
    <row r="264" spans="1:10">
      <c r="A264" s="1318"/>
      <c r="B264" s="1318"/>
      <c r="C264" s="1318"/>
      <c r="D264" s="1318"/>
      <c r="E264" s="1318"/>
      <c r="F264" s="1318"/>
      <c r="G264" s="1318"/>
      <c r="H264" s="1318"/>
      <c r="I264" s="1318"/>
      <c r="J264" s="1318"/>
    </row>
    <row r="265" spans="1:10">
      <c r="A265" s="1318"/>
      <c r="B265" s="1318"/>
      <c r="C265" s="1318"/>
      <c r="D265" s="1318"/>
      <c r="E265" s="1318"/>
      <c r="F265" s="1318"/>
      <c r="G265" s="1318"/>
      <c r="H265" s="1318"/>
      <c r="I265" s="1318"/>
      <c r="J265" s="1318"/>
    </row>
    <row r="266" spans="1:10">
      <c r="A266" s="1318"/>
      <c r="B266" s="1318"/>
      <c r="C266" s="1318"/>
      <c r="D266" s="1318"/>
      <c r="E266" s="1318"/>
      <c r="F266" s="1318"/>
      <c r="G266" s="1318"/>
      <c r="H266" s="1318"/>
      <c r="I266" s="1318"/>
      <c r="J266" s="1318"/>
    </row>
    <row r="267" spans="1:10">
      <c r="A267" s="1318"/>
      <c r="B267" s="1318"/>
      <c r="C267" s="1318"/>
      <c r="D267" s="1318"/>
      <c r="E267" s="1318"/>
      <c r="F267" s="1318"/>
      <c r="G267" s="1318"/>
      <c r="H267" s="1318"/>
      <c r="I267" s="1318"/>
      <c r="J267" s="1318"/>
    </row>
    <row r="268" spans="1:10">
      <c r="A268" s="1318"/>
      <c r="B268" s="1318"/>
      <c r="C268" s="1318"/>
      <c r="D268" s="1318"/>
      <c r="E268" s="1318"/>
      <c r="F268" s="1318"/>
      <c r="G268" s="1318"/>
      <c r="H268" s="1318"/>
      <c r="I268" s="1318"/>
      <c r="J268" s="1318"/>
    </row>
    <row r="269" spans="1:10">
      <c r="A269" s="1318"/>
      <c r="B269" s="1318"/>
      <c r="C269" s="1318"/>
      <c r="D269" s="1318"/>
      <c r="E269" s="1318"/>
      <c r="F269" s="1318"/>
      <c r="G269" s="1318"/>
      <c r="H269" s="1318"/>
      <c r="I269" s="1318"/>
      <c r="J269" s="1318"/>
    </row>
    <row r="270" spans="1:10">
      <c r="A270" s="1318"/>
      <c r="B270" s="1318"/>
      <c r="C270" s="1318"/>
      <c r="D270" s="1318"/>
      <c r="E270" s="1318"/>
      <c r="F270" s="1318"/>
      <c r="G270" s="1318"/>
      <c r="H270" s="1318"/>
      <c r="I270" s="1318"/>
      <c r="J270" s="1318"/>
    </row>
    <row r="271" spans="1:10">
      <c r="A271" s="1318"/>
      <c r="B271" s="1318"/>
      <c r="C271" s="1318"/>
      <c r="D271" s="1318"/>
      <c r="E271" s="1318"/>
      <c r="F271" s="1318"/>
      <c r="G271" s="1318"/>
      <c r="H271" s="1318"/>
      <c r="I271" s="1318"/>
      <c r="J271" s="1318"/>
    </row>
    <row r="272" spans="1:10">
      <c r="A272" s="1318"/>
      <c r="B272" s="1318"/>
      <c r="C272" s="1318"/>
      <c r="D272" s="1318"/>
      <c r="E272" s="1318"/>
      <c r="F272" s="1318"/>
      <c r="G272" s="1318"/>
      <c r="H272" s="1318"/>
      <c r="I272" s="1318"/>
      <c r="J272" s="1318"/>
    </row>
    <row r="273" spans="1:10">
      <c r="A273" s="1318"/>
      <c r="B273" s="1318"/>
      <c r="C273" s="1318"/>
      <c r="D273" s="1318"/>
      <c r="E273" s="1318"/>
      <c r="F273" s="1318"/>
      <c r="G273" s="1318"/>
      <c r="H273" s="1318"/>
      <c r="I273" s="1318"/>
      <c r="J273" s="1318"/>
    </row>
    <row r="274" spans="1:10">
      <c r="A274" s="1318"/>
      <c r="B274" s="1318"/>
      <c r="C274" s="1318"/>
      <c r="D274" s="1318"/>
      <c r="E274" s="1318"/>
      <c r="F274" s="1318"/>
      <c r="G274" s="1318"/>
      <c r="H274" s="1318"/>
      <c r="I274" s="1318"/>
      <c r="J274" s="1318"/>
    </row>
    <row r="275" spans="1:10">
      <c r="A275" s="1318"/>
      <c r="B275" s="1318"/>
      <c r="C275" s="1318"/>
      <c r="D275" s="1318"/>
      <c r="E275" s="1318"/>
      <c r="F275" s="1318"/>
      <c r="G275" s="1318"/>
      <c r="H275" s="1318"/>
      <c r="I275" s="1318"/>
      <c r="J275" s="1318"/>
    </row>
    <row r="276" spans="1:10">
      <c r="A276" s="1318"/>
      <c r="B276" s="1318"/>
      <c r="C276" s="1318"/>
      <c r="D276" s="1318"/>
      <c r="E276" s="1318"/>
      <c r="F276" s="1318"/>
      <c r="G276" s="1318"/>
      <c r="H276" s="1318"/>
      <c r="I276" s="1318"/>
      <c r="J276" s="1318"/>
    </row>
    <row r="277" spans="1:10">
      <c r="A277" s="1318"/>
      <c r="B277" s="1318"/>
      <c r="C277" s="1318"/>
      <c r="D277" s="1318"/>
      <c r="E277" s="1318"/>
      <c r="F277" s="1318"/>
      <c r="G277" s="1318"/>
      <c r="H277" s="1318"/>
      <c r="I277" s="1318"/>
      <c r="J277" s="1318"/>
    </row>
    <row r="278" spans="1:10">
      <c r="A278" s="1318"/>
      <c r="B278" s="1318"/>
      <c r="C278" s="1318"/>
      <c r="D278" s="1318"/>
      <c r="E278" s="1318"/>
      <c r="F278" s="1318"/>
      <c r="G278" s="1318"/>
      <c r="H278" s="1318"/>
      <c r="I278" s="1318"/>
      <c r="J278" s="1318"/>
    </row>
    <row r="279" spans="1:10">
      <c r="A279" s="1318"/>
      <c r="B279" s="1318"/>
      <c r="C279" s="1318"/>
      <c r="D279" s="1318"/>
      <c r="E279" s="1318"/>
      <c r="F279" s="1318"/>
      <c r="G279" s="1318"/>
      <c r="H279" s="1318"/>
      <c r="I279" s="1318"/>
      <c r="J279" s="1318"/>
    </row>
    <row r="280" spans="1:10">
      <c r="A280" s="1318"/>
      <c r="B280" s="1318"/>
      <c r="C280" s="1318"/>
      <c r="D280" s="1318"/>
      <c r="E280" s="1318"/>
      <c r="F280" s="1318"/>
      <c r="G280" s="1318"/>
      <c r="H280" s="1318"/>
      <c r="I280" s="1318"/>
      <c r="J280" s="1318"/>
    </row>
    <row r="281" spans="1:10">
      <c r="A281" s="1318"/>
      <c r="B281" s="1318"/>
      <c r="C281" s="1318"/>
      <c r="D281" s="1318"/>
      <c r="E281" s="1318"/>
      <c r="F281" s="1318"/>
      <c r="G281" s="1318"/>
      <c r="H281" s="1318"/>
      <c r="I281" s="1318"/>
      <c r="J281" s="1318"/>
    </row>
    <row r="282" spans="1:10">
      <c r="A282" s="1318"/>
      <c r="B282" s="1318"/>
      <c r="C282" s="1318"/>
      <c r="D282" s="1318"/>
      <c r="E282" s="1318"/>
      <c r="F282" s="1318"/>
      <c r="G282" s="1318"/>
      <c r="H282" s="1318"/>
      <c r="I282" s="1318"/>
      <c r="J282" s="1318"/>
    </row>
    <row r="283" spans="1:10">
      <c r="A283" s="1318"/>
      <c r="B283" s="1318"/>
      <c r="C283" s="1318"/>
      <c r="D283" s="1318"/>
      <c r="E283" s="1318"/>
      <c r="F283" s="1318"/>
      <c r="G283" s="1318"/>
      <c r="H283" s="1318"/>
      <c r="I283" s="1318"/>
      <c r="J283" s="1318"/>
    </row>
    <row r="284" spans="1:10">
      <c r="A284" s="1318"/>
      <c r="B284" s="1318"/>
      <c r="C284" s="1318"/>
      <c r="D284" s="1318"/>
      <c r="E284" s="1318"/>
      <c r="F284" s="1318"/>
      <c r="G284" s="1318"/>
      <c r="H284" s="1318"/>
      <c r="I284" s="1318"/>
      <c r="J284" s="1318"/>
    </row>
    <row r="285" spans="1:10">
      <c r="A285" s="1318"/>
      <c r="B285" s="1318"/>
      <c r="C285" s="1318"/>
      <c r="D285" s="1318"/>
      <c r="E285" s="1318"/>
      <c r="F285" s="1318"/>
      <c r="G285" s="1318"/>
      <c r="H285" s="1318"/>
      <c r="I285" s="1318"/>
      <c r="J285" s="1318"/>
    </row>
    <row r="286" spans="1:10">
      <c r="A286" s="1318"/>
      <c r="B286" s="1318"/>
      <c r="C286" s="1318"/>
      <c r="D286" s="1318"/>
      <c r="E286" s="1318"/>
      <c r="F286" s="1318"/>
      <c r="G286" s="1318"/>
      <c r="H286" s="1318"/>
      <c r="I286" s="1318"/>
      <c r="J286" s="1318"/>
    </row>
    <row r="287" spans="1:10">
      <c r="A287" s="1318"/>
      <c r="B287" s="1318"/>
      <c r="C287" s="1318"/>
      <c r="D287" s="1318"/>
      <c r="E287" s="1318"/>
      <c r="F287" s="1318"/>
      <c r="G287" s="1318"/>
      <c r="H287" s="1318"/>
      <c r="I287" s="1318"/>
      <c r="J287" s="1318"/>
    </row>
    <row r="288" spans="1:10">
      <c r="A288" s="1318"/>
      <c r="B288" s="1318"/>
      <c r="C288" s="1318"/>
      <c r="D288" s="1318"/>
      <c r="E288" s="1318"/>
      <c r="F288" s="1318"/>
      <c r="G288" s="1318"/>
      <c r="H288" s="1318"/>
      <c r="I288" s="1318"/>
      <c r="J288" s="1318"/>
    </row>
    <row r="289" spans="1:10">
      <c r="A289" s="1318"/>
      <c r="B289" s="1318"/>
      <c r="C289" s="1318"/>
      <c r="D289" s="1318"/>
      <c r="E289" s="1318"/>
      <c r="F289" s="1318"/>
      <c r="G289" s="1318"/>
      <c r="H289" s="1318"/>
      <c r="I289" s="1318"/>
      <c r="J289" s="1318"/>
    </row>
    <row r="290" spans="1:10">
      <c r="A290" s="1318"/>
      <c r="B290" s="1318"/>
      <c r="C290" s="1318"/>
      <c r="D290" s="1318"/>
      <c r="E290" s="1318"/>
      <c r="F290" s="1318"/>
      <c r="G290" s="1318"/>
      <c r="H290" s="1318"/>
      <c r="I290" s="1318"/>
      <c r="J290" s="1318"/>
    </row>
    <row r="291" spans="1:10">
      <c r="A291" s="1318"/>
      <c r="B291" s="1318"/>
      <c r="C291" s="1318"/>
      <c r="D291" s="1318"/>
      <c r="E291" s="1318"/>
      <c r="F291" s="1318"/>
      <c r="G291" s="1318"/>
      <c r="H291" s="1318"/>
      <c r="I291" s="1318"/>
      <c r="J291" s="1318"/>
    </row>
    <row r="292" spans="1:10">
      <c r="A292" s="1318"/>
      <c r="B292" s="1318"/>
      <c r="C292" s="1318"/>
      <c r="D292" s="1318"/>
      <c r="E292" s="1318"/>
      <c r="F292" s="1318"/>
      <c r="G292" s="1318"/>
      <c r="H292" s="1318"/>
      <c r="I292" s="1318"/>
      <c r="J292" s="1318"/>
    </row>
    <row r="293" spans="1:10">
      <c r="A293" s="1318"/>
      <c r="B293" s="1318"/>
      <c r="C293" s="1318"/>
      <c r="D293" s="1318"/>
      <c r="E293" s="1318"/>
      <c r="F293" s="1318"/>
      <c r="G293" s="1318"/>
      <c r="H293" s="1318"/>
      <c r="I293" s="1318"/>
      <c r="J293" s="1318"/>
    </row>
    <row r="294" spans="1:10">
      <c r="A294" s="1318"/>
      <c r="B294" s="1318"/>
      <c r="C294" s="1318"/>
      <c r="D294" s="1318"/>
      <c r="E294" s="1318"/>
      <c r="F294" s="1318"/>
      <c r="G294" s="1318"/>
      <c r="H294" s="1318"/>
      <c r="I294" s="1318"/>
      <c r="J294" s="1318"/>
    </row>
    <row r="295" spans="1:10">
      <c r="A295" s="1318"/>
      <c r="B295" s="1318"/>
      <c r="C295" s="1318"/>
      <c r="D295" s="1318"/>
      <c r="E295" s="1318"/>
      <c r="F295" s="1318"/>
      <c r="G295" s="1318"/>
      <c r="H295" s="1318"/>
      <c r="I295" s="1318"/>
      <c r="J295" s="1318"/>
    </row>
    <row r="296" spans="1:10">
      <c r="A296" s="1318"/>
      <c r="B296" s="1318"/>
      <c r="C296" s="1318"/>
      <c r="D296" s="1318"/>
      <c r="E296" s="1318"/>
      <c r="F296" s="1318"/>
      <c r="G296" s="1318"/>
      <c r="H296" s="1318"/>
      <c r="I296" s="1318"/>
      <c r="J296" s="1318"/>
    </row>
    <row r="297" spans="1:10">
      <c r="A297" s="1318"/>
      <c r="B297" s="1318"/>
      <c r="C297" s="1318"/>
      <c r="D297" s="1318"/>
      <c r="E297" s="1318"/>
      <c r="F297" s="1318"/>
      <c r="G297" s="1318"/>
      <c r="H297" s="1318"/>
      <c r="I297" s="1318"/>
      <c r="J297" s="1318"/>
    </row>
    <row r="298" spans="1:10">
      <c r="A298" s="1318"/>
      <c r="B298" s="1318"/>
      <c r="C298" s="1318"/>
      <c r="D298" s="1318"/>
      <c r="E298" s="1318"/>
      <c r="F298" s="1318"/>
      <c r="G298" s="1318"/>
      <c r="H298" s="1318"/>
      <c r="I298" s="1318"/>
      <c r="J298" s="1318"/>
    </row>
    <row r="299" spans="1:10">
      <c r="A299" s="1318"/>
      <c r="B299" s="1318"/>
      <c r="C299" s="1318"/>
      <c r="D299" s="1318"/>
      <c r="E299" s="1318"/>
      <c r="F299" s="1318"/>
      <c r="G299" s="1318"/>
      <c r="H299" s="1318"/>
      <c r="I299" s="1318"/>
      <c r="J299" s="1318"/>
    </row>
    <row r="300" spans="1:10">
      <c r="A300" s="1318"/>
      <c r="B300" s="1318"/>
      <c r="C300" s="1318"/>
      <c r="D300" s="1318"/>
      <c r="E300" s="1318"/>
      <c r="F300" s="1318"/>
      <c r="G300" s="1318"/>
      <c r="H300" s="1318"/>
      <c r="I300" s="1318"/>
      <c r="J300" s="1318"/>
    </row>
    <row r="301" spans="1:10">
      <c r="A301" s="1318"/>
      <c r="B301" s="1318"/>
      <c r="C301" s="1318"/>
      <c r="D301" s="1318"/>
      <c r="E301" s="1318"/>
      <c r="F301" s="1318"/>
      <c r="G301" s="1318"/>
      <c r="H301" s="1318"/>
      <c r="I301" s="1318"/>
      <c r="J301" s="1318"/>
    </row>
    <row r="302" spans="1:10">
      <c r="A302" s="1318"/>
      <c r="B302" s="1318"/>
      <c r="C302" s="1318"/>
      <c r="D302" s="1318"/>
      <c r="E302" s="1318"/>
      <c r="F302" s="1318"/>
      <c r="G302" s="1318"/>
      <c r="H302" s="1318"/>
      <c r="I302" s="1318"/>
      <c r="J302" s="1318"/>
    </row>
    <row r="303" spans="1:10">
      <c r="A303" s="1318"/>
      <c r="B303" s="1318"/>
      <c r="C303" s="1318"/>
      <c r="D303" s="1318"/>
      <c r="E303" s="1318"/>
      <c r="F303" s="1318"/>
      <c r="G303" s="1318"/>
      <c r="H303" s="1318"/>
      <c r="I303" s="1318"/>
      <c r="J303" s="1318"/>
    </row>
    <row r="304" spans="1:10">
      <c r="A304" s="1318"/>
      <c r="B304" s="1318"/>
      <c r="C304" s="1318"/>
      <c r="D304" s="1318"/>
      <c r="E304" s="1318"/>
      <c r="F304" s="1318"/>
      <c r="G304" s="1318"/>
      <c r="H304" s="1318"/>
      <c r="I304" s="1318"/>
      <c r="J304" s="1318"/>
    </row>
    <row r="305" spans="1:10">
      <c r="A305" s="1318"/>
      <c r="B305" s="1318"/>
      <c r="C305" s="1318"/>
      <c r="D305" s="1318"/>
      <c r="E305" s="1318"/>
      <c r="F305" s="1318"/>
      <c r="G305" s="1318"/>
      <c r="H305" s="1318"/>
      <c r="I305" s="1318"/>
      <c r="J305" s="1318"/>
    </row>
    <row r="306" spans="1:10">
      <c r="A306" s="1318"/>
      <c r="B306" s="1318"/>
      <c r="C306" s="1318"/>
      <c r="D306" s="1318"/>
      <c r="E306" s="1318"/>
      <c r="F306" s="1318"/>
      <c r="G306" s="1318"/>
      <c r="H306" s="1318"/>
      <c r="I306" s="1318"/>
      <c r="J306" s="1318"/>
    </row>
    <row r="307" spans="1:10">
      <c r="A307" s="1318"/>
      <c r="B307" s="1318"/>
      <c r="C307" s="1318"/>
      <c r="D307" s="1318"/>
      <c r="E307" s="1318"/>
      <c r="F307" s="1318"/>
      <c r="G307" s="1318"/>
      <c r="H307" s="1318"/>
      <c r="I307" s="1318"/>
      <c r="J307" s="1318"/>
    </row>
    <row r="308" spans="1:10">
      <c r="A308" s="1318"/>
      <c r="B308" s="1318"/>
      <c r="C308" s="1318"/>
      <c r="D308" s="1318"/>
      <c r="E308" s="1318"/>
      <c r="F308" s="1318"/>
      <c r="G308" s="1318"/>
      <c r="H308" s="1318"/>
      <c r="I308" s="1318"/>
      <c r="J308" s="1318"/>
    </row>
    <row r="309" spans="1:10">
      <c r="A309" s="1318"/>
      <c r="B309" s="1318"/>
      <c r="C309" s="1318"/>
      <c r="D309" s="1318"/>
      <c r="E309" s="1318"/>
      <c r="F309" s="1318"/>
      <c r="G309" s="1318"/>
      <c r="H309" s="1318"/>
      <c r="I309" s="1318"/>
      <c r="J309" s="1318"/>
    </row>
    <row r="310" spans="1:10">
      <c r="A310" s="1318"/>
      <c r="B310" s="1318"/>
      <c r="C310" s="1318"/>
      <c r="D310" s="1318"/>
      <c r="E310" s="1318"/>
      <c r="F310" s="1318"/>
      <c r="G310" s="1318"/>
      <c r="H310" s="1318"/>
      <c r="I310" s="1318"/>
      <c r="J310" s="1318"/>
    </row>
    <row r="311" spans="1:10">
      <c r="A311" s="1318"/>
      <c r="B311" s="1318"/>
      <c r="C311" s="1318"/>
      <c r="D311" s="1318"/>
      <c r="E311" s="1318"/>
      <c r="F311" s="1318"/>
      <c r="G311" s="1318"/>
      <c r="H311" s="1318"/>
      <c r="I311" s="1318"/>
      <c r="J311" s="1318"/>
    </row>
    <row r="312" spans="1:10">
      <c r="A312" s="1318"/>
      <c r="B312" s="1318"/>
      <c r="C312" s="1318"/>
      <c r="D312" s="1318"/>
      <c r="E312" s="1318"/>
      <c r="F312" s="1318"/>
      <c r="G312" s="1318"/>
      <c r="H312" s="1318"/>
      <c r="I312" s="1318"/>
      <c r="J312" s="1318"/>
    </row>
    <row r="313" spans="1:10">
      <c r="A313" s="1318"/>
      <c r="B313" s="1318"/>
      <c r="C313" s="1318"/>
      <c r="D313" s="1318"/>
      <c r="E313" s="1318"/>
      <c r="F313" s="1318"/>
      <c r="G313" s="1318"/>
      <c r="H313" s="1318"/>
      <c r="I313" s="1318"/>
      <c r="J313" s="1318"/>
    </row>
    <row r="314" spans="1:10">
      <c r="A314" s="1318"/>
      <c r="B314" s="1318"/>
      <c r="C314" s="1318"/>
      <c r="D314" s="1318"/>
      <c r="E314" s="1318"/>
      <c r="F314" s="1318"/>
      <c r="G314" s="1318"/>
      <c r="H314" s="1318"/>
      <c r="I314" s="1318"/>
      <c r="J314" s="1318"/>
    </row>
    <row r="315" spans="1:10">
      <c r="A315" s="1318"/>
      <c r="B315" s="1318"/>
      <c r="C315" s="1318"/>
      <c r="D315" s="1318"/>
      <c r="E315" s="1318"/>
      <c r="F315" s="1318"/>
      <c r="G315" s="1318"/>
      <c r="H315" s="1318"/>
      <c r="I315" s="1318"/>
      <c r="J315" s="1318"/>
    </row>
    <row r="316" spans="1:10">
      <c r="A316" s="1318"/>
      <c r="B316" s="1318"/>
      <c r="C316" s="1318"/>
      <c r="D316" s="1318"/>
      <c r="E316" s="1318"/>
      <c r="F316" s="1318"/>
      <c r="G316" s="1318"/>
      <c r="H316" s="1318"/>
      <c r="I316" s="1318"/>
      <c r="J316" s="1318"/>
    </row>
    <row r="317" spans="1:10">
      <c r="A317" s="1318"/>
      <c r="B317" s="1318"/>
      <c r="C317" s="1318"/>
      <c r="D317" s="1318"/>
      <c r="E317" s="1318"/>
      <c r="F317" s="1318"/>
      <c r="G317" s="1318"/>
      <c r="H317" s="1318"/>
      <c r="I317" s="1318"/>
      <c r="J317" s="1318"/>
    </row>
    <row r="318" spans="1:10">
      <c r="A318" s="1318"/>
      <c r="B318" s="1318"/>
      <c r="C318" s="1318"/>
      <c r="D318" s="1318"/>
      <c r="E318" s="1318"/>
      <c r="F318" s="1318"/>
      <c r="G318" s="1318"/>
      <c r="H318" s="1318"/>
      <c r="I318" s="1318"/>
      <c r="J318" s="1318"/>
    </row>
    <row r="319" spans="1:10">
      <c r="A319" s="1318"/>
      <c r="B319" s="1318"/>
      <c r="C319" s="1318"/>
      <c r="D319" s="1318"/>
      <c r="E319" s="1318"/>
      <c r="F319" s="1318"/>
      <c r="G319" s="1318"/>
      <c r="H319" s="1318"/>
      <c r="I319" s="1318"/>
      <c r="J319" s="1318"/>
    </row>
    <row r="320" spans="1:10">
      <c r="A320" s="1318"/>
      <c r="B320" s="1318"/>
      <c r="C320" s="1318"/>
      <c r="D320" s="1318"/>
      <c r="E320" s="1318"/>
      <c r="F320" s="1318"/>
      <c r="G320" s="1318"/>
      <c r="H320" s="1318"/>
      <c r="I320" s="1318"/>
      <c r="J320" s="1318"/>
    </row>
    <row r="321" spans="1:10">
      <c r="A321" s="1318"/>
      <c r="B321" s="1318"/>
      <c r="C321" s="1318"/>
      <c r="D321" s="1318"/>
      <c r="E321" s="1318"/>
      <c r="F321" s="1318"/>
      <c r="G321" s="1318"/>
      <c r="H321" s="1318"/>
      <c r="I321" s="1318"/>
      <c r="J321" s="1318"/>
    </row>
    <row r="322" spans="1:10">
      <c r="A322" s="1318"/>
      <c r="B322" s="1318"/>
      <c r="C322" s="1318"/>
      <c r="D322" s="1318"/>
      <c r="E322" s="1318"/>
      <c r="F322" s="1318"/>
      <c r="G322" s="1318"/>
      <c r="H322" s="1318"/>
      <c r="I322" s="1318"/>
      <c r="J322" s="1318"/>
    </row>
    <row r="323" spans="1:10">
      <c r="A323" s="1318"/>
      <c r="B323" s="1318"/>
      <c r="C323" s="1318"/>
      <c r="D323" s="1318"/>
      <c r="E323" s="1318"/>
      <c r="F323" s="1318"/>
      <c r="G323" s="1318"/>
      <c r="H323" s="1318"/>
      <c r="I323" s="1318"/>
      <c r="J323" s="1318"/>
    </row>
    <row r="324" spans="1:10">
      <c r="A324" s="1318"/>
      <c r="B324" s="1318"/>
      <c r="C324" s="1318"/>
      <c r="D324" s="1318"/>
      <c r="E324" s="1318"/>
      <c r="F324" s="1318"/>
      <c r="G324" s="1318"/>
      <c r="H324" s="1318"/>
      <c r="I324" s="1318"/>
      <c r="J324" s="1318"/>
    </row>
    <row r="325" spans="1:10">
      <c r="A325" s="1318"/>
      <c r="B325" s="1318"/>
      <c r="C325" s="1318"/>
      <c r="D325" s="1318"/>
      <c r="E325" s="1318"/>
      <c r="F325" s="1318"/>
      <c r="G325" s="1318"/>
      <c r="H325" s="1318"/>
      <c r="I325" s="1318"/>
      <c r="J325" s="1318"/>
    </row>
    <row r="326" spans="1:10">
      <c r="A326" s="1318"/>
      <c r="B326" s="1318"/>
      <c r="C326" s="1318"/>
      <c r="D326" s="1318"/>
      <c r="E326" s="1318"/>
      <c r="F326" s="1318"/>
      <c r="G326" s="1318"/>
      <c r="H326" s="1318"/>
      <c r="I326" s="1318"/>
      <c r="J326" s="1318"/>
    </row>
    <row r="327" spans="1:10">
      <c r="A327" s="1318"/>
      <c r="B327" s="1318"/>
      <c r="C327" s="1318"/>
      <c r="D327" s="1318"/>
      <c r="E327" s="1318"/>
      <c r="F327" s="1318"/>
      <c r="G327" s="1318"/>
      <c r="H327" s="1318"/>
      <c r="I327" s="1318"/>
      <c r="J327" s="1318"/>
    </row>
    <row r="328" spans="1:10">
      <c r="A328" s="1318"/>
      <c r="B328" s="1318"/>
      <c r="C328" s="1318"/>
      <c r="D328" s="1318"/>
      <c r="E328" s="1318"/>
      <c r="F328" s="1318"/>
      <c r="G328" s="1318"/>
      <c r="H328" s="1318"/>
      <c r="I328" s="1318"/>
      <c r="J328" s="1318"/>
    </row>
    <row r="329" spans="1:10">
      <c r="A329" s="1318"/>
      <c r="B329" s="1318"/>
      <c r="C329" s="1318"/>
      <c r="D329" s="1318"/>
      <c r="E329" s="1318"/>
      <c r="F329" s="1318"/>
      <c r="G329" s="1318"/>
      <c r="H329" s="1318"/>
      <c r="I329" s="1318"/>
      <c r="J329" s="1318"/>
    </row>
    <row r="330" spans="1:10">
      <c r="A330" s="1318"/>
      <c r="B330" s="1318"/>
      <c r="C330" s="1318"/>
      <c r="D330" s="1318"/>
      <c r="E330" s="1318"/>
      <c r="F330" s="1318"/>
      <c r="G330" s="1318"/>
      <c r="H330" s="1318"/>
      <c r="I330" s="1318"/>
      <c r="J330" s="1318"/>
    </row>
    <row r="331" spans="1:10">
      <c r="A331" s="1318"/>
      <c r="B331" s="1318"/>
      <c r="C331" s="1318"/>
      <c r="D331" s="1318"/>
      <c r="E331" s="1318"/>
      <c r="F331" s="1318"/>
      <c r="G331" s="1318"/>
      <c r="H331" s="1318"/>
      <c r="I331" s="1318"/>
      <c r="J331" s="1318"/>
    </row>
    <row r="332" spans="1:10">
      <c r="A332" s="1318"/>
      <c r="B332" s="1318"/>
      <c r="C332" s="1318"/>
      <c r="D332" s="1318"/>
      <c r="E332" s="1318"/>
      <c r="F332" s="1318"/>
      <c r="G332" s="1318"/>
      <c r="H332" s="1318"/>
      <c r="I332" s="1318"/>
      <c r="J332" s="1318"/>
    </row>
    <row r="333" spans="1:10">
      <c r="A333" s="1318"/>
      <c r="B333" s="1318"/>
      <c r="C333" s="1318"/>
      <c r="D333" s="1318"/>
      <c r="E333" s="1318"/>
      <c r="F333" s="1318"/>
      <c r="G333" s="1318"/>
      <c r="H333" s="1318"/>
      <c r="I333" s="1318"/>
      <c r="J333" s="1318"/>
    </row>
    <row r="334" spans="1:10">
      <c r="A334" s="1318"/>
      <c r="B334" s="1318"/>
      <c r="C334" s="1318"/>
      <c r="D334" s="1318"/>
      <c r="E334" s="1318"/>
      <c r="F334" s="1318"/>
      <c r="G334" s="1318"/>
      <c r="H334" s="1318"/>
      <c r="I334" s="1318"/>
      <c r="J334" s="1318"/>
    </row>
    <row r="335" spans="1:10">
      <c r="A335" s="1318"/>
      <c r="B335" s="1318"/>
      <c r="C335" s="1318"/>
      <c r="D335" s="1318"/>
      <c r="E335" s="1318"/>
      <c r="F335" s="1318"/>
      <c r="G335" s="1318"/>
      <c r="H335" s="1318"/>
      <c r="I335" s="1318"/>
      <c r="J335" s="1318"/>
    </row>
    <row r="336" spans="1:10">
      <c r="A336" s="1318"/>
      <c r="B336" s="1318"/>
      <c r="C336" s="1318"/>
      <c r="D336" s="1318"/>
      <c r="E336" s="1318"/>
      <c r="F336" s="1318"/>
      <c r="G336" s="1318"/>
      <c r="H336" s="1318"/>
      <c r="I336" s="1318"/>
      <c r="J336" s="1318"/>
    </row>
    <row r="337" spans="1:10">
      <c r="A337" s="1318"/>
      <c r="B337" s="1318"/>
      <c r="C337" s="1318"/>
      <c r="D337" s="1318"/>
      <c r="E337" s="1318"/>
      <c r="F337" s="1318"/>
      <c r="G337" s="1318"/>
      <c r="H337" s="1318"/>
      <c r="I337" s="1318"/>
      <c r="J337" s="1318"/>
    </row>
    <row r="338" spans="1:10">
      <c r="A338" s="1318"/>
      <c r="B338" s="1318"/>
      <c r="C338" s="1318"/>
      <c r="D338" s="1318"/>
      <c r="E338" s="1318"/>
      <c r="F338" s="1318"/>
      <c r="G338" s="1318"/>
      <c r="H338" s="1318"/>
      <c r="I338" s="1318"/>
      <c r="J338" s="1318"/>
    </row>
    <row r="339" spans="1:10">
      <c r="A339" s="1318"/>
      <c r="B339" s="1318"/>
      <c r="C339" s="1318"/>
      <c r="D339" s="1318"/>
      <c r="E339" s="1318"/>
      <c r="F339" s="1318"/>
      <c r="G339" s="1318"/>
      <c r="H339" s="1318"/>
      <c r="I339" s="1318"/>
      <c r="J339" s="1318"/>
    </row>
    <row r="340" spans="1:10">
      <c r="A340" s="1318"/>
      <c r="B340" s="1318"/>
      <c r="C340" s="1318"/>
      <c r="D340" s="1318"/>
      <c r="E340" s="1318"/>
      <c r="F340" s="1318"/>
      <c r="G340" s="1318"/>
      <c r="H340" s="1318"/>
      <c r="I340" s="1318"/>
      <c r="J340" s="1318"/>
    </row>
    <row r="341" spans="1:10">
      <c r="A341" s="1318"/>
      <c r="B341" s="1318"/>
      <c r="C341" s="1318"/>
      <c r="D341" s="1318"/>
      <c r="E341" s="1318"/>
      <c r="F341" s="1318"/>
      <c r="G341" s="1318"/>
      <c r="H341" s="1318"/>
      <c r="I341" s="1318"/>
      <c r="J341" s="1318"/>
    </row>
    <row r="342" spans="1:10">
      <c r="A342" s="1318"/>
      <c r="B342" s="1318"/>
      <c r="C342" s="1318"/>
      <c r="D342" s="1318"/>
      <c r="E342" s="1318"/>
      <c r="F342" s="1318"/>
      <c r="G342" s="1318"/>
      <c r="H342" s="1318"/>
      <c r="I342" s="1318"/>
      <c r="J342" s="1318"/>
    </row>
    <row r="343" spans="1:10">
      <c r="A343" s="1318"/>
      <c r="B343" s="1318"/>
      <c r="C343" s="1318"/>
      <c r="D343" s="1318"/>
      <c r="E343" s="1318"/>
      <c r="F343" s="1318"/>
      <c r="G343" s="1318"/>
      <c r="H343" s="1318"/>
      <c r="I343" s="1318"/>
      <c r="J343" s="1318"/>
    </row>
    <row r="344" spans="1:10">
      <c r="A344" s="1318"/>
      <c r="B344" s="1318"/>
      <c r="C344" s="1318"/>
      <c r="D344" s="1318"/>
      <c r="E344" s="1318"/>
      <c r="F344" s="1318"/>
      <c r="G344" s="1318"/>
      <c r="H344" s="1318"/>
      <c r="I344" s="1318"/>
      <c r="J344" s="1318"/>
    </row>
    <row r="345" spans="1:10">
      <c r="A345" s="1318"/>
      <c r="B345" s="1318"/>
      <c r="C345" s="1318"/>
      <c r="D345" s="1318"/>
      <c r="E345" s="1318"/>
      <c r="F345" s="1318"/>
      <c r="G345" s="1318"/>
      <c r="H345" s="1318"/>
      <c r="I345" s="1318"/>
      <c r="J345" s="1318"/>
    </row>
    <row r="346" spans="1:10">
      <c r="A346" s="1318"/>
      <c r="B346" s="1318"/>
      <c r="C346" s="1318"/>
      <c r="D346" s="1318"/>
      <c r="E346" s="1318"/>
      <c r="F346" s="1318"/>
      <c r="G346" s="1318"/>
      <c r="H346" s="1318"/>
      <c r="I346" s="1318"/>
      <c r="J346" s="1318"/>
    </row>
    <row r="347" spans="1:10">
      <c r="A347" s="1318"/>
      <c r="B347" s="1318"/>
      <c r="C347" s="1318"/>
      <c r="D347" s="1318"/>
      <c r="E347" s="1318"/>
      <c r="F347" s="1318"/>
      <c r="G347" s="1318"/>
      <c r="H347" s="1318"/>
      <c r="I347" s="1318"/>
      <c r="J347" s="1318"/>
    </row>
    <row r="348" spans="1:10">
      <c r="A348" s="1318"/>
      <c r="B348" s="1318"/>
      <c r="C348" s="1318"/>
      <c r="D348" s="1318"/>
      <c r="E348" s="1318"/>
      <c r="F348" s="1318"/>
      <c r="G348" s="1318"/>
      <c r="H348" s="1318"/>
      <c r="I348" s="1318"/>
      <c r="J348" s="1318"/>
    </row>
    <row r="349" spans="1:10">
      <c r="A349" s="1318"/>
      <c r="B349" s="1318"/>
      <c r="C349" s="1318"/>
      <c r="D349" s="1318"/>
      <c r="E349" s="1318"/>
      <c r="F349" s="1318"/>
      <c r="G349" s="1318"/>
      <c r="H349" s="1318"/>
      <c r="I349" s="1318"/>
      <c r="J349" s="1318"/>
    </row>
    <row r="350" spans="1:10">
      <c r="A350" s="1318"/>
      <c r="B350" s="1318"/>
      <c r="C350" s="1318"/>
      <c r="D350" s="1318"/>
      <c r="E350" s="1318"/>
      <c r="F350" s="1318"/>
      <c r="G350" s="1318"/>
      <c r="H350" s="1318"/>
      <c r="I350" s="1318"/>
      <c r="J350" s="1318"/>
    </row>
    <row r="351" spans="1:10">
      <c r="A351" s="1318"/>
      <c r="B351" s="1318"/>
      <c r="C351" s="1318"/>
      <c r="D351" s="1318"/>
      <c r="E351" s="1318"/>
      <c r="F351" s="1318"/>
      <c r="G351" s="1318"/>
      <c r="H351" s="1318"/>
      <c r="I351" s="1318"/>
      <c r="J351" s="1318"/>
    </row>
    <row r="352" spans="1:10">
      <c r="A352" s="1318"/>
      <c r="B352" s="1318"/>
      <c r="C352" s="1318"/>
      <c r="D352" s="1318"/>
      <c r="E352" s="1318"/>
      <c r="F352" s="1318"/>
      <c r="G352" s="1318"/>
      <c r="H352" s="1318"/>
      <c r="I352" s="1318"/>
      <c r="J352" s="1318"/>
    </row>
    <row r="353" spans="1:10">
      <c r="A353" s="1318"/>
      <c r="B353" s="1318"/>
      <c r="C353" s="1318"/>
      <c r="D353" s="1318"/>
      <c r="E353" s="1318"/>
      <c r="F353" s="1318"/>
      <c r="G353" s="1318"/>
      <c r="H353" s="1318"/>
      <c r="I353" s="1318"/>
      <c r="J353" s="1318"/>
    </row>
    <row r="354" spans="1:10">
      <c r="A354" s="1318"/>
      <c r="B354" s="1318"/>
      <c r="C354" s="1318"/>
      <c r="D354" s="1318"/>
      <c r="E354" s="1318"/>
      <c r="F354" s="1318"/>
      <c r="G354" s="1318"/>
      <c r="H354" s="1318"/>
      <c r="I354" s="1318"/>
      <c r="J354" s="1318"/>
    </row>
    <row r="355" spans="1:10">
      <c r="A355" s="1318"/>
      <c r="B355" s="1318"/>
      <c r="C355" s="1318"/>
      <c r="D355" s="1318"/>
      <c r="E355" s="1318"/>
      <c r="F355" s="1318"/>
      <c r="G355" s="1318"/>
      <c r="H355" s="1318"/>
      <c r="I355" s="1318"/>
      <c r="J355" s="1318"/>
    </row>
    <row r="356" spans="1:10">
      <c r="A356" s="1318"/>
      <c r="B356" s="1318"/>
      <c r="C356" s="1318"/>
      <c r="D356" s="1318"/>
      <c r="E356" s="1318"/>
      <c r="F356" s="1318"/>
      <c r="G356" s="1318"/>
      <c r="H356" s="1318"/>
      <c r="I356" s="1318"/>
      <c r="J356" s="1318"/>
    </row>
    <row r="357" spans="1:10">
      <c r="A357" s="1318"/>
      <c r="B357" s="1318"/>
      <c r="C357" s="1318"/>
      <c r="D357" s="1318"/>
      <c r="E357" s="1318"/>
      <c r="F357" s="1318"/>
      <c r="G357" s="1318"/>
      <c r="H357" s="1318"/>
      <c r="I357" s="1318"/>
      <c r="J357" s="1318"/>
    </row>
    <row r="358" spans="1:10">
      <c r="A358" s="1318"/>
      <c r="B358" s="1318"/>
      <c r="C358" s="1318"/>
      <c r="D358" s="1318"/>
      <c r="E358" s="1318"/>
      <c r="F358" s="1318"/>
      <c r="G358" s="1318"/>
      <c r="H358" s="1318"/>
      <c r="I358" s="1318"/>
      <c r="J358" s="1318"/>
    </row>
    <row r="359" spans="1:10">
      <c r="A359" s="1318"/>
      <c r="B359" s="1318"/>
      <c r="C359" s="1318"/>
      <c r="D359" s="1318"/>
      <c r="E359" s="1318"/>
      <c r="F359" s="1318"/>
      <c r="G359" s="1318"/>
      <c r="H359" s="1318"/>
      <c r="I359" s="1318"/>
      <c r="J359" s="1318"/>
    </row>
    <row r="360" spans="1:10">
      <c r="A360" s="1318"/>
      <c r="B360" s="1318"/>
      <c r="C360" s="1318"/>
      <c r="D360" s="1318"/>
      <c r="E360" s="1318"/>
      <c r="F360" s="1318"/>
      <c r="G360" s="1318"/>
      <c r="H360" s="1318"/>
      <c r="I360" s="1318"/>
      <c r="J360" s="1318"/>
    </row>
    <row r="361" spans="1:10">
      <c r="A361" s="1318"/>
      <c r="B361" s="1318"/>
      <c r="C361" s="1318"/>
      <c r="D361" s="1318"/>
      <c r="E361" s="1318"/>
      <c r="F361" s="1318"/>
      <c r="G361" s="1318"/>
      <c r="H361" s="1318"/>
      <c r="I361" s="1318"/>
      <c r="J361" s="1318"/>
    </row>
  </sheetData>
  <mergeCells count="6">
    <mergeCell ref="P40:P49"/>
    <mergeCell ref="B2:J2"/>
    <mergeCell ref="R31:AA31"/>
    <mergeCell ref="R33:AA33"/>
    <mergeCell ref="R35:AA35"/>
    <mergeCell ref="R37:AA37"/>
  </mergeCells>
  <pageMargins left="0" right="0" top="0" bottom="0" header="0" footer="0"/>
  <pageSetup paperSize="5" scale="11"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455"/>
  <sheetViews>
    <sheetView showGridLines="0" zoomScale="70" zoomScaleNormal="70" workbookViewId="0"/>
  </sheetViews>
  <sheetFormatPr defaultColWidth="9.28515625" defaultRowHeight="15" outlineLevelRow="1"/>
  <cols>
    <col min="1" max="1" width="2.85546875" style="817" customWidth="1"/>
    <col min="2" max="2" width="56.7109375" style="817" customWidth="1"/>
    <col min="3" max="3" width="15.42578125" style="817" customWidth="1"/>
    <col min="4" max="4" width="12.85546875" style="817" bestFit="1" customWidth="1"/>
    <col min="5" max="7" width="16" style="817" bestFit="1" customWidth="1"/>
    <col min="8" max="8" width="15" style="817" bestFit="1" customWidth="1"/>
    <col min="9" max="13" width="16" style="817" bestFit="1" customWidth="1"/>
    <col min="14" max="15" width="13.7109375" style="817" bestFit="1" customWidth="1"/>
    <col min="16" max="16" width="14" style="817" customWidth="1"/>
    <col min="17" max="18" width="13.7109375" style="817" bestFit="1" customWidth="1"/>
    <col min="19" max="19" width="12.85546875" style="817" customWidth="1"/>
    <col min="20" max="20" width="15" style="817" bestFit="1" customWidth="1"/>
    <col min="21" max="16384" width="9.28515625" style="817"/>
  </cols>
  <sheetData>
    <row r="1" spans="2:20" ht="6.75" customHeight="1">
      <c r="F1" s="913"/>
      <c r="G1" s="913"/>
      <c r="H1" s="913"/>
      <c r="I1" s="913"/>
      <c r="J1" s="913"/>
      <c r="K1" s="913"/>
      <c r="L1" s="913"/>
    </row>
    <row r="2" spans="2:20" ht="18" customHeight="1">
      <c r="B2" s="818" t="s">
        <v>454</v>
      </c>
      <c r="E2" s="836"/>
      <c r="F2" s="836"/>
      <c r="G2" s="836"/>
      <c r="H2" s="836"/>
      <c r="I2" s="836"/>
      <c r="J2" s="836"/>
      <c r="K2" s="836"/>
      <c r="L2" s="836"/>
      <c r="M2" s="836"/>
      <c r="N2" s="836"/>
      <c r="O2" s="836"/>
      <c r="P2" s="836"/>
      <c r="Q2" s="836"/>
      <c r="R2" s="836"/>
      <c r="S2" s="836"/>
    </row>
    <row r="3" spans="2:20" hidden="1">
      <c r="E3" s="911"/>
      <c r="F3" s="911"/>
      <c r="G3" s="911"/>
      <c r="H3" s="911"/>
      <c r="I3" s="911"/>
      <c r="J3" s="911"/>
      <c r="K3" s="912"/>
      <c r="L3" s="911"/>
      <c r="M3" s="911"/>
      <c r="N3" s="911"/>
      <c r="O3" s="911"/>
      <c r="P3" s="911"/>
    </row>
    <row r="4" spans="2:20">
      <c r="E4" s="911"/>
      <c r="F4" s="911"/>
      <c r="G4" s="911"/>
      <c r="H4" s="911"/>
      <c r="I4" s="911"/>
      <c r="J4" s="911"/>
      <c r="K4" s="911"/>
      <c r="L4" s="911"/>
      <c r="M4" s="911"/>
      <c r="N4" s="911"/>
      <c r="O4" s="911"/>
      <c r="P4" s="911"/>
    </row>
    <row r="5" spans="2:20" ht="15.75" thickBot="1">
      <c r="B5" s="819" t="s">
        <v>473</v>
      </c>
      <c r="C5" s="820" t="s">
        <v>302</v>
      </c>
      <c r="D5" s="820" t="s">
        <v>301</v>
      </c>
      <c r="E5" s="820" t="s">
        <v>300</v>
      </c>
      <c r="F5" s="820" t="s">
        <v>312</v>
      </c>
      <c r="G5" s="820" t="s">
        <v>313</v>
      </c>
      <c r="H5" s="820" t="s">
        <v>323</v>
      </c>
      <c r="I5" s="820" t="s">
        <v>324</v>
      </c>
      <c r="J5" s="820" t="s">
        <v>325</v>
      </c>
      <c r="K5" s="820" t="s">
        <v>392</v>
      </c>
      <c r="L5" s="820" t="s">
        <v>393</v>
      </c>
      <c r="M5" s="820" t="s">
        <v>394</v>
      </c>
      <c r="N5" s="820" t="s">
        <v>395</v>
      </c>
      <c r="O5" s="820" t="s">
        <v>396</v>
      </c>
      <c r="P5" s="820" t="s">
        <v>397</v>
      </c>
      <c r="Q5" s="820" t="s">
        <v>398</v>
      </c>
      <c r="R5" s="820" t="s">
        <v>399</v>
      </c>
      <c r="S5" s="820" t="s">
        <v>400</v>
      </c>
    </row>
    <row r="6" spans="2:20" ht="15.75" thickTop="1">
      <c r="B6" s="821" t="s">
        <v>423</v>
      </c>
      <c r="C6" s="823">
        <f>'Jakafi - MF'!H44</f>
        <v>343.45373884793372</v>
      </c>
      <c r="D6" s="823">
        <f>'Jakafi - MF'!I44</f>
        <v>472.96064783416637</v>
      </c>
      <c r="E6" s="823">
        <f>'Jakafi - MF'!J44</f>
        <v>590.22572391630547</v>
      </c>
      <c r="F6" s="823">
        <f>'Jakafi - MF'!K44</f>
        <v>694.95083818621697</v>
      </c>
      <c r="G6" s="823">
        <f>'Jakafi - MF'!L44</f>
        <v>792.6087748448291</v>
      </c>
      <c r="H6" s="823">
        <f>'Jakafi - MF'!M44</f>
        <v>871.92632056918342</v>
      </c>
      <c r="I6" s="823">
        <f>'Jakafi - MF'!N44</f>
        <v>949.13876186546929</v>
      </c>
      <c r="J6" s="823">
        <f>'Jakafi - MF'!O44</f>
        <v>1039.889566237541</v>
      </c>
      <c r="K6" s="823">
        <f>'Jakafi - MF'!P44</f>
        <v>1137.8147593457377</v>
      </c>
      <c r="L6" s="823">
        <f>'Jakafi - MF'!Q44</f>
        <v>1222.2548032808984</v>
      </c>
      <c r="M6" s="823">
        <f>'Jakafi - MF'!R44</f>
        <v>1281.9983950147443</v>
      </c>
      <c r="N6" s="823">
        <f>'Jakafi - MF'!S44</f>
        <v>1317.949393312723</v>
      </c>
      <c r="O6" s="823">
        <f>'Jakafi - MF'!T44</f>
        <v>1064.5946970782475</v>
      </c>
      <c r="P6" s="823">
        <f>'Jakafi - MF'!U44</f>
        <v>199.42538802481533</v>
      </c>
      <c r="Q6" s="823">
        <f>'Jakafi - MF'!V44</f>
        <v>66.078574768043339</v>
      </c>
      <c r="R6" s="823">
        <f>'Jakafi - MF'!W44</f>
        <v>12.968159291585543</v>
      </c>
      <c r="S6" s="823">
        <f>'Jakafi - MF'!X44</f>
        <v>7.6033513820365375</v>
      </c>
    </row>
    <row r="7" spans="2:20">
      <c r="B7" s="824" t="s">
        <v>135</v>
      </c>
      <c r="C7" s="823">
        <f>C6*C23</f>
        <v>0</v>
      </c>
      <c r="D7" s="823">
        <f>D6*D23</f>
        <v>0</v>
      </c>
      <c r="E7" s="823">
        <f>E6*E23</f>
        <v>0</v>
      </c>
      <c r="F7" s="823">
        <f t="shared" ref="F7:R7" si="0">F6*F23</f>
        <v>38.222296100241934</v>
      </c>
      <c r="G7" s="823">
        <f t="shared" si="0"/>
        <v>43.5934826164656</v>
      </c>
      <c r="H7" s="823">
        <f t="shared" si="0"/>
        <v>47.955947631305087</v>
      </c>
      <c r="I7" s="823">
        <f t="shared" si="0"/>
        <v>52.202631902600814</v>
      </c>
      <c r="J7" s="823">
        <f t="shared" si="0"/>
        <v>57.193926143064751</v>
      </c>
      <c r="K7" s="823">
        <f t="shared" si="0"/>
        <v>62.579811764015574</v>
      </c>
      <c r="L7" s="823">
        <f t="shared" si="0"/>
        <v>67.224014180449416</v>
      </c>
      <c r="M7" s="823">
        <f t="shared" si="0"/>
        <v>70.509911725810937</v>
      </c>
      <c r="N7" s="823">
        <f t="shared" si="0"/>
        <v>72.487216632199761</v>
      </c>
      <c r="O7" s="823">
        <f t="shared" si="0"/>
        <v>58.552708339303614</v>
      </c>
      <c r="P7" s="823">
        <f t="shared" si="0"/>
        <v>10.968396341364844</v>
      </c>
      <c r="Q7" s="823">
        <f t="shared" si="0"/>
        <v>3.6343216122423838</v>
      </c>
      <c r="R7" s="823">
        <f t="shared" si="0"/>
        <v>0.71324876103720491</v>
      </c>
      <c r="S7" s="823">
        <f>S6*S23</f>
        <v>0.41818432601200956</v>
      </c>
    </row>
    <row r="8" spans="2:20">
      <c r="B8" s="824" t="s">
        <v>424</v>
      </c>
      <c r="C8" s="823">
        <f>C24*C6</f>
        <v>0</v>
      </c>
      <c r="D8" s="823">
        <f t="shared" ref="D8:R8" si="1">D24*D6</f>
        <v>127.69937491522492</v>
      </c>
      <c r="E8" s="823">
        <f t="shared" si="1"/>
        <v>135.75191650075027</v>
      </c>
      <c r="F8" s="823">
        <f t="shared" si="1"/>
        <v>145.93967601910555</v>
      </c>
      <c r="G8" s="823">
        <f t="shared" si="1"/>
        <v>158.52175496896584</v>
      </c>
      <c r="H8" s="823">
        <f t="shared" si="1"/>
        <v>156.94673770245302</v>
      </c>
      <c r="I8" s="823">
        <f t="shared" si="1"/>
        <v>151.86220189847509</v>
      </c>
      <c r="J8" s="823">
        <f t="shared" si="1"/>
        <v>145.58453927325576</v>
      </c>
      <c r="K8" s="823">
        <f t="shared" si="1"/>
        <v>136.5377711214885</v>
      </c>
      <c r="L8" s="823">
        <f t="shared" si="1"/>
        <v>134.44802836089883</v>
      </c>
      <c r="M8" s="823">
        <f t="shared" si="1"/>
        <v>115.37985555132698</v>
      </c>
      <c r="N8" s="823">
        <f t="shared" si="1"/>
        <v>105.43595146501785</v>
      </c>
      <c r="O8" s="823">
        <f t="shared" si="1"/>
        <v>31.937840912347422</v>
      </c>
      <c r="P8" s="823">
        <f t="shared" si="1"/>
        <v>3.9885077604963066</v>
      </c>
      <c r="Q8" s="823">
        <f t="shared" si="1"/>
        <v>0.66078574768043341</v>
      </c>
      <c r="R8" s="823">
        <f t="shared" si="1"/>
        <v>6.4840796457927716E-2</v>
      </c>
      <c r="S8" s="823">
        <f>S24*S6</f>
        <v>3.8016756910182685E-2</v>
      </c>
    </row>
    <row r="9" spans="2:20">
      <c r="B9" s="826" t="s">
        <v>248</v>
      </c>
      <c r="C9" s="827">
        <f t="shared" ref="C9:S9" si="2">C6*C25</f>
        <v>0</v>
      </c>
      <c r="D9" s="827">
        <f t="shared" si="2"/>
        <v>47.296064783416639</v>
      </c>
      <c r="E9" s="827">
        <f t="shared" si="2"/>
        <v>56.071443772049022</v>
      </c>
      <c r="F9" s="827">
        <f t="shared" si="2"/>
        <v>62.545575436759528</v>
      </c>
      <c r="G9" s="827">
        <f t="shared" si="2"/>
        <v>63.408701987586326</v>
      </c>
      <c r="H9" s="827">
        <f t="shared" si="2"/>
        <v>61.034842439842848</v>
      </c>
      <c r="I9" s="827">
        <f t="shared" si="2"/>
        <v>56.948325711928156</v>
      </c>
      <c r="J9" s="827">
        <f t="shared" si="2"/>
        <v>51.994478311877053</v>
      </c>
      <c r="K9" s="827">
        <f t="shared" si="2"/>
        <v>45.512590373829511</v>
      </c>
      <c r="L9" s="827">
        <f t="shared" si="2"/>
        <v>36.667644098426948</v>
      </c>
      <c r="M9" s="827">
        <f t="shared" si="2"/>
        <v>25.639967900294888</v>
      </c>
      <c r="N9" s="827">
        <f t="shared" si="2"/>
        <v>13.179493933127231</v>
      </c>
      <c r="O9" s="827">
        <f t="shared" si="2"/>
        <v>0</v>
      </c>
      <c r="P9" s="827">
        <f t="shared" si="2"/>
        <v>0</v>
      </c>
      <c r="Q9" s="827">
        <f t="shared" si="2"/>
        <v>0</v>
      </c>
      <c r="R9" s="827">
        <f t="shared" si="2"/>
        <v>0</v>
      </c>
      <c r="S9" s="827">
        <f t="shared" si="2"/>
        <v>0</v>
      </c>
    </row>
    <row r="10" spans="2:20">
      <c r="B10" s="828" t="s">
        <v>425</v>
      </c>
      <c r="C10" s="829">
        <f>C6-C7-C8-C9</f>
        <v>343.45373884793372</v>
      </c>
      <c r="D10" s="823">
        <f t="shared" ref="D10:R10" si="3">D6-D7-D8-D9</f>
        <v>297.96520813552485</v>
      </c>
      <c r="E10" s="823">
        <f t="shared" si="3"/>
        <v>398.40236364350619</v>
      </c>
      <c r="F10" s="823">
        <f t="shared" si="3"/>
        <v>448.24329063010998</v>
      </c>
      <c r="G10" s="823">
        <f t="shared" si="3"/>
        <v>527.08483527181124</v>
      </c>
      <c r="H10" s="823">
        <f t="shared" si="3"/>
        <v>605.98879279558253</v>
      </c>
      <c r="I10" s="823">
        <f t="shared" si="3"/>
        <v>688.12560235246519</v>
      </c>
      <c r="J10" s="823">
        <f t="shared" si="3"/>
        <v>785.1166225093433</v>
      </c>
      <c r="K10" s="823">
        <f t="shared" si="3"/>
        <v>893.18458608640401</v>
      </c>
      <c r="L10" s="823">
        <f t="shared" si="3"/>
        <v>983.91511664112318</v>
      </c>
      <c r="M10" s="823">
        <f t="shared" si="3"/>
        <v>1070.4686598373116</v>
      </c>
      <c r="N10" s="823">
        <f t="shared" si="3"/>
        <v>1126.8467312823782</v>
      </c>
      <c r="O10" s="823">
        <f t="shared" si="3"/>
        <v>974.10414782659643</v>
      </c>
      <c r="P10" s="823">
        <f t="shared" si="3"/>
        <v>184.46848392295419</v>
      </c>
      <c r="Q10" s="823">
        <f t="shared" si="3"/>
        <v>61.783467408120522</v>
      </c>
      <c r="R10" s="823">
        <f t="shared" si="3"/>
        <v>12.190069734090411</v>
      </c>
      <c r="S10" s="823">
        <f>S6-S7-S8-S9</f>
        <v>7.1471502991143456</v>
      </c>
    </row>
    <row r="11" spans="2:20" ht="15.75" thickBot="1">
      <c r="B11" s="830" t="s">
        <v>55</v>
      </c>
      <c r="C11" s="823">
        <f>C10*C26</f>
        <v>0</v>
      </c>
      <c r="D11" s="823">
        <f>D10*D26</f>
        <v>0</v>
      </c>
      <c r="E11" s="823">
        <f>E10*E26</f>
        <v>0</v>
      </c>
      <c r="F11" s="823">
        <f>F10*F26</f>
        <v>0</v>
      </c>
      <c r="G11" s="823">
        <f>G10*G26</f>
        <v>0</v>
      </c>
      <c r="H11" s="823">
        <f t="shared" ref="H11:R11" si="4">H10*H26</f>
        <v>0</v>
      </c>
      <c r="I11" s="823">
        <f t="shared" si="4"/>
        <v>89.456328305820477</v>
      </c>
      <c r="J11" s="823">
        <f t="shared" si="4"/>
        <v>125.61865960149493</v>
      </c>
      <c r="K11" s="823">
        <f t="shared" si="4"/>
        <v>142.90953377382465</v>
      </c>
      <c r="L11" s="823">
        <f t="shared" si="4"/>
        <v>157.42641866257972</v>
      </c>
      <c r="M11" s="823">
        <f t="shared" si="4"/>
        <v>171.27498557396987</v>
      </c>
      <c r="N11" s="823">
        <f t="shared" si="4"/>
        <v>180.29547700518052</v>
      </c>
      <c r="O11" s="823">
        <f t="shared" si="4"/>
        <v>155.85666365225543</v>
      </c>
      <c r="P11" s="823">
        <f t="shared" si="4"/>
        <v>29.51495742767267</v>
      </c>
      <c r="Q11" s="823">
        <f t="shared" si="4"/>
        <v>9.8853547852992829</v>
      </c>
      <c r="R11" s="823">
        <f t="shared" si="4"/>
        <v>1.9504111574544658</v>
      </c>
      <c r="S11" s="823">
        <f>S10*S26</f>
        <v>1.1435440478582952</v>
      </c>
    </row>
    <row r="12" spans="2:20" ht="15.75" thickBot="1">
      <c r="B12" s="832" t="s">
        <v>426</v>
      </c>
      <c r="C12" s="833">
        <f>C10-C11</f>
        <v>343.45373884793372</v>
      </c>
      <c r="D12" s="833">
        <f>D10-D11</f>
        <v>297.96520813552485</v>
      </c>
      <c r="E12" s="833">
        <f t="shared" ref="E12:S12" si="5">E10-E11</f>
        <v>398.40236364350619</v>
      </c>
      <c r="F12" s="833">
        <f t="shared" si="5"/>
        <v>448.24329063010998</v>
      </c>
      <c r="G12" s="833">
        <f t="shared" si="5"/>
        <v>527.08483527181124</v>
      </c>
      <c r="H12" s="833">
        <f t="shared" si="5"/>
        <v>605.98879279558253</v>
      </c>
      <c r="I12" s="833">
        <f t="shared" si="5"/>
        <v>598.66927404664466</v>
      </c>
      <c r="J12" s="833">
        <f t="shared" si="5"/>
        <v>659.49796290784843</v>
      </c>
      <c r="K12" s="833">
        <f t="shared" si="5"/>
        <v>750.27505231257942</v>
      </c>
      <c r="L12" s="833">
        <f t="shared" si="5"/>
        <v>826.48869797854343</v>
      </c>
      <c r="M12" s="833">
        <f t="shared" si="5"/>
        <v>899.19367426334179</v>
      </c>
      <c r="N12" s="834">
        <f t="shared" si="5"/>
        <v>946.5512542771977</v>
      </c>
      <c r="O12" s="834">
        <f t="shared" si="5"/>
        <v>818.24748417434103</v>
      </c>
      <c r="P12" s="834">
        <f t="shared" si="5"/>
        <v>154.95352649528152</v>
      </c>
      <c r="Q12" s="834">
        <f t="shared" si="5"/>
        <v>51.898112622821237</v>
      </c>
      <c r="R12" s="834">
        <f t="shared" si="5"/>
        <v>10.239658576635945</v>
      </c>
      <c r="S12" s="834">
        <f t="shared" si="5"/>
        <v>6.0036062512560502</v>
      </c>
      <c r="T12" s="835"/>
    </row>
    <row r="13" spans="2:20" ht="15.75" thickBot="1">
      <c r="E13" s="836"/>
      <c r="F13" s="836"/>
    </row>
    <row r="14" spans="2:20">
      <c r="B14" s="837" t="s">
        <v>427</v>
      </c>
      <c r="C14" s="838">
        <f>T12</f>
        <v>0</v>
      </c>
      <c r="G14" s="1504"/>
    </row>
    <row r="15" spans="2:20">
      <c r="B15" s="839" t="s">
        <v>428</v>
      </c>
      <c r="C15" s="840">
        <f>NPV($C$411,F12:T12)</f>
        <v>4872.9267462920288</v>
      </c>
      <c r="G15" s="1504"/>
    </row>
    <row r="16" spans="2:20">
      <c r="B16" s="839" t="s">
        <v>429</v>
      </c>
      <c r="C16" s="841">
        <v>1</v>
      </c>
      <c r="E16" s="842" t="s">
        <v>430</v>
      </c>
    </row>
    <row r="17" spans="2:20" ht="15.75" thickBot="1">
      <c r="B17" s="839" t="s">
        <v>431</v>
      </c>
      <c r="C17" s="840">
        <f>C15*C16</f>
        <v>4872.9267462920288</v>
      </c>
      <c r="E17" s="842" t="s">
        <v>432</v>
      </c>
    </row>
    <row r="18" spans="2:20" ht="15.75" thickBot="1">
      <c r="B18" s="843" t="s">
        <v>432</v>
      </c>
      <c r="C18" s="1378">
        <f>C17/$C$413</f>
        <v>23.028954377561572</v>
      </c>
      <c r="E18" s="845">
        <f>C15/$C$413</f>
        <v>23.028954377561572</v>
      </c>
    </row>
    <row r="19" spans="2:20" ht="15.75" thickBot="1">
      <c r="B19" s="846"/>
      <c r="C19" s="847"/>
    </row>
    <row r="20" spans="2:20" ht="15.75" thickBot="1">
      <c r="B20" s="848" t="s">
        <v>471</v>
      </c>
      <c r="C20" s="849">
        <v>7.0000000000000007E-2</v>
      </c>
      <c r="D20" s="850">
        <f>NPV(C20,F12:T12)</f>
        <v>4872.9267462920288</v>
      </c>
    </row>
    <row r="21" spans="2:20">
      <c r="B21" s="846"/>
      <c r="C21" s="847"/>
    </row>
    <row r="22" spans="2:20" s="852" customFormat="1" ht="15.75" thickBot="1">
      <c r="B22" s="819" t="s">
        <v>474</v>
      </c>
      <c r="C22" s="820" t="str">
        <f>C5</f>
        <v>2014E</v>
      </c>
      <c r="D22" s="820" t="str">
        <f t="shared" ref="D22:S22" si="6">D5</f>
        <v>2015E</v>
      </c>
      <c r="E22" s="820" t="str">
        <f t="shared" si="6"/>
        <v>2016E</v>
      </c>
      <c r="F22" s="820" t="str">
        <f t="shared" si="6"/>
        <v>2017E</v>
      </c>
      <c r="G22" s="820" t="str">
        <f t="shared" si="6"/>
        <v>2018E</v>
      </c>
      <c r="H22" s="820" t="str">
        <f t="shared" si="6"/>
        <v>2019E</v>
      </c>
      <c r="I22" s="820" t="str">
        <f t="shared" si="6"/>
        <v>2020E</v>
      </c>
      <c r="J22" s="820" t="str">
        <f t="shared" si="6"/>
        <v>2021E</v>
      </c>
      <c r="K22" s="820" t="str">
        <f t="shared" si="6"/>
        <v>2022E</v>
      </c>
      <c r="L22" s="820" t="str">
        <f t="shared" si="6"/>
        <v>2023E</v>
      </c>
      <c r="M22" s="820" t="str">
        <f t="shared" si="6"/>
        <v>2024E</v>
      </c>
      <c r="N22" s="820" t="str">
        <f t="shared" si="6"/>
        <v>2025E</v>
      </c>
      <c r="O22" s="820" t="str">
        <f t="shared" si="6"/>
        <v>2026E</v>
      </c>
      <c r="P22" s="820" t="str">
        <f t="shared" si="6"/>
        <v>2027E</v>
      </c>
      <c r="Q22" s="820" t="str">
        <f t="shared" si="6"/>
        <v>2028E</v>
      </c>
      <c r="R22" s="820" t="str">
        <f t="shared" si="6"/>
        <v>2029E</v>
      </c>
      <c r="S22" s="820" t="str">
        <f t="shared" si="6"/>
        <v>2030E</v>
      </c>
      <c r="T22" s="851"/>
    </row>
    <row r="23" spans="2:20" s="852" customFormat="1" ht="15.75" thickTop="1">
      <c r="B23" s="853" t="s">
        <v>458</v>
      </c>
      <c r="C23" s="857"/>
      <c r="D23" s="857"/>
      <c r="E23" s="857"/>
      <c r="F23" s="857">
        <v>5.5E-2</v>
      </c>
      <c r="G23" s="857">
        <f>F23</f>
        <v>5.5E-2</v>
      </c>
      <c r="H23" s="857">
        <f t="shared" ref="H23:S23" si="7">G23</f>
        <v>5.5E-2</v>
      </c>
      <c r="I23" s="857">
        <f t="shared" si="7"/>
        <v>5.5E-2</v>
      </c>
      <c r="J23" s="857">
        <f t="shared" si="7"/>
        <v>5.5E-2</v>
      </c>
      <c r="K23" s="857">
        <f t="shared" si="7"/>
        <v>5.5E-2</v>
      </c>
      <c r="L23" s="857">
        <f t="shared" si="7"/>
        <v>5.5E-2</v>
      </c>
      <c r="M23" s="857">
        <f t="shared" si="7"/>
        <v>5.5E-2</v>
      </c>
      <c r="N23" s="857">
        <f t="shared" si="7"/>
        <v>5.5E-2</v>
      </c>
      <c r="O23" s="857">
        <f t="shared" si="7"/>
        <v>5.5E-2</v>
      </c>
      <c r="P23" s="857">
        <f t="shared" si="7"/>
        <v>5.5E-2</v>
      </c>
      <c r="Q23" s="857">
        <f t="shared" si="7"/>
        <v>5.5E-2</v>
      </c>
      <c r="R23" s="857">
        <f t="shared" si="7"/>
        <v>5.5E-2</v>
      </c>
      <c r="S23" s="857">
        <f t="shared" si="7"/>
        <v>5.5E-2</v>
      </c>
      <c r="T23" s="855"/>
    </row>
    <row r="24" spans="2:20" s="852" customFormat="1">
      <c r="B24" s="856" t="s">
        <v>459</v>
      </c>
      <c r="C24" s="857"/>
      <c r="D24" s="857">
        <v>0.27</v>
      </c>
      <c r="E24" s="857">
        <v>0.23</v>
      </c>
      <c r="F24" s="857">
        <v>0.21</v>
      </c>
      <c r="G24" s="857">
        <v>0.2</v>
      </c>
      <c r="H24" s="857">
        <v>0.18</v>
      </c>
      <c r="I24" s="857">
        <v>0.16</v>
      </c>
      <c r="J24" s="857">
        <v>0.14000000000000001</v>
      </c>
      <c r="K24" s="857">
        <v>0.12</v>
      </c>
      <c r="L24" s="857">
        <v>0.11</v>
      </c>
      <c r="M24" s="857">
        <v>0.09</v>
      </c>
      <c r="N24" s="857">
        <v>0.08</v>
      </c>
      <c r="O24" s="857">
        <v>0.03</v>
      </c>
      <c r="P24" s="857">
        <v>0.02</v>
      </c>
      <c r="Q24" s="857">
        <v>0.01</v>
      </c>
      <c r="R24" s="857">
        <v>5.0000000000000001E-3</v>
      </c>
      <c r="S24" s="857">
        <v>5.0000000000000001E-3</v>
      </c>
      <c r="T24" s="855"/>
    </row>
    <row r="25" spans="2:20" s="852" customFormat="1">
      <c r="B25" s="856" t="s">
        <v>460</v>
      </c>
      <c r="C25" s="857"/>
      <c r="D25" s="857">
        <v>0.1</v>
      </c>
      <c r="E25" s="857">
        <v>9.5000000000000001E-2</v>
      </c>
      <c r="F25" s="857">
        <v>0.09</v>
      </c>
      <c r="G25" s="857">
        <v>0.08</v>
      </c>
      <c r="H25" s="857">
        <v>7.0000000000000007E-2</v>
      </c>
      <c r="I25" s="857">
        <v>0.06</v>
      </c>
      <c r="J25" s="857">
        <v>0.05</v>
      </c>
      <c r="K25" s="857">
        <v>0.04</v>
      </c>
      <c r="L25" s="857">
        <v>0.03</v>
      </c>
      <c r="M25" s="857">
        <v>0.02</v>
      </c>
      <c r="N25" s="857">
        <v>0.01</v>
      </c>
      <c r="O25" s="857">
        <v>0</v>
      </c>
      <c r="P25" s="857">
        <v>0</v>
      </c>
      <c r="Q25" s="857">
        <v>0</v>
      </c>
      <c r="R25" s="857">
        <v>0</v>
      </c>
      <c r="S25" s="857">
        <v>0</v>
      </c>
      <c r="T25" s="855"/>
    </row>
    <row r="26" spans="2:20" s="852" customFormat="1">
      <c r="B26" s="858" t="s">
        <v>55</v>
      </c>
      <c r="C26" s="860">
        <v>0</v>
      </c>
      <c r="D26" s="860">
        <v>0</v>
      </c>
      <c r="E26" s="860">
        <v>0</v>
      </c>
      <c r="F26" s="860">
        <v>0</v>
      </c>
      <c r="G26" s="860">
        <v>0</v>
      </c>
      <c r="H26" s="860">
        <v>0</v>
      </c>
      <c r="I26" s="860">
        <v>0.13</v>
      </c>
      <c r="J26" s="860">
        <v>0.16</v>
      </c>
      <c r="K26" s="860">
        <f t="shared" ref="K26:R26" si="8">J26</f>
        <v>0.16</v>
      </c>
      <c r="L26" s="860">
        <f t="shared" si="8"/>
        <v>0.16</v>
      </c>
      <c r="M26" s="860">
        <f t="shared" si="8"/>
        <v>0.16</v>
      </c>
      <c r="N26" s="860">
        <f t="shared" si="8"/>
        <v>0.16</v>
      </c>
      <c r="O26" s="860">
        <f t="shared" si="8"/>
        <v>0.16</v>
      </c>
      <c r="P26" s="860">
        <f t="shared" si="8"/>
        <v>0.16</v>
      </c>
      <c r="Q26" s="860">
        <f t="shared" si="8"/>
        <v>0.16</v>
      </c>
      <c r="R26" s="860">
        <f t="shared" si="8"/>
        <v>0.16</v>
      </c>
      <c r="S26" s="860">
        <f>R26</f>
        <v>0.16</v>
      </c>
      <c r="T26" s="855"/>
    </row>
    <row r="28" spans="2:20" ht="15.75" thickBot="1">
      <c r="B28" s="819" t="s">
        <v>455</v>
      </c>
      <c r="C28" s="820" t="s">
        <v>302</v>
      </c>
      <c r="D28" s="820" t="s">
        <v>301</v>
      </c>
      <c r="E28" s="820" t="s">
        <v>300</v>
      </c>
      <c r="F28" s="820" t="s">
        <v>312</v>
      </c>
      <c r="G28" s="820" t="s">
        <v>313</v>
      </c>
      <c r="H28" s="820" t="s">
        <v>323</v>
      </c>
      <c r="I28" s="820" t="s">
        <v>324</v>
      </c>
      <c r="J28" s="820" t="s">
        <v>325</v>
      </c>
      <c r="K28" s="820" t="s">
        <v>392</v>
      </c>
      <c r="L28" s="820" t="s">
        <v>393</v>
      </c>
      <c r="M28" s="820" t="s">
        <v>394</v>
      </c>
      <c r="N28" s="820" t="s">
        <v>395</v>
      </c>
      <c r="O28" s="820" t="s">
        <v>396</v>
      </c>
      <c r="P28" s="820" t="s">
        <v>397</v>
      </c>
      <c r="Q28" s="820" t="s">
        <v>398</v>
      </c>
      <c r="R28" s="820" t="s">
        <v>399</v>
      </c>
      <c r="S28" s="820" t="s">
        <v>400</v>
      </c>
    </row>
    <row r="29" spans="2:20" ht="15.75" thickTop="1">
      <c r="B29" s="821" t="s">
        <v>423</v>
      </c>
      <c r="C29" s="822"/>
      <c r="D29" s="823">
        <f>'Jakafi - PV'!J57</f>
        <v>168.36174613692347</v>
      </c>
      <c r="E29" s="823">
        <f>'Jakafi - PV'!K57</f>
        <v>304.36553242620056</v>
      </c>
      <c r="F29" s="823">
        <f>'Jakafi - PV'!L57</f>
        <v>445.04326623946645</v>
      </c>
      <c r="G29" s="823">
        <f>'Jakafi - PV'!M57</f>
        <v>585.81965369877742</v>
      </c>
      <c r="H29" s="823">
        <f>'Jakafi - PV'!N57</f>
        <v>711.71784931290972</v>
      </c>
      <c r="I29" s="823">
        <f>'Jakafi - PV'!O57</f>
        <v>836.36870656262568</v>
      </c>
      <c r="J29" s="823">
        <f>'Jakafi - PV'!P57</f>
        <v>959.24922337450403</v>
      </c>
      <c r="K29" s="823">
        <f>'Jakafi - PV'!Q57</f>
        <v>1076.8956954927271</v>
      </c>
      <c r="L29" s="823">
        <f>'Jakafi - PV'!R57</f>
        <v>1184.6037297437638</v>
      </c>
      <c r="M29" s="823">
        <f>'Jakafi - PV'!S57</f>
        <v>1268.1599023112128</v>
      </c>
      <c r="N29" s="823">
        <f>'Jakafi - PV'!T57</f>
        <v>1317.8208003248742</v>
      </c>
      <c r="O29" s="823">
        <f>'Jakafi - PV'!U57</f>
        <v>1065.4572136255906</v>
      </c>
      <c r="P29" s="823">
        <f>'Jakafi - PV'!V57</f>
        <v>199.71045063854399</v>
      </c>
      <c r="Q29" s="823">
        <f>'Jakafi - PV'!W57</f>
        <v>66.793780451444761</v>
      </c>
      <c r="R29" s="823">
        <f>'Jakafi - PV'!X57</f>
        <v>13.451723582378243</v>
      </c>
      <c r="S29" s="823">
        <f>'Jakafi - PV'!Y57</f>
        <v>8.1554578065529277</v>
      </c>
    </row>
    <row r="30" spans="2:20">
      <c r="B30" s="824" t="s">
        <v>135</v>
      </c>
      <c r="C30" s="825"/>
      <c r="D30" s="823">
        <f>D29*D46</f>
        <v>0</v>
      </c>
      <c r="E30" s="823">
        <f>E29*E46</f>
        <v>0</v>
      </c>
      <c r="F30" s="823">
        <f t="shared" ref="F30:R30" si="9">F29*F46</f>
        <v>24.477379643170654</v>
      </c>
      <c r="G30" s="823">
        <f t="shared" si="9"/>
        <v>32.220080953432756</v>
      </c>
      <c r="H30" s="823">
        <f t="shared" si="9"/>
        <v>39.144481712210037</v>
      </c>
      <c r="I30" s="823">
        <f t="shared" si="9"/>
        <v>46.000278860944412</v>
      </c>
      <c r="J30" s="823">
        <f t="shared" si="9"/>
        <v>52.758707285597723</v>
      </c>
      <c r="K30" s="823">
        <f t="shared" si="9"/>
        <v>59.22926325209999</v>
      </c>
      <c r="L30" s="823">
        <f t="shared" si="9"/>
        <v>65.153205135907015</v>
      </c>
      <c r="M30" s="823">
        <f t="shared" si="9"/>
        <v>69.748794627116709</v>
      </c>
      <c r="N30" s="823">
        <f t="shared" si="9"/>
        <v>72.480144017868085</v>
      </c>
      <c r="O30" s="823">
        <f t="shared" si="9"/>
        <v>58.600146749407486</v>
      </c>
      <c r="P30" s="823">
        <f t="shared" si="9"/>
        <v>10.984074785119919</v>
      </c>
      <c r="Q30" s="823">
        <f t="shared" si="9"/>
        <v>3.6736579248294619</v>
      </c>
      <c r="R30" s="823">
        <f t="shared" si="9"/>
        <v>0.73984479703080341</v>
      </c>
      <c r="S30" s="823">
        <f>S29*S46</f>
        <v>0.44855017936041103</v>
      </c>
    </row>
    <row r="31" spans="2:20">
      <c r="B31" s="824" t="s">
        <v>424</v>
      </c>
      <c r="C31" s="822"/>
      <c r="D31" s="823">
        <f t="shared" ref="D31:R31" si="10">D47*D29</f>
        <v>45.457671456969344</v>
      </c>
      <c r="E31" s="823">
        <f t="shared" si="10"/>
        <v>70.00407245802613</v>
      </c>
      <c r="F31" s="823">
        <f t="shared" si="10"/>
        <v>93.459085910287953</v>
      </c>
      <c r="G31" s="823">
        <f t="shared" si="10"/>
        <v>117.16393073975549</v>
      </c>
      <c r="H31" s="823">
        <f t="shared" si="10"/>
        <v>128.10921287632374</v>
      </c>
      <c r="I31" s="823">
        <f t="shared" si="10"/>
        <v>133.81899305002011</v>
      </c>
      <c r="J31" s="823">
        <f t="shared" si="10"/>
        <v>134.29489127243059</v>
      </c>
      <c r="K31" s="823">
        <f t="shared" si="10"/>
        <v>129.22748345912726</v>
      </c>
      <c r="L31" s="823">
        <f t="shared" si="10"/>
        <v>130.30641027181403</v>
      </c>
      <c r="M31" s="823">
        <f t="shared" si="10"/>
        <v>114.13439120800915</v>
      </c>
      <c r="N31" s="823">
        <f t="shared" si="10"/>
        <v>105.42566402598993</v>
      </c>
      <c r="O31" s="823">
        <f t="shared" si="10"/>
        <v>31.963716408767716</v>
      </c>
      <c r="P31" s="823">
        <f t="shared" si="10"/>
        <v>3.99420901277088</v>
      </c>
      <c r="Q31" s="823">
        <f t="shared" si="10"/>
        <v>0.66793780451444762</v>
      </c>
      <c r="R31" s="823">
        <f t="shared" si="10"/>
        <v>6.7258617911891222E-2</v>
      </c>
      <c r="S31" s="823">
        <f>S47*S29</f>
        <v>4.077728903276464E-2</v>
      </c>
    </row>
    <row r="32" spans="2:20">
      <c r="B32" s="826" t="s">
        <v>248</v>
      </c>
      <c r="C32" s="827">
        <f t="shared" ref="C32:S32" si="11">C29*C48</f>
        <v>0</v>
      </c>
      <c r="D32" s="827">
        <f t="shared" si="11"/>
        <v>16.836174613692346</v>
      </c>
      <c r="E32" s="827">
        <f t="shared" si="11"/>
        <v>28.914725580489055</v>
      </c>
      <c r="F32" s="827">
        <f t="shared" si="11"/>
        <v>40.053893961551978</v>
      </c>
      <c r="G32" s="827">
        <f t="shared" si="11"/>
        <v>46.865572295902197</v>
      </c>
      <c r="H32" s="827">
        <f t="shared" si="11"/>
        <v>49.820249451903685</v>
      </c>
      <c r="I32" s="827">
        <f t="shared" si="11"/>
        <v>50.182122393757538</v>
      </c>
      <c r="J32" s="827">
        <f t="shared" si="11"/>
        <v>47.962461168725206</v>
      </c>
      <c r="K32" s="827">
        <f t="shared" si="11"/>
        <v>43.075827819709083</v>
      </c>
      <c r="L32" s="827">
        <f t="shared" si="11"/>
        <v>35.538111892312912</v>
      </c>
      <c r="M32" s="827">
        <f t="shared" si="11"/>
        <v>25.363198046224255</v>
      </c>
      <c r="N32" s="827">
        <f t="shared" si="11"/>
        <v>13.178208003248741</v>
      </c>
      <c r="O32" s="827">
        <f t="shared" si="11"/>
        <v>0</v>
      </c>
      <c r="P32" s="827">
        <f t="shared" si="11"/>
        <v>0</v>
      </c>
      <c r="Q32" s="827">
        <f t="shared" si="11"/>
        <v>0</v>
      </c>
      <c r="R32" s="827">
        <f t="shared" si="11"/>
        <v>0</v>
      </c>
      <c r="S32" s="827">
        <f t="shared" si="11"/>
        <v>0</v>
      </c>
    </row>
    <row r="33" spans="2:20">
      <c r="B33" s="828" t="s">
        <v>425</v>
      </c>
      <c r="C33" s="829">
        <f>C29-C30-C31-C32</f>
        <v>0</v>
      </c>
      <c r="D33" s="823">
        <f t="shared" ref="D33:R33" si="12">D29-D30-D31-D32</f>
        <v>106.06790006626179</v>
      </c>
      <c r="E33" s="823">
        <f t="shared" si="12"/>
        <v>205.44673438768535</v>
      </c>
      <c r="F33" s="823">
        <f t="shared" si="12"/>
        <v>287.05290672445585</v>
      </c>
      <c r="G33" s="823">
        <f t="shared" si="12"/>
        <v>389.57006970968695</v>
      </c>
      <c r="H33" s="823">
        <f t="shared" si="12"/>
        <v>494.64390527247224</v>
      </c>
      <c r="I33" s="823">
        <f t="shared" si="12"/>
        <v>606.36731225790368</v>
      </c>
      <c r="J33" s="823">
        <f t="shared" si="12"/>
        <v>724.23316364775053</v>
      </c>
      <c r="K33" s="823">
        <f t="shared" si="12"/>
        <v>845.36312096179086</v>
      </c>
      <c r="L33" s="823">
        <f t="shared" si="12"/>
        <v>953.60600244372984</v>
      </c>
      <c r="M33" s="823">
        <f t="shared" si="12"/>
        <v>1058.9135184298627</v>
      </c>
      <c r="N33" s="823">
        <f t="shared" si="12"/>
        <v>1126.7367842777674</v>
      </c>
      <c r="O33" s="823">
        <f t="shared" si="12"/>
        <v>974.89335046741542</v>
      </c>
      <c r="P33" s="823">
        <f t="shared" si="12"/>
        <v>184.73216684065318</v>
      </c>
      <c r="Q33" s="823">
        <f t="shared" si="12"/>
        <v>62.452184722100853</v>
      </c>
      <c r="R33" s="823">
        <f t="shared" si="12"/>
        <v>12.644620167435548</v>
      </c>
      <c r="S33" s="823">
        <f>S29-S30-S31-S32</f>
        <v>7.6661303381597525</v>
      </c>
    </row>
    <row r="34" spans="2:20" ht="15.75" thickBot="1">
      <c r="B34" s="830" t="s">
        <v>55</v>
      </c>
      <c r="C34" s="831"/>
      <c r="D34" s="823"/>
      <c r="E34" s="823"/>
      <c r="F34" s="823"/>
      <c r="G34" s="823">
        <f>G33*G49</f>
        <v>0</v>
      </c>
      <c r="H34" s="823">
        <f t="shared" ref="H34:R34" si="13">H33*H49</f>
        <v>0</v>
      </c>
      <c r="I34" s="823">
        <f t="shared" si="13"/>
        <v>78.827750593527483</v>
      </c>
      <c r="J34" s="823">
        <f t="shared" si="13"/>
        <v>115.87730618364009</v>
      </c>
      <c r="K34" s="823">
        <f t="shared" si="13"/>
        <v>135.25809935388654</v>
      </c>
      <c r="L34" s="823">
        <f t="shared" si="13"/>
        <v>152.57696039099679</v>
      </c>
      <c r="M34" s="823">
        <f t="shared" si="13"/>
        <v>169.42616294877803</v>
      </c>
      <c r="N34" s="823">
        <f t="shared" si="13"/>
        <v>180.27788548444278</v>
      </c>
      <c r="O34" s="823">
        <f t="shared" si="13"/>
        <v>155.98293607478647</v>
      </c>
      <c r="P34" s="823">
        <f t="shared" si="13"/>
        <v>29.55714669450451</v>
      </c>
      <c r="Q34" s="823">
        <f t="shared" si="13"/>
        <v>9.992349555536137</v>
      </c>
      <c r="R34" s="823">
        <f t="shared" si="13"/>
        <v>2.0231392267896875</v>
      </c>
      <c r="S34" s="823">
        <f>S33*S49</f>
        <v>1.2265808541055605</v>
      </c>
    </row>
    <row r="35" spans="2:20" ht="15.75" thickBot="1">
      <c r="B35" s="832" t="s">
        <v>426</v>
      </c>
      <c r="C35" s="833">
        <f>C33-C34</f>
        <v>0</v>
      </c>
      <c r="D35" s="833">
        <f>D33-D34</f>
        <v>106.06790006626179</v>
      </c>
      <c r="E35" s="833">
        <f t="shared" ref="E35:S35" si="14">E33-E34</f>
        <v>205.44673438768535</v>
      </c>
      <c r="F35" s="833">
        <f t="shared" si="14"/>
        <v>287.05290672445585</v>
      </c>
      <c r="G35" s="833">
        <f t="shared" si="14"/>
        <v>389.57006970968695</v>
      </c>
      <c r="H35" s="833">
        <f t="shared" si="14"/>
        <v>494.64390527247224</v>
      </c>
      <c r="I35" s="833">
        <f t="shared" si="14"/>
        <v>527.53956166437615</v>
      </c>
      <c r="J35" s="833">
        <f t="shared" si="14"/>
        <v>608.35585746411039</v>
      </c>
      <c r="K35" s="833">
        <f t="shared" si="14"/>
        <v>710.10502160790429</v>
      </c>
      <c r="L35" s="833">
        <f t="shared" si="14"/>
        <v>801.02904205273308</v>
      </c>
      <c r="M35" s="833">
        <f t="shared" si="14"/>
        <v>889.48735548108471</v>
      </c>
      <c r="N35" s="834">
        <f t="shared" si="14"/>
        <v>946.45889879332458</v>
      </c>
      <c r="O35" s="834">
        <f t="shared" si="14"/>
        <v>818.91041439262892</v>
      </c>
      <c r="P35" s="834">
        <f t="shared" si="14"/>
        <v>155.17502014614865</v>
      </c>
      <c r="Q35" s="834">
        <f t="shared" si="14"/>
        <v>52.459835166564716</v>
      </c>
      <c r="R35" s="834">
        <f t="shared" si="14"/>
        <v>10.62148094064586</v>
      </c>
      <c r="S35" s="834">
        <f t="shared" si="14"/>
        <v>6.4395494840541918</v>
      </c>
      <c r="T35" s="835"/>
    </row>
    <row r="36" spans="2:20" ht="15.75" thickBot="1">
      <c r="E36" s="836"/>
      <c r="F36" s="836"/>
    </row>
    <row r="37" spans="2:20">
      <c r="B37" s="837" t="s">
        <v>427</v>
      </c>
      <c r="C37" s="838">
        <f>T35</f>
        <v>0</v>
      </c>
    </row>
    <row r="38" spans="2:20">
      <c r="B38" s="839" t="s">
        <v>428</v>
      </c>
      <c r="C38" s="840">
        <f>NPV($C$411,F35:T35)</f>
        <v>4373.2498468343983</v>
      </c>
    </row>
    <row r="39" spans="2:20">
      <c r="B39" s="839" t="s">
        <v>429</v>
      </c>
      <c r="C39" s="841">
        <v>1</v>
      </c>
      <c r="E39" s="842" t="s">
        <v>430</v>
      </c>
    </row>
    <row r="40" spans="2:20" ht="15.75" thickBot="1">
      <c r="B40" s="839" t="s">
        <v>431</v>
      </c>
      <c r="C40" s="840">
        <f>C38*C39</f>
        <v>4373.2498468343983</v>
      </c>
      <c r="E40" s="842" t="s">
        <v>432</v>
      </c>
    </row>
    <row r="41" spans="2:20" ht="15.75" thickBot="1">
      <c r="B41" s="843" t="s">
        <v>432</v>
      </c>
      <c r="C41" s="1378">
        <f>C40/$C$413</f>
        <v>20.667532357440447</v>
      </c>
      <c r="E41" s="845">
        <f>C38/$C$413</f>
        <v>20.667532357440447</v>
      </c>
    </row>
    <row r="42" spans="2:20" ht="15.75" thickBot="1">
      <c r="B42" s="846"/>
      <c r="C42" s="847"/>
    </row>
    <row r="43" spans="2:20" ht="15.75" thickBot="1">
      <c r="B43" s="848" t="s">
        <v>472</v>
      </c>
      <c r="C43" s="849">
        <v>7.0000000000000007E-2</v>
      </c>
      <c r="D43" s="850">
        <f>NPV(C43,F35:T35)</f>
        <v>4373.2498468343983</v>
      </c>
    </row>
    <row r="44" spans="2:20">
      <c r="B44" s="846"/>
      <c r="C44" s="847"/>
    </row>
    <row r="45" spans="2:20" s="852" customFormat="1" ht="15.75" thickBot="1">
      <c r="B45" s="819" t="s">
        <v>475</v>
      </c>
      <c r="C45" s="820" t="str">
        <f>C28</f>
        <v>2014E</v>
      </c>
      <c r="D45" s="820" t="str">
        <f t="shared" ref="D45:S45" si="15">D28</f>
        <v>2015E</v>
      </c>
      <c r="E45" s="820" t="str">
        <f t="shared" si="15"/>
        <v>2016E</v>
      </c>
      <c r="F45" s="820" t="str">
        <f t="shared" si="15"/>
        <v>2017E</v>
      </c>
      <c r="G45" s="820" t="str">
        <f t="shared" si="15"/>
        <v>2018E</v>
      </c>
      <c r="H45" s="820" t="str">
        <f t="shared" si="15"/>
        <v>2019E</v>
      </c>
      <c r="I45" s="820" t="str">
        <f t="shared" si="15"/>
        <v>2020E</v>
      </c>
      <c r="J45" s="820" t="str">
        <f t="shared" si="15"/>
        <v>2021E</v>
      </c>
      <c r="K45" s="820" t="str">
        <f t="shared" si="15"/>
        <v>2022E</v>
      </c>
      <c r="L45" s="820" t="str">
        <f t="shared" si="15"/>
        <v>2023E</v>
      </c>
      <c r="M45" s="820" t="str">
        <f t="shared" si="15"/>
        <v>2024E</v>
      </c>
      <c r="N45" s="820" t="str">
        <f t="shared" si="15"/>
        <v>2025E</v>
      </c>
      <c r="O45" s="820" t="str">
        <f t="shared" si="15"/>
        <v>2026E</v>
      </c>
      <c r="P45" s="820" t="str">
        <f t="shared" si="15"/>
        <v>2027E</v>
      </c>
      <c r="Q45" s="820" t="str">
        <f t="shared" si="15"/>
        <v>2028E</v>
      </c>
      <c r="R45" s="820" t="str">
        <f t="shared" si="15"/>
        <v>2029E</v>
      </c>
      <c r="S45" s="820" t="str">
        <f t="shared" si="15"/>
        <v>2030E</v>
      </c>
      <c r="T45" s="851"/>
    </row>
    <row r="46" spans="2:20" s="852" customFormat="1" ht="15.75" thickTop="1">
      <c r="B46" s="853" t="s">
        <v>458</v>
      </c>
      <c r="C46" s="854">
        <f>C23</f>
        <v>0</v>
      </c>
      <c r="D46" s="854">
        <f t="shared" ref="D46:S46" si="16">D23</f>
        <v>0</v>
      </c>
      <c r="E46" s="854">
        <f t="shared" si="16"/>
        <v>0</v>
      </c>
      <c r="F46" s="854">
        <f t="shared" si="16"/>
        <v>5.5E-2</v>
      </c>
      <c r="G46" s="854">
        <f t="shared" si="16"/>
        <v>5.5E-2</v>
      </c>
      <c r="H46" s="854">
        <f t="shared" si="16"/>
        <v>5.5E-2</v>
      </c>
      <c r="I46" s="854">
        <f t="shared" si="16"/>
        <v>5.5E-2</v>
      </c>
      <c r="J46" s="854">
        <f t="shared" si="16"/>
        <v>5.5E-2</v>
      </c>
      <c r="K46" s="854">
        <f t="shared" si="16"/>
        <v>5.5E-2</v>
      </c>
      <c r="L46" s="854">
        <f t="shared" si="16"/>
        <v>5.5E-2</v>
      </c>
      <c r="M46" s="854">
        <f t="shared" si="16"/>
        <v>5.5E-2</v>
      </c>
      <c r="N46" s="854">
        <f t="shared" si="16"/>
        <v>5.5E-2</v>
      </c>
      <c r="O46" s="854">
        <f t="shared" si="16"/>
        <v>5.5E-2</v>
      </c>
      <c r="P46" s="854">
        <f t="shared" si="16"/>
        <v>5.5E-2</v>
      </c>
      <c r="Q46" s="854">
        <f t="shared" si="16"/>
        <v>5.5E-2</v>
      </c>
      <c r="R46" s="854">
        <f t="shared" si="16"/>
        <v>5.5E-2</v>
      </c>
      <c r="S46" s="854">
        <f t="shared" si="16"/>
        <v>5.5E-2</v>
      </c>
      <c r="T46" s="855"/>
    </row>
    <row r="47" spans="2:20" s="852" customFormat="1">
      <c r="B47" s="856" t="s">
        <v>459</v>
      </c>
      <c r="C47" s="857">
        <f>C24</f>
        <v>0</v>
      </c>
      <c r="D47" s="857">
        <f t="shared" ref="D47:S47" si="17">D24</f>
        <v>0.27</v>
      </c>
      <c r="E47" s="857">
        <f t="shared" si="17"/>
        <v>0.23</v>
      </c>
      <c r="F47" s="857">
        <f t="shared" si="17"/>
        <v>0.21</v>
      </c>
      <c r="G47" s="857">
        <f t="shared" si="17"/>
        <v>0.2</v>
      </c>
      <c r="H47" s="857">
        <f t="shared" si="17"/>
        <v>0.18</v>
      </c>
      <c r="I47" s="857">
        <f t="shared" si="17"/>
        <v>0.16</v>
      </c>
      <c r="J47" s="857">
        <f t="shared" si="17"/>
        <v>0.14000000000000001</v>
      </c>
      <c r="K47" s="857">
        <f t="shared" si="17"/>
        <v>0.12</v>
      </c>
      <c r="L47" s="857">
        <f t="shared" si="17"/>
        <v>0.11</v>
      </c>
      <c r="M47" s="857">
        <f t="shared" si="17"/>
        <v>0.09</v>
      </c>
      <c r="N47" s="857">
        <f t="shared" si="17"/>
        <v>0.08</v>
      </c>
      <c r="O47" s="857">
        <f t="shared" si="17"/>
        <v>0.03</v>
      </c>
      <c r="P47" s="857">
        <f t="shared" si="17"/>
        <v>0.02</v>
      </c>
      <c r="Q47" s="857">
        <f t="shared" si="17"/>
        <v>0.01</v>
      </c>
      <c r="R47" s="857">
        <f t="shared" si="17"/>
        <v>5.0000000000000001E-3</v>
      </c>
      <c r="S47" s="857">
        <f t="shared" si="17"/>
        <v>5.0000000000000001E-3</v>
      </c>
      <c r="T47" s="855"/>
    </row>
    <row r="48" spans="2:20" s="852" customFormat="1">
      <c r="B48" s="856" t="s">
        <v>460</v>
      </c>
      <c r="C48" s="857">
        <f>C25</f>
        <v>0</v>
      </c>
      <c r="D48" s="857">
        <f t="shared" ref="D48:S48" si="18">D25</f>
        <v>0.1</v>
      </c>
      <c r="E48" s="857">
        <f t="shared" si="18"/>
        <v>9.5000000000000001E-2</v>
      </c>
      <c r="F48" s="857">
        <f t="shared" si="18"/>
        <v>0.09</v>
      </c>
      <c r="G48" s="857">
        <f t="shared" si="18"/>
        <v>0.08</v>
      </c>
      <c r="H48" s="857">
        <f t="shared" si="18"/>
        <v>7.0000000000000007E-2</v>
      </c>
      <c r="I48" s="857">
        <f t="shared" si="18"/>
        <v>0.06</v>
      </c>
      <c r="J48" s="857">
        <f t="shared" si="18"/>
        <v>0.05</v>
      </c>
      <c r="K48" s="857">
        <f t="shared" si="18"/>
        <v>0.04</v>
      </c>
      <c r="L48" s="857">
        <f t="shared" si="18"/>
        <v>0.03</v>
      </c>
      <c r="M48" s="857">
        <f t="shared" si="18"/>
        <v>0.02</v>
      </c>
      <c r="N48" s="857">
        <f t="shared" si="18"/>
        <v>0.01</v>
      </c>
      <c r="O48" s="857">
        <f t="shared" si="18"/>
        <v>0</v>
      </c>
      <c r="P48" s="857">
        <f t="shared" si="18"/>
        <v>0</v>
      </c>
      <c r="Q48" s="857">
        <f t="shared" si="18"/>
        <v>0</v>
      </c>
      <c r="R48" s="857">
        <f t="shared" si="18"/>
        <v>0</v>
      </c>
      <c r="S48" s="857">
        <f t="shared" si="18"/>
        <v>0</v>
      </c>
      <c r="T48" s="855"/>
    </row>
    <row r="49" spans="2:20" s="852" customFormat="1">
      <c r="B49" s="858" t="s">
        <v>55</v>
      </c>
      <c r="C49" s="902">
        <f>C26</f>
        <v>0</v>
      </c>
      <c r="D49" s="860">
        <f t="shared" ref="D49:S49" si="19">D26</f>
        <v>0</v>
      </c>
      <c r="E49" s="860">
        <f t="shared" si="19"/>
        <v>0</v>
      </c>
      <c r="F49" s="860">
        <f t="shared" si="19"/>
        <v>0</v>
      </c>
      <c r="G49" s="860">
        <f t="shared" si="19"/>
        <v>0</v>
      </c>
      <c r="H49" s="861">
        <f t="shared" si="19"/>
        <v>0</v>
      </c>
      <c r="I49" s="861">
        <f t="shared" si="19"/>
        <v>0.13</v>
      </c>
      <c r="J49" s="861">
        <f t="shared" si="19"/>
        <v>0.16</v>
      </c>
      <c r="K49" s="861">
        <f t="shared" si="19"/>
        <v>0.16</v>
      </c>
      <c r="L49" s="861">
        <f t="shared" si="19"/>
        <v>0.16</v>
      </c>
      <c r="M49" s="861">
        <f t="shared" si="19"/>
        <v>0.16</v>
      </c>
      <c r="N49" s="861">
        <f t="shared" si="19"/>
        <v>0.16</v>
      </c>
      <c r="O49" s="861">
        <f t="shared" si="19"/>
        <v>0.16</v>
      </c>
      <c r="P49" s="861">
        <f t="shared" si="19"/>
        <v>0.16</v>
      </c>
      <c r="Q49" s="861">
        <f t="shared" si="19"/>
        <v>0.16</v>
      </c>
      <c r="R49" s="861">
        <f t="shared" si="19"/>
        <v>0.16</v>
      </c>
      <c r="S49" s="861">
        <f t="shared" si="19"/>
        <v>0.16</v>
      </c>
      <c r="T49" s="855"/>
    </row>
    <row r="51" spans="2:20" ht="15.75" thickBot="1">
      <c r="B51" s="819" t="s">
        <v>476</v>
      </c>
      <c r="C51" s="820" t="s">
        <v>302</v>
      </c>
      <c r="D51" s="820" t="s">
        <v>301</v>
      </c>
      <c r="E51" s="820" t="s">
        <v>300</v>
      </c>
      <c r="F51" s="820" t="s">
        <v>312</v>
      </c>
      <c r="G51" s="820" t="s">
        <v>313</v>
      </c>
      <c r="H51" s="820" t="s">
        <v>323</v>
      </c>
      <c r="I51" s="820" t="s">
        <v>324</v>
      </c>
      <c r="J51" s="820" t="s">
        <v>325</v>
      </c>
      <c r="K51" s="820" t="s">
        <v>392</v>
      </c>
      <c r="L51" s="820" t="s">
        <v>393</v>
      </c>
      <c r="M51" s="820" t="s">
        <v>394</v>
      </c>
      <c r="N51" s="820" t="s">
        <v>395</v>
      </c>
      <c r="O51" s="820" t="s">
        <v>396</v>
      </c>
      <c r="P51" s="820" t="s">
        <v>397</v>
      </c>
      <c r="Q51" s="820" t="s">
        <v>398</v>
      </c>
      <c r="R51" s="820" t="s">
        <v>399</v>
      </c>
      <c r="S51" s="820" t="s">
        <v>400</v>
      </c>
    </row>
    <row r="52" spans="2:20" ht="15.75" thickTop="1">
      <c r="B52" s="821" t="s">
        <v>423</v>
      </c>
      <c r="C52" s="822"/>
      <c r="D52" s="823">
        <f>'Jakafi - Summary'!I24</f>
        <v>74.820999999999998</v>
      </c>
      <c r="E52" s="823">
        <f>'Jakafi - Summary'!J24</f>
        <v>114.04117773640266</v>
      </c>
      <c r="F52" s="823">
        <f>'Jakafi - Summary'!K24</f>
        <v>153.38461566138741</v>
      </c>
      <c r="G52" s="823">
        <f>'Jakafi - Summary'!L24</f>
        <v>182.1817794077017</v>
      </c>
      <c r="H52" s="823">
        <f>'Jakafi - Summary'!M24</f>
        <v>213.33038734027573</v>
      </c>
      <c r="I52" s="823">
        <f>'Jakafi - Summary'!N24</f>
        <v>238.39825015441542</v>
      </c>
      <c r="J52" s="823">
        <f>'Jakafi - Summary'!O24</f>
        <v>246.89315354592242</v>
      </c>
      <c r="K52" s="823">
        <f>'Jakafi - Summary'!P24</f>
        <v>249.52225853216822</v>
      </c>
      <c r="L52" s="823">
        <f>'Jakafi - Summary'!Q24</f>
        <v>246.89629449541897</v>
      </c>
      <c r="M52" s="823">
        <f>'Jakafi - Summary'!R24</f>
        <v>240.59230062329038</v>
      </c>
      <c r="N52" s="823">
        <f>'Jakafi - Summary'!S24</f>
        <v>232.97905540527543</v>
      </c>
      <c r="O52" s="823">
        <f>'Jakafi - Summary'!T24</f>
        <v>112.52042195609236</v>
      </c>
      <c r="P52" s="823">
        <f>'Jakafi - Summary'!U24</f>
        <v>1.7822366364948219</v>
      </c>
      <c r="Q52" s="823">
        <f>'Jakafi - Summary'!V24</f>
        <v>0</v>
      </c>
      <c r="R52" s="823">
        <f>'Jakafi - Summary'!W24</f>
        <v>0</v>
      </c>
      <c r="S52" s="823">
        <f>'Jakafi - Summary'!X24</f>
        <v>0</v>
      </c>
    </row>
    <row r="53" spans="2:20">
      <c r="B53" s="824" t="s">
        <v>135</v>
      </c>
      <c r="C53" s="825"/>
      <c r="D53" s="823">
        <f>D52*D69</f>
        <v>0</v>
      </c>
      <c r="E53" s="823">
        <f>E52*E69</f>
        <v>0</v>
      </c>
      <c r="F53" s="823">
        <f t="shared" ref="F53:R53" si="20">F52*F69</f>
        <v>0</v>
      </c>
      <c r="G53" s="823">
        <f t="shared" si="20"/>
        <v>0</v>
      </c>
      <c r="H53" s="823">
        <f t="shared" si="20"/>
        <v>0</v>
      </c>
      <c r="I53" s="823">
        <f t="shared" si="20"/>
        <v>0</v>
      </c>
      <c r="J53" s="823">
        <f t="shared" si="20"/>
        <v>0</v>
      </c>
      <c r="K53" s="823">
        <f t="shared" si="20"/>
        <v>0</v>
      </c>
      <c r="L53" s="823">
        <f t="shared" si="20"/>
        <v>0</v>
      </c>
      <c r="M53" s="823">
        <f t="shared" si="20"/>
        <v>0</v>
      </c>
      <c r="N53" s="823">
        <f t="shared" si="20"/>
        <v>0</v>
      </c>
      <c r="O53" s="823">
        <f t="shared" si="20"/>
        <v>0</v>
      </c>
      <c r="P53" s="823">
        <f t="shared" si="20"/>
        <v>0</v>
      </c>
      <c r="Q53" s="823">
        <f t="shared" si="20"/>
        <v>0</v>
      </c>
      <c r="R53" s="823">
        <f t="shared" si="20"/>
        <v>0</v>
      </c>
      <c r="S53" s="823">
        <f>S52*S69</f>
        <v>0</v>
      </c>
    </row>
    <row r="54" spans="2:20">
      <c r="B54" s="824" t="s">
        <v>424</v>
      </c>
      <c r="C54" s="822"/>
      <c r="D54" s="823">
        <f t="shared" ref="D54:R54" si="21">D70*D52</f>
        <v>0</v>
      </c>
      <c r="E54" s="823">
        <f t="shared" si="21"/>
        <v>0</v>
      </c>
      <c r="F54" s="823">
        <f t="shared" si="21"/>
        <v>0</v>
      </c>
      <c r="G54" s="823">
        <f t="shared" si="21"/>
        <v>0</v>
      </c>
      <c r="H54" s="823">
        <f t="shared" si="21"/>
        <v>0</v>
      </c>
      <c r="I54" s="823">
        <f t="shared" si="21"/>
        <v>0</v>
      </c>
      <c r="J54" s="823">
        <f t="shared" si="21"/>
        <v>0</v>
      </c>
      <c r="K54" s="823">
        <f t="shared" si="21"/>
        <v>0</v>
      </c>
      <c r="L54" s="823">
        <f t="shared" si="21"/>
        <v>0</v>
      </c>
      <c r="M54" s="823">
        <f t="shared" si="21"/>
        <v>0</v>
      </c>
      <c r="N54" s="823">
        <f t="shared" si="21"/>
        <v>0</v>
      </c>
      <c r="O54" s="823">
        <f t="shared" si="21"/>
        <v>0</v>
      </c>
      <c r="P54" s="823">
        <f t="shared" si="21"/>
        <v>0</v>
      </c>
      <c r="Q54" s="823">
        <f t="shared" si="21"/>
        <v>0</v>
      </c>
      <c r="R54" s="823">
        <f t="shared" si="21"/>
        <v>0</v>
      </c>
      <c r="S54" s="823">
        <f>S70*S52</f>
        <v>0</v>
      </c>
    </row>
    <row r="55" spans="2:20">
      <c r="B55" s="826" t="s">
        <v>248</v>
      </c>
      <c r="C55" s="827">
        <f>C52*C71</f>
        <v>0</v>
      </c>
      <c r="D55" s="827">
        <f>D52*D71</f>
        <v>0</v>
      </c>
      <c r="E55" s="827">
        <f>E52*E71</f>
        <v>0</v>
      </c>
      <c r="F55" s="827">
        <v>0</v>
      </c>
      <c r="G55" s="827">
        <v>0</v>
      </c>
      <c r="H55" s="827">
        <v>0</v>
      </c>
      <c r="I55" s="827">
        <f t="shared" ref="I55:S55" si="22">I52*I71</f>
        <v>0</v>
      </c>
      <c r="J55" s="827">
        <f t="shared" si="22"/>
        <v>0</v>
      </c>
      <c r="K55" s="827">
        <f t="shared" si="22"/>
        <v>0</v>
      </c>
      <c r="L55" s="827">
        <f t="shared" si="22"/>
        <v>0</v>
      </c>
      <c r="M55" s="827">
        <f t="shared" si="22"/>
        <v>0</v>
      </c>
      <c r="N55" s="827">
        <f t="shared" si="22"/>
        <v>0</v>
      </c>
      <c r="O55" s="827">
        <f t="shared" si="22"/>
        <v>0</v>
      </c>
      <c r="P55" s="827">
        <f t="shared" si="22"/>
        <v>0</v>
      </c>
      <c r="Q55" s="827">
        <f t="shared" si="22"/>
        <v>0</v>
      </c>
      <c r="R55" s="827">
        <f t="shared" si="22"/>
        <v>0</v>
      </c>
      <c r="S55" s="827">
        <f t="shared" si="22"/>
        <v>0</v>
      </c>
    </row>
    <row r="56" spans="2:20">
      <c r="B56" s="828" t="s">
        <v>425</v>
      </c>
      <c r="C56" s="829">
        <f>C52-C53-C54-C55</f>
        <v>0</v>
      </c>
      <c r="D56" s="823">
        <f t="shared" ref="D56:R56" si="23">D52-D53-D54-D55</f>
        <v>74.820999999999998</v>
      </c>
      <c r="E56" s="823">
        <f t="shared" si="23"/>
        <v>114.04117773640266</v>
      </c>
      <c r="F56" s="823">
        <f t="shared" si="23"/>
        <v>153.38461566138741</v>
      </c>
      <c r="G56" s="823">
        <f t="shared" si="23"/>
        <v>182.1817794077017</v>
      </c>
      <c r="H56" s="823">
        <f t="shared" si="23"/>
        <v>213.33038734027573</v>
      </c>
      <c r="I56" s="823">
        <f t="shared" si="23"/>
        <v>238.39825015441542</v>
      </c>
      <c r="J56" s="823">
        <f t="shared" si="23"/>
        <v>246.89315354592242</v>
      </c>
      <c r="K56" s="823">
        <f t="shared" si="23"/>
        <v>249.52225853216822</v>
      </c>
      <c r="L56" s="823">
        <f t="shared" si="23"/>
        <v>246.89629449541897</v>
      </c>
      <c r="M56" s="823">
        <f t="shared" si="23"/>
        <v>240.59230062329038</v>
      </c>
      <c r="N56" s="823">
        <f t="shared" si="23"/>
        <v>232.97905540527543</v>
      </c>
      <c r="O56" s="823">
        <f t="shared" si="23"/>
        <v>112.52042195609236</v>
      </c>
      <c r="P56" s="823">
        <f t="shared" si="23"/>
        <v>1.7822366364948219</v>
      </c>
      <c r="Q56" s="823">
        <f t="shared" si="23"/>
        <v>0</v>
      </c>
      <c r="R56" s="823">
        <f t="shared" si="23"/>
        <v>0</v>
      </c>
      <c r="S56" s="823">
        <f>S52-S53-S54-S55</f>
        <v>0</v>
      </c>
    </row>
    <row r="57" spans="2:20" ht="15.75" thickBot="1">
      <c r="B57" s="830" t="s">
        <v>55</v>
      </c>
      <c r="C57" s="831"/>
      <c r="D57" s="823"/>
      <c r="E57" s="823"/>
      <c r="F57" s="823"/>
      <c r="G57" s="823">
        <f>G56*G72</f>
        <v>0</v>
      </c>
      <c r="H57" s="823">
        <f t="shared" ref="H57:R57" si="24">H56*H72</f>
        <v>0</v>
      </c>
      <c r="I57" s="823">
        <f t="shared" si="24"/>
        <v>30.991772520074004</v>
      </c>
      <c r="J57" s="823">
        <f t="shared" si="24"/>
        <v>39.502904567347585</v>
      </c>
      <c r="K57" s="823">
        <f t="shared" si="24"/>
        <v>39.923561365146917</v>
      </c>
      <c r="L57" s="823">
        <f t="shared" si="24"/>
        <v>39.503407119267038</v>
      </c>
      <c r="M57" s="823">
        <f t="shared" si="24"/>
        <v>38.494768099726464</v>
      </c>
      <c r="N57" s="823">
        <f t="shared" si="24"/>
        <v>37.27664886484407</v>
      </c>
      <c r="O57" s="823">
        <f t="shared" si="24"/>
        <v>18.00326751297478</v>
      </c>
      <c r="P57" s="823">
        <f t="shared" si="24"/>
        <v>0.28515786183917152</v>
      </c>
      <c r="Q57" s="823">
        <f t="shared" si="24"/>
        <v>0</v>
      </c>
      <c r="R57" s="823">
        <f t="shared" si="24"/>
        <v>0</v>
      </c>
      <c r="S57" s="823">
        <f>S56*S72</f>
        <v>0</v>
      </c>
    </row>
    <row r="58" spans="2:20" ht="15.75" thickBot="1">
      <c r="B58" s="832" t="s">
        <v>426</v>
      </c>
      <c r="C58" s="833">
        <f>C56-C57</f>
        <v>0</v>
      </c>
      <c r="D58" s="833">
        <f>D56-D57</f>
        <v>74.820999999999998</v>
      </c>
      <c r="E58" s="833">
        <f t="shared" ref="E58:S58" si="25">E56-E57</f>
        <v>114.04117773640266</v>
      </c>
      <c r="F58" s="833">
        <f t="shared" si="25"/>
        <v>153.38461566138741</v>
      </c>
      <c r="G58" s="833">
        <f t="shared" si="25"/>
        <v>182.1817794077017</v>
      </c>
      <c r="H58" s="833">
        <f t="shared" si="25"/>
        <v>213.33038734027573</v>
      </c>
      <c r="I58" s="833">
        <f t="shared" si="25"/>
        <v>207.40647763434143</v>
      </c>
      <c r="J58" s="833">
        <f t="shared" si="25"/>
        <v>207.39024897857485</v>
      </c>
      <c r="K58" s="833">
        <f t="shared" si="25"/>
        <v>209.5986971670213</v>
      </c>
      <c r="L58" s="833">
        <f t="shared" si="25"/>
        <v>207.39288737615192</v>
      </c>
      <c r="M58" s="833">
        <f t="shared" si="25"/>
        <v>202.09753252356393</v>
      </c>
      <c r="N58" s="834">
        <f t="shared" si="25"/>
        <v>195.70240654043135</v>
      </c>
      <c r="O58" s="834">
        <f t="shared" si="25"/>
        <v>94.51715444311759</v>
      </c>
      <c r="P58" s="834">
        <f t="shared" si="25"/>
        <v>1.4970787746556504</v>
      </c>
      <c r="Q58" s="834">
        <f t="shared" si="25"/>
        <v>0</v>
      </c>
      <c r="R58" s="834">
        <f t="shared" si="25"/>
        <v>0</v>
      </c>
      <c r="S58" s="834">
        <f t="shared" si="25"/>
        <v>0</v>
      </c>
      <c r="T58" s="835"/>
    </row>
    <row r="59" spans="2:20" ht="15.75" thickBot="1">
      <c r="E59" s="836"/>
      <c r="F59" s="836"/>
    </row>
    <row r="60" spans="2:20">
      <c r="B60" s="837" t="s">
        <v>427</v>
      </c>
      <c r="C60" s="838">
        <f>T58</f>
        <v>0</v>
      </c>
    </row>
    <row r="61" spans="2:20">
      <c r="B61" s="839" t="s">
        <v>428</v>
      </c>
      <c r="C61" s="840">
        <f>NPV($C$411,F58:T58)</f>
        <v>1324.3607174134504</v>
      </c>
    </row>
    <row r="62" spans="2:20">
      <c r="B62" s="839" t="s">
        <v>429</v>
      </c>
      <c r="C62" s="841">
        <v>1</v>
      </c>
      <c r="E62" s="842" t="s">
        <v>430</v>
      </c>
    </row>
    <row r="63" spans="2:20" ht="15.75" thickBot="1">
      <c r="B63" s="839" t="s">
        <v>431</v>
      </c>
      <c r="C63" s="840">
        <f>C61*C62</f>
        <v>1324.3607174134504</v>
      </c>
      <c r="E63" s="842" t="s">
        <v>432</v>
      </c>
    </row>
    <row r="64" spans="2:20" ht="15.75" thickBot="1">
      <c r="B64" s="843" t="s">
        <v>432</v>
      </c>
      <c r="C64" s="1378">
        <f>C63/$C$413</f>
        <v>6.2587935605550591</v>
      </c>
      <c r="E64" s="845">
        <f>C61/$C$413</f>
        <v>6.2587935605550591</v>
      </c>
      <c r="G64" s="817" t="s">
        <v>694</v>
      </c>
      <c r="H64" s="1286">
        <f>C63+C40+C17</f>
        <v>10570.537310539878</v>
      </c>
    </row>
    <row r="65" spans="2:20" ht="15.75" thickBot="1">
      <c r="B65" s="846"/>
      <c r="C65" s="847"/>
    </row>
    <row r="66" spans="2:20" ht="15.75" thickBot="1">
      <c r="B66" s="848" t="s">
        <v>686</v>
      </c>
      <c r="C66" s="849">
        <v>7.0000000000000007E-2</v>
      </c>
      <c r="D66" s="850">
        <f>NPV(C66,F58:T58)</f>
        <v>1324.3607174134504</v>
      </c>
    </row>
    <row r="67" spans="2:20">
      <c r="B67" s="846"/>
      <c r="C67" s="847"/>
    </row>
    <row r="68" spans="2:20" s="852" customFormat="1" ht="15.75" thickBot="1">
      <c r="B68" s="819" t="s">
        <v>456</v>
      </c>
      <c r="C68" s="820" t="str">
        <f>C51</f>
        <v>2014E</v>
      </c>
      <c r="D68" s="820" t="str">
        <f t="shared" ref="D68:S68" si="26">D51</f>
        <v>2015E</v>
      </c>
      <c r="E68" s="820" t="str">
        <f t="shared" si="26"/>
        <v>2016E</v>
      </c>
      <c r="F68" s="820" t="str">
        <f t="shared" si="26"/>
        <v>2017E</v>
      </c>
      <c r="G68" s="820" t="str">
        <f t="shared" si="26"/>
        <v>2018E</v>
      </c>
      <c r="H68" s="820" t="str">
        <f t="shared" si="26"/>
        <v>2019E</v>
      </c>
      <c r="I68" s="820" t="str">
        <f t="shared" si="26"/>
        <v>2020E</v>
      </c>
      <c r="J68" s="820" t="str">
        <f t="shared" si="26"/>
        <v>2021E</v>
      </c>
      <c r="K68" s="820" t="str">
        <f t="shared" si="26"/>
        <v>2022E</v>
      </c>
      <c r="L68" s="820" t="str">
        <f t="shared" si="26"/>
        <v>2023E</v>
      </c>
      <c r="M68" s="820" t="str">
        <f t="shared" si="26"/>
        <v>2024E</v>
      </c>
      <c r="N68" s="820" t="str">
        <f t="shared" si="26"/>
        <v>2025E</v>
      </c>
      <c r="O68" s="820" t="str">
        <f t="shared" si="26"/>
        <v>2026E</v>
      </c>
      <c r="P68" s="820" t="str">
        <f t="shared" si="26"/>
        <v>2027E</v>
      </c>
      <c r="Q68" s="820" t="str">
        <f t="shared" si="26"/>
        <v>2028E</v>
      </c>
      <c r="R68" s="820" t="str">
        <f t="shared" si="26"/>
        <v>2029E</v>
      </c>
      <c r="S68" s="820" t="str">
        <f t="shared" si="26"/>
        <v>2030E</v>
      </c>
      <c r="T68" s="851"/>
    </row>
    <row r="69" spans="2:20" s="852" customFormat="1" ht="15.75" thickTop="1">
      <c r="B69" s="853" t="s">
        <v>461</v>
      </c>
      <c r="C69" s="854"/>
      <c r="D69" s="854"/>
      <c r="E69" s="854"/>
      <c r="F69" s="854"/>
      <c r="G69" s="854"/>
      <c r="H69" s="854"/>
      <c r="I69" s="854"/>
      <c r="J69" s="854"/>
      <c r="K69" s="854"/>
      <c r="L69" s="854"/>
      <c r="M69" s="854"/>
      <c r="N69" s="854"/>
      <c r="O69" s="854"/>
      <c r="P69" s="854"/>
      <c r="Q69" s="854"/>
      <c r="R69" s="854"/>
      <c r="S69" s="854"/>
      <c r="T69" s="855"/>
    </row>
    <row r="70" spans="2:20" s="852" customFormat="1">
      <c r="B70" s="856" t="s">
        <v>462</v>
      </c>
      <c r="C70" s="857"/>
      <c r="D70" s="857"/>
      <c r="E70" s="857"/>
      <c r="F70" s="857"/>
      <c r="G70" s="857"/>
      <c r="H70" s="857"/>
      <c r="I70" s="857"/>
      <c r="J70" s="857"/>
      <c r="K70" s="857"/>
      <c r="L70" s="857"/>
      <c r="M70" s="857"/>
      <c r="N70" s="857"/>
      <c r="O70" s="857"/>
      <c r="P70" s="857"/>
      <c r="Q70" s="857"/>
      <c r="R70" s="857"/>
      <c r="S70" s="857"/>
      <c r="T70" s="855"/>
    </row>
    <row r="71" spans="2:20" s="852" customFormat="1">
      <c r="B71" s="856" t="s">
        <v>463</v>
      </c>
      <c r="C71" s="857"/>
      <c r="D71" s="857"/>
      <c r="E71" s="857"/>
      <c r="F71" s="857"/>
      <c r="G71" s="857"/>
      <c r="H71" s="857"/>
      <c r="I71" s="857"/>
      <c r="J71" s="857"/>
      <c r="K71" s="857"/>
      <c r="L71" s="857"/>
      <c r="M71" s="857"/>
      <c r="N71" s="857"/>
      <c r="O71" s="857"/>
      <c r="P71" s="857"/>
      <c r="Q71" s="857"/>
      <c r="R71" s="857"/>
      <c r="S71" s="857"/>
      <c r="T71" s="855"/>
    </row>
    <row r="72" spans="2:20" s="852" customFormat="1">
      <c r="B72" s="858" t="s">
        <v>55</v>
      </c>
      <c r="C72" s="860">
        <f>C26</f>
        <v>0</v>
      </c>
      <c r="D72" s="860">
        <f t="shared" ref="D72:S72" si="27">D26</f>
        <v>0</v>
      </c>
      <c r="E72" s="860">
        <f t="shared" si="27"/>
        <v>0</v>
      </c>
      <c r="F72" s="860">
        <f t="shared" si="27"/>
        <v>0</v>
      </c>
      <c r="G72" s="860">
        <f t="shared" si="27"/>
        <v>0</v>
      </c>
      <c r="H72" s="860">
        <f t="shared" si="27"/>
        <v>0</v>
      </c>
      <c r="I72" s="860">
        <f t="shared" si="27"/>
        <v>0.13</v>
      </c>
      <c r="J72" s="860">
        <f t="shared" si="27"/>
        <v>0.16</v>
      </c>
      <c r="K72" s="860">
        <f t="shared" si="27"/>
        <v>0.16</v>
      </c>
      <c r="L72" s="860">
        <f t="shared" si="27"/>
        <v>0.16</v>
      </c>
      <c r="M72" s="860">
        <f t="shared" si="27"/>
        <v>0.16</v>
      </c>
      <c r="N72" s="860">
        <f t="shared" si="27"/>
        <v>0.16</v>
      </c>
      <c r="O72" s="860">
        <f t="shared" si="27"/>
        <v>0.16</v>
      </c>
      <c r="P72" s="860">
        <f t="shared" si="27"/>
        <v>0.16</v>
      </c>
      <c r="Q72" s="860">
        <f t="shared" si="27"/>
        <v>0.16</v>
      </c>
      <c r="R72" s="860">
        <f t="shared" si="27"/>
        <v>0.16</v>
      </c>
      <c r="S72" s="860">
        <f t="shared" si="27"/>
        <v>0.16</v>
      </c>
      <c r="T72" s="855"/>
    </row>
    <row r="74" spans="2:20" ht="15.75" thickBot="1">
      <c r="B74" s="819" t="s">
        <v>786</v>
      </c>
      <c r="C74" s="820" t="s">
        <v>302</v>
      </c>
      <c r="D74" s="820" t="s">
        <v>301</v>
      </c>
      <c r="E74" s="820" t="s">
        <v>300</v>
      </c>
      <c r="F74" s="820" t="s">
        <v>312</v>
      </c>
      <c r="G74" s="820" t="s">
        <v>313</v>
      </c>
      <c r="H74" s="820" t="s">
        <v>323</v>
      </c>
      <c r="I74" s="820" t="s">
        <v>324</v>
      </c>
      <c r="J74" s="820" t="s">
        <v>325</v>
      </c>
      <c r="K74" s="820" t="s">
        <v>392</v>
      </c>
      <c r="L74" s="820" t="s">
        <v>393</v>
      </c>
      <c r="M74" s="820" t="s">
        <v>394</v>
      </c>
      <c r="N74" s="820" t="s">
        <v>395</v>
      </c>
      <c r="O74" s="820" t="s">
        <v>396</v>
      </c>
      <c r="P74" s="820" t="s">
        <v>397</v>
      </c>
      <c r="Q74" s="820" t="s">
        <v>398</v>
      </c>
      <c r="R74" s="820" t="s">
        <v>399</v>
      </c>
      <c r="S74" s="820" t="s">
        <v>400</v>
      </c>
    </row>
    <row r="75" spans="2:20" ht="15.75" thickTop="1">
      <c r="B75" s="821" t="s">
        <v>423</v>
      </c>
      <c r="C75" s="823"/>
      <c r="D75" s="823"/>
      <c r="E75" s="823">
        <f>Iclusig!Q6</f>
        <v>28.931333333333335</v>
      </c>
      <c r="F75" s="823">
        <f>Iclusig!R5</f>
        <v>67</v>
      </c>
      <c r="G75" s="823">
        <f>Iclusig!S5</f>
        <v>84</v>
      </c>
      <c r="H75" s="823">
        <f>Iclusig!T5</f>
        <v>100.8</v>
      </c>
      <c r="I75" s="823">
        <f>Iclusig!U5</f>
        <v>115.91999999999999</v>
      </c>
      <c r="J75" s="823">
        <f>Iclusig!V5</f>
        <v>127.512</v>
      </c>
      <c r="K75" s="823">
        <f>Iclusig!W5</f>
        <v>136.43783999999999</v>
      </c>
      <c r="L75" s="823">
        <f>Iclusig!X5</f>
        <v>143.25973200000001</v>
      </c>
      <c r="M75" s="823">
        <f>Iclusig!Y5</f>
        <v>150.42271860000002</v>
      </c>
      <c r="N75" s="823">
        <f>Iclusig!Z5</f>
        <v>157.94385453000004</v>
      </c>
      <c r="O75" s="823">
        <f>Iclusig!AA5</f>
        <v>165.84104725650005</v>
      </c>
      <c r="P75" s="823">
        <f>Iclusig!AB5</f>
        <v>33.168209451300001</v>
      </c>
      <c r="Q75" s="823">
        <f>Iclusig!AC5</f>
        <v>6.633641890259999</v>
      </c>
      <c r="R75" s="823">
        <f>Iclusig!AD5</f>
        <v>1.3267283780519994</v>
      </c>
      <c r="S75" s="823">
        <f>Iclusig!AE5</f>
        <v>0.26534567561039984</v>
      </c>
    </row>
    <row r="76" spans="2:20">
      <c r="B76" s="824" t="s">
        <v>135</v>
      </c>
      <c r="C76" s="825"/>
      <c r="D76" s="823"/>
      <c r="E76" s="823">
        <f>E75*E92</f>
        <v>9.2580266666666677</v>
      </c>
      <c r="F76" s="823">
        <f>F75*F92</f>
        <v>21.44</v>
      </c>
      <c r="G76" s="823">
        <f t="shared" ref="G76:S76" si="28">G75*G92</f>
        <v>26.88</v>
      </c>
      <c r="H76" s="823">
        <f t="shared" si="28"/>
        <v>32.256</v>
      </c>
      <c r="I76" s="823">
        <f t="shared" si="28"/>
        <v>40.571999999999996</v>
      </c>
      <c r="J76" s="823">
        <f t="shared" si="28"/>
        <v>44.629199999999997</v>
      </c>
      <c r="K76" s="823">
        <f t="shared" si="28"/>
        <v>47.753243999999995</v>
      </c>
      <c r="L76" s="823">
        <f t="shared" si="28"/>
        <v>50.140906200000003</v>
      </c>
      <c r="M76" s="823">
        <f t="shared" si="28"/>
        <v>52.647951510000006</v>
      </c>
      <c r="N76" s="823">
        <f t="shared" si="28"/>
        <v>58.439226176100014</v>
      </c>
      <c r="O76" s="823">
        <f t="shared" si="28"/>
        <v>61.361187484905017</v>
      </c>
      <c r="P76" s="823">
        <f t="shared" si="28"/>
        <v>12.272237496981001</v>
      </c>
      <c r="Q76" s="823">
        <f t="shared" si="28"/>
        <v>2.4544474993961996</v>
      </c>
      <c r="R76" s="823">
        <f t="shared" si="28"/>
        <v>0.49088949987923974</v>
      </c>
      <c r="S76" s="823">
        <f t="shared" si="28"/>
        <v>9.8177899975847943E-2</v>
      </c>
    </row>
    <row r="77" spans="2:20">
      <c r="B77" s="824" t="s">
        <v>424</v>
      </c>
      <c r="C77" s="822"/>
      <c r="D77" s="823"/>
      <c r="E77" s="823">
        <v>32.5</v>
      </c>
      <c r="F77" s="823">
        <f>F93*F75</f>
        <v>40.199999999999996</v>
      </c>
      <c r="G77" s="823">
        <f t="shared" ref="G77:S77" si="29">G93*G75</f>
        <v>37.800000000000004</v>
      </c>
      <c r="H77" s="823">
        <f t="shared" si="29"/>
        <v>35.279999999999994</v>
      </c>
      <c r="I77" s="823">
        <f t="shared" si="29"/>
        <v>28.979999999999997</v>
      </c>
      <c r="J77" s="823">
        <f t="shared" si="29"/>
        <v>31.878</v>
      </c>
      <c r="K77" s="823">
        <f t="shared" si="29"/>
        <v>34.109459999999999</v>
      </c>
      <c r="L77" s="823">
        <f t="shared" si="29"/>
        <v>35.814933000000003</v>
      </c>
      <c r="M77" s="823">
        <f t="shared" si="29"/>
        <v>37.605679650000006</v>
      </c>
      <c r="N77" s="823">
        <f t="shared" si="29"/>
        <v>39.48596363250001</v>
      </c>
      <c r="O77" s="823">
        <f t="shared" si="29"/>
        <v>41.460261814125012</v>
      </c>
      <c r="P77" s="823">
        <f t="shared" si="29"/>
        <v>8.2920523628250002</v>
      </c>
      <c r="Q77" s="823">
        <f t="shared" si="29"/>
        <v>1.6584104725649997</v>
      </c>
      <c r="R77" s="823">
        <f t="shared" si="29"/>
        <v>0.33168209451299985</v>
      </c>
      <c r="S77" s="823">
        <f t="shared" si="29"/>
        <v>6.6336418902599961E-2</v>
      </c>
    </row>
    <row r="78" spans="2:20">
      <c r="B78" s="826" t="s">
        <v>248</v>
      </c>
      <c r="C78" s="827"/>
      <c r="D78" s="827"/>
      <c r="E78" s="827">
        <v>17.5</v>
      </c>
      <c r="F78" s="827">
        <f>F75*F94</f>
        <v>10.049999999999999</v>
      </c>
      <c r="G78" s="827">
        <f t="shared" ref="G78:S78" si="30">G75*G94</f>
        <v>8.4</v>
      </c>
      <c r="H78" s="827">
        <f t="shared" si="30"/>
        <v>8.0640000000000001</v>
      </c>
      <c r="I78" s="827">
        <f t="shared" si="30"/>
        <v>8.1143999999999998</v>
      </c>
      <c r="J78" s="827">
        <f t="shared" si="30"/>
        <v>7.6507199999999997</v>
      </c>
      <c r="K78" s="827">
        <f t="shared" si="30"/>
        <v>6.8218920000000001</v>
      </c>
      <c r="L78" s="827">
        <f t="shared" si="30"/>
        <v>5.7303892800000007</v>
      </c>
      <c r="M78" s="827">
        <f t="shared" si="30"/>
        <v>4.5126815580000006</v>
      </c>
      <c r="N78" s="827">
        <f t="shared" si="30"/>
        <v>3.1588770906000008</v>
      </c>
      <c r="O78" s="827">
        <f t="shared" si="30"/>
        <v>3.3168209451300008</v>
      </c>
      <c r="P78" s="827">
        <f t="shared" si="30"/>
        <v>0.66336418902600003</v>
      </c>
      <c r="Q78" s="827">
        <f t="shared" si="30"/>
        <v>0.13267283780519998</v>
      </c>
      <c r="R78" s="827">
        <f t="shared" si="30"/>
        <v>2.6534567561039987E-2</v>
      </c>
      <c r="S78" s="827">
        <f t="shared" si="30"/>
        <v>5.3069135122079973E-3</v>
      </c>
    </row>
    <row r="79" spans="2:20">
      <c r="B79" s="828" t="s">
        <v>425</v>
      </c>
      <c r="C79" s="829"/>
      <c r="D79" s="823"/>
      <c r="E79" s="823">
        <f t="shared" ref="E79" si="31">E75-E76-E77-E78</f>
        <v>-30.326693333333331</v>
      </c>
      <c r="F79" s="823">
        <f t="shared" ref="F79" si="32">F75-F76-F77-F78</f>
        <v>-4.6899999999999924</v>
      </c>
      <c r="G79" s="823">
        <f t="shared" ref="G79:S79" si="33">G75-G76-G77-G78</f>
        <v>10.92</v>
      </c>
      <c r="H79" s="823">
        <f t="shared" si="33"/>
        <v>25.200000000000003</v>
      </c>
      <c r="I79" s="823">
        <f t="shared" si="33"/>
        <v>38.253599999999992</v>
      </c>
      <c r="J79" s="823">
        <f t="shared" si="33"/>
        <v>43.354080000000003</v>
      </c>
      <c r="K79" s="823">
        <f t="shared" si="33"/>
        <v>47.753244000000002</v>
      </c>
      <c r="L79" s="823">
        <f t="shared" si="33"/>
        <v>51.573503520000003</v>
      </c>
      <c r="M79" s="823">
        <f t="shared" si="33"/>
        <v>55.656405882000001</v>
      </c>
      <c r="N79" s="823">
        <f t="shared" si="33"/>
        <v>56.859787630800007</v>
      </c>
      <c r="O79" s="823">
        <f t="shared" si="33"/>
        <v>59.702777012340022</v>
      </c>
      <c r="P79" s="823">
        <f t="shared" si="33"/>
        <v>11.940555402468002</v>
      </c>
      <c r="Q79" s="823">
        <f t="shared" si="33"/>
        <v>2.3881110804935997</v>
      </c>
      <c r="R79" s="823">
        <f t="shared" si="33"/>
        <v>0.4776222160987198</v>
      </c>
      <c r="S79" s="823">
        <f t="shared" si="33"/>
        <v>9.5524443219743946E-2</v>
      </c>
    </row>
    <row r="80" spans="2:20" ht="15.75" thickBot="1">
      <c r="B80" s="830" t="s">
        <v>55</v>
      </c>
      <c r="C80" s="831"/>
      <c r="D80" s="823"/>
      <c r="E80" s="823">
        <f>E79*E95</f>
        <v>0</v>
      </c>
      <c r="F80" s="823">
        <f>F79*F95</f>
        <v>0</v>
      </c>
      <c r="G80" s="823">
        <f t="shared" ref="G80:S80" si="34">G79*G95</f>
        <v>0</v>
      </c>
      <c r="H80" s="823">
        <f t="shared" si="34"/>
        <v>0</v>
      </c>
      <c r="I80" s="823">
        <f t="shared" si="34"/>
        <v>4.9729679999999989</v>
      </c>
      <c r="J80" s="823">
        <f t="shared" si="34"/>
        <v>6.936652800000001</v>
      </c>
      <c r="K80" s="823">
        <f t="shared" si="34"/>
        <v>7.6405190400000009</v>
      </c>
      <c r="L80" s="823">
        <f t="shared" si="34"/>
        <v>8.2517605632000013</v>
      </c>
      <c r="M80" s="823">
        <f t="shared" si="34"/>
        <v>8.9050249411200006</v>
      </c>
      <c r="N80" s="823">
        <f t="shared" si="34"/>
        <v>9.0975660209280012</v>
      </c>
      <c r="O80" s="823">
        <f t="shared" si="34"/>
        <v>9.552444321974404</v>
      </c>
      <c r="P80" s="823">
        <f t="shared" si="34"/>
        <v>1.9104888643948803</v>
      </c>
      <c r="Q80" s="823">
        <f t="shared" si="34"/>
        <v>0.38209777287897595</v>
      </c>
      <c r="R80" s="823">
        <f t="shared" si="34"/>
        <v>7.6419554575795176E-2</v>
      </c>
      <c r="S80" s="823">
        <f t="shared" si="34"/>
        <v>1.5283910915159031E-2</v>
      </c>
    </row>
    <row r="81" spans="2:20" ht="15.75" thickBot="1">
      <c r="B81" s="832" t="s">
        <v>426</v>
      </c>
      <c r="C81" s="833"/>
      <c r="D81" s="833"/>
      <c r="E81" s="833">
        <f t="shared" ref="E81:S81" si="35">E79-E80</f>
        <v>-30.326693333333331</v>
      </c>
      <c r="F81" s="833">
        <f t="shared" si="35"/>
        <v>-4.6899999999999924</v>
      </c>
      <c r="G81" s="833">
        <f t="shared" si="35"/>
        <v>10.92</v>
      </c>
      <c r="H81" s="833">
        <f t="shared" si="35"/>
        <v>25.200000000000003</v>
      </c>
      <c r="I81" s="833">
        <f t="shared" si="35"/>
        <v>33.28063199999999</v>
      </c>
      <c r="J81" s="833">
        <f t="shared" si="35"/>
        <v>36.417427200000006</v>
      </c>
      <c r="K81" s="833">
        <f t="shared" si="35"/>
        <v>40.112724960000001</v>
      </c>
      <c r="L81" s="833">
        <f t="shared" si="35"/>
        <v>43.321742956800001</v>
      </c>
      <c r="M81" s="833">
        <f t="shared" si="35"/>
        <v>46.751380940879997</v>
      </c>
      <c r="N81" s="834">
        <f t="shared" si="35"/>
        <v>47.762221609872007</v>
      </c>
      <c r="O81" s="834">
        <f t="shared" si="35"/>
        <v>50.150332690365616</v>
      </c>
      <c r="P81" s="834">
        <f t="shared" si="35"/>
        <v>10.030066538073122</v>
      </c>
      <c r="Q81" s="834">
        <f t="shared" si="35"/>
        <v>2.0060133076146238</v>
      </c>
      <c r="R81" s="834">
        <f t="shared" si="35"/>
        <v>0.40120266152292461</v>
      </c>
      <c r="S81" s="834">
        <f t="shared" si="35"/>
        <v>8.0240532304584916E-2</v>
      </c>
      <c r="T81" s="835"/>
    </row>
    <row r="82" spans="2:20" ht="15.75" thickBot="1">
      <c r="E82" s="836"/>
      <c r="F82" s="836"/>
    </row>
    <row r="83" spans="2:20">
      <c r="B83" s="837" t="s">
        <v>427</v>
      </c>
      <c r="C83" s="838">
        <f>T81</f>
        <v>0</v>
      </c>
    </row>
    <row r="84" spans="2:20">
      <c r="B84" s="839" t="s">
        <v>428</v>
      </c>
      <c r="C84" s="840">
        <f>NPV($C$411,F81:T81)</f>
        <v>215.32425272822184</v>
      </c>
    </row>
    <row r="85" spans="2:20">
      <c r="B85" s="839" t="s">
        <v>429</v>
      </c>
      <c r="C85" s="841">
        <v>1</v>
      </c>
      <c r="E85" s="842" t="s">
        <v>430</v>
      </c>
    </row>
    <row r="86" spans="2:20" ht="15.75" thickBot="1">
      <c r="B86" s="839" t="s">
        <v>431</v>
      </c>
      <c r="C86" s="840">
        <f>C84*C85</f>
        <v>215.32425272822184</v>
      </c>
      <c r="E86" s="842" t="s">
        <v>432</v>
      </c>
    </row>
    <row r="87" spans="2:20" ht="15.75" thickBot="1">
      <c r="B87" s="843" t="s">
        <v>432</v>
      </c>
      <c r="C87" s="844">
        <f>C86/$C$413</f>
        <v>1.0176004382241108</v>
      </c>
      <c r="E87" s="845">
        <f>C84/$C$413</f>
        <v>1.0176004382241108</v>
      </c>
    </row>
    <row r="88" spans="2:20" ht="15.75" thickBot="1">
      <c r="B88" s="846"/>
      <c r="C88" s="847"/>
    </row>
    <row r="89" spans="2:20" ht="15.75" thickBot="1">
      <c r="B89" s="848" t="s">
        <v>787</v>
      </c>
      <c r="C89" s="849">
        <v>7.0000000000000007E-2</v>
      </c>
      <c r="D89" s="850">
        <f>NPV(C89,F81:T81)</f>
        <v>215.32425272822184</v>
      </c>
    </row>
    <row r="90" spans="2:20">
      <c r="B90" s="846"/>
      <c r="C90" s="847"/>
    </row>
    <row r="91" spans="2:20" s="852" customFormat="1" ht="15.75" thickBot="1">
      <c r="B91" s="819" t="s">
        <v>791</v>
      </c>
      <c r="C91" s="820" t="str">
        <f>C74</f>
        <v>2014E</v>
      </c>
      <c r="D91" s="820" t="str">
        <f t="shared" ref="D91:S91" si="36">D74</f>
        <v>2015E</v>
      </c>
      <c r="E91" s="820" t="str">
        <f t="shared" si="36"/>
        <v>2016E</v>
      </c>
      <c r="F91" s="820" t="str">
        <f t="shared" si="36"/>
        <v>2017E</v>
      </c>
      <c r="G91" s="820" t="str">
        <f t="shared" si="36"/>
        <v>2018E</v>
      </c>
      <c r="H91" s="820" t="str">
        <f t="shared" si="36"/>
        <v>2019E</v>
      </c>
      <c r="I91" s="820" t="str">
        <f t="shared" si="36"/>
        <v>2020E</v>
      </c>
      <c r="J91" s="820" t="str">
        <f t="shared" si="36"/>
        <v>2021E</v>
      </c>
      <c r="K91" s="820" t="str">
        <f t="shared" si="36"/>
        <v>2022E</v>
      </c>
      <c r="L91" s="820" t="str">
        <f t="shared" si="36"/>
        <v>2023E</v>
      </c>
      <c r="M91" s="820" t="str">
        <f t="shared" si="36"/>
        <v>2024E</v>
      </c>
      <c r="N91" s="820" t="str">
        <f t="shared" si="36"/>
        <v>2025E</v>
      </c>
      <c r="O91" s="820" t="str">
        <f t="shared" si="36"/>
        <v>2026E</v>
      </c>
      <c r="P91" s="820" t="str">
        <f t="shared" si="36"/>
        <v>2027E</v>
      </c>
      <c r="Q91" s="820" t="str">
        <f t="shared" si="36"/>
        <v>2028E</v>
      </c>
      <c r="R91" s="820" t="str">
        <f t="shared" si="36"/>
        <v>2029E</v>
      </c>
      <c r="S91" s="820" t="str">
        <f t="shared" si="36"/>
        <v>2030E</v>
      </c>
      <c r="T91" s="851"/>
    </row>
    <row r="92" spans="2:20" s="852" customFormat="1" ht="15.75" thickTop="1">
      <c r="B92" s="1501" t="s">
        <v>788</v>
      </c>
      <c r="C92" s="854"/>
      <c r="D92" s="854"/>
      <c r="E92" s="854">
        <v>0.32</v>
      </c>
      <c r="F92" s="854">
        <f>E92</f>
        <v>0.32</v>
      </c>
      <c r="G92" s="854">
        <f t="shared" ref="G92:S92" si="37">F92</f>
        <v>0.32</v>
      </c>
      <c r="H92" s="854">
        <f t="shared" si="37"/>
        <v>0.32</v>
      </c>
      <c r="I92" s="854">
        <v>0.35</v>
      </c>
      <c r="J92" s="854">
        <f t="shared" si="37"/>
        <v>0.35</v>
      </c>
      <c r="K92" s="854">
        <f t="shared" si="37"/>
        <v>0.35</v>
      </c>
      <c r="L92" s="854">
        <f t="shared" si="37"/>
        <v>0.35</v>
      </c>
      <c r="M92" s="854">
        <f t="shared" si="37"/>
        <v>0.35</v>
      </c>
      <c r="N92" s="854">
        <v>0.37</v>
      </c>
      <c r="O92" s="854">
        <f t="shared" si="37"/>
        <v>0.37</v>
      </c>
      <c r="P92" s="854">
        <f t="shared" si="37"/>
        <v>0.37</v>
      </c>
      <c r="Q92" s="854">
        <f t="shared" si="37"/>
        <v>0.37</v>
      </c>
      <c r="R92" s="854">
        <f t="shared" si="37"/>
        <v>0.37</v>
      </c>
      <c r="S92" s="854">
        <f t="shared" si="37"/>
        <v>0.37</v>
      </c>
      <c r="T92" s="855"/>
    </row>
    <row r="93" spans="2:20" s="852" customFormat="1">
      <c r="B93" s="1502" t="s">
        <v>789</v>
      </c>
      <c r="C93" s="857"/>
      <c r="D93" s="857"/>
      <c r="E93" s="857">
        <v>0.25</v>
      </c>
      <c r="F93" s="857">
        <v>0.6</v>
      </c>
      <c r="G93" s="857">
        <v>0.45</v>
      </c>
      <c r="H93" s="857">
        <v>0.35</v>
      </c>
      <c r="I93" s="857">
        <v>0.25</v>
      </c>
      <c r="J93" s="857">
        <f t="shared" ref="J93:S93" si="38">I93</f>
        <v>0.25</v>
      </c>
      <c r="K93" s="857">
        <f t="shared" si="38"/>
        <v>0.25</v>
      </c>
      <c r="L93" s="857">
        <f t="shared" si="38"/>
        <v>0.25</v>
      </c>
      <c r="M93" s="857">
        <f t="shared" si="38"/>
        <v>0.25</v>
      </c>
      <c r="N93" s="857">
        <f t="shared" si="38"/>
        <v>0.25</v>
      </c>
      <c r="O93" s="857">
        <f t="shared" si="38"/>
        <v>0.25</v>
      </c>
      <c r="P93" s="857">
        <f t="shared" si="38"/>
        <v>0.25</v>
      </c>
      <c r="Q93" s="857">
        <f t="shared" si="38"/>
        <v>0.25</v>
      </c>
      <c r="R93" s="857">
        <f t="shared" si="38"/>
        <v>0.25</v>
      </c>
      <c r="S93" s="857">
        <f t="shared" si="38"/>
        <v>0.25</v>
      </c>
      <c r="T93" s="855"/>
    </row>
    <row r="94" spans="2:20" s="852" customFormat="1">
      <c r="B94" s="1502" t="s">
        <v>790</v>
      </c>
      <c r="C94" s="857"/>
      <c r="D94" s="857"/>
      <c r="E94" s="857">
        <v>0.1</v>
      </c>
      <c r="F94" s="857">
        <v>0.15</v>
      </c>
      <c r="G94" s="857">
        <v>0.1</v>
      </c>
      <c r="H94" s="857">
        <v>0.08</v>
      </c>
      <c r="I94" s="857">
        <v>7.0000000000000007E-2</v>
      </c>
      <c r="J94" s="857">
        <v>0.06</v>
      </c>
      <c r="K94" s="857">
        <v>0.05</v>
      </c>
      <c r="L94" s="857">
        <v>0.04</v>
      </c>
      <c r="M94" s="857">
        <v>0.03</v>
      </c>
      <c r="N94" s="857">
        <v>0.02</v>
      </c>
      <c r="O94" s="857">
        <f t="shared" ref="O94:S94" si="39">N94</f>
        <v>0.02</v>
      </c>
      <c r="P94" s="857">
        <f t="shared" si="39"/>
        <v>0.02</v>
      </c>
      <c r="Q94" s="857">
        <f t="shared" si="39"/>
        <v>0.02</v>
      </c>
      <c r="R94" s="857">
        <f t="shared" si="39"/>
        <v>0.02</v>
      </c>
      <c r="S94" s="857">
        <f t="shared" si="39"/>
        <v>0.02</v>
      </c>
      <c r="T94" s="855"/>
    </row>
    <row r="95" spans="2:20" s="852" customFormat="1">
      <c r="B95" s="858" t="s">
        <v>55</v>
      </c>
      <c r="C95" s="860">
        <f>C49</f>
        <v>0</v>
      </c>
      <c r="D95" s="860">
        <f t="shared" ref="D95:S95" si="40">D49</f>
        <v>0</v>
      </c>
      <c r="E95" s="860">
        <f t="shared" si="40"/>
        <v>0</v>
      </c>
      <c r="F95" s="860">
        <f t="shared" si="40"/>
        <v>0</v>
      </c>
      <c r="G95" s="860">
        <f t="shared" si="40"/>
        <v>0</v>
      </c>
      <c r="H95" s="860">
        <f t="shared" si="40"/>
        <v>0</v>
      </c>
      <c r="I95" s="860">
        <f t="shared" si="40"/>
        <v>0.13</v>
      </c>
      <c r="J95" s="860">
        <f t="shared" si="40"/>
        <v>0.16</v>
      </c>
      <c r="K95" s="860">
        <f t="shared" si="40"/>
        <v>0.16</v>
      </c>
      <c r="L95" s="860">
        <f t="shared" si="40"/>
        <v>0.16</v>
      </c>
      <c r="M95" s="860">
        <f t="shared" si="40"/>
        <v>0.16</v>
      </c>
      <c r="N95" s="860">
        <f t="shared" si="40"/>
        <v>0.16</v>
      </c>
      <c r="O95" s="860">
        <f t="shared" si="40"/>
        <v>0.16</v>
      </c>
      <c r="P95" s="860">
        <f t="shared" si="40"/>
        <v>0.16</v>
      </c>
      <c r="Q95" s="860">
        <f t="shared" si="40"/>
        <v>0.16</v>
      </c>
      <c r="R95" s="860">
        <f t="shared" si="40"/>
        <v>0.16</v>
      </c>
      <c r="S95" s="860">
        <f t="shared" si="40"/>
        <v>0.16</v>
      </c>
      <c r="T95" s="855"/>
    </row>
    <row r="97" spans="2:20" ht="15.75" thickBot="1">
      <c r="B97" s="819" t="s">
        <v>859</v>
      </c>
      <c r="C97" s="820" t="s">
        <v>302</v>
      </c>
      <c r="D97" s="820" t="s">
        <v>301</v>
      </c>
      <c r="E97" s="820" t="s">
        <v>300</v>
      </c>
      <c r="F97" s="820" t="s">
        <v>312</v>
      </c>
      <c r="G97" s="820" t="s">
        <v>313</v>
      </c>
      <c r="H97" s="820" t="s">
        <v>323</v>
      </c>
      <c r="I97" s="820" t="s">
        <v>324</v>
      </c>
      <c r="J97" s="820" t="s">
        <v>325</v>
      </c>
      <c r="K97" s="820" t="s">
        <v>392</v>
      </c>
      <c r="L97" s="820" t="s">
        <v>393</v>
      </c>
      <c r="M97" s="820" t="s">
        <v>394</v>
      </c>
      <c r="N97" s="820" t="s">
        <v>395</v>
      </c>
      <c r="O97" s="820" t="s">
        <v>396</v>
      </c>
      <c r="P97" s="820" t="s">
        <v>397</v>
      </c>
      <c r="Q97" s="820" t="s">
        <v>398</v>
      </c>
      <c r="R97" s="820" t="s">
        <v>399</v>
      </c>
      <c r="S97" s="820" t="s">
        <v>400</v>
      </c>
    </row>
    <row r="98" spans="2:20" ht="15.75" thickTop="1">
      <c r="B98" s="821" t="s">
        <v>423</v>
      </c>
      <c r="C98" s="823">
        <f>'Bari Summary'!E15</f>
        <v>0</v>
      </c>
      <c r="D98" s="823">
        <f>'Bari Summary'!F15</f>
        <v>0</v>
      </c>
      <c r="E98" s="823">
        <f>'Bari Summary'!G15</f>
        <v>0</v>
      </c>
      <c r="F98" s="823">
        <f>'Bari Summary'!H13</f>
        <v>0</v>
      </c>
      <c r="G98" s="823">
        <f>'Bari Summary'!I13</f>
        <v>0</v>
      </c>
      <c r="H98" s="823">
        <f>'Bari Summary'!J13+100</f>
        <v>131.25732856529052</v>
      </c>
      <c r="I98" s="823">
        <f>'Bari Summary'!K13</f>
        <v>85.319033217648325</v>
      </c>
      <c r="J98" s="823">
        <f>'Bari Summary'!L13</f>
        <v>136.68516912497134</v>
      </c>
      <c r="K98" s="823">
        <f>'Bari Summary'!M13</f>
        <v>219.31389054057294</v>
      </c>
      <c r="L98" s="823">
        <f>'Bari Summary'!N13</f>
        <v>293.73695189708872</v>
      </c>
      <c r="M98" s="823">
        <f>'Bari Summary'!O13</f>
        <v>319.84975652704276</v>
      </c>
      <c r="N98" s="823">
        <f>'Bari Summary'!P13</f>
        <v>313.09803463760664</v>
      </c>
      <c r="O98" s="823">
        <f>'Bari Summary'!Q13</f>
        <v>318.68428524824009</v>
      </c>
      <c r="P98" s="823">
        <f>'Bari Summary'!R13</f>
        <v>309.25183238180426</v>
      </c>
      <c r="Q98" s="823">
        <f>'Bari Summary'!S13</f>
        <v>306.20149594604777</v>
      </c>
      <c r="R98" s="823">
        <f>'Bari Summary'!T13</f>
        <v>262.14975290282734</v>
      </c>
      <c r="S98" s="823">
        <f>'Bari Summary'!U13</f>
        <v>54.387040910163122</v>
      </c>
    </row>
    <row r="99" spans="2:20">
      <c r="B99" s="824" t="s">
        <v>135</v>
      </c>
      <c r="C99" s="825"/>
      <c r="D99" s="823">
        <f>D98*D115</f>
        <v>0</v>
      </c>
      <c r="E99" s="823">
        <f>E98*E115</f>
        <v>0</v>
      </c>
      <c r="F99" s="823">
        <f t="shared" ref="F99:R99" si="41">F98*F115</f>
        <v>0</v>
      </c>
      <c r="G99" s="823">
        <f t="shared" si="41"/>
        <v>0</v>
      </c>
      <c r="H99" s="823">
        <f t="shared" si="41"/>
        <v>0</v>
      </c>
      <c r="I99" s="823">
        <f t="shared" si="41"/>
        <v>0</v>
      </c>
      <c r="J99" s="823">
        <f t="shared" si="41"/>
        <v>0</v>
      </c>
      <c r="K99" s="823">
        <f t="shared" si="41"/>
        <v>0</v>
      </c>
      <c r="L99" s="823">
        <f t="shared" si="41"/>
        <v>0</v>
      </c>
      <c r="M99" s="823">
        <f t="shared" si="41"/>
        <v>0</v>
      </c>
      <c r="N99" s="823">
        <f t="shared" si="41"/>
        <v>0</v>
      </c>
      <c r="O99" s="823">
        <f t="shared" si="41"/>
        <v>0</v>
      </c>
      <c r="P99" s="823">
        <f t="shared" si="41"/>
        <v>0</v>
      </c>
      <c r="Q99" s="823">
        <f t="shared" si="41"/>
        <v>0</v>
      </c>
      <c r="R99" s="823">
        <f t="shared" si="41"/>
        <v>0</v>
      </c>
      <c r="S99" s="823">
        <f>S98*S115</f>
        <v>0</v>
      </c>
    </row>
    <row r="100" spans="2:20">
      <c r="B100" s="824" t="s">
        <v>424</v>
      </c>
      <c r="C100" s="822"/>
      <c r="D100" s="823">
        <f t="shared" ref="D100:R100" si="42">D116*D98</f>
        <v>0</v>
      </c>
      <c r="E100" s="823">
        <f t="shared" si="42"/>
        <v>0</v>
      </c>
      <c r="F100" s="823">
        <v>15</v>
      </c>
      <c r="G100" s="823">
        <v>20</v>
      </c>
      <c r="H100" s="823">
        <v>20</v>
      </c>
      <c r="I100" s="823">
        <v>20</v>
      </c>
      <c r="J100" s="823">
        <f t="shared" si="42"/>
        <v>0</v>
      </c>
      <c r="K100" s="823">
        <f t="shared" si="42"/>
        <v>0</v>
      </c>
      <c r="L100" s="823">
        <f t="shared" si="42"/>
        <v>0</v>
      </c>
      <c r="M100" s="823">
        <f t="shared" si="42"/>
        <v>0</v>
      </c>
      <c r="N100" s="823">
        <f t="shared" si="42"/>
        <v>0</v>
      </c>
      <c r="O100" s="823">
        <f t="shared" si="42"/>
        <v>0</v>
      </c>
      <c r="P100" s="823">
        <f t="shared" si="42"/>
        <v>0</v>
      </c>
      <c r="Q100" s="823">
        <f t="shared" si="42"/>
        <v>0</v>
      </c>
      <c r="R100" s="823">
        <f t="shared" si="42"/>
        <v>0</v>
      </c>
      <c r="S100" s="823">
        <f>S116*S98</f>
        <v>0</v>
      </c>
    </row>
    <row r="101" spans="2:20">
      <c r="B101" s="826" t="s">
        <v>248</v>
      </c>
      <c r="C101" s="827">
        <f t="shared" ref="C101:H101" si="43">C98*C117</f>
        <v>0</v>
      </c>
      <c r="D101" s="827">
        <f t="shared" si="43"/>
        <v>0</v>
      </c>
      <c r="E101" s="827">
        <f t="shared" si="43"/>
        <v>0</v>
      </c>
      <c r="F101" s="827">
        <f t="shared" si="43"/>
        <v>0</v>
      </c>
      <c r="G101" s="827">
        <f t="shared" si="43"/>
        <v>0</v>
      </c>
      <c r="H101" s="827">
        <f t="shared" si="43"/>
        <v>0</v>
      </c>
      <c r="I101" s="827">
        <f t="shared" ref="I101:S101" si="44">I98*I117</f>
        <v>0</v>
      </c>
      <c r="J101" s="827">
        <f t="shared" si="44"/>
        <v>0</v>
      </c>
      <c r="K101" s="827">
        <f t="shared" si="44"/>
        <v>0</v>
      </c>
      <c r="L101" s="827">
        <f t="shared" si="44"/>
        <v>0</v>
      </c>
      <c r="M101" s="827">
        <f t="shared" si="44"/>
        <v>0</v>
      </c>
      <c r="N101" s="827">
        <f t="shared" si="44"/>
        <v>0</v>
      </c>
      <c r="O101" s="827">
        <f t="shared" si="44"/>
        <v>0</v>
      </c>
      <c r="P101" s="827">
        <f t="shared" si="44"/>
        <v>0</v>
      </c>
      <c r="Q101" s="827">
        <f t="shared" si="44"/>
        <v>0</v>
      </c>
      <c r="R101" s="827">
        <f t="shared" si="44"/>
        <v>0</v>
      </c>
      <c r="S101" s="827">
        <f t="shared" si="44"/>
        <v>0</v>
      </c>
    </row>
    <row r="102" spans="2:20">
      <c r="B102" s="828" t="s">
        <v>425</v>
      </c>
      <c r="C102" s="829">
        <f>C98-C99-C100-C101</f>
        <v>0</v>
      </c>
      <c r="D102" s="823">
        <f t="shared" ref="D102:R102" si="45">D98-D99-D100-D101</f>
        <v>0</v>
      </c>
      <c r="E102" s="823">
        <f t="shared" si="45"/>
        <v>0</v>
      </c>
      <c r="F102" s="823">
        <f t="shared" si="45"/>
        <v>-15</v>
      </c>
      <c r="G102" s="823">
        <f t="shared" si="45"/>
        <v>-20</v>
      </c>
      <c r="H102" s="823">
        <f t="shared" si="45"/>
        <v>111.25732856529052</v>
      </c>
      <c r="I102" s="823">
        <f t="shared" si="45"/>
        <v>65.319033217648325</v>
      </c>
      <c r="J102" s="823">
        <f t="shared" si="45"/>
        <v>136.68516912497134</v>
      </c>
      <c r="K102" s="823">
        <f t="shared" si="45"/>
        <v>219.31389054057294</v>
      </c>
      <c r="L102" s="823">
        <f t="shared" si="45"/>
        <v>293.73695189708872</v>
      </c>
      <c r="M102" s="823">
        <f t="shared" si="45"/>
        <v>319.84975652704276</v>
      </c>
      <c r="N102" s="823">
        <f t="shared" si="45"/>
        <v>313.09803463760664</v>
      </c>
      <c r="O102" s="823">
        <f t="shared" si="45"/>
        <v>318.68428524824009</v>
      </c>
      <c r="P102" s="823">
        <f t="shared" si="45"/>
        <v>309.25183238180426</v>
      </c>
      <c r="Q102" s="823">
        <f t="shared" si="45"/>
        <v>306.20149594604777</v>
      </c>
      <c r="R102" s="823">
        <f t="shared" si="45"/>
        <v>262.14975290282734</v>
      </c>
      <c r="S102" s="823">
        <f>S98-S99-S100-S101</f>
        <v>54.387040910163122</v>
      </c>
    </row>
    <row r="103" spans="2:20" ht="15.75" thickBot="1">
      <c r="B103" s="830" t="s">
        <v>55</v>
      </c>
      <c r="C103" s="831"/>
      <c r="D103" s="823"/>
      <c r="E103" s="823"/>
      <c r="F103" s="823"/>
      <c r="G103" s="823">
        <f>G102*G118</f>
        <v>0</v>
      </c>
      <c r="H103" s="823">
        <f t="shared" ref="H103:R103" si="46">H102*H118</f>
        <v>0</v>
      </c>
      <c r="I103" s="823">
        <f t="shared" si="46"/>
        <v>8.4914743182942818</v>
      </c>
      <c r="J103" s="823">
        <f t="shared" si="46"/>
        <v>21.869627059995416</v>
      </c>
      <c r="K103" s="823">
        <f t="shared" si="46"/>
        <v>35.090222486491669</v>
      </c>
      <c r="L103" s="823">
        <f t="shared" si="46"/>
        <v>46.997912303534193</v>
      </c>
      <c r="M103" s="823">
        <f t="shared" si="46"/>
        <v>51.17596104432684</v>
      </c>
      <c r="N103" s="823">
        <f t="shared" si="46"/>
        <v>50.095685542017065</v>
      </c>
      <c r="O103" s="823">
        <f t="shared" si="46"/>
        <v>50.989485639718417</v>
      </c>
      <c r="P103" s="823">
        <f t="shared" si="46"/>
        <v>49.480293181088683</v>
      </c>
      <c r="Q103" s="823">
        <f t="shared" si="46"/>
        <v>48.992239351367644</v>
      </c>
      <c r="R103" s="823">
        <f t="shared" si="46"/>
        <v>41.943960464452374</v>
      </c>
      <c r="S103" s="823">
        <f>S102*S118</f>
        <v>8.7019265456260992</v>
      </c>
    </row>
    <row r="104" spans="2:20" ht="15.75" thickBot="1">
      <c r="B104" s="832" t="s">
        <v>426</v>
      </c>
      <c r="C104" s="833">
        <f>C102-C103</f>
        <v>0</v>
      </c>
      <c r="D104" s="833">
        <f>D102-D103</f>
        <v>0</v>
      </c>
      <c r="E104" s="833">
        <f t="shared" ref="E104:S104" si="47">E102-E103</f>
        <v>0</v>
      </c>
      <c r="F104" s="833">
        <f t="shared" si="47"/>
        <v>-15</v>
      </c>
      <c r="G104" s="833">
        <f t="shared" si="47"/>
        <v>-20</v>
      </c>
      <c r="H104" s="833">
        <f t="shared" si="47"/>
        <v>111.25732856529052</v>
      </c>
      <c r="I104" s="833">
        <f t="shared" si="47"/>
        <v>56.827558899354045</v>
      </c>
      <c r="J104" s="833">
        <f t="shared" si="47"/>
        <v>114.81554206497592</v>
      </c>
      <c r="K104" s="833">
        <f t="shared" si="47"/>
        <v>184.22366805408126</v>
      </c>
      <c r="L104" s="833">
        <f t="shared" si="47"/>
        <v>246.73903959355454</v>
      </c>
      <c r="M104" s="833">
        <f t="shared" si="47"/>
        <v>268.67379548271595</v>
      </c>
      <c r="N104" s="834">
        <f t="shared" si="47"/>
        <v>263.00234909558958</v>
      </c>
      <c r="O104" s="834">
        <f t="shared" si="47"/>
        <v>267.69479960852169</v>
      </c>
      <c r="P104" s="834">
        <f t="shared" si="47"/>
        <v>259.77153920071555</v>
      </c>
      <c r="Q104" s="834">
        <f t="shared" si="47"/>
        <v>257.20925659468014</v>
      </c>
      <c r="R104" s="834">
        <f t="shared" si="47"/>
        <v>220.20579243837497</v>
      </c>
      <c r="S104" s="834">
        <f t="shared" si="47"/>
        <v>45.685114364537021</v>
      </c>
      <c r="T104" s="835"/>
    </row>
    <row r="105" spans="2:20" ht="15.75" thickBot="1">
      <c r="E105" s="836"/>
      <c r="F105" s="836"/>
    </row>
    <row r="106" spans="2:20">
      <c r="B106" s="837" t="s">
        <v>427</v>
      </c>
      <c r="C106" s="838">
        <f>T104</f>
        <v>0</v>
      </c>
    </row>
    <row r="107" spans="2:20">
      <c r="B107" s="839" t="s">
        <v>428</v>
      </c>
      <c r="C107" s="840">
        <f>NPV($C$411,F104:T104)</f>
        <v>1243.1832361873999</v>
      </c>
    </row>
    <row r="108" spans="2:20">
      <c r="B108" s="839" t="s">
        <v>429</v>
      </c>
      <c r="C108" s="841">
        <v>0.3</v>
      </c>
      <c r="E108" s="842" t="s">
        <v>430</v>
      </c>
    </row>
    <row r="109" spans="2:20" ht="15.75" thickBot="1">
      <c r="B109" s="839" t="s">
        <v>431</v>
      </c>
      <c r="C109" s="840">
        <f>C107*C108</f>
        <v>372.95497085621997</v>
      </c>
      <c r="E109" s="842" t="s">
        <v>432</v>
      </c>
    </row>
    <row r="110" spans="2:20" ht="15.75" thickBot="1">
      <c r="B110" s="843" t="s">
        <v>432</v>
      </c>
      <c r="C110" s="844">
        <f>C109/$C$413</f>
        <v>1.7625471212486767</v>
      </c>
      <c r="E110" s="845">
        <f>C107/$C$413</f>
        <v>5.875157070828922</v>
      </c>
    </row>
    <row r="111" spans="2:20" ht="15.75" thickBot="1">
      <c r="B111" s="846"/>
      <c r="C111" s="847"/>
    </row>
    <row r="112" spans="2:20" ht="15.75" thickBot="1">
      <c r="B112" s="848" t="s">
        <v>687</v>
      </c>
      <c r="C112" s="849">
        <v>0.255</v>
      </c>
      <c r="D112" s="850">
        <f>NPV(C112,F104:T104)</f>
        <v>345.82092182013116</v>
      </c>
    </row>
    <row r="113" spans="2:20">
      <c r="B113" s="846"/>
      <c r="C113" s="847"/>
    </row>
    <row r="114" spans="2:20" s="852" customFormat="1" ht="15.75" thickBot="1">
      <c r="B114" s="819" t="s">
        <v>632</v>
      </c>
      <c r="C114" s="820" t="str">
        <f>C97</f>
        <v>2014E</v>
      </c>
      <c r="D114" s="820" t="str">
        <f t="shared" ref="D114:S114" si="48">D97</f>
        <v>2015E</v>
      </c>
      <c r="E114" s="820" t="str">
        <f t="shared" si="48"/>
        <v>2016E</v>
      </c>
      <c r="F114" s="820" t="str">
        <f t="shared" si="48"/>
        <v>2017E</v>
      </c>
      <c r="G114" s="820" t="str">
        <f t="shared" si="48"/>
        <v>2018E</v>
      </c>
      <c r="H114" s="820" t="str">
        <f t="shared" si="48"/>
        <v>2019E</v>
      </c>
      <c r="I114" s="820" t="str">
        <f t="shared" si="48"/>
        <v>2020E</v>
      </c>
      <c r="J114" s="820" t="str">
        <f t="shared" si="48"/>
        <v>2021E</v>
      </c>
      <c r="K114" s="820" t="str">
        <f t="shared" si="48"/>
        <v>2022E</v>
      </c>
      <c r="L114" s="820" t="str">
        <f t="shared" si="48"/>
        <v>2023E</v>
      </c>
      <c r="M114" s="820" t="str">
        <f t="shared" si="48"/>
        <v>2024E</v>
      </c>
      <c r="N114" s="820" t="str">
        <f t="shared" si="48"/>
        <v>2025E</v>
      </c>
      <c r="O114" s="820" t="str">
        <f t="shared" si="48"/>
        <v>2026E</v>
      </c>
      <c r="P114" s="820" t="str">
        <f t="shared" si="48"/>
        <v>2027E</v>
      </c>
      <c r="Q114" s="820" t="str">
        <f t="shared" si="48"/>
        <v>2028E</v>
      </c>
      <c r="R114" s="820" t="str">
        <f t="shared" si="48"/>
        <v>2029E</v>
      </c>
      <c r="S114" s="820" t="str">
        <f t="shared" si="48"/>
        <v>2030E</v>
      </c>
      <c r="T114" s="851"/>
    </row>
    <row r="115" spans="2:20" s="852" customFormat="1" ht="15.75" thickTop="1">
      <c r="B115" s="853" t="s">
        <v>464</v>
      </c>
      <c r="C115" s="854"/>
      <c r="D115" s="854"/>
      <c r="E115" s="854"/>
      <c r="F115" s="854"/>
      <c r="G115" s="854"/>
      <c r="H115" s="854"/>
      <c r="I115" s="854"/>
      <c r="J115" s="854"/>
      <c r="K115" s="854"/>
      <c r="L115" s="854"/>
      <c r="M115" s="854"/>
      <c r="N115" s="854"/>
      <c r="O115" s="854"/>
      <c r="P115" s="854"/>
      <c r="Q115" s="854"/>
      <c r="R115" s="854"/>
      <c r="S115" s="854"/>
      <c r="T115" s="855"/>
    </row>
    <row r="116" spans="2:20" s="852" customFormat="1">
      <c r="B116" s="856" t="s">
        <v>465</v>
      </c>
      <c r="C116" s="857"/>
      <c r="D116" s="857"/>
      <c r="E116" s="857"/>
      <c r="F116" s="857"/>
      <c r="G116" s="857"/>
      <c r="H116" s="857"/>
      <c r="I116" s="857"/>
      <c r="J116" s="857"/>
      <c r="K116" s="857"/>
      <c r="L116" s="857"/>
      <c r="M116" s="857"/>
      <c r="N116" s="857"/>
      <c r="O116" s="857"/>
      <c r="P116" s="857"/>
      <c r="Q116" s="857"/>
      <c r="R116" s="857"/>
      <c r="S116" s="857"/>
      <c r="T116" s="855"/>
    </row>
    <row r="117" spans="2:20" s="852" customFormat="1">
      <c r="B117" s="856" t="s">
        <v>466</v>
      </c>
      <c r="C117" s="857"/>
      <c r="D117" s="857"/>
      <c r="E117" s="857"/>
      <c r="F117" s="857"/>
      <c r="G117" s="857"/>
      <c r="H117" s="857"/>
      <c r="I117" s="857"/>
      <c r="J117" s="857"/>
      <c r="K117" s="857"/>
      <c r="L117" s="857"/>
      <c r="M117" s="857"/>
      <c r="N117" s="857"/>
      <c r="O117" s="857"/>
      <c r="P117" s="857"/>
      <c r="Q117" s="857"/>
      <c r="R117" s="857"/>
      <c r="S117" s="857"/>
      <c r="T117" s="855"/>
    </row>
    <row r="118" spans="2:20" s="852" customFormat="1">
      <c r="B118" s="858" t="s">
        <v>55</v>
      </c>
      <c r="C118" s="860">
        <f>C72</f>
        <v>0</v>
      </c>
      <c r="D118" s="860">
        <f t="shared" ref="D118:S118" si="49">D72</f>
        <v>0</v>
      </c>
      <c r="E118" s="860">
        <f t="shared" si="49"/>
        <v>0</v>
      </c>
      <c r="F118" s="860">
        <f t="shared" si="49"/>
        <v>0</v>
      </c>
      <c r="G118" s="860">
        <f t="shared" si="49"/>
        <v>0</v>
      </c>
      <c r="H118" s="860">
        <f t="shared" si="49"/>
        <v>0</v>
      </c>
      <c r="I118" s="860">
        <f t="shared" si="49"/>
        <v>0.13</v>
      </c>
      <c r="J118" s="860">
        <f t="shared" si="49"/>
        <v>0.16</v>
      </c>
      <c r="K118" s="860">
        <f t="shared" si="49"/>
        <v>0.16</v>
      </c>
      <c r="L118" s="860">
        <f t="shared" si="49"/>
        <v>0.16</v>
      </c>
      <c r="M118" s="860">
        <f t="shared" si="49"/>
        <v>0.16</v>
      </c>
      <c r="N118" s="860">
        <f t="shared" si="49"/>
        <v>0.16</v>
      </c>
      <c r="O118" s="860">
        <f t="shared" si="49"/>
        <v>0.16</v>
      </c>
      <c r="P118" s="860">
        <f t="shared" si="49"/>
        <v>0.16</v>
      </c>
      <c r="Q118" s="860">
        <f t="shared" si="49"/>
        <v>0.16</v>
      </c>
      <c r="R118" s="860">
        <f t="shared" si="49"/>
        <v>0.16</v>
      </c>
      <c r="S118" s="860">
        <f t="shared" si="49"/>
        <v>0.16</v>
      </c>
      <c r="T118" s="855"/>
    </row>
    <row r="120" spans="2:20" ht="15.75" thickBot="1">
      <c r="B120" s="819" t="s">
        <v>860</v>
      </c>
      <c r="C120" s="820" t="s">
        <v>302</v>
      </c>
      <c r="D120" s="820" t="s">
        <v>301</v>
      </c>
      <c r="E120" s="820" t="s">
        <v>300</v>
      </c>
      <c r="F120" s="820" t="s">
        <v>312</v>
      </c>
      <c r="G120" s="820" t="s">
        <v>313</v>
      </c>
      <c r="H120" s="820" t="s">
        <v>323</v>
      </c>
      <c r="I120" s="820" t="s">
        <v>324</v>
      </c>
      <c r="J120" s="820" t="s">
        <v>325</v>
      </c>
      <c r="K120" s="820" t="s">
        <v>392</v>
      </c>
      <c r="L120" s="820" t="s">
        <v>393</v>
      </c>
      <c r="M120" s="820" t="s">
        <v>394</v>
      </c>
      <c r="N120" s="820" t="s">
        <v>395</v>
      </c>
      <c r="O120" s="820" t="s">
        <v>396</v>
      </c>
      <c r="P120" s="820" t="s">
        <v>397</v>
      </c>
      <c r="Q120" s="820" t="s">
        <v>398</v>
      </c>
      <c r="R120" s="820" t="s">
        <v>399</v>
      </c>
      <c r="S120" s="820" t="s">
        <v>400</v>
      </c>
    </row>
    <row r="121" spans="2:20" ht="15.75" thickTop="1">
      <c r="B121" s="821" t="s">
        <v>423</v>
      </c>
      <c r="C121" s="823">
        <f>'Bari Summary'!E32</f>
        <v>0</v>
      </c>
      <c r="D121" s="823">
        <f>'Bari Summary'!F32</f>
        <v>0</v>
      </c>
      <c r="E121" s="823">
        <f>'Bari Summary'!G32</f>
        <v>0</v>
      </c>
      <c r="F121" s="823">
        <f>'Bari Summary'!H14+65</f>
        <v>74.26667483501835</v>
      </c>
      <c r="G121" s="823">
        <f>'Bari Summary'!I14</f>
        <v>24.282614923472384</v>
      </c>
      <c r="H121" s="823">
        <f>'Bari Summary'!J14</f>
        <v>47.105328905739903</v>
      </c>
      <c r="I121" s="823">
        <f>'Bari Summary'!K14</f>
        <v>61.137926912659594</v>
      </c>
      <c r="J121" s="823">
        <f>'Bari Summary'!L14</f>
        <v>67.694255837248335</v>
      </c>
      <c r="K121" s="823">
        <f>'Bari Summary'!M14</f>
        <v>78.955817417395309</v>
      </c>
      <c r="L121" s="823">
        <f>'Bari Summary'!N14</f>
        <v>87.616536746322865</v>
      </c>
      <c r="M121" s="823">
        <f>'Bari Summary'!O14</f>
        <v>92.149649117201577</v>
      </c>
      <c r="N121" s="823">
        <f>'Bari Summary'!P14</f>
        <v>92.840698799470346</v>
      </c>
      <c r="O121" s="823">
        <f>'Bari Summary'!Q14</f>
        <v>92.459715393509342</v>
      </c>
      <c r="P121" s="823">
        <f>'Bari Summary'!R14</f>
        <v>85.153256623329753</v>
      </c>
      <c r="Q121" s="823">
        <f>'Bari Summary'!S14</f>
        <v>79.72743785443356</v>
      </c>
      <c r="R121" s="823">
        <f>'Bari Summary'!T14</f>
        <v>72.973374552259202</v>
      </c>
      <c r="S121" s="823">
        <f>'Bari Summary'!U14</f>
        <v>12.797941711737028</v>
      </c>
    </row>
    <row r="122" spans="2:20">
      <c r="B122" s="824" t="s">
        <v>135</v>
      </c>
      <c r="C122" s="825"/>
      <c r="D122" s="823">
        <f>D121*D138</f>
        <v>0</v>
      </c>
      <c r="E122" s="823">
        <f>E121*E138</f>
        <v>0</v>
      </c>
      <c r="F122" s="823">
        <f t="shared" ref="F122:R122" si="50">F121*F138</f>
        <v>0</v>
      </c>
      <c r="G122" s="823">
        <f t="shared" si="50"/>
        <v>0</v>
      </c>
      <c r="H122" s="823">
        <f t="shared" si="50"/>
        <v>0</v>
      </c>
      <c r="I122" s="823">
        <f t="shared" si="50"/>
        <v>0</v>
      </c>
      <c r="J122" s="823">
        <f t="shared" si="50"/>
        <v>0</v>
      </c>
      <c r="K122" s="823">
        <f t="shared" si="50"/>
        <v>0</v>
      </c>
      <c r="L122" s="823">
        <f t="shared" si="50"/>
        <v>0</v>
      </c>
      <c r="M122" s="823">
        <f t="shared" si="50"/>
        <v>0</v>
      </c>
      <c r="N122" s="823">
        <f t="shared" si="50"/>
        <v>0</v>
      </c>
      <c r="O122" s="823">
        <f t="shared" si="50"/>
        <v>0</v>
      </c>
      <c r="P122" s="823">
        <f t="shared" si="50"/>
        <v>0</v>
      </c>
      <c r="Q122" s="823">
        <f t="shared" si="50"/>
        <v>0</v>
      </c>
      <c r="R122" s="823">
        <f t="shared" si="50"/>
        <v>0</v>
      </c>
      <c r="S122" s="823">
        <f>S121*S138</f>
        <v>0</v>
      </c>
    </row>
    <row r="123" spans="2:20">
      <c r="B123" s="824" t="s">
        <v>424</v>
      </c>
      <c r="C123" s="822"/>
      <c r="D123" s="823">
        <f t="shared" ref="D123:R123" si="51">D139*D121</f>
        <v>0</v>
      </c>
      <c r="E123" s="823">
        <f t="shared" si="51"/>
        <v>0</v>
      </c>
      <c r="F123" s="823">
        <f t="shared" si="51"/>
        <v>0</v>
      </c>
      <c r="G123" s="823">
        <f t="shared" si="51"/>
        <v>0</v>
      </c>
      <c r="H123" s="823">
        <f t="shared" si="51"/>
        <v>0</v>
      </c>
      <c r="I123" s="823">
        <f t="shared" si="51"/>
        <v>0</v>
      </c>
      <c r="J123" s="823">
        <f t="shared" si="51"/>
        <v>0</v>
      </c>
      <c r="K123" s="823">
        <f t="shared" si="51"/>
        <v>0</v>
      </c>
      <c r="L123" s="823">
        <f t="shared" si="51"/>
        <v>0</v>
      </c>
      <c r="M123" s="823">
        <f t="shared" si="51"/>
        <v>0</v>
      </c>
      <c r="N123" s="823">
        <f t="shared" si="51"/>
        <v>0</v>
      </c>
      <c r="O123" s="823">
        <f t="shared" si="51"/>
        <v>0</v>
      </c>
      <c r="P123" s="823">
        <f t="shared" si="51"/>
        <v>0</v>
      </c>
      <c r="Q123" s="823">
        <f t="shared" si="51"/>
        <v>0</v>
      </c>
      <c r="R123" s="823">
        <f t="shared" si="51"/>
        <v>0</v>
      </c>
      <c r="S123" s="823">
        <f>S139*S121</f>
        <v>0</v>
      </c>
    </row>
    <row r="124" spans="2:20">
      <c r="B124" s="826" t="s">
        <v>248</v>
      </c>
      <c r="C124" s="827">
        <f t="shared" ref="C124:S124" si="52">C121*C140</f>
        <v>0</v>
      </c>
      <c r="D124" s="827">
        <f t="shared" si="52"/>
        <v>0</v>
      </c>
      <c r="E124" s="827">
        <f t="shared" si="52"/>
        <v>0</v>
      </c>
      <c r="F124" s="827">
        <f t="shared" si="52"/>
        <v>0</v>
      </c>
      <c r="G124" s="827">
        <f t="shared" si="52"/>
        <v>0</v>
      </c>
      <c r="H124" s="827">
        <f t="shared" si="52"/>
        <v>0</v>
      </c>
      <c r="I124" s="827">
        <f t="shared" si="52"/>
        <v>0</v>
      </c>
      <c r="J124" s="827">
        <f t="shared" si="52"/>
        <v>0</v>
      </c>
      <c r="K124" s="827">
        <f t="shared" si="52"/>
        <v>0</v>
      </c>
      <c r="L124" s="827">
        <f t="shared" si="52"/>
        <v>0</v>
      </c>
      <c r="M124" s="827">
        <f t="shared" si="52"/>
        <v>0</v>
      </c>
      <c r="N124" s="827">
        <f t="shared" si="52"/>
        <v>0</v>
      </c>
      <c r="O124" s="827">
        <f t="shared" si="52"/>
        <v>0</v>
      </c>
      <c r="P124" s="827">
        <f t="shared" si="52"/>
        <v>0</v>
      </c>
      <c r="Q124" s="827">
        <f t="shared" si="52"/>
        <v>0</v>
      </c>
      <c r="R124" s="827">
        <f t="shared" si="52"/>
        <v>0</v>
      </c>
      <c r="S124" s="827">
        <f t="shared" si="52"/>
        <v>0</v>
      </c>
    </row>
    <row r="125" spans="2:20">
      <c r="B125" s="828" t="s">
        <v>425</v>
      </c>
      <c r="C125" s="829">
        <f>C121-C122-C123-C124</f>
        <v>0</v>
      </c>
      <c r="D125" s="823">
        <f t="shared" ref="D125:R125" si="53">D121-D122-D123-D124</f>
        <v>0</v>
      </c>
      <c r="E125" s="823">
        <f t="shared" si="53"/>
        <v>0</v>
      </c>
      <c r="F125" s="823">
        <f t="shared" si="53"/>
        <v>74.26667483501835</v>
      </c>
      <c r="G125" s="823">
        <f t="shared" si="53"/>
        <v>24.282614923472384</v>
      </c>
      <c r="H125" s="823">
        <f t="shared" si="53"/>
        <v>47.105328905739903</v>
      </c>
      <c r="I125" s="823">
        <f t="shared" si="53"/>
        <v>61.137926912659594</v>
      </c>
      <c r="J125" s="823">
        <f t="shared" si="53"/>
        <v>67.694255837248335</v>
      </c>
      <c r="K125" s="823">
        <f t="shared" si="53"/>
        <v>78.955817417395309</v>
      </c>
      <c r="L125" s="823">
        <f t="shared" si="53"/>
        <v>87.616536746322865</v>
      </c>
      <c r="M125" s="823">
        <f t="shared" si="53"/>
        <v>92.149649117201577</v>
      </c>
      <c r="N125" s="823">
        <f t="shared" si="53"/>
        <v>92.840698799470346</v>
      </c>
      <c r="O125" s="823">
        <f t="shared" si="53"/>
        <v>92.459715393509342</v>
      </c>
      <c r="P125" s="823">
        <f t="shared" si="53"/>
        <v>85.153256623329753</v>
      </c>
      <c r="Q125" s="823">
        <f t="shared" si="53"/>
        <v>79.72743785443356</v>
      </c>
      <c r="R125" s="823">
        <f t="shared" si="53"/>
        <v>72.973374552259202</v>
      </c>
      <c r="S125" s="823">
        <f>S121-S122-S123-S124</f>
        <v>12.797941711737028</v>
      </c>
    </row>
    <row r="126" spans="2:20" ht="15.75" thickBot="1">
      <c r="B126" s="830" t="s">
        <v>55</v>
      </c>
      <c r="C126" s="831"/>
      <c r="D126" s="823"/>
      <c r="E126" s="823"/>
      <c r="F126" s="823"/>
      <c r="G126" s="823">
        <f>G125*G141</f>
        <v>0</v>
      </c>
      <c r="H126" s="823">
        <f t="shared" ref="H126:R126" si="54">H125*H141</f>
        <v>0</v>
      </c>
      <c r="I126" s="823">
        <f t="shared" si="54"/>
        <v>7.9479304986457473</v>
      </c>
      <c r="J126" s="823">
        <f t="shared" si="54"/>
        <v>10.831080933959734</v>
      </c>
      <c r="K126" s="823">
        <f t="shared" si="54"/>
        <v>12.63293078678325</v>
      </c>
      <c r="L126" s="823">
        <f t="shared" si="54"/>
        <v>14.018645879411659</v>
      </c>
      <c r="M126" s="823">
        <f t="shared" si="54"/>
        <v>14.743943858752253</v>
      </c>
      <c r="N126" s="823">
        <f t="shared" si="54"/>
        <v>14.854511807915255</v>
      </c>
      <c r="O126" s="823">
        <f t="shared" si="54"/>
        <v>14.793554462961495</v>
      </c>
      <c r="P126" s="823">
        <f t="shared" si="54"/>
        <v>13.624521059732761</v>
      </c>
      <c r="Q126" s="823">
        <f t="shared" si="54"/>
        <v>12.756390056709369</v>
      </c>
      <c r="R126" s="823">
        <f t="shared" si="54"/>
        <v>11.675739928361473</v>
      </c>
      <c r="S126" s="823">
        <f>S125*S141</f>
        <v>2.0476706738779247</v>
      </c>
    </row>
    <row r="127" spans="2:20" ht="15.75" thickBot="1">
      <c r="B127" s="832" t="s">
        <v>426</v>
      </c>
      <c r="C127" s="833">
        <f>C125-C126</f>
        <v>0</v>
      </c>
      <c r="D127" s="833">
        <f>D125-D126</f>
        <v>0</v>
      </c>
      <c r="E127" s="833">
        <f t="shared" ref="E127:S127" si="55">E125-E126</f>
        <v>0</v>
      </c>
      <c r="F127" s="833">
        <f t="shared" si="55"/>
        <v>74.26667483501835</v>
      </c>
      <c r="G127" s="833">
        <f t="shared" si="55"/>
        <v>24.282614923472384</v>
      </c>
      <c r="H127" s="833">
        <f t="shared" si="55"/>
        <v>47.105328905739903</v>
      </c>
      <c r="I127" s="833">
        <f t="shared" si="55"/>
        <v>53.189996414013848</v>
      </c>
      <c r="J127" s="833">
        <f t="shared" si="55"/>
        <v>56.863174903288602</v>
      </c>
      <c r="K127" s="833">
        <f t="shared" si="55"/>
        <v>66.322886630612061</v>
      </c>
      <c r="L127" s="833">
        <f t="shared" si="55"/>
        <v>73.5978908669112</v>
      </c>
      <c r="M127" s="833">
        <f t="shared" si="55"/>
        <v>77.405705258449331</v>
      </c>
      <c r="N127" s="834">
        <f t="shared" si="55"/>
        <v>77.986186991555087</v>
      </c>
      <c r="O127" s="834">
        <f t="shared" si="55"/>
        <v>77.666160930547846</v>
      </c>
      <c r="P127" s="834">
        <f t="shared" si="55"/>
        <v>71.528735563596996</v>
      </c>
      <c r="Q127" s="834">
        <f t="shared" si="55"/>
        <v>66.971047797724196</v>
      </c>
      <c r="R127" s="834">
        <f t="shared" si="55"/>
        <v>61.297634623897729</v>
      </c>
      <c r="S127" s="834">
        <f t="shared" si="55"/>
        <v>10.750271037859104</v>
      </c>
      <c r="T127" s="835"/>
    </row>
    <row r="128" spans="2:20" ht="15.75" thickBot="1">
      <c r="E128" s="836"/>
      <c r="F128" s="836"/>
    </row>
    <row r="129" spans="2:20">
      <c r="B129" s="837" t="s">
        <v>427</v>
      </c>
      <c r="C129" s="838">
        <f>T127</f>
        <v>0</v>
      </c>
    </row>
    <row r="130" spans="2:20">
      <c r="B130" s="839" t="s">
        <v>428</v>
      </c>
      <c r="C130" s="840">
        <f>NPV($C$411,F127:T127)</f>
        <v>520.49321673149302</v>
      </c>
    </row>
    <row r="131" spans="2:20">
      <c r="B131" s="839" t="s">
        <v>429</v>
      </c>
      <c r="C131" s="841">
        <v>1</v>
      </c>
      <c r="E131" s="842" t="s">
        <v>430</v>
      </c>
    </row>
    <row r="132" spans="2:20" ht="15.75" thickBot="1">
      <c r="B132" s="839" t="s">
        <v>431</v>
      </c>
      <c r="C132" s="840">
        <f>C130*C131</f>
        <v>520.49321673149302</v>
      </c>
      <c r="E132" s="842" t="s">
        <v>432</v>
      </c>
    </row>
    <row r="133" spans="2:20" ht="15.75" thickBot="1">
      <c r="B133" s="843" t="s">
        <v>432</v>
      </c>
      <c r="C133" s="844">
        <f>C132/$C$413</f>
        <v>2.4597978106403264</v>
      </c>
      <c r="E133" s="845">
        <f>C130/$C$413</f>
        <v>2.4597978106403264</v>
      </c>
    </row>
    <row r="134" spans="2:20" ht="15.75" thickBot="1">
      <c r="B134" s="846"/>
      <c r="C134" s="847"/>
    </row>
    <row r="135" spans="2:20" ht="15.75" thickBot="1">
      <c r="B135" s="848" t="s">
        <v>687</v>
      </c>
      <c r="C135" s="849">
        <v>7.0000000000000007E-2</v>
      </c>
      <c r="D135" s="850">
        <f>NPV(C135,F127:T127)</f>
        <v>520.49321673149302</v>
      </c>
    </row>
    <row r="136" spans="2:20">
      <c r="B136" s="846"/>
      <c r="C136" s="847"/>
    </row>
    <row r="137" spans="2:20" s="852" customFormat="1" ht="15.75" thickBot="1">
      <c r="B137" s="819" t="s">
        <v>632</v>
      </c>
      <c r="C137" s="820" t="str">
        <f>C120</f>
        <v>2014E</v>
      </c>
      <c r="D137" s="820" t="str">
        <f t="shared" ref="D137:S137" si="56">D120</f>
        <v>2015E</v>
      </c>
      <c r="E137" s="820" t="str">
        <f t="shared" si="56"/>
        <v>2016E</v>
      </c>
      <c r="F137" s="820" t="str">
        <f t="shared" si="56"/>
        <v>2017E</v>
      </c>
      <c r="G137" s="820" t="str">
        <f t="shared" si="56"/>
        <v>2018E</v>
      </c>
      <c r="H137" s="820" t="str">
        <f t="shared" si="56"/>
        <v>2019E</v>
      </c>
      <c r="I137" s="820" t="str">
        <f t="shared" si="56"/>
        <v>2020E</v>
      </c>
      <c r="J137" s="820" t="str">
        <f t="shared" si="56"/>
        <v>2021E</v>
      </c>
      <c r="K137" s="820" t="str">
        <f t="shared" si="56"/>
        <v>2022E</v>
      </c>
      <c r="L137" s="820" t="str">
        <f t="shared" si="56"/>
        <v>2023E</v>
      </c>
      <c r="M137" s="820" t="str">
        <f t="shared" si="56"/>
        <v>2024E</v>
      </c>
      <c r="N137" s="820" t="str">
        <f t="shared" si="56"/>
        <v>2025E</v>
      </c>
      <c r="O137" s="820" t="str">
        <f t="shared" si="56"/>
        <v>2026E</v>
      </c>
      <c r="P137" s="820" t="str">
        <f t="shared" si="56"/>
        <v>2027E</v>
      </c>
      <c r="Q137" s="820" t="str">
        <f t="shared" si="56"/>
        <v>2028E</v>
      </c>
      <c r="R137" s="820" t="str">
        <f t="shared" si="56"/>
        <v>2029E</v>
      </c>
      <c r="S137" s="820" t="str">
        <f t="shared" si="56"/>
        <v>2030E</v>
      </c>
      <c r="T137" s="851"/>
    </row>
    <row r="138" spans="2:20" s="852" customFormat="1" ht="15.75" thickTop="1">
      <c r="B138" s="853" t="s">
        <v>464</v>
      </c>
      <c r="C138" s="854"/>
      <c r="D138" s="854"/>
      <c r="E138" s="854"/>
      <c r="F138" s="854"/>
      <c r="G138" s="854"/>
      <c r="H138" s="854"/>
      <c r="I138" s="854"/>
      <c r="J138" s="854"/>
      <c r="K138" s="854"/>
      <c r="L138" s="854"/>
      <c r="M138" s="854"/>
      <c r="N138" s="854"/>
      <c r="O138" s="854"/>
      <c r="P138" s="854"/>
      <c r="Q138" s="854"/>
      <c r="R138" s="854"/>
      <c r="S138" s="854"/>
      <c r="T138" s="855"/>
    </row>
    <row r="139" spans="2:20" s="852" customFormat="1">
      <c r="B139" s="856" t="s">
        <v>465</v>
      </c>
      <c r="C139" s="857"/>
      <c r="D139" s="857"/>
      <c r="E139" s="857"/>
      <c r="F139" s="857"/>
      <c r="G139" s="857"/>
      <c r="H139" s="857"/>
      <c r="I139" s="857"/>
      <c r="J139" s="857"/>
      <c r="K139" s="857"/>
      <c r="L139" s="857"/>
      <c r="M139" s="857"/>
      <c r="N139" s="857"/>
      <c r="O139" s="857"/>
      <c r="P139" s="857"/>
      <c r="Q139" s="857"/>
      <c r="R139" s="857"/>
      <c r="S139" s="857"/>
      <c r="T139" s="855"/>
    </row>
    <row r="140" spans="2:20" s="852" customFormat="1">
      <c r="B140" s="856" t="s">
        <v>466</v>
      </c>
      <c r="C140" s="857"/>
      <c r="D140" s="857"/>
      <c r="E140" s="857"/>
      <c r="F140" s="857"/>
      <c r="G140" s="857"/>
      <c r="H140" s="857"/>
      <c r="I140" s="857"/>
      <c r="J140" s="857"/>
      <c r="K140" s="857"/>
      <c r="L140" s="857"/>
      <c r="M140" s="857"/>
      <c r="N140" s="857"/>
      <c r="O140" s="857"/>
      <c r="P140" s="857"/>
      <c r="Q140" s="857"/>
      <c r="R140" s="857"/>
      <c r="S140" s="857"/>
      <c r="T140" s="855"/>
    </row>
    <row r="141" spans="2:20" s="852" customFormat="1">
      <c r="B141" s="858" t="s">
        <v>55</v>
      </c>
      <c r="C141" s="860">
        <f>C95</f>
        <v>0</v>
      </c>
      <c r="D141" s="860">
        <f t="shared" ref="D141:S141" si="57">D95</f>
        <v>0</v>
      </c>
      <c r="E141" s="860">
        <f t="shared" si="57"/>
        <v>0</v>
      </c>
      <c r="F141" s="860">
        <f t="shared" si="57"/>
        <v>0</v>
      </c>
      <c r="G141" s="860">
        <f t="shared" si="57"/>
        <v>0</v>
      </c>
      <c r="H141" s="860">
        <f t="shared" si="57"/>
        <v>0</v>
      </c>
      <c r="I141" s="860">
        <f t="shared" si="57"/>
        <v>0.13</v>
      </c>
      <c r="J141" s="860">
        <f t="shared" si="57"/>
        <v>0.16</v>
      </c>
      <c r="K141" s="860">
        <f t="shared" si="57"/>
        <v>0.16</v>
      </c>
      <c r="L141" s="860">
        <f t="shared" si="57"/>
        <v>0.16</v>
      </c>
      <c r="M141" s="860">
        <f t="shared" si="57"/>
        <v>0.16</v>
      </c>
      <c r="N141" s="860">
        <f t="shared" si="57"/>
        <v>0.16</v>
      </c>
      <c r="O141" s="860">
        <f t="shared" si="57"/>
        <v>0.16</v>
      </c>
      <c r="P141" s="860">
        <f t="shared" si="57"/>
        <v>0.16</v>
      </c>
      <c r="Q141" s="860">
        <f t="shared" si="57"/>
        <v>0.16</v>
      </c>
      <c r="R141" s="860">
        <f t="shared" si="57"/>
        <v>0.16</v>
      </c>
      <c r="S141" s="860">
        <f t="shared" si="57"/>
        <v>0.16</v>
      </c>
      <c r="T141" s="855"/>
    </row>
    <row r="143" spans="2:20" ht="15.75" thickBot="1">
      <c r="B143" s="819" t="s">
        <v>633</v>
      </c>
      <c r="C143" s="820" t="s">
        <v>302</v>
      </c>
      <c r="D143" s="820" t="s">
        <v>301</v>
      </c>
      <c r="E143" s="820" t="s">
        <v>300</v>
      </c>
      <c r="F143" s="820" t="s">
        <v>312</v>
      </c>
      <c r="G143" s="820" t="s">
        <v>313</v>
      </c>
      <c r="H143" s="820" t="s">
        <v>323</v>
      </c>
      <c r="I143" s="820" t="s">
        <v>324</v>
      </c>
      <c r="J143" s="820" t="s">
        <v>325</v>
      </c>
      <c r="K143" s="820" t="s">
        <v>392</v>
      </c>
      <c r="L143" s="820" t="s">
        <v>393</v>
      </c>
      <c r="M143" s="820" t="s">
        <v>394</v>
      </c>
      <c r="N143" s="820" t="s">
        <v>395</v>
      </c>
      <c r="O143" s="820" t="s">
        <v>396</v>
      </c>
      <c r="P143" s="820" t="s">
        <v>397</v>
      </c>
      <c r="Q143" s="820" t="s">
        <v>398</v>
      </c>
      <c r="R143" s="820" t="s">
        <v>399</v>
      </c>
      <c r="S143" s="820" t="s">
        <v>400</v>
      </c>
    </row>
    <row r="144" spans="2:20" ht="15.75" thickTop="1">
      <c r="B144" s="821" t="s">
        <v>423</v>
      </c>
      <c r="C144" s="822"/>
      <c r="D144" s="823"/>
      <c r="E144" s="823"/>
      <c r="F144" s="823"/>
      <c r="G144" s="823"/>
      <c r="H144" s="823"/>
      <c r="I144" s="823">
        <f>'Bari - AD'!C10/1000000</f>
        <v>26.508699277252774</v>
      </c>
      <c r="J144" s="823">
        <f>'Bari - AD'!D10/1000000</f>
        <v>62.549774041184946</v>
      </c>
      <c r="K144" s="823">
        <f>'Bari - AD'!E10/1000000</f>
        <v>134.12537051839192</v>
      </c>
      <c r="L144" s="823">
        <f>'Bari - AD'!F10/1000000</f>
        <v>197.7689388403945</v>
      </c>
      <c r="M144" s="823">
        <f>'Bari - AD'!G10/1000000</f>
        <v>256.90737569854741</v>
      </c>
      <c r="N144" s="823">
        <f>'Bari - AD'!H10/1000000</f>
        <v>298.54365103422202</v>
      </c>
      <c r="O144" s="823">
        <f>'Bari - AD'!I10/1000000</f>
        <v>343.75395452876143</v>
      </c>
      <c r="P144" s="823">
        <f>'Bari - AD'!J10/1000000</f>
        <v>349.91913872746471</v>
      </c>
      <c r="Q144" s="823">
        <f>'Bari - AD'!K10/1000000</f>
        <v>376.34776221308539</v>
      </c>
      <c r="R144" s="823">
        <f>'Bari - AD'!L10/1000000</f>
        <v>225.28872059226211</v>
      </c>
      <c r="S144" s="823">
        <f>'Bari - AD'!M10/1000000</f>
        <v>117.9296172527129</v>
      </c>
    </row>
    <row r="145" spans="2:20">
      <c r="B145" s="824" t="s">
        <v>135</v>
      </c>
      <c r="C145" s="825"/>
      <c r="D145" s="823">
        <f>D144*D161</f>
        <v>0</v>
      </c>
      <c r="E145" s="823">
        <f>E144*E161</f>
        <v>0</v>
      </c>
      <c r="F145" s="823">
        <f t="shared" ref="F145:R145" si="58">F144*F161</f>
        <v>0</v>
      </c>
      <c r="G145" s="823">
        <f t="shared" si="58"/>
        <v>0</v>
      </c>
      <c r="H145" s="823">
        <f t="shared" si="58"/>
        <v>0</v>
      </c>
      <c r="I145" s="823">
        <f t="shared" si="58"/>
        <v>0</v>
      </c>
      <c r="J145" s="823">
        <f t="shared" si="58"/>
        <v>0</v>
      </c>
      <c r="K145" s="823">
        <f t="shared" si="58"/>
        <v>0</v>
      </c>
      <c r="L145" s="823">
        <f t="shared" si="58"/>
        <v>0</v>
      </c>
      <c r="M145" s="823">
        <f t="shared" si="58"/>
        <v>0</v>
      </c>
      <c r="N145" s="823">
        <f t="shared" si="58"/>
        <v>0</v>
      </c>
      <c r="O145" s="823">
        <f t="shared" si="58"/>
        <v>0</v>
      </c>
      <c r="P145" s="823">
        <f t="shared" si="58"/>
        <v>0</v>
      </c>
      <c r="Q145" s="823">
        <f t="shared" si="58"/>
        <v>0</v>
      </c>
      <c r="R145" s="823">
        <f t="shared" si="58"/>
        <v>0</v>
      </c>
      <c r="S145" s="823">
        <f>S144*S161</f>
        <v>0</v>
      </c>
    </row>
    <row r="146" spans="2:20">
      <c r="B146" s="824" t="s">
        <v>424</v>
      </c>
      <c r="C146" s="822"/>
      <c r="D146" s="823">
        <f t="shared" ref="D146:R146" si="59">D162*D144</f>
        <v>0</v>
      </c>
      <c r="E146" s="823">
        <f t="shared" si="59"/>
        <v>0</v>
      </c>
      <c r="F146" s="823">
        <f t="shared" si="59"/>
        <v>0</v>
      </c>
      <c r="G146" s="823">
        <f t="shared" si="59"/>
        <v>0</v>
      </c>
      <c r="H146" s="823">
        <f t="shared" si="59"/>
        <v>0</v>
      </c>
      <c r="I146" s="823">
        <f t="shared" si="59"/>
        <v>0</v>
      </c>
      <c r="J146" s="823">
        <f t="shared" si="59"/>
        <v>0</v>
      </c>
      <c r="K146" s="823">
        <f t="shared" si="59"/>
        <v>0</v>
      </c>
      <c r="L146" s="823">
        <f t="shared" si="59"/>
        <v>0</v>
      </c>
      <c r="M146" s="823">
        <f t="shared" si="59"/>
        <v>0</v>
      </c>
      <c r="N146" s="823">
        <f t="shared" si="59"/>
        <v>0</v>
      </c>
      <c r="O146" s="823">
        <f t="shared" si="59"/>
        <v>0</v>
      </c>
      <c r="P146" s="823">
        <f t="shared" si="59"/>
        <v>0</v>
      </c>
      <c r="Q146" s="823">
        <f t="shared" si="59"/>
        <v>0</v>
      </c>
      <c r="R146" s="823">
        <f t="shared" si="59"/>
        <v>0</v>
      </c>
      <c r="S146" s="823">
        <f>S162*S144</f>
        <v>0</v>
      </c>
    </row>
    <row r="147" spans="2:20">
      <c r="B147" s="826" t="s">
        <v>248</v>
      </c>
      <c r="C147" s="827">
        <f t="shared" ref="C147:H147" si="60">C144*C163</f>
        <v>0</v>
      </c>
      <c r="D147" s="827">
        <f t="shared" si="60"/>
        <v>0</v>
      </c>
      <c r="E147" s="827">
        <f t="shared" si="60"/>
        <v>0</v>
      </c>
      <c r="F147" s="827">
        <f t="shared" si="60"/>
        <v>0</v>
      </c>
      <c r="G147" s="827">
        <f t="shared" si="60"/>
        <v>0</v>
      </c>
      <c r="H147" s="827">
        <f t="shared" si="60"/>
        <v>0</v>
      </c>
      <c r="I147" s="827">
        <f t="shared" ref="I147:S147" si="61">I144*I163</f>
        <v>0</v>
      </c>
      <c r="J147" s="827">
        <f t="shared" si="61"/>
        <v>0</v>
      </c>
      <c r="K147" s="827">
        <f t="shared" si="61"/>
        <v>0</v>
      </c>
      <c r="L147" s="827">
        <f t="shared" si="61"/>
        <v>0</v>
      </c>
      <c r="M147" s="827">
        <f t="shared" si="61"/>
        <v>0</v>
      </c>
      <c r="N147" s="827">
        <f t="shared" si="61"/>
        <v>0</v>
      </c>
      <c r="O147" s="827">
        <f t="shared" si="61"/>
        <v>0</v>
      </c>
      <c r="P147" s="827">
        <f t="shared" si="61"/>
        <v>0</v>
      </c>
      <c r="Q147" s="827">
        <f t="shared" si="61"/>
        <v>0</v>
      </c>
      <c r="R147" s="827">
        <f t="shared" si="61"/>
        <v>0</v>
      </c>
      <c r="S147" s="827">
        <f t="shared" si="61"/>
        <v>0</v>
      </c>
    </row>
    <row r="148" spans="2:20">
      <c r="B148" s="828" t="s">
        <v>425</v>
      </c>
      <c r="C148" s="829">
        <f>C144-C145-C146-C147</f>
        <v>0</v>
      </c>
      <c r="D148" s="823">
        <f t="shared" ref="D148:R148" si="62">D144-D145-D146-D147</f>
        <v>0</v>
      </c>
      <c r="E148" s="823">
        <f t="shared" si="62"/>
        <v>0</v>
      </c>
      <c r="F148" s="823">
        <f t="shared" si="62"/>
        <v>0</v>
      </c>
      <c r="G148" s="823">
        <f t="shared" si="62"/>
        <v>0</v>
      </c>
      <c r="H148" s="823">
        <f t="shared" si="62"/>
        <v>0</v>
      </c>
      <c r="I148" s="823">
        <f t="shared" si="62"/>
        <v>26.508699277252774</v>
      </c>
      <c r="J148" s="823">
        <f t="shared" si="62"/>
        <v>62.549774041184946</v>
      </c>
      <c r="K148" s="823">
        <f t="shared" si="62"/>
        <v>134.12537051839192</v>
      </c>
      <c r="L148" s="823">
        <f t="shared" si="62"/>
        <v>197.7689388403945</v>
      </c>
      <c r="M148" s="823">
        <f t="shared" si="62"/>
        <v>256.90737569854741</v>
      </c>
      <c r="N148" s="823">
        <f t="shared" si="62"/>
        <v>298.54365103422202</v>
      </c>
      <c r="O148" s="823">
        <f t="shared" si="62"/>
        <v>343.75395452876143</v>
      </c>
      <c r="P148" s="823">
        <f t="shared" si="62"/>
        <v>349.91913872746471</v>
      </c>
      <c r="Q148" s="823">
        <f t="shared" si="62"/>
        <v>376.34776221308539</v>
      </c>
      <c r="R148" s="823">
        <f t="shared" si="62"/>
        <v>225.28872059226211</v>
      </c>
      <c r="S148" s="823">
        <f>S144-S145-S146-S147</f>
        <v>117.9296172527129</v>
      </c>
    </row>
    <row r="149" spans="2:20" ht="15.75" thickBot="1">
      <c r="B149" s="830" t="s">
        <v>55</v>
      </c>
      <c r="C149" s="831"/>
      <c r="D149" s="823"/>
      <c r="E149" s="823"/>
      <c r="F149" s="823"/>
      <c r="G149" s="823">
        <f>G148*G164</f>
        <v>0</v>
      </c>
      <c r="H149" s="823">
        <f t="shared" ref="H149:R149" si="63">H148*H164</f>
        <v>0</v>
      </c>
      <c r="I149" s="823">
        <f t="shared" si="63"/>
        <v>3.4461309060428609</v>
      </c>
      <c r="J149" s="823">
        <f t="shared" si="63"/>
        <v>10.007963846589591</v>
      </c>
      <c r="K149" s="823">
        <f t="shared" si="63"/>
        <v>21.460059282942709</v>
      </c>
      <c r="L149" s="823">
        <f t="shared" si="63"/>
        <v>31.643030214463121</v>
      </c>
      <c r="M149" s="823">
        <f t="shared" si="63"/>
        <v>41.105180111767588</v>
      </c>
      <c r="N149" s="823">
        <f t="shared" si="63"/>
        <v>47.766984165475527</v>
      </c>
      <c r="O149" s="823">
        <f t="shared" si="63"/>
        <v>55.000632724601829</v>
      </c>
      <c r="P149" s="823">
        <f t="shared" si="63"/>
        <v>55.987062196394355</v>
      </c>
      <c r="Q149" s="823">
        <f t="shared" si="63"/>
        <v>60.215641954093662</v>
      </c>
      <c r="R149" s="823">
        <f t="shared" si="63"/>
        <v>36.046195294761937</v>
      </c>
      <c r="S149" s="823">
        <f>S148*S164</f>
        <v>18.868738760434066</v>
      </c>
    </row>
    <row r="150" spans="2:20" ht="15.75" thickBot="1">
      <c r="B150" s="832" t="s">
        <v>426</v>
      </c>
      <c r="C150" s="833">
        <f>C148-C149</f>
        <v>0</v>
      </c>
      <c r="D150" s="833">
        <f>D148-D149</f>
        <v>0</v>
      </c>
      <c r="E150" s="833">
        <f t="shared" ref="E150:S150" si="64">E148-E149</f>
        <v>0</v>
      </c>
      <c r="F150" s="833">
        <f t="shared" si="64"/>
        <v>0</v>
      </c>
      <c r="G150" s="833">
        <f t="shared" si="64"/>
        <v>0</v>
      </c>
      <c r="H150" s="833">
        <f t="shared" si="64"/>
        <v>0</v>
      </c>
      <c r="I150" s="833">
        <f t="shared" si="64"/>
        <v>23.062568371209913</v>
      </c>
      <c r="J150" s="833">
        <f t="shared" si="64"/>
        <v>52.541810194595357</v>
      </c>
      <c r="K150" s="833">
        <f t="shared" si="64"/>
        <v>112.66531123544921</v>
      </c>
      <c r="L150" s="833">
        <f t="shared" si="64"/>
        <v>166.12590862593137</v>
      </c>
      <c r="M150" s="833">
        <f t="shared" si="64"/>
        <v>215.80219558677982</v>
      </c>
      <c r="N150" s="834">
        <f t="shared" si="64"/>
        <v>250.7766668687465</v>
      </c>
      <c r="O150" s="834">
        <f t="shared" si="64"/>
        <v>288.75332180415961</v>
      </c>
      <c r="P150" s="834">
        <f t="shared" si="64"/>
        <v>293.93207653107038</v>
      </c>
      <c r="Q150" s="834">
        <f t="shared" si="64"/>
        <v>316.13212025899173</v>
      </c>
      <c r="R150" s="834">
        <f t="shared" si="64"/>
        <v>189.24252529750018</v>
      </c>
      <c r="S150" s="834">
        <f t="shared" si="64"/>
        <v>99.060878492278832</v>
      </c>
      <c r="T150" s="835"/>
    </row>
    <row r="151" spans="2:20" ht="15.75" thickBot="1">
      <c r="E151" s="836"/>
      <c r="F151" s="836"/>
    </row>
    <row r="152" spans="2:20">
      <c r="B152" s="837" t="s">
        <v>427</v>
      </c>
      <c r="C152" s="838">
        <f>T150</f>
        <v>0</v>
      </c>
    </row>
    <row r="153" spans="2:20">
      <c r="B153" s="839" t="s">
        <v>428</v>
      </c>
      <c r="C153" s="840">
        <f>NPV($C$411,F150:T150)</f>
        <v>1039.3345994735018</v>
      </c>
    </row>
    <row r="154" spans="2:20">
      <c r="B154" s="839" t="s">
        <v>429</v>
      </c>
      <c r="C154" s="841">
        <v>0.2</v>
      </c>
      <c r="E154" s="842" t="s">
        <v>430</v>
      </c>
    </row>
    <row r="155" spans="2:20" ht="15.75" thickBot="1">
      <c r="B155" s="839" t="s">
        <v>431</v>
      </c>
      <c r="C155" s="840">
        <f>C153*C154</f>
        <v>207.86691989470037</v>
      </c>
      <c r="E155" s="842" t="s">
        <v>432</v>
      </c>
    </row>
    <row r="156" spans="2:20" ht="15.75" thickBot="1">
      <c r="B156" s="843" t="s">
        <v>432</v>
      </c>
      <c r="C156" s="844">
        <f>C155/$C$413</f>
        <v>0.98235784449291297</v>
      </c>
      <c r="E156" s="845">
        <f>C153/$C$413</f>
        <v>4.9117892224645647</v>
      </c>
      <c r="G156" s="817" t="s">
        <v>416</v>
      </c>
      <c r="H156" s="1286">
        <f>C155+C109</f>
        <v>580.82189075092037</v>
      </c>
    </row>
    <row r="157" spans="2:20" ht="15.75" thickBot="1">
      <c r="B157" s="846"/>
      <c r="C157" s="847"/>
    </row>
    <row r="158" spans="2:20" ht="15.75" thickBot="1">
      <c r="B158" s="848" t="s">
        <v>688</v>
      </c>
      <c r="C158" s="849">
        <v>0.22080181241964802</v>
      </c>
      <c r="D158" s="850">
        <f>NPV(C158,F150:T150)</f>
        <v>311.35737622180613</v>
      </c>
    </row>
    <row r="159" spans="2:20">
      <c r="B159" s="846"/>
      <c r="C159" s="847"/>
    </row>
    <row r="160" spans="2:20" s="852" customFormat="1" ht="15.75" thickBot="1">
      <c r="B160" s="819" t="s">
        <v>633</v>
      </c>
      <c r="C160" s="820" t="str">
        <f>C143</f>
        <v>2014E</v>
      </c>
      <c r="D160" s="820" t="str">
        <f t="shared" ref="D160:S160" si="65">D143</f>
        <v>2015E</v>
      </c>
      <c r="E160" s="820" t="str">
        <f t="shared" si="65"/>
        <v>2016E</v>
      </c>
      <c r="F160" s="820" t="str">
        <f t="shared" si="65"/>
        <v>2017E</v>
      </c>
      <c r="G160" s="820" t="str">
        <f t="shared" si="65"/>
        <v>2018E</v>
      </c>
      <c r="H160" s="820" t="str">
        <f t="shared" si="65"/>
        <v>2019E</v>
      </c>
      <c r="I160" s="820" t="str">
        <f t="shared" si="65"/>
        <v>2020E</v>
      </c>
      <c r="J160" s="820" t="str">
        <f t="shared" si="65"/>
        <v>2021E</v>
      </c>
      <c r="K160" s="820" t="str">
        <f t="shared" si="65"/>
        <v>2022E</v>
      </c>
      <c r="L160" s="820" t="str">
        <f t="shared" si="65"/>
        <v>2023E</v>
      </c>
      <c r="M160" s="820" t="str">
        <f t="shared" si="65"/>
        <v>2024E</v>
      </c>
      <c r="N160" s="820" t="str">
        <f t="shared" si="65"/>
        <v>2025E</v>
      </c>
      <c r="O160" s="820" t="str">
        <f t="shared" si="65"/>
        <v>2026E</v>
      </c>
      <c r="P160" s="820" t="str">
        <f t="shared" si="65"/>
        <v>2027E</v>
      </c>
      <c r="Q160" s="820" t="str">
        <f t="shared" si="65"/>
        <v>2028E</v>
      </c>
      <c r="R160" s="820" t="str">
        <f t="shared" si="65"/>
        <v>2029E</v>
      </c>
      <c r="S160" s="820" t="str">
        <f t="shared" si="65"/>
        <v>2030E</v>
      </c>
      <c r="T160" s="851"/>
    </row>
    <row r="161" spans="2:20" s="852" customFormat="1" ht="15.75" thickTop="1">
      <c r="B161" s="853" t="s">
        <v>467</v>
      </c>
      <c r="C161" s="854">
        <f>C115</f>
        <v>0</v>
      </c>
      <c r="D161" s="854">
        <f t="shared" ref="D161:S161" si="66">D115</f>
        <v>0</v>
      </c>
      <c r="E161" s="854">
        <f t="shared" si="66"/>
        <v>0</v>
      </c>
      <c r="F161" s="854">
        <f t="shared" si="66"/>
        <v>0</v>
      </c>
      <c r="G161" s="854">
        <f t="shared" si="66"/>
        <v>0</v>
      </c>
      <c r="H161" s="854">
        <f t="shared" si="66"/>
        <v>0</v>
      </c>
      <c r="I161" s="854">
        <f t="shared" si="66"/>
        <v>0</v>
      </c>
      <c r="J161" s="854">
        <f t="shared" si="66"/>
        <v>0</v>
      </c>
      <c r="K161" s="854">
        <f t="shared" si="66"/>
        <v>0</v>
      </c>
      <c r="L161" s="854">
        <f t="shared" si="66"/>
        <v>0</v>
      </c>
      <c r="M161" s="854">
        <f t="shared" si="66"/>
        <v>0</v>
      </c>
      <c r="N161" s="854">
        <f t="shared" si="66"/>
        <v>0</v>
      </c>
      <c r="O161" s="854">
        <f t="shared" si="66"/>
        <v>0</v>
      </c>
      <c r="P161" s="854">
        <f t="shared" si="66"/>
        <v>0</v>
      </c>
      <c r="Q161" s="854">
        <f t="shared" si="66"/>
        <v>0</v>
      </c>
      <c r="R161" s="854">
        <f t="shared" si="66"/>
        <v>0</v>
      </c>
      <c r="S161" s="854">
        <f t="shared" si="66"/>
        <v>0</v>
      </c>
      <c r="T161" s="855"/>
    </row>
    <row r="162" spans="2:20" s="852" customFormat="1">
      <c r="B162" s="856" t="s">
        <v>468</v>
      </c>
      <c r="C162" s="857">
        <f t="shared" ref="C162:S162" si="67">C116</f>
        <v>0</v>
      </c>
      <c r="D162" s="857">
        <f t="shared" si="67"/>
        <v>0</v>
      </c>
      <c r="E162" s="857">
        <f t="shared" si="67"/>
        <v>0</v>
      </c>
      <c r="F162" s="857">
        <f t="shared" si="67"/>
        <v>0</v>
      </c>
      <c r="G162" s="857">
        <f t="shared" si="67"/>
        <v>0</v>
      </c>
      <c r="H162" s="857">
        <f t="shared" si="67"/>
        <v>0</v>
      </c>
      <c r="I162" s="857">
        <f t="shared" si="67"/>
        <v>0</v>
      </c>
      <c r="J162" s="857">
        <f t="shared" si="67"/>
        <v>0</v>
      </c>
      <c r="K162" s="857">
        <f t="shared" si="67"/>
        <v>0</v>
      </c>
      <c r="L162" s="857">
        <f t="shared" si="67"/>
        <v>0</v>
      </c>
      <c r="M162" s="857">
        <f t="shared" si="67"/>
        <v>0</v>
      </c>
      <c r="N162" s="857">
        <f t="shared" si="67"/>
        <v>0</v>
      </c>
      <c r="O162" s="857">
        <f t="shared" si="67"/>
        <v>0</v>
      </c>
      <c r="P162" s="857">
        <f t="shared" si="67"/>
        <v>0</v>
      </c>
      <c r="Q162" s="857">
        <f t="shared" si="67"/>
        <v>0</v>
      </c>
      <c r="R162" s="857">
        <f t="shared" si="67"/>
        <v>0</v>
      </c>
      <c r="S162" s="857">
        <f t="shared" si="67"/>
        <v>0</v>
      </c>
      <c r="T162" s="855"/>
    </row>
    <row r="163" spans="2:20" s="852" customFormat="1">
      <c r="B163" s="856" t="s">
        <v>469</v>
      </c>
      <c r="C163" s="857">
        <f t="shared" ref="C163:S163" si="68">C117</f>
        <v>0</v>
      </c>
      <c r="D163" s="857">
        <f t="shared" si="68"/>
        <v>0</v>
      </c>
      <c r="E163" s="857">
        <f t="shared" si="68"/>
        <v>0</v>
      </c>
      <c r="F163" s="857">
        <f t="shared" si="68"/>
        <v>0</v>
      </c>
      <c r="G163" s="857">
        <f t="shared" si="68"/>
        <v>0</v>
      </c>
      <c r="H163" s="857">
        <f t="shared" si="68"/>
        <v>0</v>
      </c>
      <c r="I163" s="857">
        <f t="shared" si="68"/>
        <v>0</v>
      </c>
      <c r="J163" s="857">
        <f t="shared" si="68"/>
        <v>0</v>
      </c>
      <c r="K163" s="857">
        <f t="shared" si="68"/>
        <v>0</v>
      </c>
      <c r="L163" s="857">
        <f t="shared" si="68"/>
        <v>0</v>
      </c>
      <c r="M163" s="857">
        <f t="shared" si="68"/>
        <v>0</v>
      </c>
      <c r="N163" s="857">
        <f t="shared" si="68"/>
        <v>0</v>
      </c>
      <c r="O163" s="857">
        <f t="shared" si="68"/>
        <v>0</v>
      </c>
      <c r="P163" s="857">
        <f t="shared" si="68"/>
        <v>0</v>
      </c>
      <c r="Q163" s="857">
        <f t="shared" si="68"/>
        <v>0</v>
      </c>
      <c r="R163" s="857">
        <f t="shared" si="68"/>
        <v>0</v>
      </c>
      <c r="S163" s="857">
        <f t="shared" si="68"/>
        <v>0</v>
      </c>
      <c r="T163" s="855"/>
    </row>
    <row r="164" spans="2:20" s="852" customFormat="1">
      <c r="B164" s="858" t="s">
        <v>55</v>
      </c>
      <c r="C164" s="860">
        <f t="shared" ref="C164:S164" si="69">C118</f>
        <v>0</v>
      </c>
      <c r="D164" s="860">
        <f t="shared" si="69"/>
        <v>0</v>
      </c>
      <c r="E164" s="860">
        <f t="shared" si="69"/>
        <v>0</v>
      </c>
      <c r="F164" s="860">
        <f t="shared" si="69"/>
        <v>0</v>
      </c>
      <c r="G164" s="860">
        <f t="shared" si="69"/>
        <v>0</v>
      </c>
      <c r="H164" s="861">
        <f t="shared" si="69"/>
        <v>0</v>
      </c>
      <c r="I164" s="861">
        <f t="shared" si="69"/>
        <v>0.13</v>
      </c>
      <c r="J164" s="861">
        <f t="shared" si="69"/>
        <v>0.16</v>
      </c>
      <c r="K164" s="861">
        <f t="shared" si="69"/>
        <v>0.16</v>
      </c>
      <c r="L164" s="861">
        <f t="shared" si="69"/>
        <v>0.16</v>
      </c>
      <c r="M164" s="861">
        <f t="shared" si="69"/>
        <v>0.16</v>
      </c>
      <c r="N164" s="861">
        <f t="shared" si="69"/>
        <v>0.16</v>
      </c>
      <c r="O164" s="861">
        <f t="shared" si="69"/>
        <v>0.16</v>
      </c>
      <c r="P164" s="861">
        <f t="shared" si="69"/>
        <v>0.16</v>
      </c>
      <c r="Q164" s="861">
        <f t="shared" si="69"/>
        <v>0.16</v>
      </c>
      <c r="R164" s="861">
        <f t="shared" si="69"/>
        <v>0.16</v>
      </c>
      <c r="S164" s="861">
        <f t="shared" si="69"/>
        <v>0.16</v>
      </c>
      <c r="T164" s="855"/>
    </row>
    <row r="166" spans="2:20" ht="15.75" thickBot="1">
      <c r="B166" s="819" t="s">
        <v>763</v>
      </c>
      <c r="C166" s="820" t="s">
        <v>302</v>
      </c>
      <c r="D166" s="820" t="s">
        <v>301</v>
      </c>
      <c r="E166" s="820" t="s">
        <v>300</v>
      </c>
      <c r="F166" s="820" t="s">
        <v>312</v>
      </c>
      <c r="G166" s="820" t="s">
        <v>313</v>
      </c>
      <c r="H166" s="820" t="s">
        <v>323</v>
      </c>
      <c r="I166" s="820" t="s">
        <v>324</v>
      </c>
      <c r="J166" s="820" t="s">
        <v>325</v>
      </c>
      <c r="K166" s="820" t="s">
        <v>392</v>
      </c>
      <c r="L166" s="820" t="s">
        <v>393</v>
      </c>
      <c r="M166" s="820" t="s">
        <v>394</v>
      </c>
      <c r="N166" s="820" t="s">
        <v>395</v>
      </c>
      <c r="O166" s="820" t="s">
        <v>396</v>
      </c>
      <c r="P166" s="820" t="s">
        <v>397</v>
      </c>
      <c r="Q166" s="820" t="s">
        <v>398</v>
      </c>
      <c r="R166" s="820" t="s">
        <v>399</v>
      </c>
      <c r="S166" s="820" t="s">
        <v>400</v>
      </c>
    </row>
    <row r="167" spans="2:20" ht="15.75" thickTop="1">
      <c r="B167" s="821" t="s">
        <v>423</v>
      </c>
      <c r="C167" s="822"/>
      <c r="D167" s="823"/>
      <c r="E167" s="823"/>
      <c r="F167" s="823"/>
      <c r="G167" s="823"/>
      <c r="H167" s="823"/>
      <c r="I167" s="823">
        <f>'Bari - AD'!C32/1000000</f>
        <v>0</v>
      </c>
      <c r="J167" s="823">
        <f>'Bari - AD'!D32/1000000</f>
        <v>0</v>
      </c>
      <c r="K167" s="823">
        <f>'Bari - AD'!E32/1000000</f>
        <v>0</v>
      </c>
      <c r="L167" s="823">
        <f>'Bari - AD'!F32/1000000</f>
        <v>0</v>
      </c>
      <c r="M167" s="823">
        <f>'Bari - AD'!G32/1000000</f>
        <v>0</v>
      </c>
      <c r="N167" s="823">
        <f>'Bari - AD'!H32/1000000</f>
        <v>0</v>
      </c>
      <c r="O167" s="823">
        <f>'Bari - AD'!I32/1000000</f>
        <v>0</v>
      </c>
      <c r="P167" s="823">
        <f>'Bari - AD'!J32/1000000</f>
        <v>0</v>
      </c>
      <c r="Q167" s="823">
        <f>'Bari - AD'!K32/1000000</f>
        <v>0</v>
      </c>
      <c r="R167" s="823">
        <f>'Bari - AD'!L32/1000000</f>
        <v>0</v>
      </c>
      <c r="S167" s="823">
        <f>'Bari - AD'!M32/1000000</f>
        <v>0</v>
      </c>
    </row>
    <row r="168" spans="2:20">
      <c r="B168" s="824" t="s">
        <v>135</v>
      </c>
      <c r="C168" s="825"/>
      <c r="D168" s="823">
        <f>D167*D184</f>
        <v>0</v>
      </c>
      <c r="E168" s="823">
        <f>E167*E184</f>
        <v>0</v>
      </c>
      <c r="F168" s="823">
        <f t="shared" ref="F168:R168" si="70">F167*F184</f>
        <v>0</v>
      </c>
      <c r="G168" s="823">
        <f t="shared" si="70"/>
        <v>0</v>
      </c>
      <c r="H168" s="823">
        <f t="shared" si="70"/>
        <v>0</v>
      </c>
      <c r="I168" s="823">
        <f t="shared" si="70"/>
        <v>0</v>
      </c>
      <c r="J168" s="823">
        <f t="shared" si="70"/>
        <v>0</v>
      </c>
      <c r="K168" s="823">
        <f t="shared" si="70"/>
        <v>0</v>
      </c>
      <c r="L168" s="823">
        <f t="shared" si="70"/>
        <v>0</v>
      </c>
      <c r="M168" s="823">
        <f t="shared" si="70"/>
        <v>0</v>
      </c>
      <c r="N168" s="823">
        <f t="shared" si="70"/>
        <v>0</v>
      </c>
      <c r="O168" s="823">
        <f t="shared" si="70"/>
        <v>0</v>
      </c>
      <c r="P168" s="823">
        <f t="shared" si="70"/>
        <v>0</v>
      </c>
      <c r="Q168" s="823">
        <f t="shared" si="70"/>
        <v>0</v>
      </c>
      <c r="R168" s="823">
        <f t="shared" si="70"/>
        <v>0</v>
      </c>
      <c r="S168" s="823">
        <f>S167*S184</f>
        <v>0</v>
      </c>
    </row>
    <row r="169" spans="2:20">
      <c r="B169" s="824" t="s">
        <v>424</v>
      </c>
      <c r="C169" s="822"/>
      <c r="D169" s="823">
        <f t="shared" ref="D169:R169" si="71">D185*D167</f>
        <v>0</v>
      </c>
      <c r="E169" s="823">
        <f t="shared" si="71"/>
        <v>0</v>
      </c>
      <c r="F169" s="823">
        <f t="shared" si="71"/>
        <v>0</v>
      </c>
      <c r="G169" s="823">
        <f t="shared" si="71"/>
        <v>0</v>
      </c>
      <c r="H169" s="823">
        <f t="shared" si="71"/>
        <v>0</v>
      </c>
      <c r="I169" s="823">
        <f t="shared" si="71"/>
        <v>0</v>
      </c>
      <c r="J169" s="823">
        <f t="shared" si="71"/>
        <v>0</v>
      </c>
      <c r="K169" s="823">
        <f t="shared" si="71"/>
        <v>0</v>
      </c>
      <c r="L169" s="823">
        <f t="shared" si="71"/>
        <v>0</v>
      </c>
      <c r="M169" s="823">
        <f t="shared" si="71"/>
        <v>0</v>
      </c>
      <c r="N169" s="823">
        <f t="shared" si="71"/>
        <v>0</v>
      </c>
      <c r="O169" s="823">
        <f t="shared" si="71"/>
        <v>0</v>
      </c>
      <c r="P169" s="823">
        <f t="shared" si="71"/>
        <v>0</v>
      </c>
      <c r="Q169" s="823">
        <f t="shared" si="71"/>
        <v>0</v>
      </c>
      <c r="R169" s="823">
        <f t="shared" si="71"/>
        <v>0</v>
      </c>
      <c r="S169" s="823">
        <f>S185*S167</f>
        <v>0</v>
      </c>
    </row>
    <row r="170" spans="2:20">
      <c r="B170" s="826" t="s">
        <v>248</v>
      </c>
      <c r="C170" s="827">
        <f t="shared" ref="C170:S170" si="72">C167*C186</f>
        <v>0</v>
      </c>
      <c r="D170" s="827">
        <f t="shared" si="72"/>
        <v>0</v>
      </c>
      <c r="E170" s="827">
        <f t="shared" si="72"/>
        <v>0</v>
      </c>
      <c r="F170" s="827">
        <f t="shared" si="72"/>
        <v>0</v>
      </c>
      <c r="G170" s="827">
        <f t="shared" si="72"/>
        <v>0</v>
      </c>
      <c r="H170" s="827">
        <f t="shared" si="72"/>
        <v>0</v>
      </c>
      <c r="I170" s="827">
        <f t="shared" si="72"/>
        <v>0</v>
      </c>
      <c r="J170" s="827">
        <f t="shared" si="72"/>
        <v>0</v>
      </c>
      <c r="K170" s="827">
        <f t="shared" si="72"/>
        <v>0</v>
      </c>
      <c r="L170" s="827">
        <f t="shared" si="72"/>
        <v>0</v>
      </c>
      <c r="M170" s="827">
        <f t="shared" si="72"/>
        <v>0</v>
      </c>
      <c r="N170" s="827">
        <f t="shared" si="72"/>
        <v>0</v>
      </c>
      <c r="O170" s="827">
        <f t="shared" si="72"/>
        <v>0</v>
      </c>
      <c r="P170" s="827">
        <f t="shared" si="72"/>
        <v>0</v>
      </c>
      <c r="Q170" s="827">
        <f t="shared" si="72"/>
        <v>0</v>
      </c>
      <c r="R170" s="827">
        <f t="shared" si="72"/>
        <v>0</v>
      </c>
      <c r="S170" s="827">
        <f t="shared" si="72"/>
        <v>0</v>
      </c>
    </row>
    <row r="171" spans="2:20">
      <c r="B171" s="828" t="s">
        <v>425</v>
      </c>
      <c r="C171" s="829">
        <f>C167-C168-C169-C170</f>
        <v>0</v>
      </c>
      <c r="D171" s="823">
        <f t="shared" ref="D171:R171" si="73">D167-D168-D169-D170</f>
        <v>0</v>
      </c>
      <c r="E171" s="823">
        <f t="shared" si="73"/>
        <v>0</v>
      </c>
      <c r="F171" s="823">
        <f t="shared" si="73"/>
        <v>0</v>
      </c>
      <c r="G171" s="823">
        <f t="shared" si="73"/>
        <v>0</v>
      </c>
      <c r="H171" s="823">
        <f t="shared" si="73"/>
        <v>0</v>
      </c>
      <c r="I171" s="823">
        <f t="shared" si="73"/>
        <v>0</v>
      </c>
      <c r="J171" s="823">
        <f t="shared" si="73"/>
        <v>0</v>
      </c>
      <c r="K171" s="823">
        <f t="shared" si="73"/>
        <v>0</v>
      </c>
      <c r="L171" s="823">
        <f t="shared" si="73"/>
        <v>0</v>
      </c>
      <c r="M171" s="823">
        <f t="shared" si="73"/>
        <v>0</v>
      </c>
      <c r="N171" s="823">
        <f t="shared" si="73"/>
        <v>0</v>
      </c>
      <c r="O171" s="823">
        <f t="shared" si="73"/>
        <v>0</v>
      </c>
      <c r="P171" s="823">
        <f t="shared" si="73"/>
        <v>0</v>
      </c>
      <c r="Q171" s="823">
        <f t="shared" si="73"/>
        <v>0</v>
      </c>
      <c r="R171" s="823">
        <f t="shared" si="73"/>
        <v>0</v>
      </c>
      <c r="S171" s="823">
        <f>S167-S168-S169-S170</f>
        <v>0</v>
      </c>
    </row>
    <row r="172" spans="2:20" ht="15.75" thickBot="1">
      <c r="B172" s="830" t="s">
        <v>55</v>
      </c>
      <c r="C172" s="831"/>
      <c r="D172" s="823"/>
      <c r="E172" s="823"/>
      <c r="F172" s="823"/>
      <c r="G172" s="823">
        <f>G171*G187</f>
        <v>0</v>
      </c>
      <c r="H172" s="823">
        <f t="shared" ref="H172:R172" si="74">H171*H187</f>
        <v>0</v>
      </c>
      <c r="I172" s="823">
        <f t="shared" si="74"/>
        <v>0</v>
      </c>
      <c r="J172" s="823">
        <f t="shared" si="74"/>
        <v>0</v>
      </c>
      <c r="K172" s="823">
        <f t="shared" si="74"/>
        <v>0</v>
      </c>
      <c r="L172" s="823">
        <f t="shared" si="74"/>
        <v>0</v>
      </c>
      <c r="M172" s="823">
        <f t="shared" si="74"/>
        <v>0</v>
      </c>
      <c r="N172" s="823">
        <f t="shared" si="74"/>
        <v>0</v>
      </c>
      <c r="O172" s="823">
        <f t="shared" si="74"/>
        <v>0</v>
      </c>
      <c r="P172" s="823">
        <f t="shared" si="74"/>
        <v>0</v>
      </c>
      <c r="Q172" s="823">
        <f t="shared" si="74"/>
        <v>0</v>
      </c>
      <c r="R172" s="823">
        <f t="shared" si="74"/>
        <v>0</v>
      </c>
      <c r="S172" s="823">
        <f>S171*S187</f>
        <v>0</v>
      </c>
    </row>
    <row r="173" spans="2:20" ht="15.75" thickBot="1">
      <c r="B173" s="832" t="s">
        <v>426</v>
      </c>
      <c r="C173" s="833">
        <f>C171-C172</f>
        <v>0</v>
      </c>
      <c r="D173" s="833">
        <f>D171-D172</f>
        <v>0</v>
      </c>
      <c r="E173" s="833">
        <f t="shared" ref="E173:S173" si="75">E171-E172</f>
        <v>0</v>
      </c>
      <c r="F173" s="833">
        <f t="shared" si="75"/>
        <v>0</v>
      </c>
      <c r="G173" s="833">
        <f t="shared" si="75"/>
        <v>0</v>
      </c>
      <c r="H173" s="833">
        <f t="shared" si="75"/>
        <v>0</v>
      </c>
      <c r="I173" s="833">
        <f t="shared" si="75"/>
        <v>0</v>
      </c>
      <c r="J173" s="833">
        <f t="shared" si="75"/>
        <v>0</v>
      </c>
      <c r="K173" s="833">
        <f t="shared" si="75"/>
        <v>0</v>
      </c>
      <c r="L173" s="833">
        <f t="shared" si="75"/>
        <v>0</v>
      </c>
      <c r="M173" s="833">
        <f t="shared" si="75"/>
        <v>0</v>
      </c>
      <c r="N173" s="834">
        <f t="shared" si="75"/>
        <v>0</v>
      </c>
      <c r="O173" s="834">
        <f t="shared" si="75"/>
        <v>0</v>
      </c>
      <c r="P173" s="834">
        <f t="shared" si="75"/>
        <v>0</v>
      </c>
      <c r="Q173" s="834">
        <f t="shared" si="75"/>
        <v>0</v>
      </c>
      <c r="R173" s="834">
        <f t="shared" si="75"/>
        <v>0</v>
      </c>
      <c r="S173" s="834">
        <f t="shared" si="75"/>
        <v>0</v>
      </c>
      <c r="T173" s="835"/>
    </row>
    <row r="174" spans="2:20" ht="15.75" thickBot="1">
      <c r="E174" s="836"/>
      <c r="F174" s="836"/>
    </row>
    <row r="175" spans="2:20">
      <c r="B175" s="837" t="s">
        <v>427</v>
      </c>
      <c r="C175" s="838"/>
    </row>
    <row r="176" spans="2:20">
      <c r="B176" s="839" t="s">
        <v>428</v>
      </c>
      <c r="C176" s="840"/>
    </row>
    <row r="177" spans="2:20">
      <c r="B177" s="839" t="s">
        <v>429</v>
      </c>
      <c r="C177" s="841"/>
      <c r="E177" s="842" t="s">
        <v>430</v>
      </c>
    </row>
    <row r="178" spans="2:20" ht="15.75" thickBot="1">
      <c r="B178" s="839" t="s">
        <v>431</v>
      </c>
      <c r="C178" s="840">
        <v>300</v>
      </c>
      <c r="E178" s="842" t="s">
        <v>432</v>
      </c>
    </row>
    <row r="179" spans="2:20" ht="15.75" thickBot="1">
      <c r="B179" s="843" t="s">
        <v>432</v>
      </c>
      <c r="C179" s="844">
        <f>C178/$C$413</f>
        <v>1.4177693761814745</v>
      </c>
      <c r="E179" s="845">
        <f>C178/$C$413</f>
        <v>1.4177693761814745</v>
      </c>
      <c r="G179" s="817" t="s">
        <v>416</v>
      </c>
      <c r="H179" s="1286">
        <f>C178+C155</f>
        <v>507.86691989470035</v>
      </c>
    </row>
    <row r="180" spans="2:20" ht="15.75" thickBot="1">
      <c r="B180" s="846"/>
      <c r="C180" s="847"/>
    </row>
    <row r="181" spans="2:20" ht="15.75" thickBot="1">
      <c r="B181" s="848" t="s">
        <v>688</v>
      </c>
      <c r="C181" s="849">
        <v>0.24931845601992281</v>
      </c>
      <c r="D181" s="850">
        <f>NPV(C181,F173:T173)</f>
        <v>0</v>
      </c>
    </row>
    <row r="182" spans="2:20">
      <c r="B182" s="846"/>
      <c r="C182" s="847"/>
    </row>
    <row r="183" spans="2:20" s="852" customFormat="1" ht="15.75" thickBot="1">
      <c r="B183" s="819" t="s">
        <v>633</v>
      </c>
      <c r="C183" s="820" t="str">
        <f>C166</f>
        <v>2014E</v>
      </c>
      <c r="D183" s="820" t="str">
        <f t="shared" ref="D183:S183" si="76">D166</f>
        <v>2015E</v>
      </c>
      <c r="E183" s="820" t="str">
        <f t="shared" si="76"/>
        <v>2016E</v>
      </c>
      <c r="F183" s="820" t="str">
        <f t="shared" si="76"/>
        <v>2017E</v>
      </c>
      <c r="G183" s="820" t="str">
        <f t="shared" si="76"/>
        <v>2018E</v>
      </c>
      <c r="H183" s="820" t="str">
        <f t="shared" si="76"/>
        <v>2019E</v>
      </c>
      <c r="I183" s="820" t="str">
        <f t="shared" si="76"/>
        <v>2020E</v>
      </c>
      <c r="J183" s="820" t="str">
        <f t="shared" si="76"/>
        <v>2021E</v>
      </c>
      <c r="K183" s="820" t="str">
        <f t="shared" si="76"/>
        <v>2022E</v>
      </c>
      <c r="L183" s="820" t="str">
        <f t="shared" si="76"/>
        <v>2023E</v>
      </c>
      <c r="M183" s="820" t="str">
        <f t="shared" si="76"/>
        <v>2024E</v>
      </c>
      <c r="N183" s="820" t="str">
        <f t="shared" si="76"/>
        <v>2025E</v>
      </c>
      <c r="O183" s="820" t="str">
        <f t="shared" si="76"/>
        <v>2026E</v>
      </c>
      <c r="P183" s="820" t="str">
        <f t="shared" si="76"/>
        <v>2027E</v>
      </c>
      <c r="Q183" s="820" t="str">
        <f t="shared" si="76"/>
        <v>2028E</v>
      </c>
      <c r="R183" s="820" t="str">
        <f t="shared" si="76"/>
        <v>2029E</v>
      </c>
      <c r="S183" s="820" t="str">
        <f t="shared" si="76"/>
        <v>2030E</v>
      </c>
      <c r="T183" s="851"/>
    </row>
    <row r="184" spans="2:20" s="852" customFormat="1" ht="15.75" thickTop="1">
      <c r="B184" s="853" t="s">
        <v>467</v>
      </c>
      <c r="C184" s="854">
        <f>C161</f>
        <v>0</v>
      </c>
      <c r="D184" s="854">
        <f t="shared" ref="D184:S184" si="77">D161</f>
        <v>0</v>
      </c>
      <c r="E184" s="854">
        <f t="shared" si="77"/>
        <v>0</v>
      </c>
      <c r="F184" s="854">
        <f t="shared" si="77"/>
        <v>0</v>
      </c>
      <c r="G184" s="854">
        <f t="shared" si="77"/>
        <v>0</v>
      </c>
      <c r="H184" s="854">
        <f t="shared" si="77"/>
        <v>0</v>
      </c>
      <c r="I184" s="854">
        <f t="shared" si="77"/>
        <v>0</v>
      </c>
      <c r="J184" s="854">
        <f t="shared" si="77"/>
        <v>0</v>
      </c>
      <c r="K184" s="854">
        <f t="shared" si="77"/>
        <v>0</v>
      </c>
      <c r="L184" s="854">
        <f t="shared" si="77"/>
        <v>0</v>
      </c>
      <c r="M184" s="854">
        <f t="shared" si="77"/>
        <v>0</v>
      </c>
      <c r="N184" s="854">
        <f t="shared" si="77"/>
        <v>0</v>
      </c>
      <c r="O184" s="854">
        <f t="shared" si="77"/>
        <v>0</v>
      </c>
      <c r="P184" s="854">
        <f t="shared" si="77"/>
        <v>0</v>
      </c>
      <c r="Q184" s="854">
        <f t="shared" si="77"/>
        <v>0</v>
      </c>
      <c r="R184" s="854">
        <f t="shared" si="77"/>
        <v>0</v>
      </c>
      <c r="S184" s="854">
        <f t="shared" si="77"/>
        <v>0</v>
      </c>
      <c r="T184" s="855"/>
    </row>
    <row r="185" spans="2:20" s="852" customFormat="1">
      <c r="B185" s="856" t="s">
        <v>468</v>
      </c>
      <c r="C185" s="857">
        <f t="shared" ref="C185:S185" si="78">C162</f>
        <v>0</v>
      </c>
      <c r="D185" s="857">
        <f t="shared" si="78"/>
        <v>0</v>
      </c>
      <c r="E185" s="857">
        <f t="shared" si="78"/>
        <v>0</v>
      </c>
      <c r="F185" s="857">
        <f t="shared" si="78"/>
        <v>0</v>
      </c>
      <c r="G185" s="857">
        <f t="shared" si="78"/>
        <v>0</v>
      </c>
      <c r="H185" s="857">
        <f t="shared" si="78"/>
        <v>0</v>
      </c>
      <c r="I185" s="857">
        <f t="shared" si="78"/>
        <v>0</v>
      </c>
      <c r="J185" s="857">
        <f t="shared" si="78"/>
        <v>0</v>
      </c>
      <c r="K185" s="857">
        <f t="shared" si="78"/>
        <v>0</v>
      </c>
      <c r="L185" s="857">
        <f t="shared" si="78"/>
        <v>0</v>
      </c>
      <c r="M185" s="857">
        <f t="shared" si="78"/>
        <v>0</v>
      </c>
      <c r="N185" s="857">
        <f t="shared" si="78"/>
        <v>0</v>
      </c>
      <c r="O185" s="857">
        <f t="shared" si="78"/>
        <v>0</v>
      </c>
      <c r="P185" s="857">
        <f t="shared" si="78"/>
        <v>0</v>
      </c>
      <c r="Q185" s="857">
        <f t="shared" si="78"/>
        <v>0</v>
      </c>
      <c r="R185" s="857">
        <f t="shared" si="78"/>
        <v>0</v>
      </c>
      <c r="S185" s="857">
        <f t="shared" si="78"/>
        <v>0</v>
      </c>
      <c r="T185" s="855"/>
    </row>
    <row r="186" spans="2:20" s="852" customFormat="1">
      <c r="B186" s="856" t="s">
        <v>469</v>
      </c>
      <c r="C186" s="857">
        <f t="shared" ref="C186:S186" si="79">C163</f>
        <v>0</v>
      </c>
      <c r="D186" s="857">
        <f t="shared" si="79"/>
        <v>0</v>
      </c>
      <c r="E186" s="857">
        <f t="shared" si="79"/>
        <v>0</v>
      </c>
      <c r="F186" s="857">
        <f t="shared" si="79"/>
        <v>0</v>
      </c>
      <c r="G186" s="857">
        <f t="shared" si="79"/>
        <v>0</v>
      </c>
      <c r="H186" s="857">
        <f t="shared" si="79"/>
        <v>0</v>
      </c>
      <c r="I186" s="857">
        <f t="shared" si="79"/>
        <v>0</v>
      </c>
      <c r="J186" s="857">
        <f t="shared" si="79"/>
        <v>0</v>
      </c>
      <c r="K186" s="857">
        <f t="shared" si="79"/>
        <v>0</v>
      </c>
      <c r="L186" s="857">
        <f t="shared" si="79"/>
        <v>0</v>
      </c>
      <c r="M186" s="857">
        <f t="shared" si="79"/>
        <v>0</v>
      </c>
      <c r="N186" s="857">
        <f t="shared" si="79"/>
        <v>0</v>
      </c>
      <c r="O186" s="857">
        <f t="shared" si="79"/>
        <v>0</v>
      </c>
      <c r="P186" s="857">
        <f t="shared" si="79"/>
        <v>0</v>
      </c>
      <c r="Q186" s="857">
        <f t="shared" si="79"/>
        <v>0</v>
      </c>
      <c r="R186" s="857">
        <f t="shared" si="79"/>
        <v>0</v>
      </c>
      <c r="S186" s="857">
        <f t="shared" si="79"/>
        <v>0</v>
      </c>
      <c r="T186" s="855"/>
    </row>
    <row r="187" spans="2:20" s="852" customFormat="1">
      <c r="B187" s="858" t="s">
        <v>55</v>
      </c>
      <c r="C187" s="860">
        <f t="shared" ref="C187:S187" si="80">C164</f>
        <v>0</v>
      </c>
      <c r="D187" s="860">
        <f t="shared" si="80"/>
        <v>0</v>
      </c>
      <c r="E187" s="860">
        <f t="shared" si="80"/>
        <v>0</v>
      </c>
      <c r="F187" s="860">
        <f t="shared" si="80"/>
        <v>0</v>
      </c>
      <c r="G187" s="860">
        <f t="shared" si="80"/>
        <v>0</v>
      </c>
      <c r="H187" s="861">
        <f t="shared" si="80"/>
        <v>0</v>
      </c>
      <c r="I187" s="861">
        <f t="shared" si="80"/>
        <v>0.13</v>
      </c>
      <c r="J187" s="861">
        <f t="shared" si="80"/>
        <v>0.16</v>
      </c>
      <c r="K187" s="861">
        <f t="shared" si="80"/>
        <v>0.16</v>
      </c>
      <c r="L187" s="861">
        <f t="shared" si="80"/>
        <v>0.16</v>
      </c>
      <c r="M187" s="861">
        <f t="shared" si="80"/>
        <v>0.16</v>
      </c>
      <c r="N187" s="861">
        <f t="shared" si="80"/>
        <v>0.16</v>
      </c>
      <c r="O187" s="861">
        <f t="shared" si="80"/>
        <v>0.16</v>
      </c>
      <c r="P187" s="861">
        <f t="shared" si="80"/>
        <v>0.16</v>
      </c>
      <c r="Q187" s="861">
        <f t="shared" si="80"/>
        <v>0.16</v>
      </c>
      <c r="R187" s="861">
        <f t="shared" si="80"/>
        <v>0.16</v>
      </c>
      <c r="S187" s="861">
        <f t="shared" si="80"/>
        <v>0.16</v>
      </c>
      <c r="T187" s="855"/>
    </row>
    <row r="189" spans="2:20" ht="15.75" thickBot="1">
      <c r="B189" s="819" t="s">
        <v>422</v>
      </c>
      <c r="C189" s="820" t="s">
        <v>302</v>
      </c>
      <c r="D189" s="820" t="s">
        <v>301</v>
      </c>
      <c r="E189" s="820" t="s">
        <v>300</v>
      </c>
      <c r="F189" s="820" t="s">
        <v>312</v>
      </c>
      <c r="G189" s="820" t="s">
        <v>313</v>
      </c>
      <c r="H189" s="820" t="s">
        <v>323</v>
      </c>
      <c r="I189" s="820" t="s">
        <v>324</v>
      </c>
      <c r="J189" s="820" t="s">
        <v>325</v>
      </c>
      <c r="K189" s="820" t="s">
        <v>392</v>
      </c>
      <c r="L189" s="820" t="s">
        <v>393</v>
      </c>
      <c r="M189" s="820" t="s">
        <v>394</v>
      </c>
      <c r="N189" s="820" t="s">
        <v>395</v>
      </c>
      <c r="O189" s="820" t="s">
        <v>396</v>
      </c>
      <c r="P189" s="820" t="s">
        <v>397</v>
      </c>
      <c r="Q189" s="820" t="s">
        <v>398</v>
      </c>
      <c r="R189" s="820" t="s">
        <v>399</v>
      </c>
      <c r="S189" s="820" t="s">
        <v>400</v>
      </c>
    </row>
    <row r="190" spans="2:20" ht="15.75" thickTop="1">
      <c r="B190" s="821" t="s">
        <v>423</v>
      </c>
      <c r="C190" s="823">
        <f>Epacadostat!E6</f>
        <v>0</v>
      </c>
      <c r="D190" s="823">
        <f>Epacadostat!F6</f>
        <v>0</v>
      </c>
      <c r="E190" s="823">
        <f>Epacadostat!G6</f>
        <v>0</v>
      </c>
      <c r="F190" s="823">
        <f>Epacadostat!H6</f>
        <v>0</v>
      </c>
      <c r="G190" s="823">
        <f>Epacadostat!I6</f>
        <v>0</v>
      </c>
      <c r="H190" s="823">
        <v>0</v>
      </c>
      <c r="I190" s="823">
        <v>0</v>
      </c>
      <c r="J190" s="823">
        <v>0</v>
      </c>
      <c r="K190" s="823">
        <v>0</v>
      </c>
      <c r="L190" s="823">
        <v>0</v>
      </c>
      <c r="M190" s="823">
        <v>0</v>
      </c>
      <c r="N190" s="823">
        <v>0</v>
      </c>
      <c r="O190" s="823">
        <v>0</v>
      </c>
      <c r="P190" s="823">
        <v>0</v>
      </c>
      <c r="Q190" s="823">
        <v>0</v>
      </c>
      <c r="R190" s="823">
        <v>0</v>
      </c>
      <c r="S190" s="823">
        <v>0</v>
      </c>
    </row>
    <row r="191" spans="2:20">
      <c r="B191" s="824" t="s">
        <v>135</v>
      </c>
      <c r="C191" s="823">
        <f>C190*C207</f>
        <v>0</v>
      </c>
      <c r="D191" s="823">
        <f>D190*D207</f>
        <v>0</v>
      </c>
      <c r="E191" s="823">
        <f>E190*E207</f>
        <v>0</v>
      </c>
      <c r="F191" s="823">
        <f t="shared" ref="F191:R191" si="81">F190*F207</f>
        <v>0</v>
      </c>
      <c r="G191" s="823">
        <f t="shared" si="81"/>
        <v>0</v>
      </c>
      <c r="H191" s="823">
        <f t="shared" si="81"/>
        <v>0</v>
      </c>
      <c r="I191" s="823">
        <f t="shared" si="81"/>
        <v>0</v>
      </c>
      <c r="J191" s="823">
        <f t="shared" si="81"/>
        <v>0</v>
      </c>
      <c r="K191" s="823">
        <f t="shared" si="81"/>
        <v>0</v>
      </c>
      <c r="L191" s="823">
        <f t="shared" si="81"/>
        <v>0</v>
      </c>
      <c r="M191" s="823">
        <f t="shared" si="81"/>
        <v>0</v>
      </c>
      <c r="N191" s="823">
        <f t="shared" si="81"/>
        <v>0</v>
      </c>
      <c r="O191" s="823">
        <f t="shared" si="81"/>
        <v>0</v>
      </c>
      <c r="P191" s="823">
        <f t="shared" si="81"/>
        <v>0</v>
      </c>
      <c r="Q191" s="823">
        <f t="shared" si="81"/>
        <v>0</v>
      </c>
      <c r="R191" s="823">
        <f t="shared" si="81"/>
        <v>0</v>
      </c>
      <c r="S191" s="823">
        <f>S190*S207</f>
        <v>0</v>
      </c>
    </row>
    <row r="192" spans="2:20">
      <c r="B192" s="824" t="s">
        <v>424</v>
      </c>
      <c r="C192" s="823">
        <f>C208*C190</f>
        <v>0</v>
      </c>
      <c r="D192" s="823">
        <f t="shared" ref="D192:R192" si="82">D208*D190</f>
        <v>0</v>
      </c>
      <c r="E192" s="823">
        <f t="shared" si="82"/>
        <v>0</v>
      </c>
      <c r="F192" s="823">
        <f t="shared" si="82"/>
        <v>0</v>
      </c>
      <c r="G192" s="823">
        <f t="shared" si="82"/>
        <v>0</v>
      </c>
      <c r="H192" s="823">
        <f t="shared" si="82"/>
        <v>0</v>
      </c>
      <c r="I192" s="823">
        <f t="shared" si="82"/>
        <v>0</v>
      </c>
      <c r="J192" s="823">
        <f t="shared" si="82"/>
        <v>0</v>
      </c>
      <c r="K192" s="823">
        <f t="shared" si="82"/>
        <v>0</v>
      </c>
      <c r="L192" s="823">
        <f t="shared" si="82"/>
        <v>0</v>
      </c>
      <c r="M192" s="823">
        <f t="shared" si="82"/>
        <v>0</v>
      </c>
      <c r="N192" s="823">
        <f t="shared" si="82"/>
        <v>0</v>
      </c>
      <c r="O192" s="823">
        <f t="shared" si="82"/>
        <v>0</v>
      </c>
      <c r="P192" s="823">
        <f t="shared" si="82"/>
        <v>0</v>
      </c>
      <c r="Q192" s="823">
        <f t="shared" si="82"/>
        <v>0</v>
      </c>
      <c r="R192" s="823">
        <f t="shared" si="82"/>
        <v>0</v>
      </c>
      <c r="S192" s="823">
        <f>S208*S190</f>
        <v>0</v>
      </c>
    </row>
    <row r="193" spans="2:20">
      <c r="B193" s="1377" t="s">
        <v>248</v>
      </c>
      <c r="C193" s="827">
        <f>C190*C209</f>
        <v>0</v>
      </c>
      <c r="D193" s="827">
        <f>D190*D209</f>
        <v>0</v>
      </c>
      <c r="E193" s="827">
        <v>20</v>
      </c>
      <c r="F193" s="827">
        <v>20</v>
      </c>
      <c r="G193" s="827">
        <v>20</v>
      </c>
      <c r="H193" s="827">
        <v>20</v>
      </c>
      <c r="I193" s="827">
        <f t="shared" ref="I193:S193" si="83">I190*I209</f>
        <v>0</v>
      </c>
      <c r="J193" s="827">
        <f t="shared" si="83"/>
        <v>0</v>
      </c>
      <c r="K193" s="827">
        <f t="shared" si="83"/>
        <v>0</v>
      </c>
      <c r="L193" s="827">
        <f t="shared" si="83"/>
        <v>0</v>
      </c>
      <c r="M193" s="827">
        <f t="shared" si="83"/>
        <v>0</v>
      </c>
      <c r="N193" s="827">
        <f t="shared" si="83"/>
        <v>0</v>
      </c>
      <c r="O193" s="827">
        <f t="shared" si="83"/>
        <v>0</v>
      </c>
      <c r="P193" s="827">
        <f t="shared" si="83"/>
        <v>0</v>
      </c>
      <c r="Q193" s="827">
        <f t="shared" si="83"/>
        <v>0</v>
      </c>
      <c r="R193" s="827">
        <f t="shared" si="83"/>
        <v>0</v>
      </c>
      <c r="S193" s="827">
        <f t="shared" si="83"/>
        <v>0</v>
      </c>
    </row>
    <row r="194" spans="2:20">
      <c r="B194" s="828" t="s">
        <v>425</v>
      </c>
      <c r="C194" s="829">
        <f>C190-C191-C192-C193</f>
        <v>0</v>
      </c>
      <c r="D194" s="823">
        <f t="shared" ref="D194:R194" si="84">D190-D191-D192-D193</f>
        <v>0</v>
      </c>
      <c r="E194" s="823">
        <f t="shared" si="84"/>
        <v>-20</v>
      </c>
      <c r="F194" s="823">
        <f t="shared" si="84"/>
        <v>-20</v>
      </c>
      <c r="G194" s="823">
        <f t="shared" si="84"/>
        <v>-20</v>
      </c>
      <c r="H194" s="823">
        <f t="shared" si="84"/>
        <v>-20</v>
      </c>
      <c r="I194" s="823">
        <f t="shared" si="84"/>
        <v>0</v>
      </c>
      <c r="J194" s="823">
        <f t="shared" si="84"/>
        <v>0</v>
      </c>
      <c r="K194" s="823">
        <f t="shared" si="84"/>
        <v>0</v>
      </c>
      <c r="L194" s="823">
        <f t="shared" si="84"/>
        <v>0</v>
      </c>
      <c r="M194" s="823">
        <f t="shared" si="84"/>
        <v>0</v>
      </c>
      <c r="N194" s="823">
        <f t="shared" si="84"/>
        <v>0</v>
      </c>
      <c r="O194" s="823">
        <f t="shared" si="84"/>
        <v>0</v>
      </c>
      <c r="P194" s="823">
        <f t="shared" si="84"/>
        <v>0</v>
      </c>
      <c r="Q194" s="823">
        <f t="shared" si="84"/>
        <v>0</v>
      </c>
      <c r="R194" s="823">
        <f t="shared" si="84"/>
        <v>0</v>
      </c>
      <c r="S194" s="823">
        <f>S190-S191-S192-S193</f>
        <v>0</v>
      </c>
    </row>
    <row r="195" spans="2:20" ht="15.75" thickBot="1">
      <c r="B195" s="830" t="s">
        <v>55</v>
      </c>
      <c r="C195" s="831"/>
      <c r="D195" s="823"/>
      <c r="E195" s="823"/>
      <c r="F195" s="823"/>
      <c r="G195" s="823">
        <f>G194*G210</f>
        <v>0</v>
      </c>
      <c r="H195" s="823">
        <f t="shared" ref="H195:R195" si="85">H194*H210</f>
        <v>0</v>
      </c>
      <c r="I195" s="823">
        <f t="shared" si="85"/>
        <v>0</v>
      </c>
      <c r="J195" s="823">
        <f t="shared" si="85"/>
        <v>0</v>
      </c>
      <c r="K195" s="823">
        <f t="shared" si="85"/>
        <v>0</v>
      </c>
      <c r="L195" s="823">
        <f t="shared" si="85"/>
        <v>0</v>
      </c>
      <c r="M195" s="823">
        <f t="shared" si="85"/>
        <v>0</v>
      </c>
      <c r="N195" s="823">
        <f t="shared" si="85"/>
        <v>0</v>
      </c>
      <c r="O195" s="823">
        <f t="shared" si="85"/>
        <v>0</v>
      </c>
      <c r="P195" s="823">
        <f t="shared" si="85"/>
        <v>0</v>
      </c>
      <c r="Q195" s="823">
        <f t="shared" si="85"/>
        <v>0</v>
      </c>
      <c r="R195" s="823">
        <f t="shared" si="85"/>
        <v>0</v>
      </c>
      <c r="S195" s="823">
        <f>S194*S210</f>
        <v>0</v>
      </c>
    </row>
    <row r="196" spans="2:20" ht="15.75" thickBot="1">
      <c r="B196" s="832" t="s">
        <v>426</v>
      </c>
      <c r="C196" s="833">
        <f>C194-C195</f>
        <v>0</v>
      </c>
      <c r="D196" s="833">
        <f>D194-D195</f>
        <v>0</v>
      </c>
      <c r="E196" s="833">
        <f t="shared" ref="E196:S196" si="86">E194-E195</f>
        <v>-20</v>
      </c>
      <c r="F196" s="833">
        <f t="shared" si="86"/>
        <v>-20</v>
      </c>
      <c r="G196" s="833">
        <f t="shared" si="86"/>
        <v>-20</v>
      </c>
      <c r="H196" s="833">
        <f t="shared" si="86"/>
        <v>-20</v>
      </c>
      <c r="I196" s="833">
        <f t="shared" si="86"/>
        <v>0</v>
      </c>
      <c r="J196" s="833">
        <f t="shared" si="86"/>
        <v>0</v>
      </c>
      <c r="K196" s="833">
        <f t="shared" si="86"/>
        <v>0</v>
      </c>
      <c r="L196" s="833">
        <f t="shared" si="86"/>
        <v>0</v>
      </c>
      <c r="M196" s="833">
        <f t="shared" si="86"/>
        <v>0</v>
      </c>
      <c r="N196" s="834">
        <f t="shared" si="86"/>
        <v>0</v>
      </c>
      <c r="O196" s="834">
        <f t="shared" si="86"/>
        <v>0</v>
      </c>
      <c r="P196" s="834">
        <f t="shared" si="86"/>
        <v>0</v>
      </c>
      <c r="Q196" s="834">
        <f t="shared" si="86"/>
        <v>0</v>
      </c>
      <c r="R196" s="834">
        <f t="shared" si="86"/>
        <v>0</v>
      </c>
      <c r="S196" s="834">
        <f t="shared" si="86"/>
        <v>0</v>
      </c>
      <c r="T196" s="835"/>
    </row>
    <row r="197" spans="2:20" ht="15.75" thickBot="1">
      <c r="E197" s="836"/>
      <c r="F197" s="836"/>
    </row>
    <row r="198" spans="2:20">
      <c r="B198" s="837" t="s">
        <v>427</v>
      </c>
      <c r="C198" s="838">
        <f>T196</f>
        <v>0</v>
      </c>
    </row>
    <row r="199" spans="2:20">
      <c r="B199" s="839" t="s">
        <v>428</v>
      </c>
      <c r="C199" s="840">
        <v>0</v>
      </c>
    </row>
    <row r="200" spans="2:20">
      <c r="B200" s="839" t="s">
        <v>429</v>
      </c>
      <c r="C200" s="841">
        <v>0</v>
      </c>
      <c r="E200" s="842" t="s">
        <v>430</v>
      </c>
    </row>
    <row r="201" spans="2:20" ht="15.75" thickBot="1">
      <c r="B201" s="839" t="s">
        <v>431</v>
      </c>
      <c r="C201" s="840">
        <v>0</v>
      </c>
      <c r="E201" s="842" t="s">
        <v>432</v>
      </c>
    </row>
    <row r="202" spans="2:20" ht="15.75" thickBot="1">
      <c r="B202" s="843" t="s">
        <v>432</v>
      </c>
      <c r="C202" s="844">
        <f>C201/$C$413</f>
        <v>0</v>
      </c>
      <c r="E202" s="845">
        <f>C199/$C$413</f>
        <v>0</v>
      </c>
    </row>
    <row r="203" spans="2:20" ht="15.75" thickBot="1">
      <c r="B203" s="846"/>
      <c r="C203" s="847"/>
    </row>
    <row r="204" spans="2:20" ht="15.75" thickBot="1">
      <c r="B204" s="848" t="s">
        <v>689</v>
      </c>
      <c r="C204" s="849">
        <v>0.10153106914434466</v>
      </c>
      <c r="D204" s="850">
        <f>NPV(C204,F196:T196)</f>
        <v>-49.603281170368618</v>
      </c>
    </row>
    <row r="205" spans="2:20">
      <c r="B205" s="846"/>
      <c r="C205" s="847"/>
    </row>
    <row r="206" spans="2:20" s="852" customFormat="1" ht="15.75" thickBot="1">
      <c r="B206" s="819" t="s">
        <v>675</v>
      </c>
      <c r="C206" s="820" t="str">
        <f>C189</f>
        <v>2014E</v>
      </c>
      <c r="D206" s="820" t="str">
        <f t="shared" ref="D206:S206" si="87">D189</f>
        <v>2015E</v>
      </c>
      <c r="E206" s="820" t="str">
        <f t="shared" si="87"/>
        <v>2016E</v>
      </c>
      <c r="F206" s="820" t="str">
        <f t="shared" si="87"/>
        <v>2017E</v>
      </c>
      <c r="G206" s="820" t="str">
        <f t="shared" si="87"/>
        <v>2018E</v>
      </c>
      <c r="H206" s="820" t="str">
        <f t="shared" si="87"/>
        <v>2019E</v>
      </c>
      <c r="I206" s="820" t="str">
        <f t="shared" si="87"/>
        <v>2020E</v>
      </c>
      <c r="J206" s="820" t="str">
        <f t="shared" si="87"/>
        <v>2021E</v>
      </c>
      <c r="K206" s="820" t="str">
        <f t="shared" si="87"/>
        <v>2022E</v>
      </c>
      <c r="L206" s="820" t="str">
        <f t="shared" si="87"/>
        <v>2023E</v>
      </c>
      <c r="M206" s="820" t="str">
        <f t="shared" si="87"/>
        <v>2024E</v>
      </c>
      <c r="N206" s="820" t="str">
        <f t="shared" si="87"/>
        <v>2025E</v>
      </c>
      <c r="O206" s="820" t="str">
        <f t="shared" si="87"/>
        <v>2026E</v>
      </c>
      <c r="P206" s="820" t="str">
        <f t="shared" si="87"/>
        <v>2027E</v>
      </c>
      <c r="Q206" s="820" t="str">
        <f t="shared" si="87"/>
        <v>2028E</v>
      </c>
      <c r="R206" s="820" t="str">
        <f t="shared" si="87"/>
        <v>2029E</v>
      </c>
      <c r="S206" s="820" t="str">
        <f t="shared" si="87"/>
        <v>2030E</v>
      </c>
      <c r="T206" s="851"/>
    </row>
    <row r="207" spans="2:20" s="852" customFormat="1" ht="15.75" thickTop="1">
      <c r="B207" s="853" t="s">
        <v>467</v>
      </c>
      <c r="C207" s="854"/>
      <c r="D207" s="854"/>
      <c r="E207" s="854"/>
      <c r="F207" s="854"/>
      <c r="G207" s="854">
        <v>7.0000000000000007E-2</v>
      </c>
      <c r="H207" s="854">
        <v>7.0000000000000007E-2</v>
      </c>
      <c r="I207" s="854">
        <f>H207</f>
        <v>7.0000000000000007E-2</v>
      </c>
      <c r="J207" s="854">
        <f t="shared" ref="J207:S207" si="88">I207</f>
        <v>7.0000000000000007E-2</v>
      </c>
      <c r="K207" s="854">
        <f t="shared" si="88"/>
        <v>7.0000000000000007E-2</v>
      </c>
      <c r="L207" s="854">
        <f t="shared" si="88"/>
        <v>7.0000000000000007E-2</v>
      </c>
      <c r="M207" s="854">
        <f t="shared" si="88"/>
        <v>7.0000000000000007E-2</v>
      </c>
      <c r="N207" s="854">
        <f t="shared" si="88"/>
        <v>7.0000000000000007E-2</v>
      </c>
      <c r="O207" s="854">
        <f t="shared" si="88"/>
        <v>7.0000000000000007E-2</v>
      </c>
      <c r="P207" s="854">
        <f t="shared" si="88"/>
        <v>7.0000000000000007E-2</v>
      </c>
      <c r="Q207" s="854">
        <f t="shared" si="88"/>
        <v>7.0000000000000007E-2</v>
      </c>
      <c r="R207" s="854">
        <f t="shared" si="88"/>
        <v>7.0000000000000007E-2</v>
      </c>
      <c r="S207" s="854">
        <f t="shared" si="88"/>
        <v>7.0000000000000007E-2</v>
      </c>
      <c r="T207" s="855"/>
    </row>
    <row r="208" spans="2:20" s="852" customFormat="1">
      <c r="B208" s="856" t="s">
        <v>468</v>
      </c>
      <c r="C208" s="857"/>
      <c r="D208" s="857"/>
      <c r="E208" s="857"/>
      <c r="F208" s="857"/>
      <c r="G208" s="857"/>
      <c r="H208" s="857">
        <v>0.23</v>
      </c>
      <c r="I208" s="857">
        <v>0.22</v>
      </c>
      <c r="J208" s="857">
        <v>0.21</v>
      </c>
      <c r="K208" s="857">
        <v>0.2</v>
      </c>
      <c r="L208" s="857">
        <v>0.19</v>
      </c>
      <c r="M208" s="857">
        <v>0.18</v>
      </c>
      <c r="N208" s="857">
        <v>0.17</v>
      </c>
      <c r="O208" s="857">
        <v>0.16</v>
      </c>
      <c r="P208" s="857">
        <v>0.15</v>
      </c>
      <c r="Q208" s="857">
        <v>0.14000000000000001</v>
      </c>
      <c r="R208" s="857">
        <f>Q208</f>
        <v>0.14000000000000001</v>
      </c>
      <c r="S208" s="857">
        <f>R208</f>
        <v>0.14000000000000001</v>
      </c>
      <c r="T208" s="855"/>
    </row>
    <row r="209" spans="2:20" s="852" customFormat="1">
      <c r="B209" s="856" t="s">
        <v>469</v>
      </c>
      <c r="C209" s="857"/>
      <c r="D209" s="857"/>
      <c r="E209" s="857"/>
      <c r="F209" s="857"/>
      <c r="G209" s="857">
        <v>0.15</v>
      </c>
      <c r="H209" s="857">
        <v>0.13</v>
      </c>
      <c r="I209" s="857">
        <v>0.11</v>
      </c>
      <c r="J209" s="857">
        <v>0.1</v>
      </c>
      <c r="K209" s="857">
        <v>0.09</v>
      </c>
      <c r="L209" s="857">
        <v>0.08</v>
      </c>
      <c r="M209" s="857">
        <v>7.0000000000000007E-2</v>
      </c>
      <c r="N209" s="857">
        <v>0.06</v>
      </c>
      <c r="O209" s="857">
        <v>0.05</v>
      </c>
      <c r="P209" s="857">
        <v>4.4999999999999998E-2</v>
      </c>
      <c r="Q209" s="857">
        <v>0.04</v>
      </c>
      <c r="R209" s="857">
        <v>3.5000000000000003E-2</v>
      </c>
      <c r="S209" s="857">
        <f>R209</f>
        <v>3.5000000000000003E-2</v>
      </c>
      <c r="T209" s="855"/>
    </row>
    <row r="210" spans="2:20" s="852" customFormat="1">
      <c r="B210" s="858" t="s">
        <v>55</v>
      </c>
      <c r="C210" s="860">
        <f>C26</f>
        <v>0</v>
      </c>
      <c r="D210" s="860">
        <f>D26</f>
        <v>0</v>
      </c>
      <c r="E210" s="860">
        <f>E26</f>
        <v>0</v>
      </c>
      <c r="F210" s="860">
        <f>F26</f>
        <v>0</v>
      </c>
      <c r="G210" s="860">
        <f t="shared" ref="G210:S210" si="89">G26</f>
        <v>0</v>
      </c>
      <c r="H210" s="860">
        <f t="shared" si="89"/>
        <v>0</v>
      </c>
      <c r="I210" s="860">
        <f t="shared" si="89"/>
        <v>0.13</v>
      </c>
      <c r="J210" s="860">
        <f t="shared" si="89"/>
        <v>0.16</v>
      </c>
      <c r="K210" s="860">
        <f t="shared" si="89"/>
        <v>0.16</v>
      </c>
      <c r="L210" s="860">
        <f t="shared" si="89"/>
        <v>0.16</v>
      </c>
      <c r="M210" s="860">
        <f t="shared" si="89"/>
        <v>0.16</v>
      </c>
      <c r="N210" s="860">
        <f t="shared" si="89"/>
        <v>0.16</v>
      </c>
      <c r="O210" s="860">
        <f t="shared" si="89"/>
        <v>0.16</v>
      </c>
      <c r="P210" s="860">
        <f t="shared" si="89"/>
        <v>0.16</v>
      </c>
      <c r="Q210" s="860">
        <f t="shared" si="89"/>
        <v>0.16</v>
      </c>
      <c r="R210" s="860">
        <f t="shared" si="89"/>
        <v>0.16</v>
      </c>
      <c r="S210" s="860">
        <f t="shared" si="89"/>
        <v>0.16</v>
      </c>
      <c r="T210" s="855"/>
    </row>
    <row r="212" spans="2:20" ht="15.75" thickBot="1">
      <c r="B212" s="819" t="s">
        <v>849</v>
      </c>
      <c r="C212" s="820" t="s">
        <v>302</v>
      </c>
      <c r="D212" s="820" t="s">
        <v>301</v>
      </c>
      <c r="E212" s="820" t="s">
        <v>300</v>
      </c>
      <c r="F212" s="820" t="s">
        <v>312</v>
      </c>
      <c r="G212" s="820" t="s">
        <v>313</v>
      </c>
      <c r="H212" s="820" t="s">
        <v>323</v>
      </c>
      <c r="I212" s="820" t="s">
        <v>324</v>
      </c>
      <c r="J212" s="820" t="s">
        <v>325</v>
      </c>
      <c r="K212" s="820" t="s">
        <v>392</v>
      </c>
      <c r="L212" s="820" t="s">
        <v>393</v>
      </c>
      <c r="M212" s="820" t="s">
        <v>394</v>
      </c>
      <c r="N212" s="820" t="s">
        <v>395</v>
      </c>
      <c r="O212" s="820" t="s">
        <v>396</v>
      </c>
      <c r="P212" s="820" t="s">
        <v>397</v>
      </c>
      <c r="Q212" s="820" t="s">
        <v>398</v>
      </c>
      <c r="R212" s="820" t="s">
        <v>399</v>
      </c>
      <c r="S212" s="820" t="s">
        <v>400</v>
      </c>
    </row>
    <row r="213" spans="2:20" ht="15.75" thickTop="1">
      <c r="B213" s="821" t="s">
        <v>423</v>
      </c>
      <c r="C213" s="823">
        <f>Epacadostat!E8</f>
        <v>0</v>
      </c>
      <c r="D213" s="823">
        <f>Epacadostat!F8</f>
        <v>0</v>
      </c>
      <c r="E213" s="823">
        <f>Epacadostat!G8</f>
        <v>0</v>
      </c>
      <c r="F213" s="823">
        <f>Epacadostat!H8</f>
        <v>0</v>
      </c>
      <c r="G213" s="823">
        <f>Epacadostat!I8</f>
        <v>0</v>
      </c>
      <c r="H213" s="823">
        <f>Epacadostat!J8</f>
        <v>0</v>
      </c>
      <c r="I213" s="823">
        <v>0</v>
      </c>
      <c r="J213" s="823">
        <v>0</v>
      </c>
      <c r="K213" s="823">
        <v>0</v>
      </c>
      <c r="L213" s="823">
        <v>0</v>
      </c>
      <c r="M213" s="823">
        <v>0</v>
      </c>
      <c r="N213" s="823">
        <v>0</v>
      </c>
      <c r="O213" s="823">
        <v>0</v>
      </c>
      <c r="P213" s="823">
        <v>0</v>
      </c>
      <c r="Q213" s="823">
        <v>0</v>
      </c>
      <c r="R213" s="823">
        <v>0</v>
      </c>
      <c r="S213" s="823">
        <v>0</v>
      </c>
    </row>
    <row r="214" spans="2:20">
      <c r="B214" s="824" t="s">
        <v>135</v>
      </c>
      <c r="C214" s="823">
        <f>C213*C230</f>
        <v>0</v>
      </c>
      <c r="D214" s="823">
        <f>D213*D230</f>
        <v>0</v>
      </c>
      <c r="E214" s="823">
        <f>E213*E230</f>
        <v>0</v>
      </c>
      <c r="F214" s="823">
        <f t="shared" ref="F214:R214" si="90">F213*F230</f>
        <v>0</v>
      </c>
      <c r="G214" s="823">
        <f t="shared" si="90"/>
        <v>0</v>
      </c>
      <c r="H214" s="823">
        <f t="shared" si="90"/>
        <v>0</v>
      </c>
      <c r="I214" s="823">
        <f t="shared" si="90"/>
        <v>0</v>
      </c>
      <c r="J214" s="823">
        <f t="shared" si="90"/>
        <v>0</v>
      </c>
      <c r="K214" s="823">
        <f t="shared" si="90"/>
        <v>0</v>
      </c>
      <c r="L214" s="823">
        <f t="shared" si="90"/>
        <v>0</v>
      </c>
      <c r="M214" s="823">
        <f t="shared" si="90"/>
        <v>0</v>
      </c>
      <c r="N214" s="823">
        <f t="shared" si="90"/>
        <v>0</v>
      </c>
      <c r="O214" s="823">
        <f t="shared" si="90"/>
        <v>0</v>
      </c>
      <c r="P214" s="823">
        <f t="shared" si="90"/>
        <v>0</v>
      </c>
      <c r="Q214" s="823">
        <f t="shared" si="90"/>
        <v>0</v>
      </c>
      <c r="R214" s="823">
        <f t="shared" si="90"/>
        <v>0</v>
      </c>
      <c r="S214" s="823">
        <f>S213*S230</f>
        <v>0</v>
      </c>
    </row>
    <row r="215" spans="2:20">
      <c r="B215" s="824" t="s">
        <v>424</v>
      </c>
      <c r="C215" s="823">
        <f>C231*C213</f>
        <v>0</v>
      </c>
      <c r="D215" s="823">
        <f t="shared" ref="D215:R215" si="91">D231*D213</f>
        <v>0</v>
      </c>
      <c r="E215" s="823">
        <f t="shared" si="91"/>
        <v>0</v>
      </c>
      <c r="F215" s="823">
        <f t="shared" si="91"/>
        <v>0</v>
      </c>
      <c r="G215" s="823">
        <f t="shared" si="91"/>
        <v>0</v>
      </c>
      <c r="H215" s="823">
        <f t="shared" si="91"/>
        <v>0</v>
      </c>
      <c r="I215" s="823">
        <f t="shared" si="91"/>
        <v>0</v>
      </c>
      <c r="J215" s="823">
        <f t="shared" si="91"/>
        <v>0</v>
      </c>
      <c r="K215" s="823">
        <f t="shared" si="91"/>
        <v>0</v>
      </c>
      <c r="L215" s="823">
        <f t="shared" si="91"/>
        <v>0</v>
      </c>
      <c r="M215" s="823">
        <f t="shared" si="91"/>
        <v>0</v>
      </c>
      <c r="N215" s="823">
        <f t="shared" si="91"/>
        <v>0</v>
      </c>
      <c r="O215" s="823">
        <f t="shared" si="91"/>
        <v>0</v>
      </c>
      <c r="P215" s="823">
        <f t="shared" si="91"/>
        <v>0</v>
      </c>
      <c r="Q215" s="823">
        <f t="shared" si="91"/>
        <v>0</v>
      </c>
      <c r="R215" s="823">
        <f t="shared" si="91"/>
        <v>0</v>
      </c>
      <c r="S215" s="823">
        <f>S231*S213</f>
        <v>0</v>
      </c>
    </row>
    <row r="216" spans="2:20">
      <c r="B216" s="1377" t="s">
        <v>248</v>
      </c>
      <c r="C216" s="827">
        <f>C213*C232</f>
        <v>0</v>
      </c>
      <c r="D216" s="827">
        <f>D213*D232</f>
        <v>0</v>
      </c>
      <c r="E216" s="827">
        <v>20</v>
      </c>
      <c r="F216" s="827">
        <v>20</v>
      </c>
      <c r="G216" s="827">
        <v>20</v>
      </c>
      <c r="H216" s="827">
        <v>20</v>
      </c>
      <c r="I216" s="827">
        <f>I213*I232</f>
        <v>0</v>
      </c>
      <c r="J216" s="827">
        <f t="shared" ref="J216:R216" si="92">J213*J232</f>
        <v>0</v>
      </c>
      <c r="K216" s="827">
        <f t="shared" si="92"/>
        <v>0</v>
      </c>
      <c r="L216" s="827">
        <f t="shared" si="92"/>
        <v>0</v>
      </c>
      <c r="M216" s="827">
        <f>M213*M232</f>
        <v>0</v>
      </c>
      <c r="N216" s="827">
        <f t="shared" si="92"/>
        <v>0</v>
      </c>
      <c r="O216" s="827">
        <f t="shared" si="92"/>
        <v>0</v>
      </c>
      <c r="P216" s="827">
        <f t="shared" si="92"/>
        <v>0</v>
      </c>
      <c r="Q216" s="827">
        <f t="shared" si="92"/>
        <v>0</v>
      </c>
      <c r="R216" s="827">
        <f t="shared" si="92"/>
        <v>0</v>
      </c>
      <c r="S216" s="827">
        <f>S213*S232</f>
        <v>0</v>
      </c>
    </row>
    <row r="217" spans="2:20">
      <c r="B217" s="828" t="s">
        <v>425</v>
      </c>
      <c r="C217" s="829">
        <f>C213-C214-C215-C216</f>
        <v>0</v>
      </c>
      <c r="D217" s="823">
        <f t="shared" ref="D217:R217" si="93">D213-D214-D215-D216</f>
        <v>0</v>
      </c>
      <c r="E217" s="823">
        <f t="shared" si="93"/>
        <v>-20</v>
      </c>
      <c r="F217" s="823">
        <f t="shared" si="93"/>
        <v>-20</v>
      </c>
      <c r="G217" s="823">
        <f t="shared" si="93"/>
        <v>-20</v>
      </c>
      <c r="H217" s="823">
        <f t="shared" si="93"/>
        <v>-20</v>
      </c>
      <c r="I217" s="823">
        <f t="shared" si="93"/>
        <v>0</v>
      </c>
      <c r="J217" s="823">
        <f t="shared" si="93"/>
        <v>0</v>
      </c>
      <c r="K217" s="823">
        <f t="shared" si="93"/>
        <v>0</v>
      </c>
      <c r="L217" s="823">
        <f t="shared" si="93"/>
        <v>0</v>
      </c>
      <c r="M217" s="823">
        <f t="shared" si="93"/>
        <v>0</v>
      </c>
      <c r="N217" s="823">
        <f t="shared" si="93"/>
        <v>0</v>
      </c>
      <c r="O217" s="823">
        <f t="shared" si="93"/>
        <v>0</v>
      </c>
      <c r="P217" s="823">
        <f t="shared" si="93"/>
        <v>0</v>
      </c>
      <c r="Q217" s="823">
        <f t="shared" si="93"/>
        <v>0</v>
      </c>
      <c r="R217" s="823">
        <f t="shared" si="93"/>
        <v>0</v>
      </c>
      <c r="S217" s="823">
        <f>S213-S214-S215-S216</f>
        <v>0</v>
      </c>
    </row>
    <row r="218" spans="2:20" ht="15.75" thickBot="1">
      <c r="B218" s="830" t="s">
        <v>55</v>
      </c>
      <c r="C218" s="831"/>
      <c r="D218" s="823"/>
      <c r="E218" s="823"/>
      <c r="F218" s="823"/>
      <c r="G218" s="823">
        <f>G217*G233</f>
        <v>0</v>
      </c>
      <c r="H218" s="823">
        <f t="shared" ref="H218:R218" si="94">H217*H233</f>
        <v>0</v>
      </c>
      <c r="I218" s="823">
        <f t="shared" si="94"/>
        <v>0</v>
      </c>
      <c r="J218" s="823">
        <f t="shared" si="94"/>
        <v>0</v>
      </c>
      <c r="K218" s="823">
        <f t="shared" si="94"/>
        <v>0</v>
      </c>
      <c r="L218" s="823">
        <f t="shared" si="94"/>
        <v>0</v>
      </c>
      <c r="M218" s="823">
        <f t="shared" si="94"/>
        <v>0</v>
      </c>
      <c r="N218" s="823">
        <f t="shared" si="94"/>
        <v>0</v>
      </c>
      <c r="O218" s="823">
        <f t="shared" si="94"/>
        <v>0</v>
      </c>
      <c r="P218" s="823">
        <f t="shared" si="94"/>
        <v>0</v>
      </c>
      <c r="Q218" s="823">
        <f t="shared" si="94"/>
        <v>0</v>
      </c>
      <c r="R218" s="823">
        <f t="shared" si="94"/>
        <v>0</v>
      </c>
      <c r="S218" s="823">
        <f>S217*S233</f>
        <v>0</v>
      </c>
    </row>
    <row r="219" spans="2:20" ht="15.75" thickBot="1">
      <c r="B219" s="832" t="s">
        <v>426</v>
      </c>
      <c r="C219" s="833">
        <f>C217-C218</f>
        <v>0</v>
      </c>
      <c r="D219" s="833">
        <f>D217-D218</f>
        <v>0</v>
      </c>
      <c r="E219" s="833">
        <f t="shared" ref="E219:S219" si="95">E217-E218</f>
        <v>-20</v>
      </c>
      <c r="F219" s="833">
        <f t="shared" si="95"/>
        <v>-20</v>
      </c>
      <c r="G219" s="833">
        <f t="shared" si="95"/>
        <v>-20</v>
      </c>
      <c r="H219" s="833">
        <f t="shared" si="95"/>
        <v>-20</v>
      </c>
      <c r="I219" s="833">
        <f t="shared" si="95"/>
        <v>0</v>
      </c>
      <c r="J219" s="833">
        <f t="shared" si="95"/>
        <v>0</v>
      </c>
      <c r="K219" s="833">
        <f t="shared" si="95"/>
        <v>0</v>
      </c>
      <c r="L219" s="833">
        <f t="shared" si="95"/>
        <v>0</v>
      </c>
      <c r="M219" s="833">
        <f t="shared" si="95"/>
        <v>0</v>
      </c>
      <c r="N219" s="834">
        <f t="shared" si="95"/>
        <v>0</v>
      </c>
      <c r="O219" s="834">
        <f t="shared" si="95"/>
        <v>0</v>
      </c>
      <c r="P219" s="834">
        <f t="shared" si="95"/>
        <v>0</v>
      </c>
      <c r="Q219" s="834">
        <f t="shared" si="95"/>
        <v>0</v>
      </c>
      <c r="R219" s="834">
        <f t="shared" si="95"/>
        <v>0</v>
      </c>
      <c r="S219" s="834">
        <f t="shared" si="95"/>
        <v>0</v>
      </c>
      <c r="T219" s="835"/>
    </row>
    <row r="220" spans="2:20" ht="15.75" thickBot="1">
      <c r="E220" s="836"/>
      <c r="F220" s="836"/>
    </row>
    <row r="221" spans="2:20">
      <c r="B221" s="837" t="s">
        <v>427</v>
      </c>
      <c r="C221" s="838">
        <f>T219</f>
        <v>0</v>
      </c>
    </row>
    <row r="222" spans="2:20">
      <c r="B222" s="839" t="s">
        <v>428</v>
      </c>
      <c r="C222" s="840">
        <v>0</v>
      </c>
    </row>
    <row r="223" spans="2:20">
      <c r="B223" s="839" t="s">
        <v>429</v>
      </c>
      <c r="C223" s="841">
        <v>0</v>
      </c>
      <c r="E223" s="842" t="s">
        <v>430</v>
      </c>
    </row>
    <row r="224" spans="2:20" ht="15.75" thickBot="1">
      <c r="B224" s="839" t="s">
        <v>431</v>
      </c>
      <c r="C224" s="840">
        <v>0</v>
      </c>
      <c r="E224" s="842" t="s">
        <v>432</v>
      </c>
    </row>
    <row r="225" spans="2:20" ht="15.75" thickBot="1">
      <c r="B225" s="843" t="s">
        <v>432</v>
      </c>
      <c r="C225" s="844">
        <f>C224/$C$413</f>
        <v>0</v>
      </c>
      <c r="E225" s="845">
        <f>C222/$C$413</f>
        <v>0</v>
      </c>
    </row>
    <row r="226" spans="2:20" ht="15.75" thickBot="1">
      <c r="B226" s="846"/>
      <c r="C226" s="847"/>
    </row>
    <row r="227" spans="2:20" ht="15.75" thickBot="1">
      <c r="B227" s="848" t="s">
        <v>691</v>
      </c>
      <c r="C227" s="849">
        <v>0.11713679509629889</v>
      </c>
      <c r="D227" s="850">
        <f>NPV(C227,F219:T219)</f>
        <v>-48.273963231934808</v>
      </c>
    </row>
    <row r="228" spans="2:20">
      <c r="B228" s="846"/>
      <c r="C228" s="847"/>
    </row>
    <row r="229" spans="2:20" s="852" customFormat="1" ht="15.75" thickBot="1">
      <c r="B229" s="819" t="s">
        <v>676</v>
      </c>
      <c r="C229" s="820" t="str">
        <f>C212</f>
        <v>2014E</v>
      </c>
      <c r="D229" s="820" t="str">
        <f t="shared" ref="D229:S229" si="96">D212</f>
        <v>2015E</v>
      </c>
      <c r="E229" s="820" t="str">
        <f t="shared" si="96"/>
        <v>2016E</v>
      </c>
      <c r="F229" s="820" t="str">
        <f t="shared" si="96"/>
        <v>2017E</v>
      </c>
      <c r="G229" s="820" t="str">
        <f t="shared" si="96"/>
        <v>2018E</v>
      </c>
      <c r="H229" s="820" t="str">
        <f t="shared" si="96"/>
        <v>2019E</v>
      </c>
      <c r="I229" s="820" t="str">
        <f t="shared" si="96"/>
        <v>2020E</v>
      </c>
      <c r="J229" s="820" t="str">
        <f t="shared" si="96"/>
        <v>2021E</v>
      </c>
      <c r="K229" s="820" t="str">
        <f t="shared" si="96"/>
        <v>2022E</v>
      </c>
      <c r="L229" s="820" t="str">
        <f t="shared" si="96"/>
        <v>2023E</v>
      </c>
      <c r="M229" s="820" t="str">
        <f t="shared" si="96"/>
        <v>2024E</v>
      </c>
      <c r="N229" s="820" t="str">
        <f t="shared" si="96"/>
        <v>2025E</v>
      </c>
      <c r="O229" s="820" t="str">
        <f t="shared" si="96"/>
        <v>2026E</v>
      </c>
      <c r="P229" s="820" t="str">
        <f t="shared" si="96"/>
        <v>2027E</v>
      </c>
      <c r="Q229" s="820" t="str">
        <f t="shared" si="96"/>
        <v>2028E</v>
      </c>
      <c r="R229" s="820" t="str">
        <f t="shared" si="96"/>
        <v>2029E</v>
      </c>
      <c r="S229" s="820" t="str">
        <f t="shared" si="96"/>
        <v>2030E</v>
      </c>
      <c r="T229" s="851"/>
    </row>
    <row r="230" spans="2:20" s="852" customFormat="1" ht="15.75" thickTop="1">
      <c r="B230" s="853" t="s">
        <v>467</v>
      </c>
      <c r="C230" s="854">
        <f>C207</f>
        <v>0</v>
      </c>
      <c r="D230" s="854">
        <f t="shared" ref="D230:S230" si="97">D207</f>
        <v>0</v>
      </c>
      <c r="E230" s="854">
        <f t="shared" si="97"/>
        <v>0</v>
      </c>
      <c r="F230" s="854">
        <f t="shared" si="97"/>
        <v>0</v>
      </c>
      <c r="G230" s="854">
        <f t="shared" si="97"/>
        <v>7.0000000000000007E-2</v>
      </c>
      <c r="H230" s="854">
        <f t="shared" si="97"/>
        <v>7.0000000000000007E-2</v>
      </c>
      <c r="I230" s="854">
        <f t="shared" si="97"/>
        <v>7.0000000000000007E-2</v>
      </c>
      <c r="J230" s="854">
        <f t="shared" si="97"/>
        <v>7.0000000000000007E-2</v>
      </c>
      <c r="K230" s="854">
        <f t="shared" si="97"/>
        <v>7.0000000000000007E-2</v>
      </c>
      <c r="L230" s="854">
        <f t="shared" si="97"/>
        <v>7.0000000000000007E-2</v>
      </c>
      <c r="M230" s="854">
        <f t="shared" si="97"/>
        <v>7.0000000000000007E-2</v>
      </c>
      <c r="N230" s="854">
        <f t="shared" si="97"/>
        <v>7.0000000000000007E-2</v>
      </c>
      <c r="O230" s="854">
        <f t="shared" si="97"/>
        <v>7.0000000000000007E-2</v>
      </c>
      <c r="P230" s="854">
        <f t="shared" si="97"/>
        <v>7.0000000000000007E-2</v>
      </c>
      <c r="Q230" s="854">
        <f t="shared" si="97"/>
        <v>7.0000000000000007E-2</v>
      </c>
      <c r="R230" s="854">
        <f t="shared" si="97"/>
        <v>7.0000000000000007E-2</v>
      </c>
      <c r="S230" s="854">
        <f t="shared" si="97"/>
        <v>7.0000000000000007E-2</v>
      </c>
      <c r="T230" s="855"/>
    </row>
    <row r="231" spans="2:20" s="852" customFormat="1">
      <c r="B231" s="856" t="s">
        <v>468</v>
      </c>
      <c r="C231" s="857">
        <f t="shared" ref="C231:S231" si="98">C208</f>
        <v>0</v>
      </c>
      <c r="D231" s="857">
        <f t="shared" si="98"/>
        <v>0</v>
      </c>
      <c r="E231" s="857">
        <f t="shared" si="98"/>
        <v>0</v>
      </c>
      <c r="F231" s="857">
        <f t="shared" si="98"/>
        <v>0</v>
      </c>
      <c r="G231" s="857">
        <f t="shared" si="98"/>
        <v>0</v>
      </c>
      <c r="H231" s="857">
        <f t="shared" si="98"/>
        <v>0.23</v>
      </c>
      <c r="I231" s="857">
        <f t="shared" si="98"/>
        <v>0.22</v>
      </c>
      <c r="J231" s="857">
        <f t="shared" si="98"/>
        <v>0.21</v>
      </c>
      <c r="K231" s="857">
        <f t="shared" si="98"/>
        <v>0.2</v>
      </c>
      <c r="L231" s="857">
        <f t="shared" si="98"/>
        <v>0.19</v>
      </c>
      <c r="M231" s="857">
        <f t="shared" si="98"/>
        <v>0.18</v>
      </c>
      <c r="N231" s="857">
        <f t="shared" si="98"/>
        <v>0.17</v>
      </c>
      <c r="O231" s="857">
        <f t="shared" si="98"/>
        <v>0.16</v>
      </c>
      <c r="P231" s="857">
        <f t="shared" si="98"/>
        <v>0.15</v>
      </c>
      <c r="Q231" s="857">
        <f t="shared" si="98"/>
        <v>0.14000000000000001</v>
      </c>
      <c r="R231" s="857">
        <f t="shared" si="98"/>
        <v>0.14000000000000001</v>
      </c>
      <c r="S231" s="857">
        <f t="shared" si="98"/>
        <v>0.14000000000000001</v>
      </c>
      <c r="T231" s="855"/>
    </row>
    <row r="232" spans="2:20" s="852" customFormat="1">
      <c r="B232" s="856" t="s">
        <v>469</v>
      </c>
      <c r="C232" s="857">
        <f t="shared" ref="C232:S232" si="99">C209</f>
        <v>0</v>
      </c>
      <c r="D232" s="857">
        <f t="shared" si="99"/>
        <v>0</v>
      </c>
      <c r="E232" s="857">
        <f t="shared" si="99"/>
        <v>0</v>
      </c>
      <c r="F232" s="857">
        <f t="shared" si="99"/>
        <v>0</v>
      </c>
      <c r="G232" s="857">
        <f t="shared" si="99"/>
        <v>0.15</v>
      </c>
      <c r="H232" s="857">
        <f t="shared" si="99"/>
        <v>0.13</v>
      </c>
      <c r="I232" s="857">
        <f t="shared" si="99"/>
        <v>0.11</v>
      </c>
      <c r="J232" s="857">
        <f t="shared" si="99"/>
        <v>0.1</v>
      </c>
      <c r="K232" s="857">
        <f t="shared" si="99"/>
        <v>0.09</v>
      </c>
      <c r="L232" s="857">
        <f t="shared" si="99"/>
        <v>0.08</v>
      </c>
      <c r="M232" s="857">
        <f t="shared" si="99"/>
        <v>7.0000000000000007E-2</v>
      </c>
      <c r="N232" s="857">
        <f t="shared" si="99"/>
        <v>0.06</v>
      </c>
      <c r="O232" s="857">
        <f t="shared" si="99"/>
        <v>0.05</v>
      </c>
      <c r="P232" s="857">
        <f t="shared" si="99"/>
        <v>4.4999999999999998E-2</v>
      </c>
      <c r="Q232" s="857">
        <f t="shared" si="99"/>
        <v>0.04</v>
      </c>
      <c r="R232" s="857">
        <f t="shared" si="99"/>
        <v>3.5000000000000003E-2</v>
      </c>
      <c r="S232" s="857">
        <f t="shared" si="99"/>
        <v>3.5000000000000003E-2</v>
      </c>
      <c r="T232" s="855"/>
    </row>
    <row r="233" spans="2:20" s="852" customFormat="1">
      <c r="B233" s="858" t="s">
        <v>55</v>
      </c>
      <c r="C233" s="860">
        <f t="shared" ref="C233:S233" si="100">C210</f>
        <v>0</v>
      </c>
      <c r="D233" s="860">
        <f t="shared" si="100"/>
        <v>0</v>
      </c>
      <c r="E233" s="860">
        <f t="shared" si="100"/>
        <v>0</v>
      </c>
      <c r="F233" s="860">
        <f t="shared" si="100"/>
        <v>0</v>
      </c>
      <c r="G233" s="860">
        <f t="shared" si="100"/>
        <v>0</v>
      </c>
      <c r="H233" s="861">
        <f t="shared" si="100"/>
        <v>0</v>
      </c>
      <c r="I233" s="861">
        <f t="shared" si="100"/>
        <v>0.13</v>
      </c>
      <c r="J233" s="861">
        <f t="shared" si="100"/>
        <v>0.16</v>
      </c>
      <c r="K233" s="861">
        <f t="shared" si="100"/>
        <v>0.16</v>
      </c>
      <c r="L233" s="861">
        <f t="shared" si="100"/>
        <v>0.16</v>
      </c>
      <c r="M233" s="861">
        <f t="shared" si="100"/>
        <v>0.16</v>
      </c>
      <c r="N233" s="861">
        <f t="shared" si="100"/>
        <v>0.16</v>
      </c>
      <c r="O233" s="861">
        <f t="shared" si="100"/>
        <v>0.16</v>
      </c>
      <c r="P233" s="861">
        <f t="shared" si="100"/>
        <v>0.16</v>
      </c>
      <c r="Q233" s="861">
        <f t="shared" si="100"/>
        <v>0.16</v>
      </c>
      <c r="R233" s="861">
        <f t="shared" si="100"/>
        <v>0.16</v>
      </c>
      <c r="S233" s="861">
        <f t="shared" si="100"/>
        <v>0.16</v>
      </c>
      <c r="T233" s="855"/>
    </row>
    <row r="235" spans="2:20" ht="15.75" thickBot="1">
      <c r="B235" s="819" t="s">
        <v>850</v>
      </c>
      <c r="C235" s="820" t="s">
        <v>302</v>
      </c>
      <c r="D235" s="820" t="s">
        <v>301</v>
      </c>
      <c r="E235" s="820" t="s">
        <v>300</v>
      </c>
      <c r="F235" s="820" t="s">
        <v>312</v>
      </c>
      <c r="G235" s="820" t="s">
        <v>313</v>
      </c>
      <c r="H235" s="820" t="s">
        <v>323</v>
      </c>
      <c r="I235" s="820" t="s">
        <v>324</v>
      </c>
      <c r="J235" s="820" t="s">
        <v>325</v>
      </c>
      <c r="K235" s="820" t="s">
        <v>392</v>
      </c>
      <c r="L235" s="820" t="s">
        <v>393</v>
      </c>
      <c r="M235" s="820" t="s">
        <v>394</v>
      </c>
      <c r="N235" s="820" t="s">
        <v>395</v>
      </c>
      <c r="O235" s="820" t="s">
        <v>396</v>
      </c>
      <c r="P235" s="820" t="s">
        <v>397</v>
      </c>
      <c r="Q235" s="820" t="s">
        <v>398</v>
      </c>
      <c r="R235" s="820" t="s">
        <v>399</v>
      </c>
      <c r="S235" s="820" t="s">
        <v>400</v>
      </c>
    </row>
    <row r="236" spans="2:20" ht="15.75" thickTop="1">
      <c r="B236" s="821" t="s">
        <v>423</v>
      </c>
      <c r="C236" s="823">
        <f>Epacadostat!E32</f>
        <v>0.09</v>
      </c>
      <c r="D236" s="823">
        <f>Epacadostat!F32</f>
        <v>0.09</v>
      </c>
      <c r="E236" s="823">
        <f>Epacadostat!G32</f>
        <v>0.09</v>
      </c>
      <c r="F236" s="823">
        <f>Epacadostat!H32</f>
        <v>0.09</v>
      </c>
      <c r="G236" s="823">
        <f>Epacadostat!I32</f>
        <v>0.09</v>
      </c>
      <c r="H236" s="823">
        <f>Epacadostat!J32</f>
        <v>0.09</v>
      </c>
      <c r="I236" s="823">
        <v>0</v>
      </c>
      <c r="J236" s="823">
        <v>0</v>
      </c>
      <c r="K236" s="823">
        <v>0</v>
      </c>
      <c r="L236" s="823">
        <v>0</v>
      </c>
      <c r="M236" s="823">
        <v>0</v>
      </c>
      <c r="N236" s="823">
        <v>0</v>
      </c>
      <c r="O236" s="823">
        <v>0</v>
      </c>
      <c r="P236" s="823">
        <v>0</v>
      </c>
      <c r="Q236" s="823">
        <v>0</v>
      </c>
      <c r="R236" s="823">
        <v>0</v>
      </c>
      <c r="S236" s="823">
        <v>0</v>
      </c>
    </row>
    <row r="237" spans="2:20">
      <c r="B237" s="824" t="s">
        <v>135</v>
      </c>
      <c r="C237" s="823">
        <f>C236*C253</f>
        <v>0</v>
      </c>
      <c r="D237" s="823">
        <f>D236*D253</f>
        <v>0</v>
      </c>
      <c r="E237" s="823">
        <f>E236*E253</f>
        <v>0</v>
      </c>
      <c r="F237" s="823">
        <f t="shared" ref="F237:R237" si="101">F236*F253</f>
        <v>0</v>
      </c>
      <c r="G237" s="823">
        <f t="shared" si="101"/>
        <v>6.3E-3</v>
      </c>
      <c r="H237" s="823">
        <f t="shared" si="101"/>
        <v>6.3E-3</v>
      </c>
      <c r="I237" s="823">
        <f t="shared" si="101"/>
        <v>0</v>
      </c>
      <c r="J237" s="823">
        <f t="shared" si="101"/>
        <v>0</v>
      </c>
      <c r="K237" s="823">
        <f t="shared" si="101"/>
        <v>0</v>
      </c>
      <c r="L237" s="823">
        <f t="shared" si="101"/>
        <v>0</v>
      </c>
      <c r="M237" s="823">
        <f t="shared" si="101"/>
        <v>0</v>
      </c>
      <c r="N237" s="823">
        <f t="shared" si="101"/>
        <v>0</v>
      </c>
      <c r="O237" s="823">
        <f t="shared" si="101"/>
        <v>0</v>
      </c>
      <c r="P237" s="823">
        <f t="shared" si="101"/>
        <v>0</v>
      </c>
      <c r="Q237" s="823">
        <f t="shared" si="101"/>
        <v>0</v>
      </c>
      <c r="R237" s="823">
        <f t="shared" si="101"/>
        <v>0</v>
      </c>
      <c r="S237" s="823">
        <f>S236*S253</f>
        <v>0</v>
      </c>
    </row>
    <row r="238" spans="2:20">
      <c r="B238" s="824" t="s">
        <v>424</v>
      </c>
      <c r="C238" s="823">
        <f>C254*C236</f>
        <v>0</v>
      </c>
      <c r="D238" s="823">
        <f t="shared" ref="D238:R238" si="102">D254*D236</f>
        <v>0</v>
      </c>
      <c r="E238" s="823">
        <f t="shared" si="102"/>
        <v>0</v>
      </c>
      <c r="F238" s="823">
        <f t="shared" si="102"/>
        <v>0</v>
      </c>
      <c r="G238" s="823">
        <f t="shared" si="102"/>
        <v>0</v>
      </c>
      <c r="H238" s="823">
        <f t="shared" si="102"/>
        <v>2.07E-2</v>
      </c>
      <c r="I238" s="823">
        <f t="shared" si="102"/>
        <v>0</v>
      </c>
      <c r="J238" s="823">
        <f t="shared" si="102"/>
        <v>0</v>
      </c>
      <c r="K238" s="823">
        <f t="shared" si="102"/>
        <v>0</v>
      </c>
      <c r="L238" s="823">
        <f t="shared" si="102"/>
        <v>0</v>
      </c>
      <c r="M238" s="823">
        <f t="shared" si="102"/>
        <v>0</v>
      </c>
      <c r="N238" s="823">
        <f t="shared" si="102"/>
        <v>0</v>
      </c>
      <c r="O238" s="823">
        <f t="shared" si="102"/>
        <v>0</v>
      </c>
      <c r="P238" s="823">
        <f t="shared" si="102"/>
        <v>0</v>
      </c>
      <c r="Q238" s="823">
        <f t="shared" si="102"/>
        <v>0</v>
      </c>
      <c r="R238" s="823">
        <f t="shared" si="102"/>
        <v>0</v>
      </c>
      <c r="S238" s="823">
        <f>S254*S236</f>
        <v>0</v>
      </c>
    </row>
    <row r="239" spans="2:20">
      <c r="B239" s="1377" t="s">
        <v>248</v>
      </c>
      <c r="C239" s="827">
        <f>C236*C255</f>
        <v>0</v>
      </c>
      <c r="D239" s="827">
        <f>D236*D255</f>
        <v>0</v>
      </c>
      <c r="E239" s="827">
        <v>20</v>
      </c>
      <c r="F239" s="827">
        <v>20</v>
      </c>
      <c r="G239" s="827">
        <v>20</v>
      </c>
      <c r="H239" s="827">
        <v>20</v>
      </c>
      <c r="I239" s="827">
        <f>I236*I255</f>
        <v>0</v>
      </c>
      <c r="J239" s="827">
        <f t="shared" ref="J239:L239" si="103">J236*J255</f>
        <v>0</v>
      </c>
      <c r="K239" s="827">
        <f t="shared" si="103"/>
        <v>0</v>
      </c>
      <c r="L239" s="827">
        <f t="shared" si="103"/>
        <v>0</v>
      </c>
      <c r="M239" s="827">
        <f>M236*M255</f>
        <v>0</v>
      </c>
      <c r="N239" s="827">
        <f t="shared" ref="N239:R239" si="104">N236*N255</f>
        <v>0</v>
      </c>
      <c r="O239" s="827">
        <f t="shared" si="104"/>
        <v>0</v>
      </c>
      <c r="P239" s="827">
        <f t="shared" si="104"/>
        <v>0</v>
      </c>
      <c r="Q239" s="827">
        <f t="shared" si="104"/>
        <v>0</v>
      </c>
      <c r="R239" s="827">
        <f t="shared" si="104"/>
        <v>0</v>
      </c>
      <c r="S239" s="827">
        <f>S236*S255</f>
        <v>0</v>
      </c>
    </row>
    <row r="240" spans="2:20">
      <c r="B240" s="828" t="s">
        <v>425</v>
      </c>
      <c r="C240" s="829">
        <f>C236-C237-C238-C239</f>
        <v>0.09</v>
      </c>
      <c r="D240" s="823">
        <f t="shared" ref="D240:R240" si="105">D236-D237-D238-D239</f>
        <v>0.09</v>
      </c>
      <c r="E240" s="823">
        <f t="shared" si="105"/>
        <v>-19.91</v>
      </c>
      <c r="F240" s="823">
        <f t="shared" si="105"/>
        <v>-19.91</v>
      </c>
      <c r="G240" s="823">
        <f t="shared" si="105"/>
        <v>-19.9163</v>
      </c>
      <c r="H240" s="823">
        <f t="shared" si="105"/>
        <v>-19.937000000000001</v>
      </c>
      <c r="I240" s="823">
        <f t="shared" si="105"/>
        <v>0</v>
      </c>
      <c r="J240" s="823">
        <f t="shared" si="105"/>
        <v>0</v>
      </c>
      <c r="K240" s="823">
        <f t="shared" si="105"/>
        <v>0</v>
      </c>
      <c r="L240" s="823">
        <f t="shared" si="105"/>
        <v>0</v>
      </c>
      <c r="M240" s="823">
        <f t="shared" si="105"/>
        <v>0</v>
      </c>
      <c r="N240" s="823">
        <f t="shared" si="105"/>
        <v>0</v>
      </c>
      <c r="O240" s="823">
        <f t="shared" si="105"/>
        <v>0</v>
      </c>
      <c r="P240" s="823">
        <f t="shared" si="105"/>
        <v>0</v>
      </c>
      <c r="Q240" s="823">
        <f t="shared" si="105"/>
        <v>0</v>
      </c>
      <c r="R240" s="823">
        <f t="shared" si="105"/>
        <v>0</v>
      </c>
      <c r="S240" s="823">
        <f>S236-S237-S238-S239</f>
        <v>0</v>
      </c>
    </row>
    <row r="241" spans="2:20" ht="15.75" thickBot="1">
      <c r="B241" s="830" t="s">
        <v>55</v>
      </c>
      <c r="C241" s="831"/>
      <c r="D241" s="823"/>
      <c r="E241" s="823"/>
      <c r="F241" s="823"/>
      <c r="G241" s="823">
        <f>G240*G256</f>
        <v>0</v>
      </c>
      <c r="H241" s="823">
        <f t="shared" ref="H241:R241" si="106">H240*H256</f>
        <v>0</v>
      </c>
      <c r="I241" s="823">
        <f t="shared" si="106"/>
        <v>0</v>
      </c>
      <c r="J241" s="823">
        <f t="shared" si="106"/>
        <v>0</v>
      </c>
      <c r="K241" s="823">
        <f t="shared" si="106"/>
        <v>0</v>
      </c>
      <c r="L241" s="823">
        <f t="shared" si="106"/>
        <v>0</v>
      </c>
      <c r="M241" s="823">
        <f t="shared" si="106"/>
        <v>0</v>
      </c>
      <c r="N241" s="823">
        <f t="shared" si="106"/>
        <v>0</v>
      </c>
      <c r="O241" s="823">
        <f t="shared" si="106"/>
        <v>0</v>
      </c>
      <c r="P241" s="823">
        <f t="shared" si="106"/>
        <v>0</v>
      </c>
      <c r="Q241" s="823">
        <f t="shared" si="106"/>
        <v>0</v>
      </c>
      <c r="R241" s="823">
        <f t="shared" si="106"/>
        <v>0</v>
      </c>
      <c r="S241" s="823">
        <f>S240*S256</f>
        <v>0</v>
      </c>
    </row>
    <row r="242" spans="2:20" ht="15.75" thickBot="1">
      <c r="B242" s="832" t="s">
        <v>426</v>
      </c>
      <c r="C242" s="833">
        <f>C240-C241</f>
        <v>0.09</v>
      </c>
      <c r="D242" s="833">
        <f>D240-D241</f>
        <v>0.09</v>
      </c>
      <c r="E242" s="833">
        <f t="shared" ref="E242:S242" si="107">E240-E241</f>
        <v>-19.91</v>
      </c>
      <c r="F242" s="833">
        <f t="shared" si="107"/>
        <v>-19.91</v>
      </c>
      <c r="G242" s="833">
        <f t="shared" si="107"/>
        <v>-19.9163</v>
      </c>
      <c r="H242" s="833">
        <f t="shared" si="107"/>
        <v>-19.937000000000001</v>
      </c>
      <c r="I242" s="833">
        <f t="shared" si="107"/>
        <v>0</v>
      </c>
      <c r="J242" s="833">
        <f t="shared" si="107"/>
        <v>0</v>
      </c>
      <c r="K242" s="833">
        <f t="shared" si="107"/>
        <v>0</v>
      </c>
      <c r="L242" s="833">
        <f t="shared" si="107"/>
        <v>0</v>
      </c>
      <c r="M242" s="833">
        <f t="shared" si="107"/>
        <v>0</v>
      </c>
      <c r="N242" s="834">
        <f t="shared" si="107"/>
        <v>0</v>
      </c>
      <c r="O242" s="834">
        <f t="shared" si="107"/>
        <v>0</v>
      </c>
      <c r="P242" s="834">
        <f t="shared" si="107"/>
        <v>0</v>
      </c>
      <c r="Q242" s="834">
        <f t="shared" si="107"/>
        <v>0</v>
      </c>
      <c r="R242" s="834">
        <f t="shared" si="107"/>
        <v>0</v>
      </c>
      <c r="S242" s="834">
        <f t="shared" si="107"/>
        <v>0</v>
      </c>
      <c r="T242" s="835"/>
    </row>
    <row r="243" spans="2:20" ht="15.75" thickBot="1">
      <c r="E243" s="836"/>
      <c r="F243" s="836"/>
    </row>
    <row r="244" spans="2:20">
      <c r="B244" s="837" t="s">
        <v>427</v>
      </c>
      <c r="C244" s="838">
        <f>T242</f>
        <v>0</v>
      </c>
    </row>
    <row r="245" spans="2:20">
      <c r="B245" s="839" t="s">
        <v>428</v>
      </c>
      <c r="C245" s="840">
        <v>0</v>
      </c>
    </row>
    <row r="246" spans="2:20">
      <c r="B246" s="839" t="s">
        <v>429</v>
      </c>
      <c r="C246" s="841">
        <v>0</v>
      </c>
      <c r="E246" s="842" t="s">
        <v>430</v>
      </c>
    </row>
    <row r="247" spans="2:20" ht="15.75" thickBot="1">
      <c r="B247" s="839" t="s">
        <v>431</v>
      </c>
      <c r="C247" s="840">
        <v>0</v>
      </c>
      <c r="E247" s="842" t="s">
        <v>432</v>
      </c>
    </row>
    <row r="248" spans="2:20" ht="15.75" thickBot="1">
      <c r="B248" s="843" t="s">
        <v>432</v>
      </c>
      <c r="C248" s="844">
        <f>C247/$C$413</f>
        <v>0</v>
      </c>
      <c r="E248" s="845">
        <f>C245/$C$413</f>
        <v>0</v>
      </c>
    </row>
    <row r="249" spans="2:20" ht="15.75" thickBot="1">
      <c r="B249" s="846"/>
      <c r="C249" s="847"/>
    </row>
    <row r="250" spans="2:20" ht="15.75" thickBot="1">
      <c r="B250" s="848" t="s">
        <v>691</v>
      </c>
      <c r="C250" s="849">
        <v>0.11713679509629889</v>
      </c>
      <c r="D250" s="850">
        <f>NPV(C250,F242:T242)</f>
        <v>-48.081144708671793</v>
      </c>
    </row>
    <row r="251" spans="2:20">
      <c r="B251" s="846"/>
      <c r="C251" s="847"/>
    </row>
    <row r="252" spans="2:20" s="852" customFormat="1" ht="15.75" thickBot="1">
      <c r="B252" s="819" t="s">
        <v>676</v>
      </c>
      <c r="C252" s="820" t="str">
        <f>C235</f>
        <v>2014E</v>
      </c>
      <c r="D252" s="820" t="str">
        <f t="shared" ref="D252:S252" si="108">D235</f>
        <v>2015E</v>
      </c>
      <c r="E252" s="820" t="str">
        <f t="shared" si="108"/>
        <v>2016E</v>
      </c>
      <c r="F252" s="820" t="str">
        <f t="shared" si="108"/>
        <v>2017E</v>
      </c>
      <c r="G252" s="820" t="str">
        <f t="shared" si="108"/>
        <v>2018E</v>
      </c>
      <c r="H252" s="820" t="str">
        <f t="shared" si="108"/>
        <v>2019E</v>
      </c>
      <c r="I252" s="820" t="str">
        <f t="shared" si="108"/>
        <v>2020E</v>
      </c>
      <c r="J252" s="820" t="str">
        <f t="shared" si="108"/>
        <v>2021E</v>
      </c>
      <c r="K252" s="820" t="str">
        <f t="shared" si="108"/>
        <v>2022E</v>
      </c>
      <c r="L252" s="820" t="str">
        <f t="shared" si="108"/>
        <v>2023E</v>
      </c>
      <c r="M252" s="820" t="str">
        <f t="shared" si="108"/>
        <v>2024E</v>
      </c>
      <c r="N252" s="820" t="str">
        <f t="shared" si="108"/>
        <v>2025E</v>
      </c>
      <c r="O252" s="820" t="str">
        <f t="shared" si="108"/>
        <v>2026E</v>
      </c>
      <c r="P252" s="820" t="str">
        <f t="shared" si="108"/>
        <v>2027E</v>
      </c>
      <c r="Q252" s="820" t="str">
        <f t="shared" si="108"/>
        <v>2028E</v>
      </c>
      <c r="R252" s="820" t="str">
        <f t="shared" si="108"/>
        <v>2029E</v>
      </c>
      <c r="S252" s="820" t="str">
        <f t="shared" si="108"/>
        <v>2030E</v>
      </c>
      <c r="T252" s="851"/>
    </row>
    <row r="253" spans="2:20" s="852" customFormat="1" ht="15.75" thickTop="1">
      <c r="B253" s="853" t="s">
        <v>467</v>
      </c>
      <c r="C253" s="854">
        <f>C230</f>
        <v>0</v>
      </c>
      <c r="D253" s="854">
        <f t="shared" ref="D253:S253" si="109">D230</f>
        <v>0</v>
      </c>
      <c r="E253" s="854">
        <f t="shared" si="109"/>
        <v>0</v>
      </c>
      <c r="F253" s="854">
        <f t="shared" si="109"/>
        <v>0</v>
      </c>
      <c r="G253" s="854">
        <f t="shared" si="109"/>
        <v>7.0000000000000007E-2</v>
      </c>
      <c r="H253" s="854">
        <f t="shared" si="109"/>
        <v>7.0000000000000007E-2</v>
      </c>
      <c r="I253" s="854">
        <f t="shared" si="109"/>
        <v>7.0000000000000007E-2</v>
      </c>
      <c r="J253" s="854">
        <f t="shared" si="109"/>
        <v>7.0000000000000007E-2</v>
      </c>
      <c r="K253" s="854">
        <f t="shared" si="109"/>
        <v>7.0000000000000007E-2</v>
      </c>
      <c r="L253" s="854">
        <f t="shared" si="109"/>
        <v>7.0000000000000007E-2</v>
      </c>
      <c r="M253" s="854">
        <f t="shared" si="109"/>
        <v>7.0000000000000007E-2</v>
      </c>
      <c r="N253" s="854">
        <f t="shared" si="109"/>
        <v>7.0000000000000007E-2</v>
      </c>
      <c r="O253" s="854">
        <f t="shared" si="109"/>
        <v>7.0000000000000007E-2</v>
      </c>
      <c r="P253" s="854">
        <f t="shared" si="109"/>
        <v>7.0000000000000007E-2</v>
      </c>
      <c r="Q253" s="854">
        <f t="shared" si="109"/>
        <v>7.0000000000000007E-2</v>
      </c>
      <c r="R253" s="854">
        <f t="shared" si="109"/>
        <v>7.0000000000000007E-2</v>
      </c>
      <c r="S253" s="854">
        <f t="shared" si="109"/>
        <v>7.0000000000000007E-2</v>
      </c>
      <c r="T253" s="855"/>
    </row>
    <row r="254" spans="2:20" s="852" customFormat="1">
      <c r="B254" s="856" t="s">
        <v>468</v>
      </c>
      <c r="C254" s="857">
        <f t="shared" ref="C254:S254" si="110">C231</f>
        <v>0</v>
      </c>
      <c r="D254" s="857">
        <f t="shared" si="110"/>
        <v>0</v>
      </c>
      <c r="E254" s="857">
        <f t="shared" si="110"/>
        <v>0</v>
      </c>
      <c r="F254" s="857">
        <f t="shared" si="110"/>
        <v>0</v>
      </c>
      <c r="G254" s="857">
        <f t="shared" si="110"/>
        <v>0</v>
      </c>
      <c r="H254" s="857">
        <f t="shared" si="110"/>
        <v>0.23</v>
      </c>
      <c r="I254" s="857">
        <f t="shared" si="110"/>
        <v>0.22</v>
      </c>
      <c r="J254" s="857">
        <f t="shared" si="110"/>
        <v>0.21</v>
      </c>
      <c r="K254" s="857">
        <f t="shared" si="110"/>
        <v>0.2</v>
      </c>
      <c r="L254" s="857">
        <f t="shared" si="110"/>
        <v>0.19</v>
      </c>
      <c r="M254" s="857">
        <f t="shared" si="110"/>
        <v>0.18</v>
      </c>
      <c r="N254" s="857">
        <f t="shared" si="110"/>
        <v>0.17</v>
      </c>
      <c r="O254" s="857">
        <f t="shared" si="110"/>
        <v>0.16</v>
      </c>
      <c r="P254" s="857">
        <f t="shared" si="110"/>
        <v>0.15</v>
      </c>
      <c r="Q254" s="857">
        <f t="shared" si="110"/>
        <v>0.14000000000000001</v>
      </c>
      <c r="R254" s="857">
        <f t="shared" si="110"/>
        <v>0.14000000000000001</v>
      </c>
      <c r="S254" s="857">
        <f t="shared" si="110"/>
        <v>0.14000000000000001</v>
      </c>
      <c r="T254" s="855"/>
    </row>
    <row r="255" spans="2:20" s="852" customFormat="1">
      <c r="B255" s="856" t="s">
        <v>469</v>
      </c>
      <c r="C255" s="857">
        <f t="shared" ref="C255:S255" si="111">C232</f>
        <v>0</v>
      </c>
      <c r="D255" s="857">
        <f t="shared" si="111"/>
        <v>0</v>
      </c>
      <c r="E255" s="857">
        <f t="shared" si="111"/>
        <v>0</v>
      </c>
      <c r="F255" s="857">
        <f t="shared" si="111"/>
        <v>0</v>
      </c>
      <c r="G255" s="857">
        <f t="shared" si="111"/>
        <v>0.15</v>
      </c>
      <c r="H255" s="857">
        <f t="shared" si="111"/>
        <v>0.13</v>
      </c>
      <c r="I255" s="857">
        <f t="shared" si="111"/>
        <v>0.11</v>
      </c>
      <c r="J255" s="857">
        <f t="shared" si="111"/>
        <v>0.1</v>
      </c>
      <c r="K255" s="857">
        <f t="shared" si="111"/>
        <v>0.09</v>
      </c>
      <c r="L255" s="857">
        <f t="shared" si="111"/>
        <v>0.08</v>
      </c>
      <c r="M255" s="857">
        <f t="shared" si="111"/>
        <v>7.0000000000000007E-2</v>
      </c>
      <c r="N255" s="857">
        <f t="shared" si="111"/>
        <v>0.06</v>
      </c>
      <c r="O255" s="857">
        <f t="shared" si="111"/>
        <v>0.05</v>
      </c>
      <c r="P255" s="857">
        <f t="shared" si="111"/>
        <v>4.4999999999999998E-2</v>
      </c>
      <c r="Q255" s="857">
        <f t="shared" si="111"/>
        <v>0.04</v>
      </c>
      <c r="R255" s="857">
        <f t="shared" si="111"/>
        <v>3.5000000000000003E-2</v>
      </c>
      <c r="S255" s="857">
        <f t="shared" si="111"/>
        <v>3.5000000000000003E-2</v>
      </c>
      <c r="T255" s="855"/>
    </row>
    <row r="256" spans="2:20" s="852" customFormat="1">
      <c r="B256" s="858" t="s">
        <v>55</v>
      </c>
      <c r="C256" s="860">
        <f t="shared" ref="C256:S256" si="112">C233</f>
        <v>0</v>
      </c>
      <c r="D256" s="860">
        <f t="shared" si="112"/>
        <v>0</v>
      </c>
      <c r="E256" s="860">
        <f t="shared" si="112"/>
        <v>0</v>
      </c>
      <c r="F256" s="860">
        <f t="shared" si="112"/>
        <v>0</v>
      </c>
      <c r="G256" s="860">
        <f t="shared" si="112"/>
        <v>0</v>
      </c>
      <c r="H256" s="861">
        <f t="shared" si="112"/>
        <v>0</v>
      </c>
      <c r="I256" s="861">
        <f t="shared" si="112"/>
        <v>0.13</v>
      </c>
      <c r="J256" s="861">
        <f t="shared" si="112"/>
        <v>0.16</v>
      </c>
      <c r="K256" s="861">
        <f t="shared" si="112"/>
        <v>0.16</v>
      </c>
      <c r="L256" s="861">
        <f t="shared" si="112"/>
        <v>0.16</v>
      </c>
      <c r="M256" s="861">
        <f t="shared" si="112"/>
        <v>0.16</v>
      </c>
      <c r="N256" s="861">
        <f t="shared" si="112"/>
        <v>0.16</v>
      </c>
      <c r="O256" s="861">
        <f t="shared" si="112"/>
        <v>0.16</v>
      </c>
      <c r="P256" s="861">
        <f t="shared" si="112"/>
        <v>0.16</v>
      </c>
      <c r="Q256" s="861">
        <f t="shared" si="112"/>
        <v>0.16</v>
      </c>
      <c r="R256" s="861">
        <f t="shared" si="112"/>
        <v>0.16</v>
      </c>
      <c r="S256" s="861">
        <f t="shared" si="112"/>
        <v>0.16</v>
      </c>
      <c r="T256" s="855"/>
    </row>
    <row r="258" spans="2:20" ht="15.75" thickBot="1">
      <c r="B258" s="819" t="s">
        <v>433</v>
      </c>
      <c r="C258" s="820" t="str">
        <f>C212</f>
        <v>2014E</v>
      </c>
      <c r="D258" s="820" t="str">
        <f t="shared" ref="D258:S258" si="113">D212</f>
        <v>2015E</v>
      </c>
      <c r="E258" s="820" t="str">
        <f t="shared" si="113"/>
        <v>2016E</v>
      </c>
      <c r="F258" s="820" t="str">
        <f t="shared" si="113"/>
        <v>2017E</v>
      </c>
      <c r="G258" s="820" t="str">
        <f t="shared" si="113"/>
        <v>2018E</v>
      </c>
      <c r="H258" s="820" t="str">
        <f t="shared" si="113"/>
        <v>2019E</v>
      </c>
      <c r="I258" s="820" t="str">
        <f t="shared" si="113"/>
        <v>2020E</v>
      </c>
      <c r="J258" s="820" t="str">
        <f t="shared" si="113"/>
        <v>2021E</v>
      </c>
      <c r="K258" s="820" t="str">
        <f t="shared" si="113"/>
        <v>2022E</v>
      </c>
      <c r="L258" s="820" t="str">
        <f t="shared" si="113"/>
        <v>2023E</v>
      </c>
      <c r="M258" s="820" t="str">
        <f t="shared" si="113"/>
        <v>2024E</v>
      </c>
      <c r="N258" s="820" t="str">
        <f t="shared" si="113"/>
        <v>2025E</v>
      </c>
      <c r="O258" s="820" t="str">
        <f t="shared" si="113"/>
        <v>2026E</v>
      </c>
      <c r="P258" s="820" t="str">
        <f t="shared" si="113"/>
        <v>2027E</v>
      </c>
      <c r="Q258" s="820" t="str">
        <f t="shared" si="113"/>
        <v>2028E</v>
      </c>
      <c r="R258" s="820" t="str">
        <f t="shared" si="113"/>
        <v>2029E</v>
      </c>
      <c r="S258" s="820" t="str">
        <f t="shared" si="113"/>
        <v>2030E</v>
      </c>
    </row>
    <row r="259" spans="2:20" ht="15.75" thickTop="1">
      <c r="B259" s="821" t="s">
        <v>423</v>
      </c>
      <c r="C259" s="823">
        <f>Epacadostat!E10</f>
        <v>0</v>
      </c>
      <c r="D259" s="823">
        <f>Epacadostat!F10</f>
        <v>0</v>
      </c>
      <c r="E259" s="823">
        <f>Epacadostat!G10</f>
        <v>0</v>
      </c>
      <c r="F259" s="823">
        <f>Epacadostat!H10</f>
        <v>0</v>
      </c>
      <c r="G259" s="823">
        <f>Epacadostat!I10</f>
        <v>0</v>
      </c>
      <c r="H259" s="823">
        <f>Epacadostat!J10</f>
        <v>0</v>
      </c>
      <c r="I259" s="823">
        <v>0</v>
      </c>
      <c r="J259" s="823">
        <v>0</v>
      </c>
      <c r="K259" s="823">
        <v>0</v>
      </c>
      <c r="L259" s="823">
        <v>0</v>
      </c>
      <c r="M259" s="823">
        <v>0</v>
      </c>
      <c r="N259" s="823">
        <v>0</v>
      </c>
      <c r="O259" s="823">
        <v>0</v>
      </c>
      <c r="P259" s="823">
        <v>0</v>
      </c>
      <c r="Q259" s="823">
        <v>0</v>
      </c>
      <c r="R259" s="823">
        <v>0</v>
      </c>
      <c r="S259" s="823">
        <v>0</v>
      </c>
    </row>
    <row r="260" spans="2:20">
      <c r="B260" s="824" t="s">
        <v>135</v>
      </c>
      <c r="C260" s="823">
        <f>C259*C276</f>
        <v>0</v>
      </c>
      <c r="D260" s="823">
        <f t="shared" ref="D260:S260" si="114">D259*D276</f>
        <v>0</v>
      </c>
      <c r="E260" s="823">
        <f t="shared" si="114"/>
        <v>0</v>
      </c>
      <c r="F260" s="823">
        <f t="shared" si="114"/>
        <v>0</v>
      </c>
      <c r="G260" s="823">
        <f t="shared" si="114"/>
        <v>0</v>
      </c>
      <c r="H260" s="823">
        <f t="shared" si="114"/>
        <v>0</v>
      </c>
      <c r="I260" s="823">
        <f t="shared" si="114"/>
        <v>0</v>
      </c>
      <c r="J260" s="823">
        <f t="shared" si="114"/>
        <v>0</v>
      </c>
      <c r="K260" s="823">
        <f t="shared" si="114"/>
        <v>0</v>
      </c>
      <c r="L260" s="823">
        <f t="shared" si="114"/>
        <v>0</v>
      </c>
      <c r="M260" s="823">
        <f t="shared" si="114"/>
        <v>0</v>
      </c>
      <c r="N260" s="823">
        <f t="shared" si="114"/>
        <v>0</v>
      </c>
      <c r="O260" s="823">
        <f t="shared" si="114"/>
        <v>0</v>
      </c>
      <c r="P260" s="823">
        <f t="shared" si="114"/>
        <v>0</v>
      </c>
      <c r="Q260" s="823">
        <f t="shared" si="114"/>
        <v>0</v>
      </c>
      <c r="R260" s="823">
        <f t="shared" si="114"/>
        <v>0</v>
      </c>
      <c r="S260" s="823">
        <f t="shared" si="114"/>
        <v>0</v>
      </c>
    </row>
    <row r="261" spans="2:20">
      <c r="B261" s="824" t="s">
        <v>424</v>
      </c>
      <c r="C261" s="823">
        <f>C259*C277</f>
        <v>0</v>
      </c>
      <c r="D261" s="823">
        <f t="shared" ref="D261:S261" si="115">D259*D277</f>
        <v>0</v>
      </c>
      <c r="E261" s="823">
        <f t="shared" si="115"/>
        <v>0</v>
      </c>
      <c r="F261" s="823">
        <f t="shared" si="115"/>
        <v>0</v>
      </c>
      <c r="G261" s="823">
        <f t="shared" si="115"/>
        <v>0</v>
      </c>
      <c r="H261" s="823">
        <f t="shared" si="115"/>
        <v>0</v>
      </c>
      <c r="I261" s="823">
        <f t="shared" si="115"/>
        <v>0</v>
      </c>
      <c r="J261" s="823">
        <f t="shared" si="115"/>
        <v>0</v>
      </c>
      <c r="K261" s="823">
        <f t="shared" si="115"/>
        <v>0</v>
      </c>
      <c r="L261" s="823">
        <f t="shared" si="115"/>
        <v>0</v>
      </c>
      <c r="M261" s="823">
        <f t="shared" si="115"/>
        <v>0</v>
      </c>
      <c r="N261" s="823">
        <f t="shared" si="115"/>
        <v>0</v>
      </c>
      <c r="O261" s="823">
        <f t="shared" si="115"/>
        <v>0</v>
      </c>
      <c r="P261" s="823">
        <f t="shared" si="115"/>
        <v>0</v>
      </c>
      <c r="Q261" s="823">
        <f t="shared" si="115"/>
        <v>0</v>
      </c>
      <c r="R261" s="823">
        <f t="shared" si="115"/>
        <v>0</v>
      </c>
      <c r="S261" s="823">
        <f t="shared" si="115"/>
        <v>0</v>
      </c>
    </row>
    <row r="262" spans="2:20">
      <c r="B262" s="1377" t="s">
        <v>248</v>
      </c>
      <c r="C262" s="827">
        <f>C259*C278</f>
        <v>0</v>
      </c>
      <c r="D262" s="827">
        <f>D259*D278</f>
        <v>0</v>
      </c>
      <c r="E262" s="827">
        <v>20</v>
      </c>
      <c r="F262" s="827">
        <v>20</v>
      </c>
      <c r="G262" s="827">
        <v>20</v>
      </c>
      <c r="H262" s="827">
        <v>20</v>
      </c>
      <c r="I262" s="827">
        <f t="shared" ref="I262:R262" si="116">I259*I278</f>
        <v>0</v>
      </c>
      <c r="J262" s="827">
        <f t="shared" si="116"/>
        <v>0</v>
      </c>
      <c r="K262" s="827">
        <f t="shared" si="116"/>
        <v>0</v>
      </c>
      <c r="L262" s="827">
        <f t="shared" si="116"/>
        <v>0</v>
      </c>
      <c r="M262" s="827">
        <f>M259*M278</f>
        <v>0</v>
      </c>
      <c r="N262" s="827">
        <f t="shared" si="116"/>
        <v>0</v>
      </c>
      <c r="O262" s="827">
        <f t="shared" si="116"/>
        <v>0</v>
      </c>
      <c r="P262" s="827">
        <f t="shared" si="116"/>
        <v>0</v>
      </c>
      <c r="Q262" s="827">
        <f t="shared" si="116"/>
        <v>0</v>
      </c>
      <c r="R262" s="827">
        <f t="shared" si="116"/>
        <v>0</v>
      </c>
      <c r="S262" s="827">
        <f>S259*S278</f>
        <v>0</v>
      </c>
    </row>
    <row r="263" spans="2:20">
      <c r="B263" s="828" t="s">
        <v>425</v>
      </c>
      <c r="C263" s="829">
        <f>C259-C260-C261-C262</f>
        <v>0</v>
      </c>
      <c r="D263" s="823">
        <f t="shared" ref="D263:R263" si="117">D259-D260-D261-D262</f>
        <v>0</v>
      </c>
      <c r="E263" s="823">
        <f t="shared" si="117"/>
        <v>-20</v>
      </c>
      <c r="F263" s="823">
        <f t="shared" si="117"/>
        <v>-20</v>
      </c>
      <c r="G263" s="823">
        <f t="shared" si="117"/>
        <v>-20</v>
      </c>
      <c r="H263" s="823">
        <f t="shared" si="117"/>
        <v>-20</v>
      </c>
      <c r="I263" s="823">
        <f t="shared" si="117"/>
        <v>0</v>
      </c>
      <c r="J263" s="823">
        <f t="shared" si="117"/>
        <v>0</v>
      </c>
      <c r="K263" s="823">
        <f t="shared" si="117"/>
        <v>0</v>
      </c>
      <c r="L263" s="823">
        <f t="shared" si="117"/>
        <v>0</v>
      </c>
      <c r="M263" s="823">
        <f t="shared" si="117"/>
        <v>0</v>
      </c>
      <c r="N263" s="823">
        <f t="shared" si="117"/>
        <v>0</v>
      </c>
      <c r="O263" s="823">
        <f t="shared" si="117"/>
        <v>0</v>
      </c>
      <c r="P263" s="823">
        <f t="shared" si="117"/>
        <v>0</v>
      </c>
      <c r="Q263" s="823">
        <f t="shared" si="117"/>
        <v>0</v>
      </c>
      <c r="R263" s="823">
        <f t="shared" si="117"/>
        <v>0</v>
      </c>
      <c r="S263" s="823">
        <f>S259-S260-S261-S262</f>
        <v>0</v>
      </c>
    </row>
    <row r="264" spans="2:20" ht="15.75" thickBot="1">
      <c r="B264" s="830" t="s">
        <v>55</v>
      </c>
      <c r="C264" s="827">
        <f>C263*C279</f>
        <v>0</v>
      </c>
      <c r="D264" s="827">
        <f>D263*D279</f>
        <v>0</v>
      </c>
      <c r="E264" s="827">
        <f>E263*E279</f>
        <v>0</v>
      </c>
      <c r="F264" s="827">
        <f>F263*F279</f>
        <v>0</v>
      </c>
      <c r="G264" s="827">
        <f>G263*G279</f>
        <v>0</v>
      </c>
      <c r="H264" s="827">
        <f t="shared" ref="H264:S264" si="118">H263*H279</f>
        <v>0</v>
      </c>
      <c r="I264" s="827">
        <f t="shared" si="118"/>
        <v>0</v>
      </c>
      <c r="J264" s="827">
        <f t="shared" si="118"/>
        <v>0</v>
      </c>
      <c r="K264" s="827">
        <f t="shared" si="118"/>
        <v>0</v>
      </c>
      <c r="L264" s="827">
        <f t="shared" si="118"/>
        <v>0</v>
      </c>
      <c r="M264" s="827">
        <f t="shared" si="118"/>
        <v>0</v>
      </c>
      <c r="N264" s="827">
        <f t="shared" si="118"/>
        <v>0</v>
      </c>
      <c r="O264" s="827">
        <f t="shared" si="118"/>
        <v>0</v>
      </c>
      <c r="P264" s="827">
        <f t="shared" si="118"/>
        <v>0</v>
      </c>
      <c r="Q264" s="827">
        <f t="shared" si="118"/>
        <v>0</v>
      </c>
      <c r="R264" s="827">
        <f t="shared" si="118"/>
        <v>0</v>
      </c>
      <c r="S264" s="827">
        <f t="shared" si="118"/>
        <v>0</v>
      </c>
    </row>
    <row r="265" spans="2:20" ht="15.75" thickBot="1">
      <c r="B265" s="832" t="s">
        <v>426</v>
      </c>
      <c r="C265" s="862">
        <f>C263-C264</f>
        <v>0</v>
      </c>
      <c r="D265" s="862">
        <f t="shared" ref="D265:S265" si="119">D263-D264</f>
        <v>0</v>
      </c>
      <c r="E265" s="862">
        <f t="shared" si="119"/>
        <v>-20</v>
      </c>
      <c r="F265" s="862">
        <f t="shared" si="119"/>
        <v>-20</v>
      </c>
      <c r="G265" s="862">
        <f t="shared" si="119"/>
        <v>-20</v>
      </c>
      <c r="H265" s="862">
        <f t="shared" si="119"/>
        <v>-20</v>
      </c>
      <c r="I265" s="862">
        <f t="shared" si="119"/>
        <v>0</v>
      </c>
      <c r="J265" s="862">
        <f t="shared" si="119"/>
        <v>0</v>
      </c>
      <c r="K265" s="862">
        <f t="shared" si="119"/>
        <v>0</v>
      </c>
      <c r="L265" s="862">
        <f t="shared" si="119"/>
        <v>0</v>
      </c>
      <c r="M265" s="862">
        <f t="shared" si="119"/>
        <v>0</v>
      </c>
      <c r="N265" s="862">
        <f t="shared" si="119"/>
        <v>0</v>
      </c>
      <c r="O265" s="862">
        <f t="shared" si="119"/>
        <v>0</v>
      </c>
      <c r="P265" s="862">
        <f t="shared" si="119"/>
        <v>0</v>
      </c>
      <c r="Q265" s="862">
        <f t="shared" si="119"/>
        <v>0</v>
      </c>
      <c r="R265" s="862">
        <f t="shared" si="119"/>
        <v>0</v>
      </c>
      <c r="S265" s="862">
        <f t="shared" si="119"/>
        <v>0</v>
      </c>
      <c r="T265" s="835"/>
    </row>
    <row r="266" spans="2:20" ht="15.75" thickBot="1"/>
    <row r="267" spans="2:20">
      <c r="B267" s="837" t="s">
        <v>427</v>
      </c>
      <c r="C267" s="838">
        <f>T265</f>
        <v>0</v>
      </c>
    </row>
    <row r="268" spans="2:20">
      <c r="B268" s="839" t="s">
        <v>428</v>
      </c>
      <c r="C268" s="840">
        <v>0</v>
      </c>
    </row>
    <row r="269" spans="2:20">
      <c r="B269" s="839" t="s">
        <v>429</v>
      </c>
      <c r="C269" s="841">
        <v>0</v>
      </c>
      <c r="E269" s="842" t="s">
        <v>430</v>
      </c>
    </row>
    <row r="270" spans="2:20" ht="15.75" thickBot="1">
      <c r="B270" s="839" t="s">
        <v>431</v>
      </c>
      <c r="C270" s="840">
        <v>0</v>
      </c>
      <c r="E270" s="842" t="s">
        <v>432</v>
      </c>
    </row>
    <row r="271" spans="2:20" ht="15.75" thickBot="1">
      <c r="B271" s="843" t="s">
        <v>432</v>
      </c>
      <c r="C271" s="844">
        <f>C270/$C$413</f>
        <v>0</v>
      </c>
      <c r="E271" s="845">
        <f>C268/$C$413</f>
        <v>0</v>
      </c>
    </row>
    <row r="272" spans="2:20" ht="15.75" thickBot="1">
      <c r="B272" s="846"/>
      <c r="C272" s="847"/>
    </row>
    <row r="273" spans="1:20" ht="15.75" thickBot="1">
      <c r="B273" s="848" t="s">
        <v>692</v>
      </c>
      <c r="C273" s="849">
        <v>0.11682106909298096</v>
      </c>
      <c r="D273" s="850">
        <f>NPV(C273,F265:T265)</f>
        <v>-48.300256384058727</v>
      </c>
    </row>
    <row r="274" spans="1:20">
      <c r="B274" s="846"/>
      <c r="C274" s="847"/>
    </row>
    <row r="275" spans="1:20" s="852" customFormat="1" ht="15.75" thickBot="1">
      <c r="B275" s="819" t="s">
        <v>470</v>
      </c>
      <c r="C275" s="820" t="str">
        <f>C258</f>
        <v>2014E</v>
      </c>
      <c r="D275" s="820" t="str">
        <f t="shared" ref="D275:S275" si="120">D258</f>
        <v>2015E</v>
      </c>
      <c r="E275" s="820" t="str">
        <f t="shared" si="120"/>
        <v>2016E</v>
      </c>
      <c r="F275" s="820" t="str">
        <f t="shared" si="120"/>
        <v>2017E</v>
      </c>
      <c r="G275" s="820" t="str">
        <f t="shared" si="120"/>
        <v>2018E</v>
      </c>
      <c r="H275" s="820" t="str">
        <f t="shared" si="120"/>
        <v>2019E</v>
      </c>
      <c r="I275" s="820" t="str">
        <f t="shared" si="120"/>
        <v>2020E</v>
      </c>
      <c r="J275" s="820" t="str">
        <f t="shared" si="120"/>
        <v>2021E</v>
      </c>
      <c r="K275" s="820" t="str">
        <f t="shared" si="120"/>
        <v>2022E</v>
      </c>
      <c r="L275" s="820" t="str">
        <f t="shared" si="120"/>
        <v>2023E</v>
      </c>
      <c r="M275" s="820" t="str">
        <f t="shared" si="120"/>
        <v>2024E</v>
      </c>
      <c r="N275" s="820" t="str">
        <f t="shared" si="120"/>
        <v>2025E</v>
      </c>
      <c r="O275" s="820" t="str">
        <f t="shared" si="120"/>
        <v>2026E</v>
      </c>
      <c r="P275" s="820" t="str">
        <f t="shared" si="120"/>
        <v>2027E</v>
      </c>
      <c r="Q275" s="820" t="str">
        <f t="shared" si="120"/>
        <v>2028E</v>
      </c>
      <c r="R275" s="820" t="str">
        <f t="shared" si="120"/>
        <v>2029E</v>
      </c>
      <c r="S275" s="820" t="str">
        <f t="shared" si="120"/>
        <v>2030E</v>
      </c>
      <c r="T275" s="851"/>
    </row>
    <row r="276" spans="1:20" s="852" customFormat="1" ht="15.75" thickTop="1">
      <c r="B276" s="853" t="s">
        <v>467</v>
      </c>
      <c r="C276" s="854">
        <f>C230</f>
        <v>0</v>
      </c>
      <c r="D276" s="854">
        <f t="shared" ref="D276:S276" si="121">D230</f>
        <v>0</v>
      </c>
      <c r="E276" s="854">
        <f t="shared" si="121"/>
        <v>0</v>
      </c>
      <c r="F276" s="854">
        <f t="shared" si="121"/>
        <v>0</v>
      </c>
      <c r="G276" s="854">
        <f t="shared" si="121"/>
        <v>7.0000000000000007E-2</v>
      </c>
      <c r="H276" s="854">
        <f t="shared" si="121"/>
        <v>7.0000000000000007E-2</v>
      </c>
      <c r="I276" s="854">
        <f t="shared" si="121"/>
        <v>7.0000000000000007E-2</v>
      </c>
      <c r="J276" s="854">
        <f t="shared" si="121"/>
        <v>7.0000000000000007E-2</v>
      </c>
      <c r="K276" s="854">
        <f t="shared" si="121"/>
        <v>7.0000000000000007E-2</v>
      </c>
      <c r="L276" s="854">
        <f t="shared" si="121"/>
        <v>7.0000000000000007E-2</v>
      </c>
      <c r="M276" s="854">
        <f t="shared" si="121"/>
        <v>7.0000000000000007E-2</v>
      </c>
      <c r="N276" s="854">
        <f t="shared" si="121"/>
        <v>7.0000000000000007E-2</v>
      </c>
      <c r="O276" s="854">
        <f t="shared" si="121"/>
        <v>7.0000000000000007E-2</v>
      </c>
      <c r="P276" s="854">
        <f t="shared" si="121"/>
        <v>7.0000000000000007E-2</v>
      </c>
      <c r="Q276" s="854">
        <f t="shared" si="121"/>
        <v>7.0000000000000007E-2</v>
      </c>
      <c r="R276" s="854">
        <f t="shared" si="121"/>
        <v>7.0000000000000007E-2</v>
      </c>
      <c r="S276" s="854">
        <f t="shared" si="121"/>
        <v>7.0000000000000007E-2</v>
      </c>
      <c r="T276" s="855"/>
    </row>
    <row r="277" spans="1:20" s="852" customFormat="1">
      <c r="B277" s="856" t="s">
        <v>468</v>
      </c>
      <c r="C277" s="857">
        <f t="shared" ref="C277:S277" si="122">C231</f>
        <v>0</v>
      </c>
      <c r="D277" s="857">
        <f t="shared" si="122"/>
        <v>0</v>
      </c>
      <c r="E277" s="857">
        <f t="shared" si="122"/>
        <v>0</v>
      </c>
      <c r="F277" s="857">
        <f t="shared" si="122"/>
        <v>0</v>
      </c>
      <c r="G277" s="857">
        <f t="shared" si="122"/>
        <v>0</v>
      </c>
      <c r="H277" s="857">
        <f t="shared" si="122"/>
        <v>0.23</v>
      </c>
      <c r="I277" s="857">
        <f t="shared" si="122"/>
        <v>0.22</v>
      </c>
      <c r="J277" s="857">
        <f t="shared" si="122"/>
        <v>0.21</v>
      </c>
      <c r="K277" s="857">
        <f t="shared" si="122"/>
        <v>0.2</v>
      </c>
      <c r="L277" s="857">
        <f t="shared" si="122"/>
        <v>0.19</v>
      </c>
      <c r="M277" s="857">
        <f t="shared" si="122"/>
        <v>0.18</v>
      </c>
      <c r="N277" s="857">
        <f t="shared" si="122"/>
        <v>0.17</v>
      </c>
      <c r="O277" s="857">
        <f t="shared" si="122"/>
        <v>0.16</v>
      </c>
      <c r="P277" s="857">
        <f t="shared" si="122"/>
        <v>0.15</v>
      </c>
      <c r="Q277" s="857">
        <f t="shared" si="122"/>
        <v>0.14000000000000001</v>
      </c>
      <c r="R277" s="857">
        <f t="shared" si="122"/>
        <v>0.14000000000000001</v>
      </c>
      <c r="S277" s="857">
        <f t="shared" si="122"/>
        <v>0.14000000000000001</v>
      </c>
      <c r="T277" s="855"/>
    </row>
    <row r="278" spans="1:20" s="852" customFormat="1">
      <c r="B278" s="856" t="s">
        <v>469</v>
      </c>
      <c r="C278" s="857">
        <f t="shared" ref="C278:S278" si="123">C232</f>
        <v>0</v>
      </c>
      <c r="D278" s="857">
        <f t="shared" si="123"/>
        <v>0</v>
      </c>
      <c r="E278" s="857">
        <f t="shared" si="123"/>
        <v>0</v>
      </c>
      <c r="F278" s="857">
        <f t="shared" si="123"/>
        <v>0</v>
      </c>
      <c r="G278" s="857">
        <f t="shared" si="123"/>
        <v>0.15</v>
      </c>
      <c r="H278" s="857">
        <f t="shared" si="123"/>
        <v>0.13</v>
      </c>
      <c r="I278" s="857">
        <f t="shared" si="123"/>
        <v>0.11</v>
      </c>
      <c r="J278" s="857">
        <f t="shared" si="123"/>
        <v>0.1</v>
      </c>
      <c r="K278" s="857">
        <f t="shared" si="123"/>
        <v>0.09</v>
      </c>
      <c r="L278" s="857">
        <f t="shared" si="123"/>
        <v>0.08</v>
      </c>
      <c r="M278" s="857">
        <f t="shared" si="123"/>
        <v>7.0000000000000007E-2</v>
      </c>
      <c r="N278" s="857">
        <f t="shared" si="123"/>
        <v>0.06</v>
      </c>
      <c r="O278" s="857">
        <f t="shared" si="123"/>
        <v>0.05</v>
      </c>
      <c r="P278" s="857">
        <f t="shared" si="123"/>
        <v>4.4999999999999998E-2</v>
      </c>
      <c r="Q278" s="857">
        <f t="shared" si="123"/>
        <v>0.04</v>
      </c>
      <c r="R278" s="857">
        <f t="shared" si="123"/>
        <v>3.5000000000000003E-2</v>
      </c>
      <c r="S278" s="857">
        <f t="shared" si="123"/>
        <v>3.5000000000000003E-2</v>
      </c>
      <c r="T278" s="855"/>
    </row>
    <row r="279" spans="1:20" s="852" customFormat="1">
      <c r="B279" s="858" t="s">
        <v>55</v>
      </c>
      <c r="C279" s="860">
        <f t="shared" ref="C279:S279" si="124">C233</f>
        <v>0</v>
      </c>
      <c r="D279" s="860">
        <f t="shared" si="124"/>
        <v>0</v>
      </c>
      <c r="E279" s="860">
        <f t="shared" si="124"/>
        <v>0</v>
      </c>
      <c r="F279" s="860">
        <f t="shared" si="124"/>
        <v>0</v>
      </c>
      <c r="G279" s="860">
        <f t="shared" si="124"/>
        <v>0</v>
      </c>
      <c r="H279" s="860">
        <f t="shared" si="124"/>
        <v>0</v>
      </c>
      <c r="I279" s="860">
        <f t="shared" si="124"/>
        <v>0.13</v>
      </c>
      <c r="J279" s="860">
        <f t="shared" si="124"/>
        <v>0.16</v>
      </c>
      <c r="K279" s="860">
        <f t="shared" si="124"/>
        <v>0.16</v>
      </c>
      <c r="L279" s="860">
        <f t="shared" si="124"/>
        <v>0.16</v>
      </c>
      <c r="M279" s="860">
        <f t="shared" si="124"/>
        <v>0.16</v>
      </c>
      <c r="N279" s="860">
        <f t="shared" si="124"/>
        <v>0.16</v>
      </c>
      <c r="O279" s="860">
        <f t="shared" si="124"/>
        <v>0.16</v>
      </c>
      <c r="P279" s="860">
        <f t="shared" si="124"/>
        <v>0.16</v>
      </c>
      <c r="Q279" s="860">
        <f t="shared" si="124"/>
        <v>0.16</v>
      </c>
      <c r="R279" s="860">
        <f t="shared" si="124"/>
        <v>0.16</v>
      </c>
      <c r="S279" s="860">
        <f t="shared" si="124"/>
        <v>0.16</v>
      </c>
      <c r="T279" s="855"/>
    </row>
    <row r="281" spans="1:20" ht="15.75" thickBot="1">
      <c r="A281" s="1532"/>
      <c r="B281" s="819" t="s">
        <v>816</v>
      </c>
      <c r="C281" s="820" t="str">
        <f>C258</f>
        <v>2014E</v>
      </c>
      <c r="D281" s="820" t="str">
        <f t="shared" ref="D281:S281" si="125">D258</f>
        <v>2015E</v>
      </c>
      <c r="E281" s="820" t="str">
        <f t="shared" si="125"/>
        <v>2016E</v>
      </c>
      <c r="F281" s="820" t="str">
        <f t="shared" si="125"/>
        <v>2017E</v>
      </c>
      <c r="G281" s="820" t="str">
        <f t="shared" si="125"/>
        <v>2018E</v>
      </c>
      <c r="H281" s="820" t="str">
        <f t="shared" si="125"/>
        <v>2019E</v>
      </c>
      <c r="I281" s="820" t="str">
        <f t="shared" si="125"/>
        <v>2020E</v>
      </c>
      <c r="J281" s="820" t="str">
        <f t="shared" si="125"/>
        <v>2021E</v>
      </c>
      <c r="K281" s="820" t="str">
        <f t="shared" si="125"/>
        <v>2022E</v>
      </c>
      <c r="L281" s="820" t="str">
        <f t="shared" si="125"/>
        <v>2023E</v>
      </c>
      <c r="M281" s="820" t="str">
        <f t="shared" si="125"/>
        <v>2024E</v>
      </c>
      <c r="N281" s="820" t="str">
        <f t="shared" si="125"/>
        <v>2025E</v>
      </c>
      <c r="O281" s="820" t="str">
        <f t="shared" si="125"/>
        <v>2026E</v>
      </c>
      <c r="P281" s="820" t="str">
        <f t="shared" si="125"/>
        <v>2027E</v>
      </c>
      <c r="Q281" s="820" t="str">
        <f t="shared" si="125"/>
        <v>2028E</v>
      </c>
      <c r="R281" s="820" t="str">
        <f t="shared" si="125"/>
        <v>2029E</v>
      </c>
      <c r="S281" s="820" t="str">
        <f t="shared" si="125"/>
        <v>2030E</v>
      </c>
    </row>
    <row r="282" spans="1:20" ht="15.75" thickTop="1">
      <c r="B282" s="821" t="s">
        <v>423</v>
      </c>
      <c r="C282" s="823">
        <f>Epacadostat!E11</f>
        <v>0</v>
      </c>
      <c r="D282" s="823">
        <f>Epacadostat!F11</f>
        <v>0</v>
      </c>
      <c r="E282" s="823">
        <f>Epacadostat!G11</f>
        <v>0</v>
      </c>
      <c r="F282" s="823">
        <f>Epacadostat!H11</f>
        <v>0</v>
      </c>
      <c r="G282" s="823">
        <f>Epacadostat!I11</f>
        <v>0</v>
      </c>
      <c r="H282" s="823">
        <f>Epacadostat!J11</f>
        <v>0</v>
      </c>
      <c r="I282" s="823">
        <v>0</v>
      </c>
      <c r="J282" s="823">
        <v>0</v>
      </c>
      <c r="K282" s="823">
        <v>0</v>
      </c>
      <c r="L282" s="823">
        <v>0</v>
      </c>
      <c r="M282" s="823">
        <v>0</v>
      </c>
      <c r="N282" s="823">
        <v>0</v>
      </c>
      <c r="O282" s="823">
        <v>0</v>
      </c>
      <c r="P282" s="823">
        <v>0</v>
      </c>
      <c r="Q282" s="823">
        <v>0</v>
      </c>
      <c r="R282" s="823">
        <v>0</v>
      </c>
      <c r="S282" s="823">
        <v>0</v>
      </c>
    </row>
    <row r="283" spans="1:20">
      <c r="B283" s="824" t="s">
        <v>135</v>
      </c>
      <c r="C283" s="823">
        <f>C282*C299</f>
        <v>0</v>
      </c>
      <c r="D283" s="823">
        <f t="shared" ref="D283:S283" si="126">D282*D299</f>
        <v>0</v>
      </c>
      <c r="E283" s="823">
        <f t="shared" si="126"/>
        <v>0</v>
      </c>
      <c r="F283" s="823">
        <f t="shared" si="126"/>
        <v>0</v>
      </c>
      <c r="G283" s="823">
        <f t="shared" si="126"/>
        <v>0</v>
      </c>
      <c r="H283" s="823">
        <f t="shared" si="126"/>
        <v>0</v>
      </c>
      <c r="I283" s="823">
        <f t="shared" si="126"/>
        <v>0</v>
      </c>
      <c r="J283" s="823">
        <f t="shared" si="126"/>
        <v>0</v>
      </c>
      <c r="K283" s="823">
        <f t="shared" si="126"/>
        <v>0</v>
      </c>
      <c r="L283" s="823">
        <f t="shared" si="126"/>
        <v>0</v>
      </c>
      <c r="M283" s="823">
        <f t="shared" si="126"/>
        <v>0</v>
      </c>
      <c r="N283" s="823">
        <f t="shared" si="126"/>
        <v>0</v>
      </c>
      <c r="O283" s="823">
        <f t="shared" si="126"/>
        <v>0</v>
      </c>
      <c r="P283" s="823">
        <f t="shared" si="126"/>
        <v>0</v>
      </c>
      <c r="Q283" s="823">
        <f t="shared" si="126"/>
        <v>0</v>
      </c>
      <c r="R283" s="823">
        <f t="shared" si="126"/>
        <v>0</v>
      </c>
      <c r="S283" s="823">
        <f t="shared" si="126"/>
        <v>0</v>
      </c>
    </row>
    <row r="284" spans="1:20">
      <c r="B284" s="824" t="s">
        <v>424</v>
      </c>
      <c r="C284" s="823">
        <f>C282*C300</f>
        <v>0</v>
      </c>
      <c r="D284" s="823">
        <f t="shared" ref="D284:S284" si="127">D282*D300</f>
        <v>0</v>
      </c>
      <c r="E284" s="823">
        <f t="shared" si="127"/>
        <v>0</v>
      </c>
      <c r="F284" s="823">
        <f t="shared" si="127"/>
        <v>0</v>
      </c>
      <c r="G284" s="823">
        <f t="shared" si="127"/>
        <v>0</v>
      </c>
      <c r="H284" s="823">
        <f t="shared" si="127"/>
        <v>0</v>
      </c>
      <c r="I284" s="823">
        <f t="shared" si="127"/>
        <v>0</v>
      </c>
      <c r="J284" s="823">
        <f t="shared" si="127"/>
        <v>0</v>
      </c>
      <c r="K284" s="823">
        <f t="shared" si="127"/>
        <v>0</v>
      </c>
      <c r="L284" s="823">
        <f t="shared" si="127"/>
        <v>0</v>
      </c>
      <c r="M284" s="823">
        <f t="shared" si="127"/>
        <v>0</v>
      </c>
      <c r="N284" s="823">
        <f t="shared" si="127"/>
        <v>0</v>
      </c>
      <c r="O284" s="823">
        <f t="shared" si="127"/>
        <v>0</v>
      </c>
      <c r="P284" s="823">
        <f t="shared" si="127"/>
        <v>0</v>
      </c>
      <c r="Q284" s="823">
        <f t="shared" si="127"/>
        <v>0</v>
      </c>
      <c r="R284" s="823">
        <f t="shared" si="127"/>
        <v>0</v>
      </c>
      <c r="S284" s="823">
        <f t="shared" si="127"/>
        <v>0</v>
      </c>
    </row>
    <row r="285" spans="1:20">
      <c r="B285" s="1377" t="s">
        <v>248</v>
      </c>
      <c r="C285" s="827">
        <f>C282*C301</f>
        <v>0</v>
      </c>
      <c r="D285" s="827">
        <f>D282*D301</f>
        <v>0</v>
      </c>
      <c r="E285" s="1529">
        <v>15</v>
      </c>
      <c r="F285" s="1529">
        <v>15</v>
      </c>
      <c r="G285" s="1529">
        <v>15</v>
      </c>
      <c r="H285" s="1529">
        <v>15</v>
      </c>
      <c r="I285" s="827">
        <f t="shared" ref="I285:L285" si="128">I282*I301</f>
        <v>0</v>
      </c>
      <c r="J285" s="827">
        <f t="shared" si="128"/>
        <v>0</v>
      </c>
      <c r="K285" s="827">
        <f t="shared" si="128"/>
        <v>0</v>
      </c>
      <c r="L285" s="827">
        <f t="shared" si="128"/>
        <v>0</v>
      </c>
      <c r="M285" s="827">
        <f>M282*M301</f>
        <v>0</v>
      </c>
      <c r="N285" s="827">
        <f t="shared" ref="N285:R285" si="129">N282*N301</f>
        <v>0</v>
      </c>
      <c r="O285" s="827">
        <f t="shared" si="129"/>
        <v>0</v>
      </c>
      <c r="P285" s="827">
        <f t="shared" si="129"/>
        <v>0</v>
      </c>
      <c r="Q285" s="827">
        <f t="shared" si="129"/>
        <v>0</v>
      </c>
      <c r="R285" s="827">
        <f t="shared" si="129"/>
        <v>0</v>
      </c>
      <c r="S285" s="827">
        <f>S282*S301</f>
        <v>0</v>
      </c>
    </row>
    <row r="286" spans="1:20">
      <c r="B286" s="828" t="s">
        <v>425</v>
      </c>
      <c r="C286" s="829">
        <f>C282-C283-C284-C285</f>
        <v>0</v>
      </c>
      <c r="D286" s="823">
        <f t="shared" ref="D286:R286" si="130">D282-D283-D284-D285</f>
        <v>0</v>
      </c>
      <c r="E286" s="823">
        <f t="shared" si="130"/>
        <v>-15</v>
      </c>
      <c r="F286" s="823">
        <f t="shared" si="130"/>
        <v>-15</v>
      </c>
      <c r="G286" s="823">
        <f t="shared" si="130"/>
        <v>-15</v>
      </c>
      <c r="H286" s="823">
        <f t="shared" si="130"/>
        <v>-15</v>
      </c>
      <c r="I286" s="823">
        <f t="shared" si="130"/>
        <v>0</v>
      </c>
      <c r="J286" s="823">
        <f t="shared" si="130"/>
        <v>0</v>
      </c>
      <c r="K286" s="823">
        <f t="shared" si="130"/>
        <v>0</v>
      </c>
      <c r="L286" s="823">
        <f t="shared" si="130"/>
        <v>0</v>
      </c>
      <c r="M286" s="823">
        <f t="shared" si="130"/>
        <v>0</v>
      </c>
      <c r="N286" s="823">
        <f t="shared" si="130"/>
        <v>0</v>
      </c>
      <c r="O286" s="823">
        <f t="shared" si="130"/>
        <v>0</v>
      </c>
      <c r="P286" s="823">
        <f t="shared" si="130"/>
        <v>0</v>
      </c>
      <c r="Q286" s="823">
        <f t="shared" si="130"/>
        <v>0</v>
      </c>
      <c r="R286" s="823">
        <f t="shared" si="130"/>
        <v>0</v>
      </c>
      <c r="S286" s="823">
        <f>S282-S283-S284-S285</f>
        <v>0</v>
      </c>
    </row>
    <row r="287" spans="1:20" ht="15.75" thickBot="1">
      <c r="B287" s="830" t="s">
        <v>55</v>
      </c>
      <c r="C287" s="827">
        <f>C286*C302</f>
        <v>0</v>
      </c>
      <c r="D287" s="827">
        <f>D286*D302</f>
        <v>0</v>
      </c>
      <c r="E287" s="827">
        <f>E286*E302</f>
        <v>0</v>
      </c>
      <c r="F287" s="827">
        <f>F286*F302</f>
        <v>0</v>
      </c>
      <c r="G287" s="827">
        <f>G286*G302</f>
        <v>0</v>
      </c>
      <c r="H287" s="827">
        <f t="shared" ref="H287:S287" si="131">H286*H302</f>
        <v>0</v>
      </c>
      <c r="I287" s="827">
        <f t="shared" si="131"/>
        <v>0</v>
      </c>
      <c r="J287" s="827">
        <f t="shared" si="131"/>
        <v>0</v>
      </c>
      <c r="K287" s="827">
        <f t="shared" si="131"/>
        <v>0</v>
      </c>
      <c r="L287" s="827">
        <f t="shared" si="131"/>
        <v>0</v>
      </c>
      <c r="M287" s="827">
        <f t="shared" si="131"/>
        <v>0</v>
      </c>
      <c r="N287" s="827">
        <f t="shared" si="131"/>
        <v>0</v>
      </c>
      <c r="O287" s="827">
        <f t="shared" si="131"/>
        <v>0</v>
      </c>
      <c r="P287" s="827">
        <f t="shared" si="131"/>
        <v>0</v>
      </c>
      <c r="Q287" s="827">
        <f t="shared" si="131"/>
        <v>0</v>
      </c>
      <c r="R287" s="827">
        <f t="shared" si="131"/>
        <v>0</v>
      </c>
      <c r="S287" s="827">
        <f t="shared" si="131"/>
        <v>0</v>
      </c>
    </row>
    <row r="288" spans="1:20" ht="15.75" thickBot="1">
      <c r="B288" s="832" t="s">
        <v>426</v>
      </c>
      <c r="C288" s="862">
        <f>C286-C287</f>
        <v>0</v>
      </c>
      <c r="D288" s="862">
        <f t="shared" ref="D288:S288" si="132">D286-D287</f>
        <v>0</v>
      </c>
      <c r="E288" s="862">
        <f t="shared" si="132"/>
        <v>-15</v>
      </c>
      <c r="F288" s="862">
        <f t="shared" si="132"/>
        <v>-15</v>
      </c>
      <c r="G288" s="862">
        <f t="shared" si="132"/>
        <v>-15</v>
      </c>
      <c r="H288" s="862">
        <f t="shared" si="132"/>
        <v>-15</v>
      </c>
      <c r="I288" s="862">
        <f t="shared" si="132"/>
        <v>0</v>
      </c>
      <c r="J288" s="862">
        <f t="shared" si="132"/>
        <v>0</v>
      </c>
      <c r="K288" s="862">
        <f t="shared" si="132"/>
        <v>0</v>
      </c>
      <c r="L288" s="862">
        <f t="shared" si="132"/>
        <v>0</v>
      </c>
      <c r="M288" s="862">
        <f t="shared" si="132"/>
        <v>0</v>
      </c>
      <c r="N288" s="862">
        <f t="shared" si="132"/>
        <v>0</v>
      </c>
      <c r="O288" s="862">
        <f t="shared" si="132"/>
        <v>0</v>
      </c>
      <c r="P288" s="862">
        <f t="shared" si="132"/>
        <v>0</v>
      </c>
      <c r="Q288" s="862">
        <f t="shared" si="132"/>
        <v>0</v>
      </c>
      <c r="R288" s="862">
        <f t="shared" si="132"/>
        <v>0</v>
      </c>
      <c r="S288" s="862">
        <f t="shared" si="132"/>
        <v>0</v>
      </c>
      <c r="T288" s="835"/>
    </row>
    <row r="289" spans="1:20" ht="15.75" thickBot="1"/>
    <row r="290" spans="1:20">
      <c r="B290" s="837" t="s">
        <v>427</v>
      </c>
      <c r="C290" s="838">
        <f>T288</f>
        <v>0</v>
      </c>
    </row>
    <row r="291" spans="1:20">
      <c r="B291" s="839" t="s">
        <v>428</v>
      </c>
      <c r="C291" s="840">
        <v>0</v>
      </c>
    </row>
    <row r="292" spans="1:20">
      <c r="B292" s="839" t="s">
        <v>429</v>
      </c>
      <c r="C292" s="841">
        <v>0</v>
      </c>
      <c r="E292" s="842" t="s">
        <v>430</v>
      </c>
    </row>
    <row r="293" spans="1:20" ht="15.75" thickBot="1">
      <c r="B293" s="839" t="s">
        <v>431</v>
      </c>
      <c r="C293" s="840">
        <v>0</v>
      </c>
      <c r="E293" s="842" t="s">
        <v>432</v>
      </c>
    </row>
    <row r="294" spans="1:20" ht="15.75" thickBot="1">
      <c r="B294" s="843" t="s">
        <v>432</v>
      </c>
      <c r="C294" s="844">
        <f>C293/$C$413</f>
        <v>0</v>
      </c>
      <c r="E294" s="845">
        <f>C291/$C$413</f>
        <v>0</v>
      </c>
    </row>
    <row r="295" spans="1:20" ht="15.75" thickBot="1">
      <c r="B295" s="846"/>
      <c r="C295" s="847"/>
    </row>
    <row r="296" spans="1:20" ht="15.75" thickBot="1">
      <c r="B296" s="848" t="s">
        <v>818</v>
      </c>
      <c r="C296" s="849">
        <v>0.11656886732960876</v>
      </c>
      <c r="D296" s="850">
        <f>NPV(C296,F288:T288)</f>
        <v>-36.240957608615574</v>
      </c>
    </row>
    <row r="297" spans="1:20">
      <c r="B297" s="846"/>
      <c r="C297" s="847"/>
    </row>
    <row r="298" spans="1:20" s="852" customFormat="1" ht="15.75" thickBot="1">
      <c r="B298" s="819" t="s">
        <v>819</v>
      </c>
      <c r="C298" s="820" t="str">
        <f>C281</f>
        <v>2014E</v>
      </c>
      <c r="D298" s="820" t="str">
        <f t="shared" ref="D298:S298" si="133">D281</f>
        <v>2015E</v>
      </c>
      <c r="E298" s="820" t="str">
        <f t="shared" si="133"/>
        <v>2016E</v>
      </c>
      <c r="F298" s="820" t="str">
        <f t="shared" si="133"/>
        <v>2017E</v>
      </c>
      <c r="G298" s="820" t="str">
        <f t="shared" si="133"/>
        <v>2018E</v>
      </c>
      <c r="H298" s="820" t="str">
        <f t="shared" si="133"/>
        <v>2019E</v>
      </c>
      <c r="I298" s="820" t="str">
        <f t="shared" si="133"/>
        <v>2020E</v>
      </c>
      <c r="J298" s="820" t="str">
        <f t="shared" si="133"/>
        <v>2021E</v>
      </c>
      <c r="K298" s="820" t="str">
        <f t="shared" si="133"/>
        <v>2022E</v>
      </c>
      <c r="L298" s="820" t="str">
        <f t="shared" si="133"/>
        <v>2023E</v>
      </c>
      <c r="M298" s="820" t="str">
        <f t="shared" si="133"/>
        <v>2024E</v>
      </c>
      <c r="N298" s="820" t="str">
        <f t="shared" si="133"/>
        <v>2025E</v>
      </c>
      <c r="O298" s="820" t="str">
        <f t="shared" si="133"/>
        <v>2026E</v>
      </c>
      <c r="P298" s="820" t="str">
        <f t="shared" si="133"/>
        <v>2027E</v>
      </c>
      <c r="Q298" s="820" t="str">
        <f t="shared" si="133"/>
        <v>2028E</v>
      </c>
      <c r="R298" s="820" t="str">
        <f t="shared" si="133"/>
        <v>2029E</v>
      </c>
      <c r="S298" s="820" t="str">
        <f t="shared" si="133"/>
        <v>2030E</v>
      </c>
      <c r="T298" s="851"/>
    </row>
    <row r="299" spans="1:20" s="852" customFormat="1" ht="15.75" thickTop="1">
      <c r="B299" s="853" t="s">
        <v>467</v>
      </c>
      <c r="C299" s="854">
        <f>C276</f>
        <v>0</v>
      </c>
      <c r="D299" s="854">
        <f t="shared" ref="D299:S299" si="134">D276</f>
        <v>0</v>
      </c>
      <c r="E299" s="854">
        <f t="shared" si="134"/>
        <v>0</v>
      </c>
      <c r="F299" s="854">
        <f t="shared" si="134"/>
        <v>0</v>
      </c>
      <c r="G299" s="854">
        <f t="shared" si="134"/>
        <v>7.0000000000000007E-2</v>
      </c>
      <c r="H299" s="854">
        <f t="shared" si="134"/>
        <v>7.0000000000000007E-2</v>
      </c>
      <c r="I299" s="854">
        <f t="shared" si="134"/>
        <v>7.0000000000000007E-2</v>
      </c>
      <c r="J299" s="854">
        <f t="shared" si="134"/>
        <v>7.0000000000000007E-2</v>
      </c>
      <c r="K299" s="854">
        <f t="shared" si="134"/>
        <v>7.0000000000000007E-2</v>
      </c>
      <c r="L299" s="854">
        <f t="shared" si="134"/>
        <v>7.0000000000000007E-2</v>
      </c>
      <c r="M299" s="854">
        <f t="shared" si="134"/>
        <v>7.0000000000000007E-2</v>
      </c>
      <c r="N299" s="854">
        <f t="shared" si="134"/>
        <v>7.0000000000000007E-2</v>
      </c>
      <c r="O299" s="854">
        <f t="shared" si="134"/>
        <v>7.0000000000000007E-2</v>
      </c>
      <c r="P299" s="854">
        <f t="shared" si="134"/>
        <v>7.0000000000000007E-2</v>
      </c>
      <c r="Q299" s="854">
        <f t="shared" si="134"/>
        <v>7.0000000000000007E-2</v>
      </c>
      <c r="R299" s="854">
        <f t="shared" si="134"/>
        <v>7.0000000000000007E-2</v>
      </c>
      <c r="S299" s="854">
        <f t="shared" si="134"/>
        <v>7.0000000000000007E-2</v>
      </c>
      <c r="T299" s="855"/>
    </row>
    <row r="300" spans="1:20" s="852" customFormat="1">
      <c r="B300" s="856" t="s">
        <v>468</v>
      </c>
      <c r="C300" s="857">
        <f t="shared" ref="C300:S300" si="135">C277</f>
        <v>0</v>
      </c>
      <c r="D300" s="857">
        <f t="shared" si="135"/>
        <v>0</v>
      </c>
      <c r="E300" s="857">
        <f t="shared" si="135"/>
        <v>0</v>
      </c>
      <c r="F300" s="857">
        <f t="shared" si="135"/>
        <v>0</v>
      </c>
      <c r="G300" s="857">
        <f t="shared" si="135"/>
        <v>0</v>
      </c>
      <c r="H300" s="857">
        <f t="shared" si="135"/>
        <v>0.23</v>
      </c>
      <c r="I300" s="857">
        <f t="shared" si="135"/>
        <v>0.22</v>
      </c>
      <c r="J300" s="857">
        <f t="shared" si="135"/>
        <v>0.21</v>
      </c>
      <c r="K300" s="857">
        <f t="shared" si="135"/>
        <v>0.2</v>
      </c>
      <c r="L300" s="857">
        <f t="shared" si="135"/>
        <v>0.19</v>
      </c>
      <c r="M300" s="857">
        <f t="shared" si="135"/>
        <v>0.18</v>
      </c>
      <c r="N300" s="857">
        <f t="shared" si="135"/>
        <v>0.17</v>
      </c>
      <c r="O300" s="857">
        <f t="shared" si="135"/>
        <v>0.16</v>
      </c>
      <c r="P300" s="857">
        <f t="shared" si="135"/>
        <v>0.15</v>
      </c>
      <c r="Q300" s="857">
        <f t="shared" si="135"/>
        <v>0.14000000000000001</v>
      </c>
      <c r="R300" s="857">
        <f t="shared" si="135"/>
        <v>0.14000000000000001</v>
      </c>
      <c r="S300" s="857">
        <f t="shared" si="135"/>
        <v>0.14000000000000001</v>
      </c>
      <c r="T300" s="855"/>
    </row>
    <row r="301" spans="1:20" s="852" customFormat="1">
      <c r="B301" s="856" t="s">
        <v>469</v>
      </c>
      <c r="C301" s="857">
        <f t="shared" ref="C301:S301" si="136">C278</f>
        <v>0</v>
      </c>
      <c r="D301" s="857">
        <f t="shared" si="136"/>
        <v>0</v>
      </c>
      <c r="E301" s="857">
        <f t="shared" si="136"/>
        <v>0</v>
      </c>
      <c r="F301" s="857">
        <f t="shared" si="136"/>
        <v>0</v>
      </c>
      <c r="G301" s="857">
        <f t="shared" si="136"/>
        <v>0.15</v>
      </c>
      <c r="H301" s="857">
        <f t="shared" si="136"/>
        <v>0.13</v>
      </c>
      <c r="I301" s="857">
        <f t="shared" si="136"/>
        <v>0.11</v>
      </c>
      <c r="J301" s="857">
        <f t="shared" si="136"/>
        <v>0.1</v>
      </c>
      <c r="K301" s="857">
        <f t="shared" si="136"/>
        <v>0.09</v>
      </c>
      <c r="L301" s="857">
        <f t="shared" si="136"/>
        <v>0.08</v>
      </c>
      <c r="M301" s="857">
        <f t="shared" si="136"/>
        <v>7.0000000000000007E-2</v>
      </c>
      <c r="N301" s="857">
        <f t="shared" si="136"/>
        <v>0.06</v>
      </c>
      <c r="O301" s="857">
        <f t="shared" si="136"/>
        <v>0.05</v>
      </c>
      <c r="P301" s="857">
        <f t="shared" si="136"/>
        <v>4.4999999999999998E-2</v>
      </c>
      <c r="Q301" s="857">
        <f t="shared" si="136"/>
        <v>0.04</v>
      </c>
      <c r="R301" s="857">
        <f t="shared" si="136"/>
        <v>3.5000000000000003E-2</v>
      </c>
      <c r="S301" s="857">
        <f t="shared" si="136"/>
        <v>3.5000000000000003E-2</v>
      </c>
      <c r="T301" s="855"/>
    </row>
    <row r="302" spans="1:20" s="852" customFormat="1">
      <c r="B302" s="858" t="s">
        <v>55</v>
      </c>
      <c r="C302" s="860">
        <f t="shared" ref="C302:S302" si="137">C279</f>
        <v>0</v>
      </c>
      <c r="D302" s="860">
        <f t="shared" si="137"/>
        <v>0</v>
      </c>
      <c r="E302" s="860">
        <f t="shared" si="137"/>
        <v>0</v>
      </c>
      <c r="F302" s="860">
        <f t="shared" si="137"/>
        <v>0</v>
      </c>
      <c r="G302" s="860">
        <f t="shared" si="137"/>
        <v>0</v>
      </c>
      <c r="H302" s="860">
        <f t="shared" si="137"/>
        <v>0</v>
      </c>
      <c r="I302" s="860">
        <f t="shared" si="137"/>
        <v>0.13</v>
      </c>
      <c r="J302" s="860">
        <f t="shared" si="137"/>
        <v>0.16</v>
      </c>
      <c r="K302" s="860">
        <f t="shared" si="137"/>
        <v>0.16</v>
      </c>
      <c r="L302" s="860">
        <f t="shared" si="137"/>
        <v>0.16</v>
      </c>
      <c r="M302" s="860">
        <f t="shared" si="137"/>
        <v>0.16</v>
      </c>
      <c r="N302" s="860">
        <f t="shared" si="137"/>
        <v>0.16</v>
      </c>
      <c r="O302" s="860">
        <f t="shared" si="137"/>
        <v>0.16</v>
      </c>
      <c r="P302" s="860">
        <f t="shared" si="137"/>
        <v>0.16</v>
      </c>
      <c r="Q302" s="860">
        <f t="shared" si="137"/>
        <v>0.16</v>
      </c>
      <c r="R302" s="860">
        <f t="shared" si="137"/>
        <v>0.16</v>
      </c>
      <c r="S302" s="860">
        <f t="shared" si="137"/>
        <v>0.16</v>
      </c>
      <c r="T302" s="855"/>
    </row>
    <row r="304" spans="1:20" ht="15.75" thickBot="1">
      <c r="A304" s="1532"/>
      <c r="B304" s="819" t="s">
        <v>817</v>
      </c>
      <c r="C304" s="820" t="str">
        <f>C281</f>
        <v>2014E</v>
      </c>
      <c r="D304" s="820" t="str">
        <f t="shared" ref="D304:S304" si="138">D281</f>
        <v>2015E</v>
      </c>
      <c r="E304" s="820" t="str">
        <f t="shared" si="138"/>
        <v>2016E</v>
      </c>
      <c r="F304" s="820" t="str">
        <f t="shared" si="138"/>
        <v>2017E</v>
      </c>
      <c r="G304" s="820" t="str">
        <f t="shared" si="138"/>
        <v>2018E</v>
      </c>
      <c r="H304" s="820" t="str">
        <f t="shared" si="138"/>
        <v>2019E</v>
      </c>
      <c r="I304" s="820" t="str">
        <f t="shared" si="138"/>
        <v>2020E</v>
      </c>
      <c r="J304" s="820" t="str">
        <f t="shared" si="138"/>
        <v>2021E</v>
      </c>
      <c r="K304" s="820" t="str">
        <f t="shared" si="138"/>
        <v>2022E</v>
      </c>
      <c r="L304" s="820" t="str">
        <f t="shared" si="138"/>
        <v>2023E</v>
      </c>
      <c r="M304" s="820" t="str">
        <f t="shared" si="138"/>
        <v>2024E</v>
      </c>
      <c r="N304" s="820" t="str">
        <f t="shared" si="138"/>
        <v>2025E</v>
      </c>
      <c r="O304" s="820" t="str">
        <f t="shared" si="138"/>
        <v>2026E</v>
      </c>
      <c r="P304" s="820" t="str">
        <f t="shared" si="138"/>
        <v>2027E</v>
      </c>
      <c r="Q304" s="820" t="str">
        <f t="shared" si="138"/>
        <v>2028E</v>
      </c>
      <c r="R304" s="820" t="str">
        <f t="shared" si="138"/>
        <v>2029E</v>
      </c>
      <c r="S304" s="820" t="str">
        <f t="shared" si="138"/>
        <v>2030E</v>
      </c>
    </row>
    <row r="305" spans="2:20" ht="15.75" thickTop="1">
      <c r="B305" s="821" t="s">
        <v>423</v>
      </c>
      <c r="C305" s="823">
        <f>Epacadostat!E12</f>
        <v>0</v>
      </c>
      <c r="D305" s="823">
        <f>Epacadostat!F12</f>
        <v>0</v>
      </c>
      <c r="E305" s="823">
        <f>Epacadostat!G12</f>
        <v>0</v>
      </c>
      <c r="F305" s="823">
        <f>Epacadostat!H12</f>
        <v>0</v>
      </c>
      <c r="G305" s="823">
        <f>Epacadostat!I12</f>
        <v>0</v>
      </c>
      <c r="H305" s="823">
        <f>Epacadostat!J12</f>
        <v>0</v>
      </c>
      <c r="I305" s="823">
        <v>0</v>
      </c>
      <c r="J305" s="823">
        <v>0</v>
      </c>
      <c r="K305" s="823">
        <v>0</v>
      </c>
      <c r="L305" s="823">
        <v>0</v>
      </c>
      <c r="M305" s="823">
        <v>0</v>
      </c>
      <c r="N305" s="823">
        <v>0</v>
      </c>
      <c r="O305" s="823">
        <v>0</v>
      </c>
      <c r="P305" s="823">
        <v>0</v>
      </c>
      <c r="Q305" s="823">
        <v>0</v>
      </c>
      <c r="R305" s="823">
        <v>0</v>
      </c>
      <c r="S305" s="823">
        <v>0</v>
      </c>
    </row>
    <row r="306" spans="2:20">
      <c r="B306" s="824" t="s">
        <v>135</v>
      </c>
      <c r="C306" s="823">
        <f>C305*C322</f>
        <v>0</v>
      </c>
      <c r="D306" s="823">
        <f t="shared" ref="D306:S306" si="139">D305*D322</f>
        <v>0</v>
      </c>
      <c r="E306" s="823">
        <f t="shared" si="139"/>
        <v>0</v>
      </c>
      <c r="F306" s="823">
        <f t="shared" si="139"/>
        <v>0</v>
      </c>
      <c r="G306" s="823">
        <f t="shared" si="139"/>
        <v>0</v>
      </c>
      <c r="H306" s="823">
        <f t="shared" si="139"/>
        <v>0</v>
      </c>
      <c r="I306" s="823">
        <f t="shared" si="139"/>
        <v>0</v>
      </c>
      <c r="J306" s="823">
        <f t="shared" si="139"/>
        <v>0</v>
      </c>
      <c r="K306" s="823">
        <f t="shared" si="139"/>
        <v>0</v>
      </c>
      <c r="L306" s="823">
        <f t="shared" si="139"/>
        <v>0</v>
      </c>
      <c r="M306" s="823">
        <f t="shared" si="139"/>
        <v>0</v>
      </c>
      <c r="N306" s="823">
        <f t="shared" si="139"/>
        <v>0</v>
      </c>
      <c r="O306" s="823">
        <f t="shared" si="139"/>
        <v>0</v>
      </c>
      <c r="P306" s="823">
        <f t="shared" si="139"/>
        <v>0</v>
      </c>
      <c r="Q306" s="823">
        <f t="shared" si="139"/>
        <v>0</v>
      </c>
      <c r="R306" s="823">
        <f t="shared" si="139"/>
        <v>0</v>
      </c>
      <c r="S306" s="823">
        <f t="shared" si="139"/>
        <v>0</v>
      </c>
    </row>
    <row r="307" spans="2:20">
      <c r="B307" s="824" t="s">
        <v>424</v>
      </c>
      <c r="C307" s="823">
        <f>C305*C323</f>
        <v>0</v>
      </c>
      <c r="D307" s="823">
        <f t="shared" ref="D307:S307" si="140">D305*D323</f>
        <v>0</v>
      </c>
      <c r="E307" s="823">
        <f t="shared" si="140"/>
        <v>0</v>
      </c>
      <c r="F307" s="823">
        <f t="shared" si="140"/>
        <v>0</v>
      </c>
      <c r="G307" s="823">
        <f t="shared" si="140"/>
        <v>0</v>
      </c>
      <c r="H307" s="823">
        <f t="shared" si="140"/>
        <v>0</v>
      </c>
      <c r="I307" s="823">
        <f t="shared" si="140"/>
        <v>0</v>
      </c>
      <c r="J307" s="823">
        <f t="shared" si="140"/>
        <v>0</v>
      </c>
      <c r="K307" s="823">
        <f t="shared" si="140"/>
        <v>0</v>
      </c>
      <c r="L307" s="823">
        <f t="shared" si="140"/>
        <v>0</v>
      </c>
      <c r="M307" s="823">
        <f t="shared" si="140"/>
        <v>0</v>
      </c>
      <c r="N307" s="823">
        <f t="shared" si="140"/>
        <v>0</v>
      </c>
      <c r="O307" s="823">
        <f t="shared" si="140"/>
        <v>0</v>
      </c>
      <c r="P307" s="823">
        <f t="shared" si="140"/>
        <v>0</v>
      </c>
      <c r="Q307" s="823">
        <f t="shared" si="140"/>
        <v>0</v>
      </c>
      <c r="R307" s="823">
        <f t="shared" si="140"/>
        <v>0</v>
      </c>
      <c r="S307" s="823">
        <f t="shared" si="140"/>
        <v>0</v>
      </c>
    </row>
    <row r="308" spans="2:20">
      <c r="B308" s="1377" t="s">
        <v>248</v>
      </c>
      <c r="C308" s="827">
        <f>C305*C324</f>
        <v>0</v>
      </c>
      <c r="D308" s="827">
        <f>D305*D324</f>
        <v>0</v>
      </c>
      <c r="E308" s="1529">
        <v>15</v>
      </c>
      <c r="F308" s="1529">
        <v>15</v>
      </c>
      <c r="G308" s="1529">
        <v>15</v>
      </c>
      <c r="H308" s="1529">
        <v>15</v>
      </c>
      <c r="I308" s="827">
        <f t="shared" ref="I308:L308" si="141">I305*I324</f>
        <v>0</v>
      </c>
      <c r="J308" s="827">
        <f t="shared" si="141"/>
        <v>0</v>
      </c>
      <c r="K308" s="827">
        <f t="shared" si="141"/>
        <v>0</v>
      </c>
      <c r="L308" s="827">
        <f t="shared" si="141"/>
        <v>0</v>
      </c>
      <c r="M308" s="827">
        <f>M305*M324</f>
        <v>0</v>
      </c>
      <c r="N308" s="827">
        <f t="shared" ref="N308:R308" si="142">N305*N324</f>
        <v>0</v>
      </c>
      <c r="O308" s="827">
        <f t="shared" si="142"/>
        <v>0</v>
      </c>
      <c r="P308" s="827">
        <f t="shared" si="142"/>
        <v>0</v>
      </c>
      <c r="Q308" s="827">
        <f t="shared" si="142"/>
        <v>0</v>
      </c>
      <c r="R308" s="827">
        <f t="shared" si="142"/>
        <v>0</v>
      </c>
      <c r="S308" s="827">
        <f>S305*S324</f>
        <v>0</v>
      </c>
    </row>
    <row r="309" spans="2:20">
      <c r="B309" s="828" t="s">
        <v>425</v>
      </c>
      <c r="C309" s="829">
        <f>C305-C306-C307-C308</f>
        <v>0</v>
      </c>
      <c r="D309" s="823">
        <f t="shared" ref="D309:R309" si="143">D305-D306-D307-D308</f>
        <v>0</v>
      </c>
      <c r="E309" s="823">
        <f t="shared" si="143"/>
        <v>-15</v>
      </c>
      <c r="F309" s="823">
        <f t="shared" si="143"/>
        <v>-15</v>
      </c>
      <c r="G309" s="823">
        <f t="shared" si="143"/>
        <v>-15</v>
      </c>
      <c r="H309" s="823">
        <f t="shared" si="143"/>
        <v>-15</v>
      </c>
      <c r="I309" s="823">
        <f t="shared" si="143"/>
        <v>0</v>
      </c>
      <c r="J309" s="823">
        <f t="shared" si="143"/>
        <v>0</v>
      </c>
      <c r="K309" s="823">
        <f t="shared" si="143"/>
        <v>0</v>
      </c>
      <c r="L309" s="823">
        <f t="shared" si="143"/>
        <v>0</v>
      </c>
      <c r="M309" s="823">
        <f t="shared" si="143"/>
        <v>0</v>
      </c>
      <c r="N309" s="823">
        <f t="shared" si="143"/>
        <v>0</v>
      </c>
      <c r="O309" s="823">
        <f t="shared" si="143"/>
        <v>0</v>
      </c>
      <c r="P309" s="823">
        <f t="shared" si="143"/>
        <v>0</v>
      </c>
      <c r="Q309" s="823">
        <f t="shared" si="143"/>
        <v>0</v>
      </c>
      <c r="R309" s="823">
        <f t="shared" si="143"/>
        <v>0</v>
      </c>
      <c r="S309" s="823">
        <f>S305-S306-S307-S308</f>
        <v>0</v>
      </c>
    </row>
    <row r="310" spans="2:20" ht="15.75" thickBot="1">
      <c r="B310" s="830" t="s">
        <v>55</v>
      </c>
      <c r="C310" s="827">
        <f>C309*C325</f>
        <v>0</v>
      </c>
      <c r="D310" s="827">
        <f>D309*D325</f>
        <v>0</v>
      </c>
      <c r="E310" s="827">
        <f>E309*E325</f>
        <v>0</v>
      </c>
      <c r="F310" s="827">
        <f>F309*F325</f>
        <v>0</v>
      </c>
      <c r="G310" s="827">
        <f>G309*G325</f>
        <v>0</v>
      </c>
      <c r="H310" s="827">
        <f t="shared" ref="H310:S310" si="144">H309*H325</f>
        <v>0</v>
      </c>
      <c r="I310" s="827">
        <f t="shared" si="144"/>
        <v>0</v>
      </c>
      <c r="J310" s="827">
        <f t="shared" si="144"/>
        <v>0</v>
      </c>
      <c r="K310" s="827">
        <f t="shared" si="144"/>
        <v>0</v>
      </c>
      <c r="L310" s="827">
        <f t="shared" si="144"/>
        <v>0</v>
      </c>
      <c r="M310" s="827">
        <f t="shared" si="144"/>
        <v>0</v>
      </c>
      <c r="N310" s="827">
        <f t="shared" si="144"/>
        <v>0</v>
      </c>
      <c r="O310" s="827">
        <f t="shared" si="144"/>
        <v>0</v>
      </c>
      <c r="P310" s="827">
        <f t="shared" si="144"/>
        <v>0</v>
      </c>
      <c r="Q310" s="827">
        <f t="shared" si="144"/>
        <v>0</v>
      </c>
      <c r="R310" s="827">
        <f t="shared" si="144"/>
        <v>0</v>
      </c>
      <c r="S310" s="827">
        <f t="shared" si="144"/>
        <v>0</v>
      </c>
    </row>
    <row r="311" spans="2:20" ht="15.75" thickBot="1">
      <c r="B311" s="832" t="s">
        <v>426</v>
      </c>
      <c r="C311" s="862">
        <f>C309-C310</f>
        <v>0</v>
      </c>
      <c r="D311" s="862">
        <f t="shared" ref="D311:S311" si="145">D309-D310</f>
        <v>0</v>
      </c>
      <c r="E311" s="862">
        <f t="shared" si="145"/>
        <v>-15</v>
      </c>
      <c r="F311" s="862">
        <f t="shared" si="145"/>
        <v>-15</v>
      </c>
      <c r="G311" s="862">
        <f t="shared" si="145"/>
        <v>-15</v>
      </c>
      <c r="H311" s="862">
        <f t="shared" si="145"/>
        <v>-15</v>
      </c>
      <c r="I311" s="862">
        <f t="shared" si="145"/>
        <v>0</v>
      </c>
      <c r="J311" s="862">
        <f t="shared" si="145"/>
        <v>0</v>
      </c>
      <c r="K311" s="862">
        <f t="shared" si="145"/>
        <v>0</v>
      </c>
      <c r="L311" s="862">
        <f t="shared" si="145"/>
        <v>0</v>
      </c>
      <c r="M311" s="862">
        <f t="shared" si="145"/>
        <v>0</v>
      </c>
      <c r="N311" s="862">
        <f t="shared" si="145"/>
        <v>0</v>
      </c>
      <c r="O311" s="862">
        <f t="shared" si="145"/>
        <v>0</v>
      </c>
      <c r="P311" s="862">
        <f t="shared" si="145"/>
        <v>0</v>
      </c>
      <c r="Q311" s="862">
        <f t="shared" si="145"/>
        <v>0</v>
      </c>
      <c r="R311" s="862">
        <f t="shared" si="145"/>
        <v>0</v>
      </c>
      <c r="S311" s="862">
        <f t="shared" si="145"/>
        <v>0</v>
      </c>
      <c r="T311" s="835"/>
    </row>
    <row r="312" spans="2:20" ht="15.75" thickBot="1"/>
    <row r="313" spans="2:20">
      <c r="B313" s="837" t="s">
        <v>427</v>
      </c>
      <c r="C313" s="838">
        <f>T311</f>
        <v>0</v>
      </c>
    </row>
    <row r="314" spans="2:20">
      <c r="B314" s="839" t="s">
        <v>428</v>
      </c>
      <c r="C314" s="840">
        <v>0</v>
      </c>
    </row>
    <row r="315" spans="2:20">
      <c r="B315" s="839" t="s">
        <v>429</v>
      </c>
      <c r="C315" s="841">
        <v>0</v>
      </c>
      <c r="E315" s="842" t="s">
        <v>430</v>
      </c>
    </row>
    <row r="316" spans="2:20" ht="15.75" thickBot="1">
      <c r="B316" s="839" t="s">
        <v>431</v>
      </c>
      <c r="C316" s="840">
        <v>0</v>
      </c>
      <c r="E316" s="842" t="s">
        <v>432</v>
      </c>
    </row>
    <row r="317" spans="2:20" ht="15.75" thickBot="1">
      <c r="B317" s="843" t="s">
        <v>432</v>
      </c>
      <c r="C317" s="844">
        <f>C316/$C$413</f>
        <v>0</v>
      </c>
      <c r="E317" s="845">
        <f>C314/$C$413</f>
        <v>0</v>
      </c>
    </row>
    <row r="318" spans="2:20" ht="15.75" thickBot="1">
      <c r="B318" s="846"/>
      <c r="C318" s="847"/>
    </row>
    <row r="319" spans="2:20" ht="15.75" thickBot="1">
      <c r="B319" s="848" t="s">
        <v>820</v>
      </c>
      <c r="C319" s="849">
        <v>0.11714315305585934</v>
      </c>
      <c r="D319" s="850">
        <f>NPV(C319,F311:T311)</f>
        <v>-36.20507550069118</v>
      </c>
    </row>
    <row r="320" spans="2:20">
      <c r="B320" s="846"/>
      <c r="C320" s="847"/>
    </row>
    <row r="321" spans="2:20" s="852" customFormat="1" ht="15.75" thickBot="1">
      <c r="B321" s="819" t="s">
        <v>821</v>
      </c>
      <c r="C321" s="820" t="str">
        <f>C304</f>
        <v>2014E</v>
      </c>
      <c r="D321" s="820" t="str">
        <f t="shared" ref="D321:S321" si="146">D304</f>
        <v>2015E</v>
      </c>
      <c r="E321" s="820" t="str">
        <f t="shared" si="146"/>
        <v>2016E</v>
      </c>
      <c r="F321" s="820" t="str">
        <f t="shared" si="146"/>
        <v>2017E</v>
      </c>
      <c r="G321" s="820" t="str">
        <f t="shared" si="146"/>
        <v>2018E</v>
      </c>
      <c r="H321" s="820" t="str">
        <f t="shared" si="146"/>
        <v>2019E</v>
      </c>
      <c r="I321" s="820" t="str">
        <f t="shared" si="146"/>
        <v>2020E</v>
      </c>
      <c r="J321" s="820" t="str">
        <f t="shared" si="146"/>
        <v>2021E</v>
      </c>
      <c r="K321" s="820" t="str">
        <f t="shared" si="146"/>
        <v>2022E</v>
      </c>
      <c r="L321" s="820" t="str">
        <f t="shared" si="146"/>
        <v>2023E</v>
      </c>
      <c r="M321" s="820" t="str">
        <f t="shared" si="146"/>
        <v>2024E</v>
      </c>
      <c r="N321" s="820" t="str">
        <f t="shared" si="146"/>
        <v>2025E</v>
      </c>
      <c r="O321" s="820" t="str">
        <f t="shared" si="146"/>
        <v>2026E</v>
      </c>
      <c r="P321" s="820" t="str">
        <f t="shared" si="146"/>
        <v>2027E</v>
      </c>
      <c r="Q321" s="820" t="str">
        <f t="shared" si="146"/>
        <v>2028E</v>
      </c>
      <c r="R321" s="820" t="str">
        <f t="shared" si="146"/>
        <v>2029E</v>
      </c>
      <c r="S321" s="820" t="str">
        <f t="shared" si="146"/>
        <v>2030E</v>
      </c>
      <c r="T321" s="851"/>
    </row>
    <row r="322" spans="2:20" s="852" customFormat="1" ht="15.75" thickTop="1">
      <c r="B322" s="853" t="s">
        <v>467</v>
      </c>
      <c r="C322" s="854">
        <f>C299</f>
        <v>0</v>
      </c>
      <c r="D322" s="854">
        <f t="shared" ref="D322:S322" si="147">D299</f>
        <v>0</v>
      </c>
      <c r="E322" s="854">
        <f t="shared" si="147"/>
        <v>0</v>
      </c>
      <c r="F322" s="854">
        <f t="shared" si="147"/>
        <v>0</v>
      </c>
      <c r="G322" s="854">
        <f t="shared" si="147"/>
        <v>7.0000000000000007E-2</v>
      </c>
      <c r="H322" s="854">
        <f t="shared" si="147"/>
        <v>7.0000000000000007E-2</v>
      </c>
      <c r="I322" s="854">
        <f t="shared" si="147"/>
        <v>7.0000000000000007E-2</v>
      </c>
      <c r="J322" s="854">
        <f t="shared" si="147"/>
        <v>7.0000000000000007E-2</v>
      </c>
      <c r="K322" s="854">
        <f t="shared" si="147"/>
        <v>7.0000000000000007E-2</v>
      </c>
      <c r="L322" s="854">
        <f t="shared" si="147"/>
        <v>7.0000000000000007E-2</v>
      </c>
      <c r="M322" s="854">
        <f t="shared" si="147"/>
        <v>7.0000000000000007E-2</v>
      </c>
      <c r="N322" s="854">
        <f t="shared" si="147"/>
        <v>7.0000000000000007E-2</v>
      </c>
      <c r="O322" s="854">
        <f t="shared" si="147"/>
        <v>7.0000000000000007E-2</v>
      </c>
      <c r="P322" s="854">
        <f t="shared" si="147"/>
        <v>7.0000000000000007E-2</v>
      </c>
      <c r="Q322" s="854">
        <f t="shared" si="147"/>
        <v>7.0000000000000007E-2</v>
      </c>
      <c r="R322" s="854">
        <f t="shared" si="147"/>
        <v>7.0000000000000007E-2</v>
      </c>
      <c r="S322" s="854">
        <f t="shared" si="147"/>
        <v>7.0000000000000007E-2</v>
      </c>
      <c r="T322" s="855"/>
    </row>
    <row r="323" spans="2:20" s="852" customFormat="1">
      <c r="B323" s="856" t="s">
        <v>468</v>
      </c>
      <c r="C323" s="857">
        <f t="shared" ref="C323:S323" si="148">C300</f>
        <v>0</v>
      </c>
      <c r="D323" s="857">
        <f t="shared" si="148"/>
        <v>0</v>
      </c>
      <c r="E323" s="857">
        <f t="shared" si="148"/>
        <v>0</v>
      </c>
      <c r="F323" s="857">
        <f t="shared" si="148"/>
        <v>0</v>
      </c>
      <c r="G323" s="857">
        <f t="shared" si="148"/>
        <v>0</v>
      </c>
      <c r="H323" s="857">
        <f t="shared" si="148"/>
        <v>0.23</v>
      </c>
      <c r="I323" s="857">
        <f t="shared" si="148"/>
        <v>0.22</v>
      </c>
      <c r="J323" s="857">
        <f t="shared" si="148"/>
        <v>0.21</v>
      </c>
      <c r="K323" s="857">
        <f t="shared" si="148"/>
        <v>0.2</v>
      </c>
      <c r="L323" s="857">
        <f t="shared" si="148"/>
        <v>0.19</v>
      </c>
      <c r="M323" s="857">
        <f t="shared" si="148"/>
        <v>0.18</v>
      </c>
      <c r="N323" s="857">
        <f t="shared" si="148"/>
        <v>0.17</v>
      </c>
      <c r="O323" s="857">
        <f t="shared" si="148"/>
        <v>0.16</v>
      </c>
      <c r="P323" s="857">
        <f t="shared" si="148"/>
        <v>0.15</v>
      </c>
      <c r="Q323" s="857">
        <f t="shared" si="148"/>
        <v>0.14000000000000001</v>
      </c>
      <c r="R323" s="857">
        <f t="shared" si="148"/>
        <v>0.14000000000000001</v>
      </c>
      <c r="S323" s="857">
        <f t="shared" si="148"/>
        <v>0.14000000000000001</v>
      </c>
      <c r="T323" s="855"/>
    </row>
    <row r="324" spans="2:20" s="852" customFormat="1">
      <c r="B324" s="856" t="s">
        <v>469</v>
      </c>
      <c r="C324" s="857">
        <f t="shared" ref="C324:S324" si="149">C301</f>
        <v>0</v>
      </c>
      <c r="D324" s="857">
        <f t="shared" si="149"/>
        <v>0</v>
      </c>
      <c r="E324" s="857">
        <f t="shared" si="149"/>
        <v>0</v>
      </c>
      <c r="F324" s="857">
        <f t="shared" si="149"/>
        <v>0</v>
      </c>
      <c r="G324" s="857">
        <f t="shared" si="149"/>
        <v>0.15</v>
      </c>
      <c r="H324" s="857">
        <f t="shared" si="149"/>
        <v>0.13</v>
      </c>
      <c r="I324" s="857">
        <f t="shared" si="149"/>
        <v>0.11</v>
      </c>
      <c r="J324" s="857">
        <f t="shared" si="149"/>
        <v>0.1</v>
      </c>
      <c r="K324" s="857">
        <f t="shared" si="149"/>
        <v>0.09</v>
      </c>
      <c r="L324" s="857">
        <f t="shared" si="149"/>
        <v>0.08</v>
      </c>
      <c r="M324" s="857">
        <f t="shared" si="149"/>
        <v>7.0000000000000007E-2</v>
      </c>
      <c r="N324" s="857">
        <f t="shared" si="149"/>
        <v>0.06</v>
      </c>
      <c r="O324" s="857">
        <f t="shared" si="149"/>
        <v>0.05</v>
      </c>
      <c r="P324" s="857">
        <f t="shared" si="149"/>
        <v>4.4999999999999998E-2</v>
      </c>
      <c r="Q324" s="857">
        <f t="shared" si="149"/>
        <v>0.04</v>
      </c>
      <c r="R324" s="857">
        <f t="shared" si="149"/>
        <v>3.5000000000000003E-2</v>
      </c>
      <c r="S324" s="857">
        <f t="shared" si="149"/>
        <v>3.5000000000000003E-2</v>
      </c>
      <c r="T324" s="855"/>
    </row>
    <row r="325" spans="2:20" s="852" customFormat="1">
      <c r="B325" s="858" t="s">
        <v>55</v>
      </c>
      <c r="C325" s="860">
        <f t="shared" ref="C325:S325" si="150">C302</f>
        <v>0</v>
      </c>
      <c r="D325" s="860">
        <f t="shared" si="150"/>
        <v>0</v>
      </c>
      <c r="E325" s="860">
        <f t="shared" si="150"/>
        <v>0</v>
      </c>
      <c r="F325" s="860">
        <f t="shared" si="150"/>
        <v>0</v>
      </c>
      <c r="G325" s="860">
        <f t="shared" si="150"/>
        <v>0</v>
      </c>
      <c r="H325" s="860">
        <f t="shared" si="150"/>
        <v>0</v>
      </c>
      <c r="I325" s="860">
        <f t="shared" si="150"/>
        <v>0.13</v>
      </c>
      <c r="J325" s="860">
        <f t="shared" si="150"/>
        <v>0.16</v>
      </c>
      <c r="K325" s="860">
        <f t="shared" si="150"/>
        <v>0.16</v>
      </c>
      <c r="L325" s="860">
        <f t="shared" si="150"/>
        <v>0.16</v>
      </c>
      <c r="M325" s="860">
        <f t="shared" si="150"/>
        <v>0.16</v>
      </c>
      <c r="N325" s="860">
        <f t="shared" si="150"/>
        <v>0.16</v>
      </c>
      <c r="O325" s="860">
        <f t="shared" si="150"/>
        <v>0.16</v>
      </c>
      <c r="P325" s="860">
        <f t="shared" si="150"/>
        <v>0.16</v>
      </c>
      <c r="Q325" s="860">
        <f t="shared" si="150"/>
        <v>0.16</v>
      </c>
      <c r="R325" s="860">
        <f t="shared" si="150"/>
        <v>0.16</v>
      </c>
      <c r="S325" s="860">
        <f t="shared" si="150"/>
        <v>0.16</v>
      </c>
      <c r="T325" s="855"/>
    </row>
    <row r="327" spans="2:20" ht="15.75" thickBot="1">
      <c r="B327" s="819" t="s">
        <v>434</v>
      </c>
      <c r="C327" s="820" t="str">
        <f t="shared" ref="C327:S327" si="151">C212</f>
        <v>2014E</v>
      </c>
      <c r="D327" s="820" t="str">
        <f t="shared" si="151"/>
        <v>2015E</v>
      </c>
      <c r="E327" s="820" t="str">
        <f t="shared" si="151"/>
        <v>2016E</v>
      </c>
      <c r="F327" s="820" t="str">
        <f t="shared" si="151"/>
        <v>2017E</v>
      </c>
      <c r="G327" s="820" t="str">
        <f t="shared" si="151"/>
        <v>2018E</v>
      </c>
      <c r="H327" s="820" t="str">
        <f t="shared" si="151"/>
        <v>2019E</v>
      </c>
      <c r="I327" s="820" t="str">
        <f t="shared" si="151"/>
        <v>2020E</v>
      </c>
      <c r="J327" s="820" t="str">
        <f t="shared" si="151"/>
        <v>2021E</v>
      </c>
      <c r="K327" s="820" t="str">
        <f t="shared" si="151"/>
        <v>2022E</v>
      </c>
      <c r="L327" s="820" t="str">
        <f t="shared" si="151"/>
        <v>2023E</v>
      </c>
      <c r="M327" s="820" t="str">
        <f t="shared" si="151"/>
        <v>2024E</v>
      </c>
      <c r="N327" s="820" t="str">
        <f t="shared" si="151"/>
        <v>2025E</v>
      </c>
      <c r="O327" s="820" t="str">
        <f t="shared" si="151"/>
        <v>2026E</v>
      </c>
      <c r="P327" s="820" t="str">
        <f t="shared" si="151"/>
        <v>2027E</v>
      </c>
      <c r="Q327" s="820" t="str">
        <f t="shared" si="151"/>
        <v>2028E</v>
      </c>
      <c r="R327" s="820" t="str">
        <f t="shared" si="151"/>
        <v>2029E</v>
      </c>
      <c r="S327" s="820" t="str">
        <f t="shared" si="151"/>
        <v>2030E</v>
      </c>
    </row>
    <row r="328" spans="2:20" ht="15.75" thickTop="1">
      <c r="B328" s="821" t="s">
        <v>423</v>
      </c>
      <c r="C328" s="823">
        <f>Epacadostat!E13</f>
        <v>0</v>
      </c>
      <c r="D328" s="823">
        <f>Epacadostat!F13</f>
        <v>0</v>
      </c>
      <c r="E328" s="823">
        <f>Epacadostat!G13</f>
        <v>0</v>
      </c>
      <c r="F328" s="823">
        <f>Epacadostat!H13</f>
        <v>0</v>
      </c>
      <c r="G328" s="823">
        <f>Epacadostat!I13</f>
        <v>0</v>
      </c>
      <c r="H328" s="823">
        <f>Epacadostat!J13</f>
        <v>0</v>
      </c>
      <c r="I328" s="823">
        <v>0</v>
      </c>
      <c r="J328" s="823">
        <v>0</v>
      </c>
      <c r="K328" s="823">
        <v>0</v>
      </c>
      <c r="L328" s="823">
        <v>0</v>
      </c>
      <c r="M328" s="823">
        <v>0</v>
      </c>
      <c r="N328" s="823">
        <v>0</v>
      </c>
      <c r="O328" s="823">
        <v>0</v>
      </c>
      <c r="P328" s="823">
        <v>0</v>
      </c>
      <c r="Q328" s="823">
        <v>0</v>
      </c>
      <c r="R328" s="823">
        <v>0</v>
      </c>
      <c r="S328" s="823">
        <v>0</v>
      </c>
    </row>
    <row r="329" spans="2:20">
      <c r="B329" s="824" t="s">
        <v>135</v>
      </c>
      <c r="C329" s="823">
        <f>C328*C345</f>
        <v>0</v>
      </c>
      <c r="D329" s="823">
        <f>D328*D345</f>
        <v>0</v>
      </c>
      <c r="E329" s="823">
        <f t="shared" ref="E329:S329" si="152">E328*E345</f>
        <v>0</v>
      </c>
      <c r="F329" s="823">
        <f t="shared" si="152"/>
        <v>0</v>
      </c>
      <c r="G329" s="823">
        <f t="shared" si="152"/>
        <v>0</v>
      </c>
      <c r="H329" s="823">
        <f t="shared" si="152"/>
        <v>0</v>
      </c>
      <c r="I329" s="823">
        <f t="shared" si="152"/>
        <v>0</v>
      </c>
      <c r="J329" s="823">
        <f t="shared" si="152"/>
        <v>0</v>
      </c>
      <c r="K329" s="823">
        <f t="shared" si="152"/>
        <v>0</v>
      </c>
      <c r="L329" s="823">
        <f t="shared" si="152"/>
        <v>0</v>
      </c>
      <c r="M329" s="823">
        <f t="shared" si="152"/>
        <v>0</v>
      </c>
      <c r="N329" s="823">
        <f t="shared" si="152"/>
        <v>0</v>
      </c>
      <c r="O329" s="823">
        <f t="shared" si="152"/>
        <v>0</v>
      </c>
      <c r="P329" s="823">
        <f t="shared" si="152"/>
        <v>0</v>
      </c>
      <c r="Q329" s="823">
        <f t="shared" si="152"/>
        <v>0</v>
      </c>
      <c r="R329" s="823">
        <f t="shared" si="152"/>
        <v>0</v>
      </c>
      <c r="S329" s="823">
        <f t="shared" si="152"/>
        <v>0</v>
      </c>
    </row>
    <row r="330" spans="2:20">
      <c r="B330" s="824" t="s">
        <v>424</v>
      </c>
      <c r="C330" s="823">
        <f>C328*C346</f>
        <v>0</v>
      </c>
      <c r="D330" s="823">
        <f>D328*D346</f>
        <v>0</v>
      </c>
      <c r="E330" s="823">
        <f t="shared" ref="E330:S330" si="153">E328*E346</f>
        <v>0</v>
      </c>
      <c r="F330" s="823">
        <f t="shared" si="153"/>
        <v>0</v>
      </c>
      <c r="G330" s="823">
        <f t="shared" si="153"/>
        <v>0</v>
      </c>
      <c r="H330" s="823">
        <f t="shared" si="153"/>
        <v>0</v>
      </c>
      <c r="I330" s="823">
        <f t="shared" si="153"/>
        <v>0</v>
      </c>
      <c r="J330" s="823">
        <f t="shared" si="153"/>
        <v>0</v>
      </c>
      <c r="K330" s="823">
        <f t="shared" si="153"/>
        <v>0</v>
      </c>
      <c r="L330" s="823">
        <f t="shared" si="153"/>
        <v>0</v>
      </c>
      <c r="M330" s="823">
        <f t="shared" si="153"/>
        <v>0</v>
      </c>
      <c r="N330" s="823">
        <f t="shared" si="153"/>
        <v>0</v>
      </c>
      <c r="O330" s="823">
        <f t="shared" si="153"/>
        <v>0</v>
      </c>
      <c r="P330" s="823">
        <f t="shared" si="153"/>
        <v>0</v>
      </c>
      <c r="Q330" s="823">
        <f t="shared" si="153"/>
        <v>0</v>
      </c>
      <c r="R330" s="823">
        <f t="shared" si="153"/>
        <v>0</v>
      </c>
      <c r="S330" s="823">
        <f t="shared" si="153"/>
        <v>0</v>
      </c>
    </row>
    <row r="331" spans="2:20">
      <c r="B331" s="1377" t="s">
        <v>248</v>
      </c>
      <c r="C331" s="827">
        <f>C328*C347</f>
        <v>0</v>
      </c>
      <c r="D331" s="827">
        <f>D328*D347</f>
        <v>0</v>
      </c>
      <c r="E331" s="827">
        <v>20</v>
      </c>
      <c r="F331" s="827">
        <v>20</v>
      </c>
      <c r="G331" s="827">
        <v>20</v>
      </c>
      <c r="H331" s="827">
        <v>20</v>
      </c>
      <c r="I331" s="827">
        <f t="shared" ref="I331:S331" si="154">I328*I347</f>
        <v>0</v>
      </c>
      <c r="J331" s="827">
        <f t="shared" si="154"/>
        <v>0</v>
      </c>
      <c r="K331" s="827">
        <f t="shared" si="154"/>
        <v>0</v>
      </c>
      <c r="L331" s="827">
        <f t="shared" si="154"/>
        <v>0</v>
      </c>
      <c r="M331" s="827">
        <f t="shared" si="154"/>
        <v>0</v>
      </c>
      <c r="N331" s="827">
        <f t="shared" si="154"/>
        <v>0</v>
      </c>
      <c r="O331" s="827">
        <f t="shared" si="154"/>
        <v>0</v>
      </c>
      <c r="P331" s="827">
        <f t="shared" si="154"/>
        <v>0</v>
      </c>
      <c r="Q331" s="827">
        <f t="shared" si="154"/>
        <v>0</v>
      </c>
      <c r="R331" s="827">
        <f t="shared" si="154"/>
        <v>0</v>
      </c>
      <c r="S331" s="827">
        <f t="shared" si="154"/>
        <v>0</v>
      </c>
    </row>
    <row r="332" spans="2:20">
      <c r="B332" s="828" t="s">
        <v>425</v>
      </c>
      <c r="C332" s="829">
        <f>C328-C329-C330-C331</f>
        <v>0</v>
      </c>
      <c r="D332" s="823">
        <f t="shared" ref="D332:R332" si="155">D328-D329-D330-D331</f>
        <v>0</v>
      </c>
      <c r="E332" s="823">
        <f t="shared" si="155"/>
        <v>-20</v>
      </c>
      <c r="F332" s="823">
        <f t="shared" si="155"/>
        <v>-20</v>
      </c>
      <c r="G332" s="823">
        <f t="shared" si="155"/>
        <v>-20</v>
      </c>
      <c r="H332" s="823">
        <f t="shared" si="155"/>
        <v>-20</v>
      </c>
      <c r="I332" s="823">
        <f t="shared" si="155"/>
        <v>0</v>
      </c>
      <c r="J332" s="823">
        <f t="shared" si="155"/>
        <v>0</v>
      </c>
      <c r="K332" s="823">
        <f t="shared" si="155"/>
        <v>0</v>
      </c>
      <c r="L332" s="823">
        <f t="shared" si="155"/>
        <v>0</v>
      </c>
      <c r="M332" s="823">
        <f t="shared" si="155"/>
        <v>0</v>
      </c>
      <c r="N332" s="823">
        <f t="shared" si="155"/>
        <v>0</v>
      </c>
      <c r="O332" s="823">
        <f t="shared" si="155"/>
        <v>0</v>
      </c>
      <c r="P332" s="823">
        <f t="shared" si="155"/>
        <v>0</v>
      </c>
      <c r="Q332" s="823">
        <f t="shared" si="155"/>
        <v>0</v>
      </c>
      <c r="R332" s="823">
        <f t="shared" si="155"/>
        <v>0</v>
      </c>
      <c r="S332" s="823">
        <f>S328-S329-S330-S331</f>
        <v>0</v>
      </c>
    </row>
    <row r="333" spans="2:20" ht="15.75" thickBot="1">
      <c r="B333" s="830" t="s">
        <v>55</v>
      </c>
      <c r="C333" s="827">
        <f>C332*C348</f>
        <v>0</v>
      </c>
      <c r="D333" s="827">
        <f>D332*D348</f>
        <v>0</v>
      </c>
      <c r="E333" s="827">
        <f>E332*E348</f>
        <v>0</v>
      </c>
      <c r="F333" s="827">
        <f>F332*F348</f>
        <v>0</v>
      </c>
      <c r="G333" s="827">
        <f>G332*G348</f>
        <v>0</v>
      </c>
      <c r="H333" s="827">
        <f t="shared" ref="H333:S333" si="156">H332*H348</f>
        <v>0</v>
      </c>
      <c r="I333" s="827">
        <f t="shared" si="156"/>
        <v>0</v>
      </c>
      <c r="J333" s="827">
        <f t="shared" si="156"/>
        <v>0</v>
      </c>
      <c r="K333" s="827">
        <f t="shared" si="156"/>
        <v>0</v>
      </c>
      <c r="L333" s="827">
        <f t="shared" si="156"/>
        <v>0</v>
      </c>
      <c r="M333" s="827">
        <f t="shared" si="156"/>
        <v>0</v>
      </c>
      <c r="N333" s="827">
        <f t="shared" si="156"/>
        <v>0</v>
      </c>
      <c r="O333" s="827">
        <f t="shared" si="156"/>
        <v>0</v>
      </c>
      <c r="P333" s="827">
        <f t="shared" si="156"/>
        <v>0</v>
      </c>
      <c r="Q333" s="827">
        <f t="shared" si="156"/>
        <v>0</v>
      </c>
      <c r="R333" s="827">
        <f t="shared" si="156"/>
        <v>0</v>
      </c>
      <c r="S333" s="827">
        <f t="shared" si="156"/>
        <v>0</v>
      </c>
    </row>
    <row r="334" spans="2:20" ht="15.75" thickBot="1">
      <c r="B334" s="832" t="s">
        <v>426</v>
      </c>
      <c r="C334" s="862">
        <f>C332-C333</f>
        <v>0</v>
      </c>
      <c r="D334" s="862">
        <f t="shared" ref="D334:S334" si="157">D332-D333</f>
        <v>0</v>
      </c>
      <c r="E334" s="862">
        <f t="shared" si="157"/>
        <v>-20</v>
      </c>
      <c r="F334" s="862">
        <f t="shared" si="157"/>
        <v>-20</v>
      </c>
      <c r="G334" s="862">
        <f t="shared" si="157"/>
        <v>-20</v>
      </c>
      <c r="H334" s="862">
        <f t="shared" si="157"/>
        <v>-20</v>
      </c>
      <c r="I334" s="862">
        <f t="shared" si="157"/>
        <v>0</v>
      </c>
      <c r="J334" s="862">
        <f t="shared" si="157"/>
        <v>0</v>
      </c>
      <c r="K334" s="862">
        <f t="shared" si="157"/>
        <v>0</v>
      </c>
      <c r="L334" s="862">
        <f t="shared" si="157"/>
        <v>0</v>
      </c>
      <c r="M334" s="862">
        <f t="shared" si="157"/>
        <v>0</v>
      </c>
      <c r="N334" s="862">
        <f t="shared" si="157"/>
        <v>0</v>
      </c>
      <c r="O334" s="862">
        <f t="shared" si="157"/>
        <v>0</v>
      </c>
      <c r="P334" s="862">
        <f t="shared" si="157"/>
        <v>0</v>
      </c>
      <c r="Q334" s="862">
        <f t="shared" si="157"/>
        <v>0</v>
      </c>
      <c r="R334" s="862">
        <f t="shared" si="157"/>
        <v>0</v>
      </c>
      <c r="S334" s="862">
        <f t="shared" si="157"/>
        <v>0</v>
      </c>
      <c r="T334" s="835"/>
    </row>
    <row r="335" spans="2:20" ht="15.75" thickBot="1">
      <c r="C335" s="836"/>
      <c r="D335" s="863"/>
      <c r="E335" s="863"/>
      <c r="F335" s="863"/>
      <c r="G335" s="863"/>
    </row>
    <row r="336" spans="2:20">
      <c r="B336" s="837" t="s">
        <v>427</v>
      </c>
      <c r="C336" s="838">
        <f>T334</f>
        <v>0</v>
      </c>
    </row>
    <row r="337" spans="2:20">
      <c r="B337" s="839" t="s">
        <v>428</v>
      </c>
      <c r="C337" s="840">
        <v>0</v>
      </c>
    </row>
    <row r="338" spans="2:20">
      <c r="B338" s="839" t="s">
        <v>429</v>
      </c>
      <c r="C338" s="841">
        <v>0</v>
      </c>
      <c r="E338" s="842" t="s">
        <v>430</v>
      </c>
    </row>
    <row r="339" spans="2:20" ht="15.75" thickBot="1">
      <c r="B339" s="839" t="s">
        <v>431</v>
      </c>
      <c r="C339" s="840">
        <v>0</v>
      </c>
      <c r="E339" s="842" t="s">
        <v>432</v>
      </c>
    </row>
    <row r="340" spans="2:20" ht="15.75" thickBot="1">
      <c r="B340" s="843" t="s">
        <v>432</v>
      </c>
      <c r="C340" s="844">
        <f>C339/$C$413</f>
        <v>0</v>
      </c>
      <c r="E340" s="845">
        <f>C337/$C$413</f>
        <v>0</v>
      </c>
      <c r="G340" s="817" t="s">
        <v>678</v>
      </c>
      <c r="H340" s="1286">
        <f>C201+C224+C270+C339</f>
        <v>0</v>
      </c>
    </row>
    <row r="341" spans="2:20" ht="15.75" thickBot="1">
      <c r="B341" s="846"/>
      <c r="C341" s="864"/>
    </row>
    <row r="342" spans="2:20" ht="15.75" thickBot="1">
      <c r="B342" s="848" t="s">
        <v>693</v>
      </c>
      <c r="C342" s="849">
        <v>0.17108545543163636</v>
      </c>
      <c r="D342" s="850">
        <f>NPV(C342,F334:T334)</f>
        <v>-44.11409295387589</v>
      </c>
    </row>
    <row r="343" spans="2:20">
      <c r="B343" s="846"/>
      <c r="C343" s="864"/>
    </row>
    <row r="344" spans="2:20" s="852" customFormat="1" ht="15.75" thickBot="1">
      <c r="B344" s="819" t="s">
        <v>677</v>
      </c>
      <c r="C344" s="820" t="str">
        <f>C327</f>
        <v>2014E</v>
      </c>
      <c r="D344" s="820" t="str">
        <f t="shared" ref="D344:S344" si="158">D327</f>
        <v>2015E</v>
      </c>
      <c r="E344" s="820" t="str">
        <f t="shared" si="158"/>
        <v>2016E</v>
      </c>
      <c r="F344" s="820" t="str">
        <f t="shared" si="158"/>
        <v>2017E</v>
      </c>
      <c r="G344" s="820" t="str">
        <f t="shared" si="158"/>
        <v>2018E</v>
      </c>
      <c r="H344" s="820" t="str">
        <f t="shared" si="158"/>
        <v>2019E</v>
      </c>
      <c r="I344" s="820" t="str">
        <f t="shared" si="158"/>
        <v>2020E</v>
      </c>
      <c r="J344" s="820" t="str">
        <f t="shared" si="158"/>
        <v>2021E</v>
      </c>
      <c r="K344" s="820" t="str">
        <f t="shared" si="158"/>
        <v>2022E</v>
      </c>
      <c r="L344" s="820" t="str">
        <f t="shared" si="158"/>
        <v>2023E</v>
      </c>
      <c r="M344" s="820" t="str">
        <f t="shared" si="158"/>
        <v>2024E</v>
      </c>
      <c r="N344" s="820" t="str">
        <f t="shared" si="158"/>
        <v>2025E</v>
      </c>
      <c r="O344" s="820" t="str">
        <f t="shared" si="158"/>
        <v>2026E</v>
      </c>
      <c r="P344" s="820" t="str">
        <f t="shared" si="158"/>
        <v>2027E</v>
      </c>
      <c r="Q344" s="820" t="str">
        <f t="shared" si="158"/>
        <v>2028E</v>
      </c>
      <c r="R344" s="820" t="str">
        <f t="shared" si="158"/>
        <v>2029E</v>
      </c>
      <c r="S344" s="820" t="str">
        <f t="shared" si="158"/>
        <v>2030E</v>
      </c>
      <c r="T344" s="851"/>
    </row>
    <row r="345" spans="2:20" s="852" customFormat="1" ht="15.75" thickTop="1">
      <c r="B345" s="853" t="s">
        <v>467</v>
      </c>
      <c r="C345" s="854"/>
      <c r="D345" s="854"/>
      <c r="E345" s="854"/>
      <c r="F345" s="854"/>
      <c r="G345" s="854">
        <f t="shared" ref="G345:S345" si="159">G276</f>
        <v>7.0000000000000007E-2</v>
      </c>
      <c r="H345" s="854">
        <f t="shared" si="159"/>
        <v>7.0000000000000007E-2</v>
      </c>
      <c r="I345" s="854">
        <f t="shared" si="159"/>
        <v>7.0000000000000007E-2</v>
      </c>
      <c r="J345" s="854">
        <f t="shared" si="159"/>
        <v>7.0000000000000007E-2</v>
      </c>
      <c r="K345" s="854">
        <f t="shared" si="159"/>
        <v>7.0000000000000007E-2</v>
      </c>
      <c r="L345" s="854">
        <f t="shared" si="159"/>
        <v>7.0000000000000007E-2</v>
      </c>
      <c r="M345" s="854">
        <f t="shared" si="159"/>
        <v>7.0000000000000007E-2</v>
      </c>
      <c r="N345" s="854">
        <f t="shared" si="159"/>
        <v>7.0000000000000007E-2</v>
      </c>
      <c r="O345" s="854">
        <f t="shared" si="159"/>
        <v>7.0000000000000007E-2</v>
      </c>
      <c r="P345" s="854">
        <f t="shared" si="159"/>
        <v>7.0000000000000007E-2</v>
      </c>
      <c r="Q345" s="854">
        <f t="shared" si="159"/>
        <v>7.0000000000000007E-2</v>
      </c>
      <c r="R345" s="854">
        <f t="shared" si="159"/>
        <v>7.0000000000000007E-2</v>
      </c>
      <c r="S345" s="854">
        <f t="shared" si="159"/>
        <v>7.0000000000000007E-2</v>
      </c>
      <c r="T345" s="855"/>
    </row>
    <row r="346" spans="2:20" s="852" customFormat="1">
      <c r="B346" s="856" t="s">
        <v>468</v>
      </c>
      <c r="C346" s="857"/>
      <c r="D346" s="857"/>
      <c r="E346" s="857"/>
      <c r="F346" s="857"/>
      <c r="G346" s="857">
        <f t="shared" ref="G346:S346" si="160">G277</f>
        <v>0</v>
      </c>
      <c r="H346" s="857">
        <f t="shared" si="160"/>
        <v>0.23</v>
      </c>
      <c r="I346" s="857">
        <f t="shared" si="160"/>
        <v>0.22</v>
      </c>
      <c r="J346" s="857">
        <f t="shared" si="160"/>
        <v>0.21</v>
      </c>
      <c r="K346" s="857">
        <f t="shared" si="160"/>
        <v>0.2</v>
      </c>
      <c r="L346" s="857">
        <f t="shared" si="160"/>
        <v>0.19</v>
      </c>
      <c r="M346" s="857">
        <f t="shared" si="160"/>
        <v>0.18</v>
      </c>
      <c r="N346" s="857">
        <f t="shared" si="160"/>
        <v>0.17</v>
      </c>
      <c r="O346" s="857">
        <f t="shared" si="160"/>
        <v>0.16</v>
      </c>
      <c r="P346" s="857">
        <f t="shared" si="160"/>
        <v>0.15</v>
      </c>
      <c r="Q346" s="857">
        <f t="shared" si="160"/>
        <v>0.14000000000000001</v>
      </c>
      <c r="R346" s="857">
        <f t="shared" si="160"/>
        <v>0.14000000000000001</v>
      </c>
      <c r="S346" s="857">
        <f t="shared" si="160"/>
        <v>0.14000000000000001</v>
      </c>
      <c r="T346" s="855"/>
    </row>
    <row r="347" spans="2:20" s="852" customFormat="1">
      <c r="B347" s="856" t="s">
        <v>469</v>
      </c>
      <c r="C347" s="857"/>
      <c r="D347" s="857"/>
      <c r="E347" s="857"/>
      <c r="F347" s="857"/>
      <c r="G347" s="857">
        <f t="shared" ref="G347:S347" si="161">G232</f>
        <v>0.15</v>
      </c>
      <c r="H347" s="857">
        <f t="shared" si="161"/>
        <v>0.13</v>
      </c>
      <c r="I347" s="857">
        <f t="shared" si="161"/>
        <v>0.11</v>
      </c>
      <c r="J347" s="857">
        <f t="shared" si="161"/>
        <v>0.1</v>
      </c>
      <c r="K347" s="857">
        <f t="shared" si="161"/>
        <v>0.09</v>
      </c>
      <c r="L347" s="857">
        <f t="shared" si="161"/>
        <v>0.08</v>
      </c>
      <c r="M347" s="857">
        <f t="shared" si="161"/>
        <v>7.0000000000000007E-2</v>
      </c>
      <c r="N347" s="857">
        <f t="shared" si="161"/>
        <v>0.06</v>
      </c>
      <c r="O347" s="857">
        <f t="shared" si="161"/>
        <v>0.05</v>
      </c>
      <c r="P347" s="857">
        <f t="shared" si="161"/>
        <v>4.4999999999999998E-2</v>
      </c>
      <c r="Q347" s="857">
        <f t="shared" si="161"/>
        <v>0.04</v>
      </c>
      <c r="R347" s="857">
        <f t="shared" si="161"/>
        <v>3.5000000000000003E-2</v>
      </c>
      <c r="S347" s="857">
        <f t="shared" si="161"/>
        <v>3.5000000000000003E-2</v>
      </c>
      <c r="T347" s="855"/>
    </row>
    <row r="348" spans="2:20" s="852" customFormat="1">
      <c r="B348" s="858" t="s">
        <v>55</v>
      </c>
      <c r="C348" s="859"/>
      <c r="D348" s="860"/>
      <c r="E348" s="860"/>
      <c r="F348" s="860"/>
      <c r="G348" s="860">
        <f t="shared" ref="G348:S348" si="162">G233</f>
        <v>0</v>
      </c>
      <c r="H348" s="860">
        <f t="shared" si="162"/>
        <v>0</v>
      </c>
      <c r="I348" s="860">
        <f t="shared" si="162"/>
        <v>0.13</v>
      </c>
      <c r="J348" s="860">
        <f t="shared" si="162"/>
        <v>0.16</v>
      </c>
      <c r="K348" s="860">
        <f t="shared" si="162"/>
        <v>0.16</v>
      </c>
      <c r="L348" s="860">
        <f t="shared" si="162"/>
        <v>0.16</v>
      </c>
      <c r="M348" s="860">
        <f t="shared" si="162"/>
        <v>0.16</v>
      </c>
      <c r="N348" s="860">
        <f t="shared" si="162"/>
        <v>0.16</v>
      </c>
      <c r="O348" s="860">
        <f t="shared" si="162"/>
        <v>0.16</v>
      </c>
      <c r="P348" s="860">
        <f t="shared" si="162"/>
        <v>0.16</v>
      </c>
      <c r="Q348" s="860">
        <f t="shared" si="162"/>
        <v>0.16</v>
      </c>
      <c r="R348" s="860">
        <f t="shared" si="162"/>
        <v>0.16</v>
      </c>
      <c r="S348" s="860">
        <f t="shared" si="162"/>
        <v>0.16</v>
      </c>
      <c r="T348" s="855"/>
    </row>
    <row r="350" spans="2:20" ht="15.75" thickBot="1">
      <c r="B350" s="819" t="s">
        <v>799</v>
      </c>
      <c r="C350" s="820" t="str">
        <f t="shared" ref="C350:S350" si="163">C258</f>
        <v>2014E</v>
      </c>
      <c r="D350" s="820" t="str">
        <f t="shared" si="163"/>
        <v>2015E</v>
      </c>
      <c r="E350" s="820" t="str">
        <f t="shared" si="163"/>
        <v>2016E</v>
      </c>
      <c r="F350" s="820" t="str">
        <f t="shared" si="163"/>
        <v>2017E</v>
      </c>
      <c r="G350" s="820" t="str">
        <f t="shared" si="163"/>
        <v>2018E</v>
      </c>
      <c r="H350" s="820" t="str">
        <f t="shared" si="163"/>
        <v>2019E</v>
      </c>
      <c r="I350" s="820" t="str">
        <f t="shared" si="163"/>
        <v>2020E</v>
      </c>
      <c r="J350" s="820" t="str">
        <f t="shared" si="163"/>
        <v>2021E</v>
      </c>
      <c r="K350" s="820" t="str">
        <f t="shared" si="163"/>
        <v>2022E</v>
      </c>
      <c r="L350" s="820" t="str">
        <f t="shared" si="163"/>
        <v>2023E</v>
      </c>
      <c r="M350" s="820" t="str">
        <f t="shared" si="163"/>
        <v>2024E</v>
      </c>
      <c r="N350" s="820" t="str">
        <f t="shared" si="163"/>
        <v>2025E</v>
      </c>
      <c r="O350" s="820" t="str">
        <f t="shared" si="163"/>
        <v>2026E</v>
      </c>
      <c r="P350" s="820" t="str">
        <f t="shared" si="163"/>
        <v>2027E</v>
      </c>
      <c r="Q350" s="820" t="str">
        <f t="shared" si="163"/>
        <v>2028E</v>
      </c>
      <c r="R350" s="820" t="str">
        <f t="shared" si="163"/>
        <v>2029E</v>
      </c>
      <c r="S350" s="820" t="str">
        <f t="shared" si="163"/>
        <v>2030E</v>
      </c>
    </row>
    <row r="351" spans="2:20" ht="15.75" thickTop="1">
      <c r="B351" s="821" t="s">
        <v>423</v>
      </c>
      <c r="C351" s="823">
        <f>GVHD!K35/1000000</f>
        <v>0</v>
      </c>
      <c r="D351" s="823">
        <f>GVHD!L35/1000000</f>
        <v>0</v>
      </c>
      <c r="E351" s="823">
        <f>GVHD!M35/1000000</f>
        <v>0</v>
      </c>
      <c r="F351" s="823">
        <f>GVHD!N35/1000000</f>
        <v>0</v>
      </c>
      <c r="G351" s="823">
        <f>GVHD!O35/1000000</f>
        <v>0</v>
      </c>
      <c r="H351" s="823">
        <f>GVHD!P35/1000000</f>
        <v>0</v>
      </c>
      <c r="I351" s="823">
        <f>GVHD!Q35/1000000</f>
        <v>52.999501981107564</v>
      </c>
      <c r="J351" s="823">
        <f>GVHD!R35/1000000</f>
        <v>171.30360770763201</v>
      </c>
      <c r="K351" s="823">
        <f>GVHD!S35/1000000</f>
        <v>307.7077346585566</v>
      </c>
      <c r="L351" s="823">
        <f>GVHD!T35/1000000</f>
        <v>464.44828263308096</v>
      </c>
      <c r="M351" s="823">
        <f>GVHD!U35/1000000</f>
        <v>644.01873096440318</v>
      </c>
      <c r="N351" s="823">
        <f>GVHD!V35/1000000</f>
        <v>771.99829274229285</v>
      </c>
      <c r="O351" s="823">
        <f>GVHD!W35/1000000</f>
        <v>916.45452778587583</v>
      </c>
      <c r="P351" s="823">
        <f>GVHD!X35/1000000</f>
        <v>1007.3433051188963</v>
      </c>
      <c r="Q351" s="823">
        <f>GVHD!Y35/1000000</f>
        <v>1107.242324460396</v>
      </c>
      <c r="R351" s="823">
        <f>GVHD!Z35/1000000</f>
        <v>1217.0515180352086</v>
      </c>
      <c r="S351" s="823">
        <f>GVHD!AA35/1000000</f>
        <v>1337.7611669945827</v>
      </c>
    </row>
    <row r="352" spans="2:20">
      <c r="B352" s="824" t="s">
        <v>135</v>
      </c>
      <c r="C352" s="823">
        <f>C351*C368</f>
        <v>0</v>
      </c>
      <c r="D352" s="823">
        <f>D351*D368</f>
        <v>0</v>
      </c>
      <c r="E352" s="823">
        <f>E351*E368</f>
        <v>0</v>
      </c>
      <c r="F352" s="823">
        <f>F351*F368</f>
        <v>0</v>
      </c>
      <c r="G352" s="823">
        <f>G351*G368</f>
        <v>0</v>
      </c>
      <c r="H352" s="823">
        <f t="shared" ref="H352:S352" si="164">H351*H368</f>
        <v>0</v>
      </c>
      <c r="I352" s="823">
        <f t="shared" si="164"/>
        <v>3.7099651386775299</v>
      </c>
      <c r="J352" s="823">
        <f t="shared" si="164"/>
        <v>11.991252539534242</v>
      </c>
      <c r="K352" s="823">
        <f t="shared" si="164"/>
        <v>21.539541426098964</v>
      </c>
      <c r="L352" s="823">
        <f t="shared" si="164"/>
        <v>32.511379784315672</v>
      </c>
      <c r="M352" s="823">
        <f t="shared" si="164"/>
        <v>45.081311167508225</v>
      </c>
      <c r="N352" s="823">
        <f t="shared" si="164"/>
        <v>54.039880491960503</v>
      </c>
      <c r="O352" s="823">
        <f t="shared" si="164"/>
        <v>64.151816945011319</v>
      </c>
      <c r="P352" s="823">
        <f t="shared" si="164"/>
        <v>70.514031358322754</v>
      </c>
      <c r="Q352" s="823">
        <f t="shared" si="164"/>
        <v>77.506962712227732</v>
      </c>
      <c r="R352" s="823">
        <f t="shared" si="164"/>
        <v>85.193606262464613</v>
      </c>
      <c r="S352" s="823">
        <f t="shared" si="164"/>
        <v>93.643281689620792</v>
      </c>
    </row>
    <row r="353" spans="2:20">
      <c r="B353" s="824" t="s">
        <v>424</v>
      </c>
      <c r="C353" s="823">
        <f>C351*C369</f>
        <v>0</v>
      </c>
      <c r="D353" s="823">
        <f>D351*D369</f>
        <v>0</v>
      </c>
      <c r="E353" s="823">
        <f>E351*E369</f>
        <v>0</v>
      </c>
      <c r="F353" s="823">
        <f>F351*F369</f>
        <v>0</v>
      </c>
      <c r="G353" s="823">
        <f>G351*G369</f>
        <v>0</v>
      </c>
      <c r="H353" s="823">
        <f t="shared" ref="H353:S353" si="165">H351*H369</f>
        <v>0</v>
      </c>
      <c r="I353" s="823">
        <f t="shared" si="165"/>
        <v>10.599900396221514</v>
      </c>
      <c r="J353" s="823">
        <f t="shared" si="165"/>
        <v>30.834649387373762</v>
      </c>
      <c r="K353" s="823">
        <f t="shared" si="165"/>
        <v>49.233237545369057</v>
      </c>
      <c r="L353" s="823">
        <f t="shared" si="165"/>
        <v>69.667242394962145</v>
      </c>
      <c r="M353" s="823">
        <f t="shared" si="165"/>
        <v>90.162622335016451</v>
      </c>
      <c r="N353" s="823">
        <f t="shared" si="165"/>
        <v>100.35977805649807</v>
      </c>
      <c r="O353" s="823">
        <f t="shared" si="165"/>
        <v>119.13908861216386</v>
      </c>
      <c r="P353" s="823">
        <f t="shared" si="165"/>
        <v>130.95462966545654</v>
      </c>
      <c r="Q353" s="823">
        <f t="shared" si="165"/>
        <v>143.94150217985148</v>
      </c>
      <c r="R353" s="823">
        <f t="shared" si="165"/>
        <v>158.21669734457711</v>
      </c>
      <c r="S353" s="823">
        <f t="shared" si="165"/>
        <v>173.90895170929576</v>
      </c>
    </row>
    <row r="354" spans="2:20">
      <c r="B354" s="1377" t="s">
        <v>248</v>
      </c>
      <c r="C354" s="827">
        <f>C351*C370</f>
        <v>0</v>
      </c>
      <c r="D354" s="827">
        <f>D351*D370</f>
        <v>0</v>
      </c>
      <c r="E354" s="827">
        <v>10</v>
      </c>
      <c r="F354" s="827">
        <v>10</v>
      </c>
      <c r="G354" s="827">
        <v>10</v>
      </c>
      <c r="H354" s="827">
        <v>10</v>
      </c>
      <c r="I354" s="827">
        <f>I351*I370</f>
        <v>5.8299452179218321</v>
      </c>
      <c r="J354" s="827">
        <f t="shared" ref="J354:S354" si="166">J351*J370</f>
        <v>17.1303607707632</v>
      </c>
      <c r="K354" s="827">
        <f t="shared" si="166"/>
        <v>27.693696119270093</v>
      </c>
      <c r="L354" s="827">
        <f t="shared" si="166"/>
        <v>37.15586261064648</v>
      </c>
      <c r="M354" s="827">
        <f t="shared" si="166"/>
        <v>45.081311167508225</v>
      </c>
      <c r="N354" s="827">
        <f t="shared" si="166"/>
        <v>46.31989756453757</v>
      </c>
      <c r="O354" s="827">
        <f t="shared" si="166"/>
        <v>45.822726389293791</v>
      </c>
      <c r="P354" s="827">
        <f t="shared" si="166"/>
        <v>45.330448730350334</v>
      </c>
      <c r="Q354" s="827">
        <f t="shared" si="166"/>
        <v>44.289692978415843</v>
      </c>
      <c r="R354" s="827">
        <f t="shared" si="166"/>
        <v>42.596803131232306</v>
      </c>
      <c r="S354" s="827">
        <f t="shared" si="166"/>
        <v>46.821640844810396</v>
      </c>
    </row>
    <row r="355" spans="2:20">
      <c r="B355" s="828" t="s">
        <v>425</v>
      </c>
      <c r="C355" s="829">
        <f>C351-C352-C353-C354</f>
        <v>0</v>
      </c>
      <c r="D355" s="823">
        <f t="shared" ref="D355:R355" si="167">D351-D352-D353-D354</f>
        <v>0</v>
      </c>
      <c r="E355" s="823">
        <f t="shared" si="167"/>
        <v>-10</v>
      </c>
      <c r="F355" s="823">
        <f t="shared" si="167"/>
        <v>-10</v>
      </c>
      <c r="G355" s="823">
        <f t="shared" si="167"/>
        <v>-10</v>
      </c>
      <c r="H355" s="823">
        <f t="shared" si="167"/>
        <v>-10</v>
      </c>
      <c r="I355" s="823">
        <f t="shared" si="167"/>
        <v>32.859691228286685</v>
      </c>
      <c r="J355" s="823">
        <f t="shared" si="167"/>
        <v>111.34734500996082</v>
      </c>
      <c r="K355" s="823">
        <f t="shared" si="167"/>
        <v>209.24125956781845</v>
      </c>
      <c r="L355" s="823">
        <f t="shared" si="167"/>
        <v>325.11379784315665</v>
      </c>
      <c r="M355" s="823">
        <f t="shared" si="167"/>
        <v>463.69348629437025</v>
      </c>
      <c r="N355" s="823">
        <f t="shared" si="167"/>
        <v>571.27873662929676</v>
      </c>
      <c r="O355" s="823">
        <f t="shared" si="167"/>
        <v>687.34089583940681</v>
      </c>
      <c r="P355" s="823">
        <f t="shared" si="167"/>
        <v>760.54419536476667</v>
      </c>
      <c r="Q355" s="823">
        <f t="shared" si="167"/>
        <v>841.50416658990105</v>
      </c>
      <c r="R355" s="823">
        <f t="shared" si="167"/>
        <v>931.04441129693464</v>
      </c>
      <c r="S355" s="823">
        <f>S351-S352-S353-S354</f>
        <v>1023.3872927508557</v>
      </c>
    </row>
    <row r="356" spans="2:20" ht="15.75" thickBot="1">
      <c r="B356" s="830" t="s">
        <v>55</v>
      </c>
      <c r="C356" s="827">
        <f>C355*C371</f>
        <v>0</v>
      </c>
      <c r="D356" s="827">
        <f>D355*D371</f>
        <v>0</v>
      </c>
      <c r="E356" s="827">
        <f>E355*E371</f>
        <v>0</v>
      </c>
      <c r="F356" s="827">
        <f>F355*F371</f>
        <v>0</v>
      </c>
      <c r="G356" s="827">
        <f>G355*G371</f>
        <v>0</v>
      </c>
      <c r="H356" s="827">
        <f t="shared" ref="H356:S356" si="168">H355*H371</f>
        <v>0</v>
      </c>
      <c r="I356" s="827">
        <f t="shared" si="168"/>
        <v>4.2717598596772692</v>
      </c>
      <c r="J356" s="827">
        <f t="shared" si="168"/>
        <v>17.815575201593731</v>
      </c>
      <c r="K356" s="827">
        <f t="shared" si="168"/>
        <v>33.478601530850952</v>
      </c>
      <c r="L356" s="827">
        <f t="shared" si="168"/>
        <v>52.018207654905062</v>
      </c>
      <c r="M356" s="827">
        <f t="shared" si="168"/>
        <v>74.190957807099238</v>
      </c>
      <c r="N356" s="827">
        <f t="shared" si="168"/>
        <v>91.404597860687488</v>
      </c>
      <c r="O356" s="827">
        <f t="shared" si="168"/>
        <v>109.9745433343051</v>
      </c>
      <c r="P356" s="827">
        <f t="shared" si="168"/>
        <v>121.68707125836266</v>
      </c>
      <c r="Q356" s="827">
        <f t="shared" si="168"/>
        <v>134.64066665438418</v>
      </c>
      <c r="R356" s="827">
        <f t="shared" si="168"/>
        <v>148.96710580750954</v>
      </c>
      <c r="S356" s="827">
        <f t="shared" si="168"/>
        <v>163.74196684013691</v>
      </c>
    </row>
    <row r="357" spans="2:20" ht="15.75" thickBot="1">
      <c r="B357" s="832" t="s">
        <v>426</v>
      </c>
      <c r="C357" s="862">
        <f>C355-C356</f>
        <v>0</v>
      </c>
      <c r="D357" s="862">
        <f t="shared" ref="D357:S357" si="169">D355-D356</f>
        <v>0</v>
      </c>
      <c r="E357" s="862">
        <f t="shared" si="169"/>
        <v>-10</v>
      </c>
      <c r="F357" s="862">
        <f t="shared" si="169"/>
        <v>-10</v>
      </c>
      <c r="G357" s="862">
        <f t="shared" si="169"/>
        <v>-10</v>
      </c>
      <c r="H357" s="862">
        <f t="shared" si="169"/>
        <v>-10</v>
      </c>
      <c r="I357" s="862">
        <f t="shared" si="169"/>
        <v>28.587931368609418</v>
      </c>
      <c r="J357" s="862">
        <f t="shared" si="169"/>
        <v>93.531769808367088</v>
      </c>
      <c r="K357" s="862">
        <f t="shared" si="169"/>
        <v>175.76265803696748</v>
      </c>
      <c r="L357" s="862">
        <f t="shared" si="169"/>
        <v>273.09559018825161</v>
      </c>
      <c r="M357" s="862">
        <f t="shared" si="169"/>
        <v>389.50252848727098</v>
      </c>
      <c r="N357" s="862">
        <f t="shared" si="169"/>
        <v>479.87413876860927</v>
      </c>
      <c r="O357" s="862">
        <f t="shared" si="169"/>
        <v>577.36635250510176</v>
      </c>
      <c r="P357" s="862">
        <f t="shared" si="169"/>
        <v>638.85712410640394</v>
      </c>
      <c r="Q357" s="862">
        <f t="shared" si="169"/>
        <v>706.86349993551687</v>
      </c>
      <c r="R357" s="862">
        <f t="shared" si="169"/>
        <v>782.07730548942504</v>
      </c>
      <c r="S357" s="862">
        <f t="shared" si="169"/>
        <v>859.64532591071884</v>
      </c>
      <c r="T357" s="835">
        <f>S357*1.3</f>
        <v>1117.5389236839346</v>
      </c>
    </row>
    <row r="358" spans="2:20" ht="15.75" thickBot="1">
      <c r="C358" s="836"/>
      <c r="D358" s="863"/>
      <c r="E358" s="863"/>
      <c r="F358" s="863"/>
      <c r="G358" s="863"/>
    </row>
    <row r="359" spans="2:20">
      <c r="B359" s="837" t="s">
        <v>427</v>
      </c>
      <c r="C359" s="838">
        <f>T357</f>
        <v>1117.5389236839346</v>
      </c>
    </row>
    <row r="360" spans="2:20">
      <c r="B360" s="839" t="s">
        <v>428</v>
      </c>
      <c r="C360" s="840">
        <f>NPV($C$411,F357:T357)</f>
        <v>2810.9984697712662</v>
      </c>
    </row>
    <row r="361" spans="2:20">
      <c r="B361" s="839" t="s">
        <v>429</v>
      </c>
      <c r="C361" s="841">
        <v>0.65</v>
      </c>
      <c r="E361" s="842" t="s">
        <v>430</v>
      </c>
    </row>
    <row r="362" spans="2:20" ht="15.75" thickBot="1">
      <c r="B362" s="839" t="s">
        <v>431</v>
      </c>
      <c r="C362" s="840">
        <f>C360*C361</f>
        <v>1827.149005351323</v>
      </c>
      <c r="E362" s="842" t="s">
        <v>432</v>
      </c>
    </row>
    <row r="363" spans="2:20" ht="15.75" thickBot="1">
      <c r="B363" s="843" t="s">
        <v>432</v>
      </c>
      <c r="C363" s="844">
        <f>C362/$C$413</f>
        <v>8.6349196850251566</v>
      </c>
      <c r="E363" s="845">
        <f>C360/$C$413</f>
        <v>13.284491823115625</v>
      </c>
      <c r="G363" s="817" t="s">
        <v>695</v>
      </c>
      <c r="H363" s="1286">
        <f>C362</f>
        <v>1827.149005351323</v>
      </c>
    </row>
    <row r="364" spans="2:20" ht="15.75" thickBot="1">
      <c r="B364" s="865"/>
      <c r="C364" s="866"/>
      <c r="E364" s="867"/>
    </row>
    <row r="365" spans="2:20" ht="15.75" thickBot="1">
      <c r="B365" s="848" t="s">
        <v>801</v>
      </c>
      <c r="C365" s="849">
        <v>0.19682614117672381</v>
      </c>
      <c r="D365" s="850">
        <f>NPV(C365,F357:T357)</f>
        <v>842.80044923435082</v>
      </c>
      <c r="E365" s="867"/>
    </row>
    <row r="366" spans="2:20">
      <c r="B366" s="846"/>
      <c r="C366" s="864"/>
    </row>
    <row r="367" spans="2:20" s="852" customFormat="1" ht="15.75" thickBot="1">
      <c r="B367" s="819" t="s">
        <v>800</v>
      </c>
      <c r="C367" s="820" t="str">
        <f>C350</f>
        <v>2014E</v>
      </c>
      <c r="D367" s="820" t="str">
        <f t="shared" ref="D367:S367" si="170">D350</f>
        <v>2015E</v>
      </c>
      <c r="E367" s="820" t="str">
        <f t="shared" si="170"/>
        <v>2016E</v>
      </c>
      <c r="F367" s="820" t="str">
        <f t="shared" si="170"/>
        <v>2017E</v>
      </c>
      <c r="G367" s="820" t="str">
        <f t="shared" si="170"/>
        <v>2018E</v>
      </c>
      <c r="H367" s="820" t="str">
        <f t="shared" si="170"/>
        <v>2019E</v>
      </c>
      <c r="I367" s="820" t="str">
        <f t="shared" si="170"/>
        <v>2020E</v>
      </c>
      <c r="J367" s="820" t="str">
        <f t="shared" si="170"/>
        <v>2021E</v>
      </c>
      <c r="K367" s="820" t="str">
        <f t="shared" si="170"/>
        <v>2022E</v>
      </c>
      <c r="L367" s="820" t="str">
        <f t="shared" si="170"/>
        <v>2023E</v>
      </c>
      <c r="M367" s="820" t="str">
        <f t="shared" si="170"/>
        <v>2024E</v>
      </c>
      <c r="N367" s="820" t="str">
        <f t="shared" si="170"/>
        <v>2025E</v>
      </c>
      <c r="O367" s="820" t="str">
        <f t="shared" si="170"/>
        <v>2026E</v>
      </c>
      <c r="P367" s="820" t="str">
        <f t="shared" si="170"/>
        <v>2027E</v>
      </c>
      <c r="Q367" s="820" t="str">
        <f t="shared" si="170"/>
        <v>2028E</v>
      </c>
      <c r="R367" s="820" t="str">
        <f t="shared" si="170"/>
        <v>2029E</v>
      </c>
      <c r="S367" s="820" t="str">
        <f t="shared" si="170"/>
        <v>2030E</v>
      </c>
      <c r="T367" s="851"/>
    </row>
    <row r="368" spans="2:20" s="852" customFormat="1" ht="15.75" thickTop="1">
      <c r="B368" s="853" t="s">
        <v>467</v>
      </c>
      <c r="C368" s="854"/>
      <c r="D368" s="854"/>
      <c r="E368" s="854"/>
      <c r="F368" s="854"/>
      <c r="G368" s="854"/>
      <c r="H368" s="854"/>
      <c r="I368" s="854">
        <f t="shared" ref="I368:S368" si="171">I345</f>
        <v>7.0000000000000007E-2</v>
      </c>
      <c r="J368" s="854">
        <f t="shared" si="171"/>
        <v>7.0000000000000007E-2</v>
      </c>
      <c r="K368" s="854">
        <f t="shared" si="171"/>
        <v>7.0000000000000007E-2</v>
      </c>
      <c r="L368" s="854">
        <f t="shared" si="171"/>
        <v>7.0000000000000007E-2</v>
      </c>
      <c r="M368" s="854">
        <f t="shared" si="171"/>
        <v>7.0000000000000007E-2</v>
      </c>
      <c r="N368" s="854">
        <f t="shared" si="171"/>
        <v>7.0000000000000007E-2</v>
      </c>
      <c r="O368" s="854">
        <f t="shared" si="171"/>
        <v>7.0000000000000007E-2</v>
      </c>
      <c r="P368" s="854">
        <f t="shared" si="171"/>
        <v>7.0000000000000007E-2</v>
      </c>
      <c r="Q368" s="854">
        <f t="shared" si="171"/>
        <v>7.0000000000000007E-2</v>
      </c>
      <c r="R368" s="854">
        <f t="shared" si="171"/>
        <v>7.0000000000000007E-2</v>
      </c>
      <c r="S368" s="854">
        <f t="shared" si="171"/>
        <v>7.0000000000000007E-2</v>
      </c>
      <c r="T368" s="855"/>
    </row>
    <row r="369" spans="2:20" s="852" customFormat="1">
      <c r="B369" s="856" t="s">
        <v>468</v>
      </c>
      <c r="C369" s="857"/>
      <c r="D369" s="857"/>
      <c r="E369" s="857"/>
      <c r="F369" s="857"/>
      <c r="G369" s="857"/>
      <c r="H369" s="857"/>
      <c r="I369" s="857">
        <v>0.2</v>
      </c>
      <c r="J369" s="857">
        <v>0.18</v>
      </c>
      <c r="K369" s="857">
        <v>0.16</v>
      </c>
      <c r="L369" s="857">
        <v>0.15</v>
      </c>
      <c r="M369" s="857">
        <v>0.14000000000000001</v>
      </c>
      <c r="N369" s="857">
        <v>0.13</v>
      </c>
      <c r="O369" s="857">
        <f>N369</f>
        <v>0.13</v>
      </c>
      <c r="P369" s="857">
        <f>O369</f>
        <v>0.13</v>
      </c>
      <c r="Q369" s="857">
        <f>P369</f>
        <v>0.13</v>
      </c>
      <c r="R369" s="857">
        <f>Q369</f>
        <v>0.13</v>
      </c>
      <c r="S369" s="857">
        <f>R369</f>
        <v>0.13</v>
      </c>
      <c r="T369" s="855"/>
    </row>
    <row r="370" spans="2:20" s="852" customFormat="1">
      <c r="B370" s="856" t="s">
        <v>469</v>
      </c>
      <c r="C370" s="857"/>
      <c r="D370" s="857"/>
      <c r="E370" s="857"/>
      <c r="F370" s="857"/>
      <c r="G370" s="857"/>
      <c r="H370" s="857"/>
      <c r="I370" s="857">
        <f t="shared" ref="I370:S370" si="172">I347</f>
        <v>0.11</v>
      </c>
      <c r="J370" s="857">
        <f t="shared" si="172"/>
        <v>0.1</v>
      </c>
      <c r="K370" s="857">
        <f t="shared" si="172"/>
        <v>0.09</v>
      </c>
      <c r="L370" s="857">
        <f t="shared" si="172"/>
        <v>0.08</v>
      </c>
      <c r="M370" s="857">
        <f t="shared" si="172"/>
        <v>7.0000000000000007E-2</v>
      </c>
      <c r="N370" s="857">
        <f t="shared" si="172"/>
        <v>0.06</v>
      </c>
      <c r="O370" s="857">
        <f t="shared" si="172"/>
        <v>0.05</v>
      </c>
      <c r="P370" s="857">
        <f t="shared" si="172"/>
        <v>4.4999999999999998E-2</v>
      </c>
      <c r="Q370" s="857">
        <f t="shared" si="172"/>
        <v>0.04</v>
      </c>
      <c r="R370" s="857">
        <f t="shared" si="172"/>
        <v>3.5000000000000003E-2</v>
      </c>
      <c r="S370" s="857">
        <f t="shared" si="172"/>
        <v>3.5000000000000003E-2</v>
      </c>
      <c r="T370" s="855"/>
    </row>
    <row r="371" spans="2:20" s="852" customFormat="1">
      <c r="B371" s="858" t="s">
        <v>55</v>
      </c>
      <c r="C371" s="860">
        <f t="shared" ref="C371:S371" si="173">C26</f>
        <v>0</v>
      </c>
      <c r="D371" s="860">
        <f t="shared" si="173"/>
        <v>0</v>
      </c>
      <c r="E371" s="860">
        <f t="shared" si="173"/>
        <v>0</v>
      </c>
      <c r="F371" s="860">
        <f t="shared" si="173"/>
        <v>0</v>
      </c>
      <c r="G371" s="860">
        <f t="shared" si="173"/>
        <v>0</v>
      </c>
      <c r="H371" s="860">
        <f t="shared" si="173"/>
        <v>0</v>
      </c>
      <c r="I371" s="860">
        <f t="shared" si="173"/>
        <v>0.13</v>
      </c>
      <c r="J371" s="860">
        <f t="shared" si="173"/>
        <v>0.16</v>
      </c>
      <c r="K371" s="860">
        <f t="shared" si="173"/>
        <v>0.16</v>
      </c>
      <c r="L371" s="860">
        <f t="shared" si="173"/>
        <v>0.16</v>
      </c>
      <c r="M371" s="860">
        <f t="shared" si="173"/>
        <v>0.16</v>
      </c>
      <c r="N371" s="860">
        <f t="shared" si="173"/>
        <v>0.16</v>
      </c>
      <c r="O371" s="860">
        <f t="shared" si="173"/>
        <v>0.16</v>
      </c>
      <c r="P371" s="860">
        <f t="shared" si="173"/>
        <v>0.16</v>
      </c>
      <c r="Q371" s="860">
        <f t="shared" si="173"/>
        <v>0.16</v>
      </c>
      <c r="R371" s="860">
        <f t="shared" si="173"/>
        <v>0.16</v>
      </c>
      <c r="S371" s="860">
        <f t="shared" si="173"/>
        <v>0.16</v>
      </c>
      <c r="T371" s="855"/>
    </row>
    <row r="373" spans="2:20" ht="15.75" thickBot="1">
      <c r="B373" s="819" t="s">
        <v>696</v>
      </c>
      <c r="C373" s="820" t="str">
        <f>C350</f>
        <v>2014E</v>
      </c>
      <c r="D373" s="820" t="str">
        <f t="shared" ref="D373:S373" si="174">D350</f>
        <v>2015E</v>
      </c>
      <c r="E373" s="820" t="str">
        <f t="shared" si="174"/>
        <v>2016E</v>
      </c>
      <c r="F373" s="820" t="str">
        <f t="shared" si="174"/>
        <v>2017E</v>
      </c>
      <c r="G373" s="820" t="str">
        <f t="shared" si="174"/>
        <v>2018E</v>
      </c>
      <c r="H373" s="820" t="str">
        <f t="shared" si="174"/>
        <v>2019E</v>
      </c>
      <c r="I373" s="820" t="str">
        <f t="shared" si="174"/>
        <v>2020E</v>
      </c>
      <c r="J373" s="820" t="str">
        <f t="shared" si="174"/>
        <v>2021E</v>
      </c>
      <c r="K373" s="820" t="str">
        <f t="shared" si="174"/>
        <v>2022E</v>
      </c>
      <c r="L373" s="820" t="str">
        <f t="shared" si="174"/>
        <v>2023E</v>
      </c>
      <c r="M373" s="820" t="str">
        <f t="shared" si="174"/>
        <v>2024E</v>
      </c>
      <c r="N373" s="820" t="str">
        <f t="shared" si="174"/>
        <v>2025E</v>
      </c>
      <c r="O373" s="820" t="str">
        <f t="shared" si="174"/>
        <v>2026E</v>
      </c>
      <c r="P373" s="820" t="str">
        <f t="shared" si="174"/>
        <v>2027E</v>
      </c>
      <c r="Q373" s="820" t="str">
        <f t="shared" si="174"/>
        <v>2028E</v>
      </c>
      <c r="R373" s="820" t="str">
        <f t="shared" si="174"/>
        <v>2029E</v>
      </c>
      <c r="S373" s="820" t="str">
        <f t="shared" si="174"/>
        <v>2030E</v>
      </c>
    </row>
    <row r="374" spans="2:20" ht="15.75" thickTop="1">
      <c r="B374" s="821" t="s">
        <v>423</v>
      </c>
      <c r="C374" s="823">
        <f>'B-Cell'!D80/1000000</f>
        <v>0</v>
      </c>
      <c r="D374" s="823">
        <f>'B-Cell'!E80/1000000</f>
        <v>0</v>
      </c>
      <c r="E374" s="823">
        <f>'B-Cell'!F80/1000000</f>
        <v>0</v>
      </c>
      <c r="F374" s="823">
        <f>'B-Cell'!G80/1000000</f>
        <v>0</v>
      </c>
      <c r="G374" s="823">
        <f>'B-Cell'!H80/1000000</f>
        <v>0</v>
      </c>
      <c r="H374" s="823">
        <f>'B-Cell'!I80/1000000</f>
        <v>0</v>
      </c>
      <c r="I374" s="823">
        <f>'B-Cell'!J80/1000000</f>
        <v>0</v>
      </c>
      <c r="J374" s="823">
        <f>'B-Cell'!K80/1000000</f>
        <v>0</v>
      </c>
      <c r="K374" s="823">
        <f>'B-Cell'!L80/1000000</f>
        <v>43.255366006784705</v>
      </c>
      <c r="L374" s="823">
        <f>'B-Cell'!M80/1000000</f>
        <v>194.46751517790003</v>
      </c>
      <c r="M374" s="823">
        <f>'B-Cell'!N80/1000000</f>
        <v>297.67513568538402</v>
      </c>
      <c r="N374" s="823">
        <f>'B-Cell'!O80/1000000</f>
        <v>388.62250755981063</v>
      </c>
      <c r="O374" s="823">
        <f>'B-Cell'!P80/1000000</f>
        <v>509.59484490930021</v>
      </c>
      <c r="P374" s="823">
        <f>'B-Cell'!Q80/1000000</f>
        <v>600.57328045035467</v>
      </c>
      <c r="Q374" s="823">
        <f>'B-Cell'!R80/1000000</f>
        <v>698.8846526237769</v>
      </c>
      <c r="R374" s="823">
        <f>'B-Cell'!S80/1000000</f>
        <v>805.01580136586119</v>
      </c>
      <c r="S374" s="823">
        <f>'B-Cell'!T80/1000000</f>
        <v>919.47845653693537</v>
      </c>
    </row>
    <row r="375" spans="2:20">
      <c r="B375" s="824" t="s">
        <v>135</v>
      </c>
      <c r="C375" s="823">
        <f t="shared" ref="C375:S375" si="175">C374*C391</f>
        <v>0</v>
      </c>
      <c r="D375" s="823">
        <f t="shared" si="175"/>
        <v>0</v>
      </c>
      <c r="E375" s="823">
        <f t="shared" si="175"/>
        <v>0</v>
      </c>
      <c r="F375" s="823">
        <f t="shared" si="175"/>
        <v>0</v>
      </c>
      <c r="G375" s="823">
        <f t="shared" si="175"/>
        <v>0</v>
      </c>
      <c r="H375" s="823">
        <f t="shared" si="175"/>
        <v>0</v>
      </c>
      <c r="I375" s="823">
        <f t="shared" si="175"/>
        <v>0</v>
      </c>
      <c r="J375" s="823">
        <f t="shared" si="175"/>
        <v>0</v>
      </c>
      <c r="K375" s="823">
        <f t="shared" si="175"/>
        <v>3.0278756204749295</v>
      </c>
      <c r="L375" s="823">
        <f t="shared" si="175"/>
        <v>13.612726062453003</v>
      </c>
      <c r="M375" s="823">
        <f t="shared" si="175"/>
        <v>20.837259497976884</v>
      </c>
      <c r="N375" s="823">
        <f t="shared" si="175"/>
        <v>27.203575529186747</v>
      </c>
      <c r="O375" s="823">
        <f t="shared" si="175"/>
        <v>35.671639143651021</v>
      </c>
      <c r="P375" s="823">
        <f t="shared" si="175"/>
        <v>42.040129631524835</v>
      </c>
      <c r="Q375" s="823">
        <f t="shared" si="175"/>
        <v>48.921925683664391</v>
      </c>
      <c r="R375" s="823">
        <f t="shared" si="175"/>
        <v>56.351106095610291</v>
      </c>
      <c r="S375" s="823">
        <f t="shared" si="175"/>
        <v>64.363491957585481</v>
      </c>
    </row>
    <row r="376" spans="2:20">
      <c r="B376" s="824" t="s">
        <v>424</v>
      </c>
      <c r="C376" s="823">
        <f t="shared" ref="C376:S376" si="176">C374*C392</f>
        <v>0</v>
      </c>
      <c r="D376" s="823">
        <f t="shared" si="176"/>
        <v>0</v>
      </c>
      <c r="E376" s="823">
        <f t="shared" si="176"/>
        <v>0</v>
      </c>
      <c r="F376" s="823">
        <f t="shared" si="176"/>
        <v>0</v>
      </c>
      <c r="G376" s="823">
        <f t="shared" si="176"/>
        <v>0</v>
      </c>
      <c r="H376" s="823">
        <f t="shared" si="176"/>
        <v>0</v>
      </c>
      <c r="I376" s="823">
        <f t="shared" si="176"/>
        <v>0</v>
      </c>
      <c r="J376" s="823">
        <f t="shared" si="176"/>
        <v>0</v>
      </c>
      <c r="K376" s="823">
        <f t="shared" si="176"/>
        <v>6.9208585610855531</v>
      </c>
      <c r="L376" s="823">
        <f t="shared" si="176"/>
        <v>29.170127276685001</v>
      </c>
      <c r="M376" s="823">
        <f t="shared" si="176"/>
        <v>41.674518995953768</v>
      </c>
      <c r="N376" s="823">
        <f t="shared" si="176"/>
        <v>50.520925982775381</v>
      </c>
      <c r="O376" s="823">
        <f t="shared" si="176"/>
        <v>66.247329838209026</v>
      </c>
      <c r="P376" s="823">
        <f t="shared" si="176"/>
        <v>78.074526458546117</v>
      </c>
      <c r="Q376" s="823">
        <f t="shared" si="176"/>
        <v>90.855004841091002</v>
      </c>
      <c r="R376" s="823">
        <f t="shared" si="176"/>
        <v>104.65205417756196</v>
      </c>
      <c r="S376" s="823">
        <f t="shared" si="176"/>
        <v>119.5321993498016</v>
      </c>
    </row>
    <row r="377" spans="2:20">
      <c r="B377" s="1377" t="s">
        <v>248</v>
      </c>
      <c r="C377" s="827">
        <f>C374*C393</f>
        <v>0</v>
      </c>
      <c r="D377" s="827">
        <f>D374*D393</f>
        <v>0</v>
      </c>
      <c r="E377" s="827">
        <v>10</v>
      </c>
      <c r="F377" s="827">
        <v>10</v>
      </c>
      <c r="G377" s="827">
        <v>10</v>
      </c>
      <c r="H377" s="827">
        <v>10</v>
      </c>
      <c r="I377" s="827">
        <v>10</v>
      </c>
      <c r="J377" s="827">
        <v>10</v>
      </c>
      <c r="K377" s="827">
        <f t="shared" ref="K377:S377" si="177">K374*K393</f>
        <v>3.8929829406106231</v>
      </c>
      <c r="L377" s="827">
        <f t="shared" si="177"/>
        <v>15.557401214232003</v>
      </c>
      <c r="M377" s="827">
        <f t="shared" si="177"/>
        <v>20.837259497976884</v>
      </c>
      <c r="N377" s="827">
        <f t="shared" si="177"/>
        <v>23.317350453588638</v>
      </c>
      <c r="O377" s="827">
        <f t="shared" si="177"/>
        <v>25.479742245465012</v>
      </c>
      <c r="P377" s="827">
        <f t="shared" si="177"/>
        <v>27.025797620265958</v>
      </c>
      <c r="Q377" s="827">
        <f t="shared" si="177"/>
        <v>27.955386104951078</v>
      </c>
      <c r="R377" s="827">
        <f t="shared" si="177"/>
        <v>28.175553047805145</v>
      </c>
      <c r="S377" s="827">
        <f t="shared" si="177"/>
        <v>32.18174597879274</v>
      </c>
    </row>
    <row r="378" spans="2:20">
      <c r="B378" s="828" t="s">
        <v>425</v>
      </c>
      <c r="C378" s="829">
        <f>C374-C375-C376-C377</f>
        <v>0</v>
      </c>
      <c r="D378" s="823">
        <f t="shared" ref="D378:R378" si="178">D374-D375-D376-D377</f>
        <v>0</v>
      </c>
      <c r="E378" s="823">
        <f t="shared" si="178"/>
        <v>-10</v>
      </c>
      <c r="F378" s="823">
        <f t="shared" si="178"/>
        <v>-10</v>
      </c>
      <c r="G378" s="823">
        <f t="shared" si="178"/>
        <v>-10</v>
      </c>
      <c r="H378" s="823">
        <f t="shared" si="178"/>
        <v>-10</v>
      </c>
      <c r="I378" s="823">
        <f t="shared" si="178"/>
        <v>-10</v>
      </c>
      <c r="J378" s="823">
        <f t="shared" si="178"/>
        <v>-10</v>
      </c>
      <c r="K378" s="823">
        <f t="shared" si="178"/>
        <v>29.4136488846136</v>
      </c>
      <c r="L378" s="823">
        <f t="shared" si="178"/>
        <v>136.12726062453001</v>
      </c>
      <c r="M378" s="823">
        <f t="shared" si="178"/>
        <v>214.32609769347647</v>
      </c>
      <c r="N378" s="823">
        <f t="shared" si="178"/>
        <v>287.58065559425984</v>
      </c>
      <c r="O378" s="823">
        <f t="shared" si="178"/>
        <v>382.1961336819752</v>
      </c>
      <c r="P378" s="823">
        <f t="shared" si="178"/>
        <v>453.43282674001779</v>
      </c>
      <c r="Q378" s="823">
        <f t="shared" si="178"/>
        <v>531.15233599407031</v>
      </c>
      <c r="R378" s="823">
        <f t="shared" si="178"/>
        <v>615.8370880448839</v>
      </c>
      <c r="S378" s="823">
        <f>S374-S375-S376-S377</f>
        <v>703.40101925075567</v>
      </c>
    </row>
    <row r="379" spans="2:20" ht="15.75" thickBot="1">
      <c r="B379" s="830" t="s">
        <v>55</v>
      </c>
      <c r="C379" s="827">
        <f>C378*C394</f>
        <v>0</v>
      </c>
      <c r="D379" s="827">
        <f>D378*D394</f>
        <v>0</v>
      </c>
      <c r="E379" s="827">
        <f>E378*E394</f>
        <v>0</v>
      </c>
      <c r="F379" s="827">
        <f>F378*F394</f>
        <v>0</v>
      </c>
      <c r="G379" s="827">
        <f>G378*G394</f>
        <v>0</v>
      </c>
      <c r="H379" s="827">
        <f t="shared" ref="H379:S379" si="179">H378*H394</f>
        <v>0</v>
      </c>
      <c r="I379" s="827">
        <f t="shared" si="179"/>
        <v>-1.3</v>
      </c>
      <c r="J379" s="827">
        <f t="shared" si="179"/>
        <v>-1.6</v>
      </c>
      <c r="K379" s="827">
        <f t="shared" si="179"/>
        <v>4.7061838215381764</v>
      </c>
      <c r="L379" s="827">
        <f t="shared" si="179"/>
        <v>21.780361699924804</v>
      </c>
      <c r="M379" s="827">
        <f t="shared" si="179"/>
        <v>34.292175630956237</v>
      </c>
      <c r="N379" s="827">
        <f t="shared" si="179"/>
        <v>46.012904895081576</v>
      </c>
      <c r="O379" s="827">
        <f t="shared" si="179"/>
        <v>61.151381389116032</v>
      </c>
      <c r="P379" s="827">
        <f t="shared" si="179"/>
        <v>72.549252278402847</v>
      </c>
      <c r="Q379" s="827">
        <f t="shared" si="179"/>
        <v>84.984373759051252</v>
      </c>
      <c r="R379" s="827">
        <f t="shared" si="179"/>
        <v>98.533934087181422</v>
      </c>
      <c r="S379" s="827">
        <f t="shared" si="179"/>
        <v>112.54416308012091</v>
      </c>
    </row>
    <row r="380" spans="2:20" ht="15.75" thickBot="1">
      <c r="B380" s="832" t="s">
        <v>426</v>
      </c>
      <c r="C380" s="862">
        <f>C378-C379</f>
        <v>0</v>
      </c>
      <c r="D380" s="862">
        <f t="shared" ref="D380:S380" si="180">D378-D379</f>
        <v>0</v>
      </c>
      <c r="E380" s="862">
        <f t="shared" si="180"/>
        <v>-10</v>
      </c>
      <c r="F380" s="862">
        <f t="shared" si="180"/>
        <v>-10</v>
      </c>
      <c r="G380" s="862">
        <f t="shared" si="180"/>
        <v>-10</v>
      </c>
      <c r="H380" s="862">
        <f t="shared" si="180"/>
        <v>-10</v>
      </c>
      <c r="I380" s="862">
        <f t="shared" si="180"/>
        <v>-8.6999999999999993</v>
      </c>
      <c r="J380" s="862">
        <f t="shared" si="180"/>
        <v>-8.4</v>
      </c>
      <c r="K380" s="862">
        <f t="shared" si="180"/>
        <v>24.707465063075425</v>
      </c>
      <c r="L380" s="862">
        <f t="shared" si="180"/>
        <v>114.3468989246052</v>
      </c>
      <c r="M380" s="862">
        <f t="shared" si="180"/>
        <v>180.03392206252022</v>
      </c>
      <c r="N380" s="862">
        <f t="shared" si="180"/>
        <v>241.56775069917825</v>
      </c>
      <c r="O380" s="862">
        <f t="shared" si="180"/>
        <v>321.04475229285919</v>
      </c>
      <c r="P380" s="862">
        <f t="shared" si="180"/>
        <v>380.88357446161496</v>
      </c>
      <c r="Q380" s="862">
        <f t="shared" si="180"/>
        <v>446.16796223501905</v>
      </c>
      <c r="R380" s="862">
        <f t="shared" si="180"/>
        <v>517.30315395770253</v>
      </c>
      <c r="S380" s="862">
        <f t="shared" si="180"/>
        <v>590.85685617063473</v>
      </c>
      <c r="T380" s="835"/>
    </row>
    <row r="381" spans="2:20" ht="15.75" thickBot="1"/>
    <row r="382" spans="2:20">
      <c r="B382" s="837" t="s">
        <v>427</v>
      </c>
      <c r="C382" s="838">
        <f>T380</f>
        <v>0</v>
      </c>
    </row>
    <row r="383" spans="2:20">
      <c r="B383" s="839" t="s">
        <v>428</v>
      </c>
      <c r="C383" s="840">
        <f>NPV($C$411,F380:T380)</f>
        <v>1271.0506483977858</v>
      </c>
    </row>
    <row r="384" spans="2:20">
      <c r="B384" s="839" t="s">
        <v>429</v>
      </c>
      <c r="C384" s="841">
        <v>0.3</v>
      </c>
      <c r="E384" s="842" t="s">
        <v>430</v>
      </c>
    </row>
    <row r="385" spans="2:20" ht="15.75" thickBot="1">
      <c r="B385" s="839" t="s">
        <v>431</v>
      </c>
      <c r="C385" s="840">
        <f>C383*C384</f>
        <v>381.31519451933576</v>
      </c>
      <c r="E385" s="842" t="s">
        <v>432</v>
      </c>
    </row>
    <row r="386" spans="2:20" ht="15.75" thickBot="1">
      <c r="B386" s="843" t="s">
        <v>432</v>
      </c>
      <c r="C386" s="844">
        <f>C385/$C$413</f>
        <v>1.8020566848739876</v>
      </c>
      <c r="E386" s="845">
        <f>C383/$C$413</f>
        <v>6.0068556162466251</v>
      </c>
      <c r="G386" s="817" t="s">
        <v>720</v>
      </c>
      <c r="H386" s="1286">
        <f>C385</f>
        <v>381.31519451933576</v>
      </c>
    </row>
    <row r="387" spans="2:20" ht="15.75" thickBot="1">
      <c r="B387" s="846"/>
      <c r="C387" s="847"/>
    </row>
    <row r="388" spans="2:20" ht="15.75" thickBot="1">
      <c r="B388" s="848" t="s">
        <v>692</v>
      </c>
      <c r="C388" s="849">
        <v>0.19025001991246193</v>
      </c>
      <c r="D388" s="850">
        <f>NPV(C388,F380:T380)</f>
        <v>381.18083149184378</v>
      </c>
    </row>
    <row r="389" spans="2:20">
      <c r="B389" s="846"/>
      <c r="C389" s="847"/>
    </row>
    <row r="390" spans="2:20" s="852" customFormat="1" ht="15.75" thickBot="1">
      <c r="B390" s="819" t="s">
        <v>721</v>
      </c>
      <c r="C390" s="820" t="str">
        <f>C373</f>
        <v>2014E</v>
      </c>
      <c r="D390" s="820" t="str">
        <f t="shared" ref="D390:S390" si="181">D373</f>
        <v>2015E</v>
      </c>
      <c r="E390" s="820" t="str">
        <f t="shared" si="181"/>
        <v>2016E</v>
      </c>
      <c r="F390" s="820" t="str">
        <f t="shared" si="181"/>
        <v>2017E</v>
      </c>
      <c r="G390" s="820" t="str">
        <f t="shared" si="181"/>
        <v>2018E</v>
      </c>
      <c r="H390" s="820" t="str">
        <f t="shared" si="181"/>
        <v>2019E</v>
      </c>
      <c r="I390" s="820" t="str">
        <f t="shared" si="181"/>
        <v>2020E</v>
      </c>
      <c r="J390" s="820" t="str">
        <f t="shared" si="181"/>
        <v>2021E</v>
      </c>
      <c r="K390" s="820" t="str">
        <f t="shared" si="181"/>
        <v>2022E</v>
      </c>
      <c r="L390" s="820" t="str">
        <f t="shared" si="181"/>
        <v>2023E</v>
      </c>
      <c r="M390" s="820" t="str">
        <f t="shared" si="181"/>
        <v>2024E</v>
      </c>
      <c r="N390" s="820" t="str">
        <f t="shared" si="181"/>
        <v>2025E</v>
      </c>
      <c r="O390" s="820" t="str">
        <f t="shared" si="181"/>
        <v>2026E</v>
      </c>
      <c r="P390" s="820" t="str">
        <f t="shared" si="181"/>
        <v>2027E</v>
      </c>
      <c r="Q390" s="820" t="str">
        <f t="shared" si="181"/>
        <v>2028E</v>
      </c>
      <c r="R390" s="820" t="str">
        <f t="shared" si="181"/>
        <v>2029E</v>
      </c>
      <c r="S390" s="820" t="str">
        <f t="shared" si="181"/>
        <v>2030E</v>
      </c>
      <c r="T390" s="851"/>
    </row>
    <row r="391" spans="2:20" s="852" customFormat="1" ht="15.75" thickTop="1">
      <c r="B391" s="853" t="s">
        <v>467</v>
      </c>
      <c r="C391" s="854">
        <f>C368</f>
        <v>0</v>
      </c>
      <c r="D391" s="854">
        <f t="shared" ref="D391:S391" si="182">D368</f>
        <v>0</v>
      </c>
      <c r="E391" s="854">
        <f t="shared" si="182"/>
        <v>0</v>
      </c>
      <c r="F391" s="854">
        <f t="shared" si="182"/>
        <v>0</v>
      </c>
      <c r="G391" s="854">
        <f t="shared" si="182"/>
        <v>0</v>
      </c>
      <c r="H391" s="854">
        <f t="shared" si="182"/>
        <v>0</v>
      </c>
      <c r="I391" s="854">
        <f t="shared" si="182"/>
        <v>7.0000000000000007E-2</v>
      </c>
      <c r="J391" s="854">
        <f t="shared" si="182"/>
        <v>7.0000000000000007E-2</v>
      </c>
      <c r="K391" s="854">
        <f t="shared" si="182"/>
        <v>7.0000000000000007E-2</v>
      </c>
      <c r="L391" s="854">
        <f t="shared" si="182"/>
        <v>7.0000000000000007E-2</v>
      </c>
      <c r="M391" s="854">
        <f t="shared" si="182"/>
        <v>7.0000000000000007E-2</v>
      </c>
      <c r="N391" s="854">
        <f t="shared" si="182"/>
        <v>7.0000000000000007E-2</v>
      </c>
      <c r="O391" s="854">
        <f t="shared" si="182"/>
        <v>7.0000000000000007E-2</v>
      </c>
      <c r="P391" s="854">
        <f t="shared" si="182"/>
        <v>7.0000000000000007E-2</v>
      </c>
      <c r="Q391" s="854">
        <f t="shared" si="182"/>
        <v>7.0000000000000007E-2</v>
      </c>
      <c r="R391" s="854">
        <f t="shared" si="182"/>
        <v>7.0000000000000007E-2</v>
      </c>
      <c r="S391" s="854">
        <f t="shared" si="182"/>
        <v>7.0000000000000007E-2</v>
      </c>
      <c r="T391" s="855"/>
    </row>
    <row r="392" spans="2:20" s="852" customFormat="1">
      <c r="B392" s="856" t="s">
        <v>468</v>
      </c>
      <c r="C392" s="857">
        <f t="shared" ref="C392:S392" si="183">C369</f>
        <v>0</v>
      </c>
      <c r="D392" s="857">
        <f t="shared" si="183"/>
        <v>0</v>
      </c>
      <c r="E392" s="857">
        <f t="shared" si="183"/>
        <v>0</v>
      </c>
      <c r="F392" s="857">
        <f t="shared" si="183"/>
        <v>0</v>
      </c>
      <c r="G392" s="857">
        <f t="shared" si="183"/>
        <v>0</v>
      </c>
      <c r="H392" s="857">
        <f t="shared" si="183"/>
        <v>0</v>
      </c>
      <c r="I392" s="857">
        <f t="shared" si="183"/>
        <v>0.2</v>
      </c>
      <c r="J392" s="857">
        <f t="shared" si="183"/>
        <v>0.18</v>
      </c>
      <c r="K392" s="857">
        <f t="shared" si="183"/>
        <v>0.16</v>
      </c>
      <c r="L392" s="857">
        <f t="shared" si="183"/>
        <v>0.15</v>
      </c>
      <c r="M392" s="857">
        <f t="shared" si="183"/>
        <v>0.14000000000000001</v>
      </c>
      <c r="N392" s="857">
        <f t="shared" si="183"/>
        <v>0.13</v>
      </c>
      <c r="O392" s="857">
        <f t="shared" si="183"/>
        <v>0.13</v>
      </c>
      <c r="P392" s="857">
        <f t="shared" si="183"/>
        <v>0.13</v>
      </c>
      <c r="Q392" s="857">
        <f t="shared" si="183"/>
        <v>0.13</v>
      </c>
      <c r="R392" s="857">
        <f t="shared" si="183"/>
        <v>0.13</v>
      </c>
      <c r="S392" s="857">
        <f t="shared" si="183"/>
        <v>0.13</v>
      </c>
      <c r="T392" s="855"/>
    </row>
    <row r="393" spans="2:20" s="852" customFormat="1">
      <c r="B393" s="856" t="s">
        <v>469</v>
      </c>
      <c r="C393" s="857">
        <f t="shared" ref="C393:S393" si="184">C370</f>
        <v>0</v>
      </c>
      <c r="D393" s="857">
        <f t="shared" si="184"/>
        <v>0</v>
      </c>
      <c r="E393" s="857">
        <f t="shared" si="184"/>
        <v>0</v>
      </c>
      <c r="F393" s="857">
        <f t="shared" si="184"/>
        <v>0</v>
      </c>
      <c r="G393" s="857">
        <f t="shared" si="184"/>
        <v>0</v>
      </c>
      <c r="H393" s="857">
        <f t="shared" si="184"/>
        <v>0</v>
      </c>
      <c r="I393" s="857">
        <f t="shared" si="184"/>
        <v>0.11</v>
      </c>
      <c r="J393" s="857">
        <f t="shared" si="184"/>
        <v>0.1</v>
      </c>
      <c r="K393" s="857">
        <f t="shared" si="184"/>
        <v>0.09</v>
      </c>
      <c r="L393" s="857">
        <f t="shared" si="184"/>
        <v>0.08</v>
      </c>
      <c r="M393" s="857">
        <f t="shared" si="184"/>
        <v>7.0000000000000007E-2</v>
      </c>
      <c r="N393" s="857">
        <f t="shared" si="184"/>
        <v>0.06</v>
      </c>
      <c r="O393" s="857">
        <f t="shared" si="184"/>
        <v>0.05</v>
      </c>
      <c r="P393" s="857">
        <f t="shared" si="184"/>
        <v>4.4999999999999998E-2</v>
      </c>
      <c r="Q393" s="857">
        <f t="shared" si="184"/>
        <v>0.04</v>
      </c>
      <c r="R393" s="857">
        <f t="shared" si="184"/>
        <v>3.5000000000000003E-2</v>
      </c>
      <c r="S393" s="857">
        <f t="shared" si="184"/>
        <v>3.5000000000000003E-2</v>
      </c>
      <c r="T393" s="855"/>
    </row>
    <row r="394" spans="2:20" s="852" customFormat="1">
      <c r="B394" s="858" t="s">
        <v>55</v>
      </c>
      <c r="C394" s="860">
        <f t="shared" ref="C394:S394" si="185">C371</f>
        <v>0</v>
      </c>
      <c r="D394" s="860">
        <f t="shared" si="185"/>
        <v>0</v>
      </c>
      <c r="E394" s="860">
        <f t="shared" si="185"/>
        <v>0</v>
      </c>
      <c r="F394" s="860">
        <f t="shared" si="185"/>
        <v>0</v>
      </c>
      <c r="G394" s="860">
        <f t="shared" si="185"/>
        <v>0</v>
      </c>
      <c r="H394" s="860">
        <f t="shared" si="185"/>
        <v>0</v>
      </c>
      <c r="I394" s="860">
        <f t="shared" si="185"/>
        <v>0.13</v>
      </c>
      <c r="J394" s="860">
        <f t="shared" si="185"/>
        <v>0.16</v>
      </c>
      <c r="K394" s="860">
        <f t="shared" si="185"/>
        <v>0.16</v>
      </c>
      <c r="L394" s="860">
        <f t="shared" si="185"/>
        <v>0.16</v>
      </c>
      <c r="M394" s="860">
        <f t="shared" si="185"/>
        <v>0.16</v>
      </c>
      <c r="N394" s="860">
        <f t="shared" si="185"/>
        <v>0.16</v>
      </c>
      <c r="O394" s="860">
        <f t="shared" si="185"/>
        <v>0.16</v>
      </c>
      <c r="P394" s="860">
        <f t="shared" si="185"/>
        <v>0.16</v>
      </c>
      <c r="Q394" s="860">
        <f t="shared" si="185"/>
        <v>0.16</v>
      </c>
      <c r="R394" s="860">
        <f t="shared" si="185"/>
        <v>0.16</v>
      </c>
      <c r="S394" s="860">
        <f t="shared" si="185"/>
        <v>0.16</v>
      </c>
      <c r="T394" s="855"/>
    </row>
    <row r="396" spans="2:20" ht="15.75" thickBot="1">
      <c r="B396" s="819" t="s">
        <v>724</v>
      </c>
      <c r="C396" s="820" t="str">
        <f>C373</f>
        <v>2014E</v>
      </c>
      <c r="D396" s="820" t="str">
        <f t="shared" ref="D396:S396" si="186">D373</f>
        <v>2015E</v>
      </c>
      <c r="E396" s="820" t="str">
        <f t="shared" si="186"/>
        <v>2016E</v>
      </c>
      <c r="F396" s="820" t="str">
        <f t="shared" si="186"/>
        <v>2017E</v>
      </c>
      <c r="G396" s="820" t="str">
        <f t="shared" si="186"/>
        <v>2018E</v>
      </c>
      <c r="H396" s="820" t="str">
        <f t="shared" si="186"/>
        <v>2019E</v>
      </c>
      <c r="I396" s="820" t="str">
        <f t="shared" si="186"/>
        <v>2020E</v>
      </c>
      <c r="J396" s="820" t="str">
        <f t="shared" si="186"/>
        <v>2021E</v>
      </c>
      <c r="K396" s="820" t="str">
        <f t="shared" si="186"/>
        <v>2022E</v>
      </c>
      <c r="L396" s="820" t="str">
        <f t="shared" si="186"/>
        <v>2023E</v>
      </c>
      <c r="M396" s="820" t="str">
        <f t="shared" si="186"/>
        <v>2024E</v>
      </c>
      <c r="N396" s="820" t="str">
        <f t="shared" si="186"/>
        <v>2025E</v>
      </c>
      <c r="O396" s="820" t="str">
        <f t="shared" si="186"/>
        <v>2026E</v>
      </c>
      <c r="P396" s="820" t="str">
        <f t="shared" si="186"/>
        <v>2027E</v>
      </c>
      <c r="Q396" s="820" t="str">
        <f t="shared" si="186"/>
        <v>2028E</v>
      </c>
      <c r="R396" s="820" t="str">
        <f t="shared" si="186"/>
        <v>2029E</v>
      </c>
      <c r="S396" s="820" t="str">
        <f t="shared" si="186"/>
        <v>2030E</v>
      </c>
    </row>
    <row r="397" spans="2:20" ht="15.75" thickTop="1">
      <c r="B397" s="821" t="s">
        <v>423</v>
      </c>
      <c r="C397" s="823"/>
      <c r="D397" s="823"/>
      <c r="E397" s="823"/>
      <c r="F397" s="823"/>
      <c r="G397" s="823"/>
      <c r="H397" s="823"/>
      <c r="I397" s="823"/>
      <c r="J397" s="823"/>
      <c r="K397" s="823"/>
      <c r="L397" s="823"/>
      <c r="M397" s="823"/>
      <c r="N397" s="823"/>
      <c r="O397" s="823"/>
      <c r="P397" s="823"/>
      <c r="Q397" s="823"/>
      <c r="R397" s="823"/>
      <c r="S397" s="823"/>
    </row>
    <row r="398" spans="2:20">
      <c r="B398" s="824" t="s">
        <v>135</v>
      </c>
      <c r="C398" s="823"/>
      <c r="D398" s="823"/>
      <c r="E398" s="823"/>
      <c r="F398" s="823"/>
      <c r="G398" s="823"/>
      <c r="H398" s="823"/>
      <c r="I398" s="823"/>
      <c r="J398" s="823"/>
      <c r="K398" s="823"/>
      <c r="L398" s="823"/>
      <c r="M398" s="823"/>
      <c r="N398" s="823"/>
      <c r="O398" s="823"/>
      <c r="P398" s="823"/>
      <c r="Q398" s="823"/>
      <c r="R398" s="823"/>
      <c r="S398" s="823"/>
    </row>
    <row r="399" spans="2:20">
      <c r="B399" s="824" t="s">
        <v>424</v>
      </c>
      <c r="C399" s="823"/>
      <c r="D399" s="823"/>
      <c r="E399" s="823"/>
      <c r="F399" s="823"/>
      <c r="G399" s="823"/>
      <c r="H399" s="823"/>
      <c r="I399" s="823"/>
      <c r="J399" s="823"/>
      <c r="K399" s="823"/>
      <c r="L399" s="823"/>
      <c r="M399" s="823"/>
      <c r="N399" s="823"/>
      <c r="O399" s="823"/>
      <c r="P399" s="823"/>
      <c r="Q399" s="823"/>
      <c r="R399" s="823"/>
      <c r="S399" s="823"/>
    </row>
    <row r="400" spans="2:20">
      <c r="B400" s="1377" t="s">
        <v>248</v>
      </c>
      <c r="C400" s="827"/>
      <c r="D400" s="827"/>
      <c r="E400" s="827"/>
      <c r="F400" s="827"/>
      <c r="G400" s="827"/>
      <c r="H400" s="827"/>
      <c r="I400" s="827"/>
      <c r="J400" s="827"/>
      <c r="K400" s="827"/>
      <c r="L400" s="827"/>
      <c r="M400" s="827"/>
      <c r="N400" s="827"/>
      <c r="O400" s="827"/>
      <c r="P400" s="827"/>
      <c r="Q400" s="827"/>
      <c r="R400" s="827"/>
      <c r="S400" s="827"/>
    </row>
    <row r="401" spans="2:20">
      <c r="B401" s="828" t="s">
        <v>425</v>
      </c>
      <c r="C401" s="829"/>
      <c r="D401" s="823"/>
      <c r="E401" s="823"/>
      <c r="F401" s="823"/>
      <c r="G401" s="823"/>
      <c r="H401" s="823"/>
      <c r="I401" s="823"/>
      <c r="J401" s="823"/>
      <c r="K401" s="823"/>
      <c r="L401" s="823"/>
      <c r="M401" s="823"/>
      <c r="N401" s="823"/>
      <c r="O401" s="823"/>
      <c r="P401" s="823"/>
      <c r="Q401" s="823"/>
      <c r="R401" s="823"/>
      <c r="S401" s="823"/>
    </row>
    <row r="402" spans="2:20" ht="15.75" thickBot="1">
      <c r="B402" s="830" t="s">
        <v>55</v>
      </c>
      <c r="C402" s="827"/>
      <c r="D402" s="827"/>
      <c r="E402" s="827"/>
      <c r="F402" s="827"/>
      <c r="G402" s="827"/>
      <c r="H402" s="827"/>
      <c r="I402" s="827"/>
      <c r="J402" s="827"/>
      <c r="K402" s="827"/>
      <c r="L402" s="827"/>
      <c r="M402" s="827"/>
      <c r="N402" s="827"/>
      <c r="O402" s="827"/>
      <c r="P402" s="827"/>
      <c r="Q402" s="827"/>
      <c r="R402" s="827"/>
      <c r="S402" s="827"/>
    </row>
    <row r="403" spans="2:20" ht="15.75" thickBot="1">
      <c r="B403" s="832" t="s">
        <v>426</v>
      </c>
      <c r="C403" s="862"/>
      <c r="D403" s="862"/>
      <c r="E403" s="862"/>
      <c r="F403" s="862"/>
      <c r="G403" s="862"/>
      <c r="H403" s="862"/>
      <c r="I403" s="862"/>
      <c r="J403" s="862"/>
      <c r="K403" s="862"/>
      <c r="L403" s="862"/>
      <c r="M403" s="862"/>
      <c r="N403" s="862"/>
      <c r="O403" s="862"/>
      <c r="P403" s="862"/>
      <c r="Q403" s="862"/>
      <c r="R403" s="862"/>
      <c r="S403" s="862"/>
      <c r="T403" s="835"/>
    </row>
    <row r="404" spans="2:20" ht="15.75" thickBot="1"/>
    <row r="405" spans="2:20">
      <c r="B405" s="837" t="s">
        <v>427</v>
      </c>
      <c r="C405" s="838"/>
    </row>
    <row r="406" spans="2:20">
      <c r="B406" s="839" t="s">
        <v>428</v>
      </c>
      <c r="C406" s="840"/>
    </row>
    <row r="407" spans="2:20">
      <c r="B407" s="839" t="s">
        <v>429</v>
      </c>
      <c r="C407" s="841"/>
      <c r="E407" s="842" t="s">
        <v>430</v>
      </c>
    </row>
    <row r="408" spans="2:20" ht="15.75" thickBot="1">
      <c r="B408" s="839" t="s">
        <v>431</v>
      </c>
      <c r="C408" s="840">
        <v>1000</v>
      </c>
      <c r="E408" s="842" t="s">
        <v>432</v>
      </c>
    </row>
    <row r="409" spans="2:20" ht="15.75" thickBot="1">
      <c r="B409" s="843" t="s">
        <v>432</v>
      </c>
      <c r="C409" s="844">
        <f>C408/$C$413</f>
        <v>4.7258979206049148</v>
      </c>
      <c r="E409" s="845">
        <f>C408/$C$413</f>
        <v>4.7258979206049148</v>
      </c>
      <c r="G409" s="817" t="s">
        <v>725</v>
      </c>
      <c r="H409" s="1286">
        <f>C408</f>
        <v>1000</v>
      </c>
    </row>
    <row r="410" spans="2:20" ht="15.75" thickBot="1">
      <c r="B410" s="846"/>
      <c r="C410" s="847"/>
    </row>
    <row r="411" spans="2:20" ht="15.75" thickBot="1">
      <c r="B411" s="868" t="s">
        <v>156</v>
      </c>
      <c r="C411" s="869">
        <v>7.0000000000000007E-2</v>
      </c>
    </row>
    <row r="412" spans="2:20" ht="15.75" thickBot="1">
      <c r="B412" s="846"/>
      <c r="C412" s="864"/>
    </row>
    <row r="413" spans="2:20" ht="15.75" thickBot="1">
      <c r="B413" s="870" t="s">
        <v>435</v>
      </c>
      <c r="C413" s="1376">
        <v>211.6</v>
      </c>
      <c r="E413" s="842" t="s">
        <v>430</v>
      </c>
      <c r="G413" s="871" t="s">
        <v>436</v>
      </c>
    </row>
    <row r="414" spans="2:20" ht="15.75" thickBot="1">
      <c r="B414" s="846"/>
      <c r="C414" s="864"/>
      <c r="E414" s="842" t="s">
        <v>432</v>
      </c>
      <c r="G414" s="871" t="s">
        <v>437</v>
      </c>
    </row>
    <row r="415" spans="2:20" ht="15.75" thickBot="1">
      <c r="B415" s="872" t="s">
        <v>438</v>
      </c>
      <c r="C415" s="873">
        <f>C18+C41+C64+C110+C133+C156+C179+C202+C225+C248+C271+C294+C317+C340+C363+C87+C386+C409</f>
        <v>72.758227176848635</v>
      </c>
      <c r="E415" s="845">
        <f>E18+E41+E64+E110+E133+E156+E179+E202+E225+E248+E271+E294+E317+E340+E363+E87+E386+E409</f>
        <v>89.654639573863619</v>
      </c>
      <c r="G415" s="874">
        <f>1-(C415/E415)</f>
        <v>0.18846110449303144</v>
      </c>
      <c r="I415" s="850">
        <f>C360+C337+C268+C222</f>
        <v>2810.9984697712662</v>
      </c>
    </row>
    <row r="416" spans="2:20" ht="12.75" customHeight="1"/>
    <row r="417" spans="2:19" ht="12.75" customHeight="1"/>
    <row r="418" spans="2:19" ht="6.75" customHeight="1">
      <c r="B418" s="875"/>
      <c r="C418" s="875"/>
      <c r="D418" s="875"/>
      <c r="E418" s="875"/>
      <c r="F418" s="875"/>
      <c r="G418" s="875"/>
      <c r="H418" s="875"/>
      <c r="I418" s="875"/>
      <c r="J418" s="875"/>
      <c r="K418" s="875"/>
      <c r="L418" s="875"/>
      <c r="M418" s="875"/>
      <c r="N418" s="875"/>
      <c r="O418" s="875"/>
      <c r="P418" s="875"/>
      <c r="Q418" s="875"/>
      <c r="R418" s="875"/>
      <c r="S418" s="875"/>
    </row>
    <row r="419" spans="2:19">
      <c r="E419" s="876" t="s">
        <v>439</v>
      </c>
    </row>
    <row r="420" spans="2:19" ht="15.75" thickBot="1">
      <c r="E420" s="876" t="s">
        <v>440</v>
      </c>
      <c r="F420" s="877" t="s">
        <v>441</v>
      </c>
      <c r="G420" s="877"/>
    </row>
    <row r="421" spans="2:19" ht="15.75" thickBot="1">
      <c r="B421" s="878" t="s">
        <v>723</v>
      </c>
      <c r="C421" s="1368">
        <v>650</v>
      </c>
      <c r="E421" s="1317">
        <f>(C421)/C413</f>
        <v>3.0718336483931949</v>
      </c>
      <c r="F421" s="879"/>
      <c r="G421" s="879"/>
    </row>
    <row r="422" spans="2:19">
      <c r="B422" s="880" t="s">
        <v>442</v>
      </c>
      <c r="C422" s="1369"/>
      <c r="F422" s="879"/>
      <c r="G422" s="881"/>
      <c r="H422" s="882" t="s">
        <v>443</v>
      </c>
    </row>
    <row r="423" spans="2:19">
      <c r="B423" s="880" t="s">
        <v>444</v>
      </c>
      <c r="C423" s="1370"/>
      <c r="F423" s="879"/>
      <c r="G423" s="881"/>
      <c r="H423" s="882" t="s">
        <v>93</v>
      </c>
    </row>
    <row r="424" spans="2:19" ht="15.75" thickBot="1">
      <c r="B424" s="883" t="s">
        <v>445</v>
      </c>
      <c r="C424" s="1371"/>
      <c r="F424" s="879"/>
      <c r="G424" s="884" t="s">
        <v>446</v>
      </c>
      <c r="H424" s="885"/>
    </row>
    <row r="425" spans="2:19" ht="15.75" thickBot="1">
      <c r="C425" s="1372"/>
      <c r="F425" s="879"/>
      <c r="G425" s="886" t="s">
        <v>447</v>
      </c>
      <c r="H425" s="887"/>
    </row>
    <row r="426" spans="2:19" ht="15.75" thickBot="1">
      <c r="B426" s="888" t="s">
        <v>306</v>
      </c>
      <c r="C426" s="1373">
        <f>C421</f>
        <v>650</v>
      </c>
      <c r="G426" s="889" t="s">
        <v>263</v>
      </c>
      <c r="H426" s="890"/>
      <c r="I426" s="891"/>
    </row>
    <row r="427" spans="2:19" ht="15.75" thickBot="1">
      <c r="C427" s="1372"/>
      <c r="G427" s="892"/>
    </row>
    <row r="428" spans="2:19" ht="15.75" thickBot="1">
      <c r="B428" s="888" t="s">
        <v>448</v>
      </c>
      <c r="C428" s="1374">
        <f>C426/C413</f>
        <v>3.0718336483931949</v>
      </c>
      <c r="G428" s="892"/>
    </row>
    <row r="429" spans="2:19">
      <c r="C429" s="1372"/>
      <c r="E429" s="842" t="s">
        <v>430</v>
      </c>
      <c r="G429" s="892"/>
    </row>
    <row r="430" spans="2:19" ht="15.75" thickBot="1">
      <c r="C430" s="1372"/>
      <c r="E430" s="842" t="s">
        <v>432</v>
      </c>
      <c r="G430" s="892"/>
    </row>
    <row r="431" spans="2:19" ht="15.75" thickBot="1">
      <c r="B431" s="872" t="s">
        <v>449</v>
      </c>
      <c r="C431" s="1375">
        <f>C428+C415</f>
        <v>75.83006082524183</v>
      </c>
      <c r="E431" s="845">
        <f>C428+E415</f>
        <v>92.726473222256814</v>
      </c>
      <c r="G431" s="892"/>
    </row>
    <row r="432" spans="2:19">
      <c r="G432" s="892"/>
    </row>
    <row r="433" spans="1:20">
      <c r="G433" s="892"/>
    </row>
    <row r="434" spans="1:20">
      <c r="G434" s="892"/>
    </row>
    <row r="437" spans="1:20">
      <c r="C437" s="1504"/>
    </row>
    <row r="445" spans="1:20">
      <c r="A445" s="893" t="s">
        <v>457</v>
      </c>
      <c r="B445" s="893"/>
    </row>
    <row r="446" spans="1:20" hidden="1" outlineLevel="1">
      <c r="A446" s="852"/>
      <c r="B446" s="894"/>
      <c r="C446" s="895" t="str">
        <f t="shared" ref="C446:S446" si="187">C212</f>
        <v>2014E</v>
      </c>
      <c r="D446" s="895" t="str">
        <f t="shared" si="187"/>
        <v>2015E</v>
      </c>
      <c r="E446" s="895" t="str">
        <f t="shared" si="187"/>
        <v>2016E</v>
      </c>
      <c r="F446" s="895" t="str">
        <f t="shared" si="187"/>
        <v>2017E</v>
      </c>
      <c r="G446" s="895" t="str">
        <f t="shared" si="187"/>
        <v>2018E</v>
      </c>
      <c r="H446" s="895" t="str">
        <f t="shared" si="187"/>
        <v>2019E</v>
      </c>
      <c r="I446" s="895" t="str">
        <f t="shared" si="187"/>
        <v>2020E</v>
      </c>
      <c r="J446" s="895" t="str">
        <f t="shared" si="187"/>
        <v>2021E</v>
      </c>
      <c r="K446" s="895" t="str">
        <f t="shared" si="187"/>
        <v>2022E</v>
      </c>
      <c r="L446" s="895" t="str">
        <f t="shared" si="187"/>
        <v>2023E</v>
      </c>
      <c r="M446" s="895" t="str">
        <f t="shared" si="187"/>
        <v>2024E</v>
      </c>
      <c r="N446" s="895" t="str">
        <f t="shared" si="187"/>
        <v>2025E</v>
      </c>
      <c r="O446" s="895" t="str">
        <f t="shared" si="187"/>
        <v>2026E</v>
      </c>
      <c r="P446" s="895" t="str">
        <f t="shared" si="187"/>
        <v>2027E</v>
      </c>
      <c r="Q446" s="895" t="str">
        <f t="shared" si="187"/>
        <v>2028E</v>
      </c>
      <c r="R446" s="895" t="str">
        <f t="shared" si="187"/>
        <v>2029E</v>
      </c>
      <c r="S446" s="895" t="str">
        <f t="shared" si="187"/>
        <v>2030E</v>
      </c>
      <c r="T446" s="896" t="s">
        <v>427</v>
      </c>
    </row>
    <row r="447" spans="1:20" hidden="1" outlineLevel="1">
      <c r="A447" s="852"/>
      <c r="B447" s="897" t="s">
        <v>450</v>
      </c>
      <c r="C447" s="898">
        <f t="shared" ref="C447:T447" si="188">C12+C35+C58+C104+C150+C196+C219+C265+C334+C357+C380</f>
        <v>343.45373884793372</v>
      </c>
      <c r="D447" s="898">
        <f t="shared" si="188"/>
        <v>478.85410820178663</v>
      </c>
      <c r="E447" s="898">
        <f t="shared" si="188"/>
        <v>617.89027576759418</v>
      </c>
      <c r="F447" s="898">
        <f t="shared" si="188"/>
        <v>773.68081301595328</v>
      </c>
      <c r="G447" s="898">
        <f t="shared" si="188"/>
        <v>978.83668438919995</v>
      </c>
      <c r="H447" s="898">
        <f t="shared" si="188"/>
        <v>1325.2204139736209</v>
      </c>
      <c r="I447" s="898">
        <f t="shared" si="188"/>
        <v>1433.3933719845354</v>
      </c>
      <c r="J447" s="898">
        <f t="shared" si="188"/>
        <v>1727.733191418472</v>
      </c>
      <c r="K447" s="898">
        <f t="shared" si="188"/>
        <v>2167.3378734770781</v>
      </c>
      <c r="L447" s="898">
        <f t="shared" si="188"/>
        <v>2635.2180647397713</v>
      </c>
      <c r="M447" s="898">
        <f t="shared" si="188"/>
        <v>3044.7910038872769</v>
      </c>
      <c r="N447" s="898">
        <f t="shared" si="188"/>
        <v>3323.9334650430769</v>
      </c>
      <c r="O447" s="898">
        <f t="shared" si="188"/>
        <v>3186.5342792207298</v>
      </c>
      <c r="P447" s="898">
        <f t="shared" si="188"/>
        <v>1885.0699397158905</v>
      </c>
      <c r="Q447" s="898">
        <f t="shared" si="188"/>
        <v>1830.7307868135938</v>
      </c>
      <c r="R447" s="898">
        <f t="shared" si="188"/>
        <v>1729.6899167002846</v>
      </c>
      <c r="S447" s="898">
        <f t="shared" si="188"/>
        <v>1607.6913306734796</v>
      </c>
      <c r="T447" s="898">
        <f t="shared" si="188"/>
        <v>1117.5389236839346</v>
      </c>
    </row>
    <row r="448" spans="1:20" hidden="1" outlineLevel="1">
      <c r="A448" s="852"/>
      <c r="B448" s="897"/>
      <c r="C448" s="864"/>
      <c r="D448" s="864"/>
      <c r="E448" s="864"/>
      <c r="F448" s="864"/>
      <c r="G448" s="864"/>
      <c r="H448" s="864"/>
      <c r="I448" s="864"/>
      <c r="J448" s="864"/>
      <c r="K448" s="864"/>
      <c r="L448" s="864"/>
      <c r="M448" s="864"/>
      <c r="N448" s="864"/>
      <c r="O448" s="864"/>
      <c r="P448" s="864"/>
      <c r="Q448" s="864"/>
      <c r="R448" s="864"/>
      <c r="S448" s="864"/>
      <c r="T448" s="822"/>
    </row>
    <row r="449" spans="1:20" hidden="1" outlineLevel="1">
      <c r="A449" s="852"/>
      <c r="B449" s="897" t="s">
        <v>156</v>
      </c>
      <c r="C449" s="899">
        <v>0.10549392518475385</v>
      </c>
      <c r="D449" s="864"/>
      <c r="E449" s="864"/>
      <c r="F449" s="864"/>
      <c r="G449" s="864"/>
      <c r="H449" s="864"/>
      <c r="I449" s="864"/>
      <c r="J449" s="864"/>
      <c r="K449" s="864"/>
      <c r="L449" s="864"/>
      <c r="M449" s="864"/>
      <c r="N449" s="864"/>
      <c r="O449" s="864"/>
      <c r="P449" s="864"/>
      <c r="Q449" s="864"/>
      <c r="R449" s="864"/>
      <c r="S449" s="864"/>
      <c r="T449" s="822"/>
    </row>
    <row r="450" spans="1:20" hidden="1" outlineLevel="1">
      <c r="A450" s="852"/>
      <c r="B450" s="897"/>
      <c r="C450" s="864"/>
      <c r="D450" s="864"/>
      <c r="E450" s="864"/>
      <c r="F450" s="864"/>
      <c r="G450" s="864"/>
      <c r="H450" s="864"/>
      <c r="I450" s="864"/>
      <c r="J450" s="864"/>
      <c r="K450" s="864"/>
      <c r="L450" s="864"/>
      <c r="M450" s="864"/>
      <c r="N450" s="864"/>
      <c r="O450" s="864"/>
      <c r="P450" s="864"/>
      <c r="Q450" s="864"/>
      <c r="R450" s="864"/>
      <c r="S450" s="864"/>
      <c r="T450" s="822"/>
    </row>
    <row r="451" spans="1:20" hidden="1" outlineLevel="1">
      <c r="A451" s="852"/>
      <c r="B451" s="897" t="s">
        <v>451</v>
      </c>
      <c r="C451" s="1533">
        <f>NPV(C449,F447:T447)</f>
        <v>13150.362144554341</v>
      </c>
      <c r="D451" s="864"/>
      <c r="E451" s="864"/>
      <c r="F451" s="864"/>
      <c r="G451" s="864"/>
      <c r="H451" s="864"/>
      <c r="I451" s="864"/>
      <c r="J451" s="864"/>
      <c r="K451" s="864"/>
      <c r="L451" s="864"/>
      <c r="M451" s="864"/>
      <c r="N451" s="864"/>
      <c r="O451" s="864"/>
      <c r="P451" s="864"/>
      <c r="Q451" s="864"/>
      <c r="R451" s="864"/>
      <c r="S451" s="864"/>
      <c r="T451" s="822"/>
    </row>
    <row r="452" spans="1:20" hidden="1" outlineLevel="1">
      <c r="A452" s="852"/>
      <c r="B452" s="897"/>
      <c r="C452" s="864"/>
      <c r="D452" s="864"/>
      <c r="E452" s="864"/>
      <c r="F452" s="864"/>
      <c r="G452" s="864"/>
      <c r="H452" s="864"/>
      <c r="I452" s="864"/>
      <c r="J452" s="864"/>
      <c r="K452" s="864"/>
      <c r="L452" s="864"/>
      <c r="M452" s="864"/>
      <c r="N452" s="864"/>
      <c r="O452" s="864"/>
      <c r="P452" s="864"/>
      <c r="Q452" s="864"/>
      <c r="R452" s="864"/>
      <c r="S452" s="864"/>
      <c r="T452" s="822"/>
    </row>
    <row r="453" spans="1:20" hidden="1" outlineLevel="1">
      <c r="A453" s="852"/>
      <c r="B453" s="897" t="s">
        <v>452</v>
      </c>
      <c r="C453" s="898">
        <f>C15+C38+C61+C107+C153+C199+C222+C268+C337+C360+C383</f>
        <v>16935.104264369831</v>
      </c>
      <c r="D453" s="864"/>
      <c r="E453" s="864"/>
      <c r="F453" s="864"/>
      <c r="G453" s="864"/>
      <c r="H453" s="864"/>
      <c r="I453" s="864"/>
      <c r="J453" s="864"/>
      <c r="K453" s="864"/>
      <c r="L453" s="864"/>
      <c r="M453" s="864"/>
      <c r="N453" s="864"/>
      <c r="O453" s="864"/>
      <c r="P453" s="864"/>
      <c r="Q453" s="864"/>
      <c r="R453" s="864"/>
      <c r="S453" s="864"/>
      <c r="T453" s="822"/>
    </row>
    <row r="454" spans="1:20" hidden="1" outlineLevel="1">
      <c r="A454" s="852"/>
      <c r="B454" s="858" t="s">
        <v>453</v>
      </c>
      <c r="C454" s="900">
        <f>C17+C40+C63+C109+C155+C201+C224+C270+C339+C362+C385</f>
        <v>13359.823401161457</v>
      </c>
      <c r="D454" s="901"/>
      <c r="E454" s="901"/>
      <c r="F454" s="901"/>
      <c r="G454" s="901"/>
      <c r="H454" s="901"/>
      <c r="I454" s="901"/>
      <c r="J454" s="901"/>
      <c r="K454" s="901"/>
      <c r="L454" s="901"/>
      <c r="M454" s="901"/>
      <c r="N454" s="901"/>
      <c r="O454" s="901"/>
      <c r="P454" s="901"/>
      <c r="Q454" s="901"/>
      <c r="R454" s="901"/>
      <c r="S454" s="901"/>
      <c r="T454" s="831"/>
    </row>
    <row r="455" spans="1:20" collapsed="1">
      <c r="C455" s="898"/>
    </row>
  </sheetData>
  <pageMargins left="0.7" right="0.7" top="0.75" bottom="0.75" header="0.3" footer="0.3"/>
  <pageSetup orientation="portrait" horizontalDpi="90" verticalDpi="9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X28"/>
  <sheetViews>
    <sheetView showGridLines="0" zoomScale="85" workbookViewId="0"/>
  </sheetViews>
  <sheetFormatPr defaultRowHeight="12.75" outlineLevelCol="1"/>
  <cols>
    <col min="1" max="4" width="9.140625" style="376"/>
    <col min="5" max="7" width="9.140625" style="376" hidden="1" customWidth="1" outlineLevel="1"/>
    <col min="8" max="8" width="9.140625" style="376" collapsed="1"/>
    <col min="9" max="16384" width="9.140625" style="376"/>
  </cols>
  <sheetData>
    <row r="5" spans="1:24">
      <c r="B5" s="1304" t="s">
        <v>415</v>
      </c>
      <c r="C5" s="1305"/>
      <c r="D5" s="1305"/>
      <c r="E5" s="1306">
        <v>2011</v>
      </c>
      <c r="F5" s="1306">
        <v>2012</v>
      </c>
      <c r="G5" s="1306">
        <v>2013</v>
      </c>
      <c r="H5" s="1306">
        <v>2014</v>
      </c>
      <c r="I5" s="1306">
        <v>2015</v>
      </c>
      <c r="J5" s="1306">
        <v>2016</v>
      </c>
      <c r="K5" s="1306">
        <v>2017</v>
      </c>
      <c r="L5" s="1306">
        <v>2018</v>
      </c>
      <c r="M5" s="1306">
        <v>2019</v>
      </c>
      <c r="N5" s="1306">
        <v>2020</v>
      </c>
      <c r="O5" s="1306">
        <v>2021</v>
      </c>
      <c r="P5" s="1306">
        <f>O5+1</f>
        <v>2022</v>
      </c>
      <c r="Q5" s="1306">
        <f t="shared" ref="Q5:W5" si="0">P5+1</f>
        <v>2023</v>
      </c>
      <c r="R5" s="1306">
        <f t="shared" si="0"/>
        <v>2024</v>
      </c>
      <c r="S5" s="1306">
        <f t="shared" si="0"/>
        <v>2025</v>
      </c>
      <c r="T5" s="1306">
        <f t="shared" si="0"/>
        <v>2026</v>
      </c>
      <c r="U5" s="1306">
        <f>T5+1</f>
        <v>2027</v>
      </c>
      <c r="V5" s="1306">
        <f t="shared" si="0"/>
        <v>2028</v>
      </c>
      <c r="W5" s="1306">
        <f t="shared" si="0"/>
        <v>2029</v>
      </c>
      <c r="X5" s="1306">
        <f>W5+1</f>
        <v>2030</v>
      </c>
    </row>
    <row r="6" spans="1:24">
      <c r="A6" s="356"/>
      <c r="B6" s="243" t="s">
        <v>49</v>
      </c>
      <c r="C6" s="244"/>
      <c r="D6" s="244"/>
      <c r="E6" s="244"/>
      <c r="F6" s="244"/>
      <c r="G6" s="244"/>
      <c r="H6" s="244"/>
      <c r="I6" s="244"/>
      <c r="J6" s="244"/>
      <c r="K6" s="244"/>
      <c r="L6" s="244"/>
      <c r="M6" s="244"/>
      <c r="N6" s="244"/>
      <c r="O6" s="244"/>
    </row>
    <row r="7" spans="1:24">
      <c r="A7" s="356"/>
      <c r="B7" s="201" t="s">
        <v>772</v>
      </c>
      <c r="C7" s="254"/>
      <c r="D7" s="254"/>
      <c r="E7" s="254">
        <f>+'Jakafi - MF'!E44</f>
        <v>3.1565625000000002</v>
      </c>
      <c r="F7" s="254">
        <f>+'Jakafi - MF'!F44</f>
        <v>120.76133777056172</v>
      </c>
      <c r="G7" s="254">
        <f>+'Jakafi - MF'!G44</f>
        <v>225.1488982657867</v>
      </c>
      <c r="H7" s="254">
        <f>+'Jakafi - MF'!H44</f>
        <v>343.45373884793372</v>
      </c>
      <c r="I7" s="254">
        <f>+'Jakafi - MF'!I44</f>
        <v>472.96064783416637</v>
      </c>
      <c r="J7" s="254">
        <f>+'Jakafi - MF'!J44</f>
        <v>590.22572391630547</v>
      </c>
      <c r="K7" s="254">
        <f>+'Jakafi - MF'!K44</f>
        <v>694.95083818621697</v>
      </c>
      <c r="L7" s="254">
        <f>+'Jakafi - MF'!L44</f>
        <v>792.6087748448291</v>
      </c>
      <c r="M7" s="254">
        <f>+'Jakafi - MF'!M44</f>
        <v>871.92632056918342</v>
      </c>
      <c r="N7" s="254">
        <f>+'Jakafi - MF'!N44</f>
        <v>949.13876186546929</v>
      </c>
      <c r="O7" s="254">
        <f>+'Jakafi - MF'!O44</f>
        <v>1039.889566237541</v>
      </c>
      <c r="P7" s="254">
        <f>+'Jakafi - MF'!P44</f>
        <v>1137.8147593457377</v>
      </c>
      <c r="Q7" s="254">
        <f>+'Jakafi - MF'!Q44</f>
        <v>1222.2548032808984</v>
      </c>
      <c r="R7" s="254">
        <f>+'Jakafi - MF'!R44</f>
        <v>1281.9983950147443</v>
      </c>
      <c r="S7" s="254">
        <f>+'Jakafi - MF'!S44</f>
        <v>1317.949393312723</v>
      </c>
      <c r="T7" s="254">
        <f>+'Jakafi - MF'!T44</f>
        <v>1064.5946970782475</v>
      </c>
      <c r="U7" s="254">
        <f>+'Jakafi - MF'!U44</f>
        <v>199.42538802481533</v>
      </c>
      <c r="V7" s="254">
        <f>+'Jakafi - MF'!V44</f>
        <v>66.078574768043339</v>
      </c>
      <c r="W7" s="254">
        <f>+'Jakafi - MF'!W44</f>
        <v>12.968159291585543</v>
      </c>
      <c r="X7" s="254">
        <f>+'Jakafi - MF'!X44</f>
        <v>7.6033513820365375</v>
      </c>
    </row>
    <row r="8" spans="1:24">
      <c r="A8" s="356"/>
      <c r="B8" s="201" t="s">
        <v>773</v>
      </c>
      <c r="C8" s="254"/>
      <c r="D8" s="254"/>
      <c r="E8" s="254">
        <f>+'Jakafi - PV'!F57</f>
        <v>0</v>
      </c>
      <c r="F8" s="254">
        <f>+'Jakafi - PV'!G57</f>
        <v>0</v>
      </c>
      <c r="G8" s="254">
        <f>+'Jakafi - PV'!H57</f>
        <v>18.951241981427657</v>
      </c>
      <c r="H8" s="476">
        <f>+'Jakafi - PV'!I57</f>
        <v>66.210798511630756</v>
      </c>
      <c r="I8" s="254">
        <f>+'Jakafi - PV'!J57</f>
        <v>168.36174613692347</v>
      </c>
      <c r="J8" s="254">
        <f>+'Jakafi - PV'!K57</f>
        <v>304.36553242620056</v>
      </c>
      <c r="K8" s="254">
        <f>+'Jakafi - PV'!L57</f>
        <v>445.04326623946645</v>
      </c>
      <c r="L8" s="254">
        <f>+'Jakafi - PV'!M57</f>
        <v>585.81965369877742</v>
      </c>
      <c r="M8" s="254">
        <f>+'Jakafi - PV'!N57</f>
        <v>711.71784931290972</v>
      </c>
      <c r="N8" s="254">
        <f>+'Jakafi - PV'!O57</f>
        <v>836.36870656262568</v>
      </c>
      <c r="O8" s="254">
        <f>+'Jakafi - PV'!P57</f>
        <v>959.24922337450403</v>
      </c>
      <c r="P8" s="254">
        <f>+'Jakafi - PV'!Q57</f>
        <v>1076.8956954927271</v>
      </c>
      <c r="Q8" s="254">
        <f>+'Jakafi - PV'!R57</f>
        <v>1184.6037297437638</v>
      </c>
      <c r="R8" s="254">
        <f>+'Jakafi - PV'!S57</f>
        <v>1268.1599023112128</v>
      </c>
      <c r="S8" s="254">
        <f>+'Jakafi - PV'!T57</f>
        <v>1317.8208003248742</v>
      </c>
      <c r="T8" s="254">
        <f>+'Jakafi - PV'!U57</f>
        <v>1065.4572136255906</v>
      </c>
      <c r="U8" s="254">
        <f>+'Jakafi - PV'!V57</f>
        <v>199.71045063854399</v>
      </c>
      <c r="V8" s="254">
        <f>+'Jakafi - PV'!W57</f>
        <v>66.793780451444761</v>
      </c>
      <c r="W8" s="254">
        <f>+'Jakafi - PV'!X57</f>
        <v>13.451723582378243</v>
      </c>
      <c r="X8" s="254">
        <f>+'Jakafi - PV'!Y57</f>
        <v>8.1554578065529277</v>
      </c>
    </row>
    <row r="9" spans="1:24">
      <c r="A9" s="356"/>
      <c r="B9" s="201" t="s">
        <v>263</v>
      </c>
      <c r="C9" s="254"/>
      <c r="D9" s="254"/>
      <c r="E9" s="254">
        <f>E8+E7</f>
        <v>3.1565625000000002</v>
      </c>
      <c r="F9" s="254">
        <f t="shared" ref="F9:X9" si="1">F8+F7</f>
        <v>120.76133777056172</v>
      </c>
      <c r="G9" s="254">
        <f t="shared" si="1"/>
        <v>244.10014024721437</v>
      </c>
      <c r="H9" s="254">
        <f t="shared" si="1"/>
        <v>409.66453735956446</v>
      </c>
      <c r="I9" s="254">
        <f t="shared" si="1"/>
        <v>641.32239397108981</v>
      </c>
      <c r="J9" s="254">
        <f t="shared" si="1"/>
        <v>894.59125634250609</v>
      </c>
      <c r="K9" s="254">
        <f t="shared" si="1"/>
        <v>1139.9941044256834</v>
      </c>
      <c r="L9" s="254">
        <f t="shared" si="1"/>
        <v>1378.4284285436065</v>
      </c>
      <c r="M9" s="254">
        <f t="shared" si="1"/>
        <v>1583.6441698820931</v>
      </c>
      <c r="N9" s="254">
        <f t="shared" si="1"/>
        <v>1785.5074684280949</v>
      </c>
      <c r="O9" s="254">
        <f t="shared" si="1"/>
        <v>1999.138789612045</v>
      </c>
      <c r="P9" s="254">
        <f t="shared" si="1"/>
        <v>2214.710454838465</v>
      </c>
      <c r="Q9" s="254">
        <f t="shared" si="1"/>
        <v>2406.8585330246624</v>
      </c>
      <c r="R9" s="254">
        <f t="shared" si="1"/>
        <v>2550.1582973259574</v>
      </c>
      <c r="S9" s="254">
        <f t="shared" si="1"/>
        <v>2635.770193637597</v>
      </c>
      <c r="T9" s="254">
        <f t="shared" si="1"/>
        <v>2130.0519107038381</v>
      </c>
      <c r="U9" s="254">
        <f t="shared" si="1"/>
        <v>399.13583866335932</v>
      </c>
      <c r="V9" s="254">
        <f t="shared" si="1"/>
        <v>132.8723552194881</v>
      </c>
      <c r="W9" s="254">
        <f t="shared" si="1"/>
        <v>26.419882873963786</v>
      </c>
      <c r="X9" s="254">
        <f t="shared" si="1"/>
        <v>15.758809188589465</v>
      </c>
    </row>
    <row r="10" spans="1:24" s="203" customFormat="1">
      <c r="B10" s="782"/>
      <c r="C10" s="194"/>
      <c r="D10" s="194"/>
      <c r="E10" s="783"/>
      <c r="F10" s="783"/>
      <c r="G10" s="783"/>
      <c r="H10" s="783"/>
      <c r="I10" s="783"/>
      <c r="J10" s="783"/>
      <c r="K10" s="783"/>
      <c r="L10" s="194"/>
      <c r="M10" s="194"/>
      <c r="N10" s="194"/>
      <c r="O10" s="194"/>
      <c r="P10" s="781"/>
    </row>
    <row r="11" spans="1:24">
      <c r="A11" s="356"/>
      <c r="B11" s="243" t="s">
        <v>67</v>
      </c>
      <c r="C11" s="244"/>
      <c r="D11" s="244"/>
      <c r="E11" s="244"/>
      <c r="F11" s="244"/>
      <c r="G11" s="244"/>
      <c r="H11" s="244"/>
      <c r="I11" s="244"/>
      <c r="J11" s="244"/>
      <c r="K11" s="244"/>
      <c r="L11" s="244"/>
      <c r="M11" s="244"/>
      <c r="N11" s="244"/>
      <c r="O11" s="244"/>
    </row>
    <row r="12" spans="1:24">
      <c r="A12" s="356"/>
      <c r="B12" s="201" t="s">
        <v>106</v>
      </c>
      <c r="C12" s="254"/>
      <c r="D12" s="254"/>
      <c r="E12" s="254">
        <f>+'Jakafi - MF'!E89</f>
        <v>0</v>
      </c>
      <c r="F12" s="254">
        <f>+'Jakafi - MF'!F89</f>
        <v>27.279466296250003</v>
      </c>
      <c r="G12" s="254">
        <f>+'Jakafi - MF'!G89</f>
        <v>148.35227884906917</v>
      </c>
      <c r="H12" s="254">
        <f>+'Jakafi - MF'!H89</f>
        <v>289.79560433875395</v>
      </c>
      <c r="I12" s="254">
        <f>+'Jakafi - MF'!I89</f>
        <v>381.55703069473526</v>
      </c>
      <c r="J12" s="254">
        <f>+'Jakafi - MF'!J89</f>
        <v>452.77710959490389</v>
      </c>
      <c r="K12" s="254">
        <f>+'Jakafi - MF'!K89</f>
        <v>522.27125372035766</v>
      </c>
      <c r="L12" s="254">
        <f>+'Jakafi - MF'!L89</f>
        <v>585.12499078517487</v>
      </c>
      <c r="M12" s="254">
        <f>+'Jakafi - MF'!M89</f>
        <v>631.40283113161331</v>
      </c>
      <c r="N12" s="254">
        <f>+'Jakafi - MF'!N89</f>
        <v>661.47201814693358</v>
      </c>
      <c r="O12" s="254">
        <f>+'Jakafi - MF'!O89</f>
        <v>682.00529232341444</v>
      </c>
      <c r="P12" s="254">
        <f>+'Jakafi - MF'!P89</f>
        <v>694.26795375893198</v>
      </c>
      <c r="Q12" s="254">
        <f>+'Jakafi - MF'!Q89</f>
        <v>694.93952062163999</v>
      </c>
      <c r="R12" s="254">
        <f>+'Jakafi - MF'!R89</f>
        <v>681.21346071004189</v>
      </c>
      <c r="S12" s="254">
        <f>+'Jakafi - MF'!S89</f>
        <v>659.51823499598629</v>
      </c>
      <c r="T12" s="254">
        <f>+'Jakafi - MF'!T89</f>
        <v>317.2667807392682</v>
      </c>
      <c r="U12" s="254">
        <f>+'Jakafi - MF'!U89</f>
        <v>6.11222702988238</v>
      </c>
      <c r="V12" s="254">
        <f>+'Jakafi - MF'!V89</f>
        <v>0</v>
      </c>
      <c r="W12" s="254">
        <f>+'Jakafi - MF'!W89</f>
        <v>0</v>
      </c>
      <c r="X12" s="254">
        <f>+'Jakafi - MF'!X89</f>
        <v>0</v>
      </c>
    </row>
    <row r="13" spans="1:24">
      <c r="A13" s="356"/>
      <c r="B13" s="201" t="s">
        <v>107</v>
      </c>
      <c r="C13" s="254"/>
      <c r="D13" s="254"/>
      <c r="E13" s="254">
        <f>+'Jakafi - PV'!F114</f>
        <v>0</v>
      </c>
      <c r="F13" s="254">
        <f>+'Jakafi - PV'!G114</f>
        <v>0</v>
      </c>
      <c r="G13" s="254">
        <f>+'Jakafi - PV'!H114</f>
        <v>0</v>
      </c>
      <c r="H13" s="254">
        <f>+'Jakafi - PV'!I114</f>
        <v>0</v>
      </c>
      <c r="I13" s="254">
        <f>+'Jakafi - PV'!J114</f>
        <v>58.563285692001649</v>
      </c>
      <c r="J13" s="254">
        <f>+'Jakafi - PV'!K114</f>
        <v>147.43961533353115</v>
      </c>
      <c r="K13" s="254">
        <f>+'Jakafi - PV'!L114</f>
        <v>244.65182458657935</v>
      </c>
      <c r="L13" s="254">
        <f>+'Jakafi - PV'!M114</f>
        <v>325.7839062533335</v>
      </c>
      <c r="M13" s="254">
        <f>+'Jakafi - PV'!N114</f>
        <v>384.45615620303312</v>
      </c>
      <c r="N13" s="254">
        <f>+'Jakafi - PV'!O114</f>
        <v>422.15639164586389</v>
      </c>
      <c r="O13" s="254">
        <f>+'Jakafi - PV'!P114</f>
        <v>440.23631470350551</v>
      </c>
      <c r="P13" s="254">
        <f>+'Jakafi - PV'!Q114</f>
        <v>439.92413047819616</v>
      </c>
      <c r="Q13" s="254">
        <f>+'Jakafi - PV'!R114</f>
        <v>427.31636344844617</v>
      </c>
      <c r="R13" s="254">
        <f>+'Jakafi - PV'!S114</f>
        <v>412.3879057594599</v>
      </c>
      <c r="S13" s="254">
        <f>+'Jakafi - PV'!T114</f>
        <v>399.47747139162936</v>
      </c>
      <c r="T13" s="254">
        <f>+'Jakafi - PV'!U114</f>
        <v>194.18968269751525</v>
      </c>
      <c r="U13" s="254">
        <f>+'Jakafi - PV'!V114</f>
        <v>3.7890876173110759</v>
      </c>
      <c r="V13" s="254">
        <f>+'Jakafi - PV'!W114</f>
        <v>0</v>
      </c>
      <c r="W13" s="254">
        <f>+'Jakafi - PV'!X114</f>
        <v>0</v>
      </c>
      <c r="X13" s="254">
        <f>+'Jakafi - PV'!Y114</f>
        <v>0</v>
      </c>
    </row>
    <row r="14" spans="1:24">
      <c r="A14" s="356"/>
      <c r="B14" s="201" t="s">
        <v>263</v>
      </c>
      <c r="C14" s="254"/>
      <c r="D14" s="254"/>
      <c r="E14" s="254">
        <f t="shared" ref="E14:O14" si="2">SUM(E12:E13)</f>
        <v>0</v>
      </c>
      <c r="F14" s="254">
        <f t="shared" si="2"/>
        <v>27.279466296250003</v>
      </c>
      <c r="G14" s="254">
        <f t="shared" si="2"/>
        <v>148.35227884906917</v>
      </c>
      <c r="H14" s="254">
        <f t="shared" si="2"/>
        <v>289.79560433875395</v>
      </c>
      <c r="I14" s="254">
        <f t="shared" si="2"/>
        <v>440.12031638673693</v>
      </c>
      <c r="J14" s="254">
        <f t="shared" si="2"/>
        <v>600.21672492843504</v>
      </c>
      <c r="K14" s="254">
        <f t="shared" si="2"/>
        <v>766.92307830693699</v>
      </c>
      <c r="L14" s="254">
        <f t="shared" si="2"/>
        <v>910.90889703850837</v>
      </c>
      <c r="M14" s="254">
        <f t="shared" si="2"/>
        <v>1015.8589873346464</v>
      </c>
      <c r="N14" s="254">
        <f t="shared" si="2"/>
        <v>1083.6284097927974</v>
      </c>
      <c r="O14" s="254">
        <f t="shared" si="2"/>
        <v>1122.2416070269201</v>
      </c>
      <c r="P14" s="254">
        <f t="shared" ref="P14:X14" si="3">SUM(P12:P13)</f>
        <v>1134.1920842371283</v>
      </c>
      <c r="Q14" s="254">
        <f t="shared" si="3"/>
        <v>1122.2558840700863</v>
      </c>
      <c r="R14" s="254">
        <f t="shared" si="3"/>
        <v>1093.6013664695017</v>
      </c>
      <c r="S14" s="254">
        <f t="shared" si="3"/>
        <v>1058.9957063876157</v>
      </c>
      <c r="T14" s="254">
        <f t="shared" si="3"/>
        <v>511.45646343678345</v>
      </c>
      <c r="U14" s="254">
        <f t="shared" si="3"/>
        <v>9.9013146471934554</v>
      </c>
      <c r="V14" s="254">
        <f t="shared" si="3"/>
        <v>0</v>
      </c>
      <c r="W14" s="254">
        <f t="shared" si="3"/>
        <v>0</v>
      </c>
      <c r="X14" s="254">
        <f t="shared" si="3"/>
        <v>0</v>
      </c>
    </row>
    <row r="15" spans="1:24">
      <c r="A15" s="356"/>
      <c r="B15" s="782"/>
      <c r="C15" s="194"/>
      <c r="D15" s="194"/>
      <c r="E15" s="783"/>
      <c r="F15" s="783"/>
      <c r="G15" s="783"/>
      <c r="H15" s="783"/>
      <c r="I15" s="783"/>
      <c r="J15" s="254"/>
      <c r="K15" s="254"/>
      <c r="L15" s="254"/>
      <c r="M15" s="254"/>
      <c r="N15" s="254"/>
      <c r="O15" s="254"/>
    </row>
    <row r="16" spans="1:24">
      <c r="A16" s="356"/>
      <c r="B16" s="243" t="s">
        <v>370</v>
      </c>
      <c r="C16" s="244"/>
      <c r="D16" s="244"/>
      <c r="E16" s="244">
        <f t="shared" ref="E16:X16" si="4">+E7+E12</f>
        <v>3.1565625000000002</v>
      </c>
      <c r="F16" s="244">
        <f t="shared" si="4"/>
        <v>148.04080406681172</v>
      </c>
      <c r="G16" s="244">
        <f t="shared" si="4"/>
        <v>373.50117711485586</v>
      </c>
      <c r="H16" s="244">
        <f t="shared" si="4"/>
        <v>633.24934318668761</v>
      </c>
      <c r="I16" s="244">
        <f t="shared" si="4"/>
        <v>854.51767852890157</v>
      </c>
      <c r="J16" s="244">
        <f t="shared" si="4"/>
        <v>1043.0028335112092</v>
      </c>
      <c r="K16" s="244">
        <f t="shared" si="4"/>
        <v>1217.2220919065746</v>
      </c>
      <c r="L16" s="244">
        <f t="shared" si="4"/>
        <v>1377.733765630004</v>
      </c>
      <c r="M16" s="244">
        <f t="shared" si="4"/>
        <v>1503.3291517007967</v>
      </c>
      <c r="N16" s="244">
        <f t="shared" si="4"/>
        <v>1610.6107800124028</v>
      </c>
      <c r="O16" s="244">
        <f t="shared" si="4"/>
        <v>1721.8948585609555</v>
      </c>
      <c r="P16" s="244">
        <f t="shared" si="4"/>
        <v>1832.0827131046697</v>
      </c>
      <c r="Q16" s="244">
        <f t="shared" si="4"/>
        <v>1917.1943239025384</v>
      </c>
      <c r="R16" s="244">
        <f t="shared" si="4"/>
        <v>1963.2118557247863</v>
      </c>
      <c r="S16" s="244">
        <f t="shared" si="4"/>
        <v>1977.4676283087092</v>
      </c>
      <c r="T16" s="244">
        <f t="shared" si="4"/>
        <v>1381.8614778175156</v>
      </c>
      <c r="U16" s="244">
        <f t="shared" si="4"/>
        <v>205.53761505469771</v>
      </c>
      <c r="V16" s="244">
        <f t="shared" si="4"/>
        <v>66.078574768043339</v>
      </c>
      <c r="W16" s="244">
        <f t="shared" si="4"/>
        <v>12.968159291585543</v>
      </c>
      <c r="X16" s="244">
        <f t="shared" si="4"/>
        <v>7.6033513820365375</v>
      </c>
    </row>
    <row r="17" spans="1:24">
      <c r="A17" s="356"/>
      <c r="B17" s="243" t="s">
        <v>371</v>
      </c>
      <c r="C17" s="244"/>
      <c r="D17" s="244"/>
      <c r="E17" s="244">
        <f t="shared" ref="E17:X17" si="5">+E8+E13</f>
        <v>0</v>
      </c>
      <c r="F17" s="244">
        <f t="shared" si="5"/>
        <v>0</v>
      </c>
      <c r="G17" s="244">
        <f t="shared" si="5"/>
        <v>18.951241981427657</v>
      </c>
      <c r="H17" s="244">
        <f t="shared" si="5"/>
        <v>66.210798511630756</v>
      </c>
      <c r="I17" s="244">
        <f t="shared" si="5"/>
        <v>226.92503182892511</v>
      </c>
      <c r="J17" s="244">
        <f t="shared" si="5"/>
        <v>451.80514775973171</v>
      </c>
      <c r="K17" s="244">
        <f t="shared" si="5"/>
        <v>689.69509082604577</v>
      </c>
      <c r="L17" s="244">
        <f t="shared" si="5"/>
        <v>911.60355995211091</v>
      </c>
      <c r="M17" s="244">
        <f t="shared" si="5"/>
        <v>1096.1740055159428</v>
      </c>
      <c r="N17" s="244">
        <f t="shared" si="5"/>
        <v>1258.5250982084895</v>
      </c>
      <c r="O17" s="244">
        <f t="shared" si="5"/>
        <v>1399.4855380780095</v>
      </c>
      <c r="P17" s="244">
        <f t="shared" si="5"/>
        <v>1516.8198259709234</v>
      </c>
      <c r="Q17" s="244">
        <f t="shared" si="5"/>
        <v>1611.9200931922101</v>
      </c>
      <c r="R17" s="244">
        <f t="shared" si="5"/>
        <v>1680.5478080706728</v>
      </c>
      <c r="S17" s="244">
        <f t="shared" si="5"/>
        <v>1717.2982717165037</v>
      </c>
      <c r="T17" s="244">
        <f t="shared" si="5"/>
        <v>1259.6468963231059</v>
      </c>
      <c r="U17" s="244">
        <f t="shared" si="5"/>
        <v>203.49953825585507</v>
      </c>
      <c r="V17" s="244">
        <f t="shared" si="5"/>
        <v>66.793780451444761</v>
      </c>
      <c r="W17" s="244">
        <f t="shared" si="5"/>
        <v>13.451723582378243</v>
      </c>
      <c r="X17" s="244">
        <f t="shared" si="5"/>
        <v>8.1554578065529277</v>
      </c>
    </row>
    <row r="18" spans="1:24">
      <c r="A18" s="356"/>
      <c r="B18" s="243"/>
      <c r="C18" s="244"/>
      <c r="D18" s="244"/>
      <c r="E18" s="244"/>
      <c r="F18" s="244"/>
      <c r="G18" s="244"/>
      <c r="H18" s="244"/>
      <c r="I18" s="244"/>
      <c r="J18" s="244"/>
      <c r="K18" s="244"/>
      <c r="L18" s="244"/>
      <c r="M18" s="244"/>
      <c r="N18" s="244"/>
      <c r="O18" s="244"/>
    </row>
    <row r="19" spans="1:24">
      <c r="B19" s="191" t="s">
        <v>478</v>
      </c>
      <c r="C19" s="192"/>
      <c r="D19" s="192"/>
      <c r="E19" s="192">
        <f t="shared" ref="E19:X19" si="6">+E9+E14</f>
        <v>3.1565625000000002</v>
      </c>
      <c r="F19" s="192">
        <f t="shared" si="6"/>
        <v>148.04080406681172</v>
      </c>
      <c r="G19" s="192">
        <f t="shared" si="6"/>
        <v>392.45241909628351</v>
      </c>
      <c r="H19" s="192">
        <f t="shared" si="6"/>
        <v>699.46014169831847</v>
      </c>
      <c r="I19" s="192">
        <f t="shared" si="6"/>
        <v>1081.4427103578269</v>
      </c>
      <c r="J19" s="192">
        <f t="shared" si="6"/>
        <v>1494.8079812709411</v>
      </c>
      <c r="K19" s="192">
        <f t="shared" si="6"/>
        <v>1906.9171827326204</v>
      </c>
      <c r="L19" s="192">
        <f t="shared" si="6"/>
        <v>2289.3373255821148</v>
      </c>
      <c r="M19" s="192">
        <f t="shared" si="6"/>
        <v>2599.5031572167395</v>
      </c>
      <c r="N19" s="192">
        <f t="shared" si="6"/>
        <v>2869.1358782208922</v>
      </c>
      <c r="O19" s="192">
        <f t="shared" si="6"/>
        <v>3121.3803966389651</v>
      </c>
      <c r="P19" s="192">
        <f t="shared" si="6"/>
        <v>3348.9025390755933</v>
      </c>
      <c r="Q19" s="192">
        <f t="shared" si="6"/>
        <v>3529.1144170947487</v>
      </c>
      <c r="R19" s="192">
        <f t="shared" si="6"/>
        <v>3643.7596637954593</v>
      </c>
      <c r="S19" s="192">
        <f t="shared" si="6"/>
        <v>3694.7659000252124</v>
      </c>
      <c r="T19" s="192">
        <f t="shared" si="6"/>
        <v>2641.5083741406215</v>
      </c>
      <c r="U19" s="192">
        <f t="shared" si="6"/>
        <v>409.03715331055275</v>
      </c>
      <c r="V19" s="192">
        <f t="shared" si="6"/>
        <v>132.8723552194881</v>
      </c>
      <c r="W19" s="192">
        <f t="shared" si="6"/>
        <v>26.419882873963786</v>
      </c>
      <c r="X19" s="192">
        <f t="shared" si="6"/>
        <v>15.758809188589465</v>
      </c>
    </row>
    <row r="20" spans="1:24">
      <c r="A20" s="356"/>
      <c r="B20" s="243"/>
      <c r="C20" s="244"/>
      <c r="D20" s="244"/>
      <c r="E20" s="244"/>
      <c r="F20" s="244"/>
      <c r="G20" s="244"/>
      <c r="H20" s="244"/>
      <c r="I20" s="244"/>
      <c r="J20" s="244"/>
      <c r="K20" s="244"/>
      <c r="L20" s="244"/>
      <c r="M20" s="244"/>
      <c r="N20" s="244"/>
      <c r="O20" s="244"/>
    </row>
    <row r="21" spans="1:24">
      <c r="A21" s="356"/>
      <c r="B21" s="201"/>
      <c r="C21" s="254"/>
      <c r="D21" s="254"/>
      <c r="E21" s="254"/>
      <c r="F21" s="254"/>
      <c r="G21" s="254"/>
      <c r="H21" s="254"/>
      <c r="I21" s="254"/>
      <c r="J21" s="254"/>
      <c r="K21" s="254"/>
      <c r="L21" s="254"/>
      <c r="M21" s="254"/>
      <c r="N21" s="254"/>
      <c r="O21" s="254"/>
    </row>
    <row r="22" spans="1:24">
      <c r="B22" s="1304" t="s">
        <v>47</v>
      </c>
      <c r="C22" s="1307"/>
      <c r="D22" s="1307"/>
      <c r="E22" s="1307"/>
      <c r="F22" s="1307"/>
      <c r="G22" s="1307"/>
      <c r="H22" s="1307"/>
      <c r="I22" s="1307"/>
      <c r="J22" s="1307"/>
      <c r="K22" s="1307"/>
      <c r="L22" s="1307"/>
      <c r="M22" s="1307"/>
      <c r="N22" s="1307"/>
      <c r="O22" s="1307"/>
      <c r="P22" s="1307"/>
      <c r="Q22" s="1307"/>
      <c r="R22" s="1307"/>
      <c r="S22" s="1307"/>
      <c r="T22" s="1307"/>
      <c r="U22" s="1307"/>
      <c r="V22" s="1307"/>
      <c r="W22" s="1307"/>
      <c r="X22" s="1307"/>
    </row>
    <row r="23" spans="1:24">
      <c r="A23" s="356"/>
      <c r="B23" s="243" t="s">
        <v>48</v>
      </c>
      <c r="C23" s="244"/>
      <c r="D23" s="244"/>
      <c r="E23" s="246">
        <f t="shared" ref="E23:X23" si="7">+E9</f>
        <v>3.1565625000000002</v>
      </c>
      <c r="F23" s="246">
        <f t="shared" si="7"/>
        <v>120.76133777056172</v>
      </c>
      <c r="G23" s="246">
        <f t="shared" si="7"/>
        <v>244.10014024721437</v>
      </c>
      <c r="H23" s="246">
        <f t="shared" si="7"/>
        <v>409.66453735956446</v>
      </c>
      <c r="I23" s="246">
        <f t="shared" si="7"/>
        <v>641.32239397108981</v>
      </c>
      <c r="J23" s="246">
        <f t="shared" si="7"/>
        <v>894.59125634250609</v>
      </c>
      <c r="K23" s="246">
        <f t="shared" si="7"/>
        <v>1139.9941044256834</v>
      </c>
      <c r="L23" s="246">
        <f t="shared" si="7"/>
        <v>1378.4284285436065</v>
      </c>
      <c r="M23" s="246">
        <f t="shared" si="7"/>
        <v>1583.6441698820931</v>
      </c>
      <c r="N23" s="246">
        <f t="shared" si="7"/>
        <v>1785.5074684280949</v>
      </c>
      <c r="O23" s="246">
        <f t="shared" si="7"/>
        <v>1999.138789612045</v>
      </c>
      <c r="P23" s="246">
        <f t="shared" si="7"/>
        <v>2214.710454838465</v>
      </c>
      <c r="Q23" s="246">
        <f t="shared" si="7"/>
        <v>2406.8585330246624</v>
      </c>
      <c r="R23" s="246">
        <f t="shared" si="7"/>
        <v>2550.1582973259574</v>
      </c>
      <c r="S23" s="246">
        <f t="shared" si="7"/>
        <v>2635.770193637597</v>
      </c>
      <c r="T23" s="246">
        <f t="shared" si="7"/>
        <v>2130.0519107038381</v>
      </c>
      <c r="U23" s="246">
        <f t="shared" si="7"/>
        <v>399.13583866335932</v>
      </c>
      <c r="V23" s="246">
        <f t="shared" si="7"/>
        <v>132.8723552194881</v>
      </c>
      <c r="W23" s="246">
        <f t="shared" si="7"/>
        <v>26.419882873963786</v>
      </c>
      <c r="X23" s="246">
        <f t="shared" si="7"/>
        <v>15.758809188589465</v>
      </c>
    </row>
    <row r="24" spans="1:24">
      <c r="A24" s="356"/>
      <c r="B24" s="243" t="s">
        <v>69</v>
      </c>
      <c r="C24" s="244"/>
      <c r="D24" s="244"/>
      <c r="E24" s="244">
        <f>'Income Statement'!I11</f>
        <v>0</v>
      </c>
      <c r="F24" s="244">
        <f>'Income Statement'!J11</f>
        <v>3.7120000000000002</v>
      </c>
      <c r="G24" s="244">
        <f>'Income Statement'!K11</f>
        <v>28.251000000000001</v>
      </c>
      <c r="H24" s="244">
        <f>'Income Statement'!L11</f>
        <v>48.966000000000001</v>
      </c>
      <c r="I24" s="244">
        <f>'Income Statement'!Q11</f>
        <v>74.820999999999998</v>
      </c>
      <c r="J24" s="244">
        <f t="shared" ref="J24:X24" si="8">+J25*J14</f>
        <v>114.04117773640266</v>
      </c>
      <c r="K24" s="244">
        <f t="shared" si="8"/>
        <v>153.38461566138741</v>
      </c>
      <c r="L24" s="244">
        <f t="shared" si="8"/>
        <v>182.1817794077017</v>
      </c>
      <c r="M24" s="244">
        <f t="shared" si="8"/>
        <v>213.33038734027573</v>
      </c>
      <c r="N24" s="244">
        <f t="shared" si="8"/>
        <v>238.39825015441542</v>
      </c>
      <c r="O24" s="244">
        <f t="shared" si="8"/>
        <v>246.89315354592242</v>
      </c>
      <c r="P24" s="244">
        <f t="shared" si="8"/>
        <v>249.52225853216822</v>
      </c>
      <c r="Q24" s="244">
        <f t="shared" si="8"/>
        <v>246.89629449541897</v>
      </c>
      <c r="R24" s="244">
        <f t="shared" si="8"/>
        <v>240.59230062329038</v>
      </c>
      <c r="S24" s="244">
        <f t="shared" si="8"/>
        <v>232.97905540527543</v>
      </c>
      <c r="T24" s="244">
        <f t="shared" si="8"/>
        <v>112.52042195609236</v>
      </c>
      <c r="U24" s="244">
        <f t="shared" si="8"/>
        <v>1.7822366364948219</v>
      </c>
      <c r="V24" s="244">
        <f t="shared" si="8"/>
        <v>0</v>
      </c>
      <c r="W24" s="244">
        <f t="shared" si="8"/>
        <v>0</v>
      </c>
      <c r="X24" s="244">
        <f t="shared" si="8"/>
        <v>0</v>
      </c>
    </row>
    <row r="25" spans="1:24">
      <c r="A25" s="356"/>
      <c r="B25" s="779" t="s">
        <v>97</v>
      </c>
      <c r="C25" s="244"/>
      <c r="D25" s="244"/>
      <c r="E25" s="308">
        <f>+IF(E14&lt;250,18%,(IF(E14&lt;500,20%,22%)))</f>
        <v>0.18</v>
      </c>
      <c r="F25" s="308">
        <f>'Income Statement'!J12</f>
        <v>0.11974193548387098</v>
      </c>
      <c r="G25" s="308">
        <f>'Income Statement'!K12</f>
        <v>0.17331901840490799</v>
      </c>
      <c r="H25" s="308">
        <f>'Income Statement'!L12</f>
        <v>0.17550537634408603</v>
      </c>
      <c r="I25" s="308">
        <f>'Income Statement'!Q12</f>
        <v>0.18249024390243901</v>
      </c>
      <c r="J25" s="308">
        <v>0.19</v>
      </c>
      <c r="K25" s="308">
        <v>0.2</v>
      </c>
      <c r="L25" s="308">
        <v>0.2</v>
      </c>
      <c r="M25" s="308">
        <v>0.21</v>
      </c>
      <c r="N25" s="308">
        <v>0.22</v>
      </c>
      <c r="O25" s="308">
        <v>0.22</v>
      </c>
      <c r="P25" s="308">
        <f>O25</f>
        <v>0.22</v>
      </c>
      <c r="Q25" s="308">
        <f t="shared" ref="Q25:X25" si="9">P25</f>
        <v>0.22</v>
      </c>
      <c r="R25" s="308">
        <f t="shared" si="9"/>
        <v>0.22</v>
      </c>
      <c r="S25" s="308">
        <f t="shared" si="9"/>
        <v>0.22</v>
      </c>
      <c r="T25" s="308">
        <f t="shared" si="9"/>
        <v>0.22</v>
      </c>
      <c r="U25" s="308">
        <v>0.18</v>
      </c>
      <c r="V25" s="308">
        <f t="shared" si="9"/>
        <v>0.18</v>
      </c>
      <c r="W25" s="308">
        <f t="shared" si="9"/>
        <v>0.18</v>
      </c>
      <c r="X25" s="308">
        <f t="shared" si="9"/>
        <v>0.18</v>
      </c>
    </row>
    <row r="26" spans="1:24">
      <c r="B26" s="191" t="s">
        <v>303</v>
      </c>
      <c r="C26" s="192"/>
      <c r="D26" s="192"/>
      <c r="E26" s="192">
        <f t="shared" ref="E26:L26" si="10">SUM(E23:E24)</f>
        <v>3.1565625000000002</v>
      </c>
      <c r="F26" s="192">
        <f t="shared" si="10"/>
        <v>124.47333777056173</v>
      </c>
      <c r="G26" s="192">
        <f t="shared" si="10"/>
        <v>272.35114024721435</v>
      </c>
      <c r="H26" s="192">
        <f t="shared" si="10"/>
        <v>458.63053735956447</v>
      </c>
      <c r="I26" s="192">
        <f t="shared" si="10"/>
        <v>716.14339397108984</v>
      </c>
      <c r="J26" s="192">
        <f t="shared" si="10"/>
        <v>1008.6324340789088</v>
      </c>
      <c r="K26" s="192">
        <f t="shared" si="10"/>
        <v>1293.3787200870709</v>
      </c>
      <c r="L26" s="192">
        <f t="shared" si="10"/>
        <v>1560.6102079513082</v>
      </c>
      <c r="M26" s="192">
        <f>SUM(M23:M24)</f>
        <v>1796.974557222369</v>
      </c>
      <c r="N26" s="192">
        <f>SUM(N23:N24)</f>
        <v>2023.9057185825102</v>
      </c>
      <c r="O26" s="192">
        <f>SUM(O23:O24)</f>
        <v>2246.0319431579674</v>
      </c>
      <c r="P26" s="192">
        <f t="shared" ref="P26:X26" si="11">SUM(P23:P24)</f>
        <v>2464.2327133706331</v>
      </c>
      <c r="Q26" s="192">
        <f t="shared" si="11"/>
        <v>2653.7548275200816</v>
      </c>
      <c r="R26" s="192">
        <f t="shared" si="11"/>
        <v>2790.750597949248</v>
      </c>
      <c r="S26" s="192">
        <f t="shared" si="11"/>
        <v>2868.7492490428726</v>
      </c>
      <c r="T26" s="192">
        <f t="shared" si="11"/>
        <v>2242.5723326599305</v>
      </c>
      <c r="U26" s="192">
        <f t="shared" si="11"/>
        <v>400.91807529985414</v>
      </c>
      <c r="V26" s="192">
        <f t="shared" si="11"/>
        <v>132.8723552194881</v>
      </c>
      <c r="W26" s="192">
        <f t="shared" si="11"/>
        <v>26.419882873963786</v>
      </c>
      <c r="X26" s="192">
        <f t="shared" si="11"/>
        <v>15.758809188589465</v>
      </c>
    </row>
    <row r="28" spans="1:24">
      <c r="G28" s="506"/>
      <c r="H28" s="506"/>
      <c r="I28" s="506"/>
      <c r="J28" s="506"/>
      <c r="K28" s="506"/>
      <c r="L28" s="506"/>
      <c r="M28" s="506"/>
      <c r="N28" s="506"/>
      <c r="O28" s="506"/>
    </row>
  </sheetData>
  <phoneticPr fontId="13" type="noConversion"/>
  <pageMargins left="0.75" right="0.75" top="1" bottom="1" header="0.5" footer="0.5"/>
  <pageSetup orientation="portrait" horizontalDpi="90" verticalDpi="9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1:IV137"/>
  <sheetViews>
    <sheetView showGridLines="0" zoomScale="85" zoomScaleNormal="85" workbookViewId="0"/>
  </sheetViews>
  <sheetFormatPr defaultRowHeight="12.75" outlineLevelRow="2" outlineLevelCol="1"/>
  <cols>
    <col min="1" max="1" width="1.85546875" style="90" customWidth="1"/>
    <col min="2" max="2" width="29.140625" style="90" customWidth="1"/>
    <col min="3" max="3" width="13.28515625" style="172" customWidth="1"/>
    <col min="4" max="4" width="14.85546875" style="172" hidden="1" customWidth="1" outlineLevel="1"/>
    <col min="5" max="7" width="11.85546875" style="172" hidden="1" customWidth="1" outlineLevel="1"/>
    <col min="8" max="8" width="12.85546875" style="172" customWidth="1" collapsed="1"/>
    <col min="9" max="10" width="11.85546875" style="172" bestFit="1" customWidth="1"/>
    <col min="11" max="13" width="11.85546875" style="172" customWidth="1"/>
    <col min="14" max="15" width="11.85546875" style="172" bestFit="1" customWidth="1"/>
    <col min="16" max="18" width="11.85546875" style="90" bestFit="1" customWidth="1"/>
    <col min="19" max="19" width="12.5703125" style="90" bestFit="1" customWidth="1"/>
    <col min="20" max="23" width="11.85546875" style="90" bestFit="1" customWidth="1"/>
    <col min="24" max="24" width="11.85546875" style="90" customWidth="1"/>
    <col min="25" max="16384" width="9.140625" style="90"/>
  </cols>
  <sheetData>
    <row r="1" spans="2:185" customFormat="1">
      <c r="H1" s="200"/>
      <c r="I1" s="200"/>
      <c r="GC1" s="200"/>
    </row>
    <row r="2" spans="2:185" s="195" customFormat="1" ht="15">
      <c r="B2" s="903" t="s">
        <v>39</v>
      </c>
      <c r="C2" s="904"/>
      <c r="D2" s="905">
        <v>2010</v>
      </c>
      <c r="E2" s="906">
        <f t="shared" ref="E2:O2" si="0">D2+1</f>
        <v>2011</v>
      </c>
      <c r="F2" s="906">
        <f t="shared" si="0"/>
        <v>2012</v>
      </c>
      <c r="G2" s="906">
        <f>F2+1</f>
        <v>2013</v>
      </c>
      <c r="H2" s="906">
        <f>G2+1</f>
        <v>2014</v>
      </c>
      <c r="I2" s="906">
        <f>H2+1</f>
        <v>2015</v>
      </c>
      <c r="J2" s="904">
        <f t="shared" si="0"/>
        <v>2016</v>
      </c>
      <c r="K2" s="904">
        <f t="shared" si="0"/>
        <v>2017</v>
      </c>
      <c r="L2" s="904">
        <f t="shared" si="0"/>
        <v>2018</v>
      </c>
      <c r="M2" s="904">
        <f t="shared" si="0"/>
        <v>2019</v>
      </c>
      <c r="N2" s="904">
        <f t="shared" si="0"/>
        <v>2020</v>
      </c>
      <c r="O2" s="904">
        <f t="shared" si="0"/>
        <v>2021</v>
      </c>
      <c r="P2" s="904">
        <f t="shared" ref="P2:X2" si="1">O2+1</f>
        <v>2022</v>
      </c>
      <c r="Q2" s="904">
        <f t="shared" si="1"/>
        <v>2023</v>
      </c>
      <c r="R2" s="904">
        <f t="shared" si="1"/>
        <v>2024</v>
      </c>
      <c r="S2" s="904">
        <f t="shared" si="1"/>
        <v>2025</v>
      </c>
      <c r="T2" s="904">
        <f t="shared" si="1"/>
        <v>2026</v>
      </c>
      <c r="U2" s="904">
        <f t="shared" si="1"/>
        <v>2027</v>
      </c>
      <c r="V2" s="904">
        <f t="shared" si="1"/>
        <v>2028</v>
      </c>
      <c r="W2" s="904">
        <f t="shared" si="1"/>
        <v>2029</v>
      </c>
      <c r="X2" s="904">
        <f t="shared" si="1"/>
        <v>2030</v>
      </c>
    </row>
    <row r="3" spans="2:185">
      <c r="B3" s="90" t="s">
        <v>37</v>
      </c>
      <c r="C3" s="215"/>
      <c r="D3" s="215">
        <v>308746000.00000012</v>
      </c>
      <c r="E3" s="216">
        <v>311974163.44818902</v>
      </c>
      <c r="F3" s="216">
        <v>315243974.90079451</v>
      </c>
      <c r="G3" s="216">
        <v>318552391.40078622</v>
      </c>
      <c r="H3" s="216">
        <v>321895846.3654114</v>
      </c>
      <c r="I3" s="216">
        <v>325270732.70502198</v>
      </c>
      <c r="J3" s="216">
        <v>328673813.81986761</v>
      </c>
      <c r="K3" s="216">
        <v>332102363.89227104</v>
      </c>
      <c r="L3" s="216">
        <v>335553964.36417723</v>
      </c>
      <c r="M3" s="216">
        <v>339026344.87349045</v>
      </c>
      <c r="N3" s="216">
        <v>342517318.04785192</v>
      </c>
      <c r="O3" s="216">
        <v>346024538.43921322</v>
      </c>
      <c r="P3" s="216">
        <v>349545599.34519601</v>
      </c>
      <c r="Q3" s="216">
        <f>P3*(1+Q4)</f>
        <v>353124055.23000002</v>
      </c>
      <c r="R3" s="216">
        <f t="shared" ref="R3:W3" si="2">Q3*(1+R4)</f>
        <v>356732129.40332121</v>
      </c>
      <c r="S3" s="216">
        <f t="shared" si="2"/>
        <v>360374458.17979497</v>
      </c>
      <c r="T3" s="216">
        <f t="shared" si="2"/>
        <v>364058121.33603424</v>
      </c>
      <c r="U3" s="216">
        <f t="shared" si="2"/>
        <v>367777534.5599755</v>
      </c>
      <c r="V3" s="216">
        <f t="shared" si="2"/>
        <v>371534819.11922526</v>
      </c>
      <c r="W3" s="216">
        <f t="shared" si="2"/>
        <v>375331222.65780264</v>
      </c>
      <c r="X3" s="216">
        <f>W3*(1+X4)</f>
        <v>379165967.84101212</v>
      </c>
    </row>
    <row r="4" spans="2:185" s="204" customFormat="1">
      <c r="B4" s="204" t="s">
        <v>38</v>
      </c>
      <c r="C4" s="208"/>
      <c r="D4" s="208"/>
      <c r="E4" s="208">
        <f>E3/D3-1</f>
        <v>1.0455725574384456E-2</v>
      </c>
      <c r="F4" s="208">
        <f t="shared" ref="F4:P4" si="3">F3/E3-1</f>
        <v>1.0481032840876647E-2</v>
      </c>
      <c r="G4" s="208">
        <f t="shared" si="3"/>
        <v>1.0494781069274595E-2</v>
      </c>
      <c r="H4" s="208">
        <f t="shared" si="3"/>
        <v>1.0495777319149413E-2</v>
      </c>
      <c r="I4" s="208">
        <f t="shared" si="3"/>
        <v>1.0484404746805787E-2</v>
      </c>
      <c r="J4" s="208">
        <f t="shared" si="3"/>
        <v>1.0462303468082856E-2</v>
      </c>
      <c r="K4" s="208">
        <f t="shared" si="3"/>
        <v>1.0431467090598501E-2</v>
      </c>
      <c r="L4" s="208">
        <f t="shared" si="3"/>
        <v>1.039318248582477E-2</v>
      </c>
      <c r="M4" s="208">
        <f t="shared" si="3"/>
        <v>1.0348202906476978E-2</v>
      </c>
      <c r="N4" s="208">
        <f t="shared" si="3"/>
        <v>1.0297055751417039E-2</v>
      </c>
      <c r="O4" s="208">
        <f t="shared" si="3"/>
        <v>1.0239541788282125E-2</v>
      </c>
      <c r="P4" s="208">
        <f t="shared" si="3"/>
        <v>1.0175754938840376E-2</v>
      </c>
      <c r="Q4" s="208">
        <f>AVERAGE(N4:P4)</f>
        <v>1.0237450826179847E-2</v>
      </c>
      <c r="R4" s="208">
        <f t="shared" ref="R4:W4" si="4">AVERAGE(O4:Q4)</f>
        <v>1.021758251776745E-2</v>
      </c>
      <c r="S4" s="208">
        <f t="shared" si="4"/>
        <v>1.0210262760929225E-2</v>
      </c>
      <c r="T4" s="208">
        <f t="shared" si="4"/>
        <v>1.0221765368292175E-2</v>
      </c>
      <c r="U4" s="208">
        <f t="shared" si="4"/>
        <v>1.0216536882329617E-2</v>
      </c>
      <c r="V4" s="208">
        <f t="shared" si="4"/>
        <v>1.0216188337183673E-2</v>
      </c>
      <c r="W4" s="208">
        <f t="shared" si="4"/>
        <v>1.0218163529268487E-2</v>
      </c>
      <c r="X4" s="208">
        <f>AVERAGE(U4:W4)</f>
        <v>1.0216962916260591E-2</v>
      </c>
    </row>
    <row r="5" spans="2:185" s="204" customFormat="1">
      <c r="B5" s="2"/>
      <c r="C5" s="208"/>
      <c r="D5" s="208"/>
      <c r="E5" s="314"/>
      <c r="F5" s="314"/>
      <c r="G5" s="314"/>
      <c r="H5" s="314"/>
      <c r="I5" s="314"/>
      <c r="J5" s="314"/>
      <c r="K5" s="314"/>
      <c r="L5" s="314"/>
      <c r="M5" s="314"/>
      <c r="N5" s="314"/>
      <c r="O5" s="314"/>
    </row>
    <row r="6" spans="2:185" s="204" customFormat="1">
      <c r="B6" s="90" t="s">
        <v>264</v>
      </c>
      <c r="C6" s="189"/>
      <c r="D6" s="554">
        <v>15000</v>
      </c>
      <c r="E6" s="189">
        <f>D14</f>
        <v>16137.460000000003</v>
      </c>
      <c r="F6" s="189">
        <f>+E14</f>
        <v>17159.331834481891</v>
      </c>
      <c r="G6" s="189">
        <f t="shared" ref="G6:O6" si="5">F14</f>
        <v>18081.058445007191</v>
      </c>
      <c r="H6" s="189">
        <f t="shared" si="5"/>
        <v>18916.044761164118</v>
      </c>
      <c r="I6" s="189">
        <f t="shared" si="5"/>
        <v>19675.917405866898</v>
      </c>
      <c r="J6" s="189">
        <f t="shared" si="5"/>
        <v>20370.755470154421</v>
      </c>
      <c r="K6" s="189">
        <f t="shared" si="5"/>
        <v>21009.295397233025</v>
      </c>
      <c r="L6" s="189">
        <f t="shared" si="5"/>
        <v>21599.11063451544</v>
      </c>
      <c r="M6" s="189">
        <f t="shared" si="5"/>
        <v>22146.765895670207</v>
      </c>
      <c r="N6" s="189">
        <f t="shared" si="5"/>
        <v>22657.949777967988</v>
      </c>
      <c r="O6" s="189">
        <f t="shared" si="5"/>
        <v>23137.58948731067</v>
      </c>
      <c r="P6" s="189">
        <f t="shared" ref="P6:X6" si="6">O14</f>
        <v>23589.948238352416</v>
      </c>
      <c r="Q6" s="189">
        <f t="shared" si="6"/>
        <v>24018.71096081856</v>
      </c>
      <c r="R6" s="189">
        <f t="shared" si="6"/>
        <v>24427.51908821215</v>
      </c>
      <c r="S6" s="189">
        <f t="shared" si="6"/>
        <v>24819.262900777783</v>
      </c>
      <c r="T6" s="189">
        <f t="shared" si="6"/>
        <v>25196.50330547462</v>
      </c>
      <c r="U6" s="189">
        <f t="shared" si="6"/>
        <v>25561.539089123264</v>
      </c>
      <c r="V6" s="189">
        <f t="shared" si="6"/>
        <v>25916.314353136993</v>
      </c>
      <c r="W6" s="189">
        <f t="shared" si="6"/>
        <v>26262.541678421439</v>
      </c>
      <c r="X6" s="189">
        <f t="shared" si="6"/>
        <v>26601.72348680468</v>
      </c>
    </row>
    <row r="7" spans="2:185" s="204" customFormat="1">
      <c r="B7" s="90"/>
      <c r="C7" s="189"/>
      <c r="D7" s="789">
        <f>D6/D3</f>
        <v>4.8583625374903622E-5</v>
      </c>
      <c r="E7" s="205"/>
      <c r="F7" s="205"/>
      <c r="G7" s="205"/>
      <c r="H7" s="205"/>
      <c r="I7" s="205"/>
      <c r="J7" s="205"/>
      <c r="K7" s="205"/>
      <c r="L7" s="205"/>
      <c r="M7" s="205"/>
      <c r="N7" s="205"/>
      <c r="O7" s="205"/>
      <c r="P7" s="205"/>
      <c r="Q7" s="205"/>
      <c r="R7" s="205"/>
      <c r="S7" s="205"/>
      <c r="T7" s="205"/>
      <c r="U7" s="205"/>
      <c r="V7" s="205"/>
      <c r="W7" s="205"/>
      <c r="X7" s="205"/>
    </row>
    <row r="8" spans="2:185">
      <c r="B8" s="90" t="s">
        <v>114</v>
      </c>
      <c r="C8" s="189"/>
      <c r="D8" s="189">
        <f t="shared" ref="D8:O8" si="7">+D3*D9</f>
        <v>3087.4600000000014</v>
      </c>
      <c r="E8" s="189">
        <f t="shared" si="7"/>
        <v>3119.7416344818903</v>
      </c>
      <c r="F8" s="189">
        <f t="shared" si="7"/>
        <v>3152.4397490079455</v>
      </c>
      <c r="G8" s="189">
        <f t="shared" si="7"/>
        <v>3185.5239140078625</v>
      </c>
      <c r="H8" s="189">
        <f t="shared" si="7"/>
        <v>3218.9584636541144</v>
      </c>
      <c r="I8" s="189">
        <f t="shared" si="7"/>
        <v>3252.7073270502201</v>
      </c>
      <c r="J8" s="189">
        <f t="shared" si="7"/>
        <v>3286.7381381986766</v>
      </c>
      <c r="K8" s="189">
        <f t="shared" si="7"/>
        <v>3321.0236389227107</v>
      </c>
      <c r="L8" s="189">
        <f t="shared" si="7"/>
        <v>3355.5396436417727</v>
      </c>
      <c r="M8" s="189">
        <f t="shared" si="7"/>
        <v>3390.2634487349046</v>
      </c>
      <c r="N8" s="189">
        <f t="shared" si="7"/>
        <v>3425.1731804785195</v>
      </c>
      <c r="O8" s="189">
        <f t="shared" si="7"/>
        <v>3460.2453843921326</v>
      </c>
      <c r="P8" s="189">
        <f t="shared" ref="P8:X8" si="8">+P3*P9</f>
        <v>3495.4559934519602</v>
      </c>
      <c r="Q8" s="189">
        <f t="shared" si="8"/>
        <v>3531.2405523000007</v>
      </c>
      <c r="R8" s="189">
        <f t="shared" si="8"/>
        <v>3567.3212940332123</v>
      </c>
      <c r="S8" s="189">
        <f t="shared" si="8"/>
        <v>3603.7445817979501</v>
      </c>
      <c r="T8" s="189">
        <f t="shared" si="8"/>
        <v>3640.5812133603426</v>
      </c>
      <c r="U8" s="189">
        <f t="shared" si="8"/>
        <v>3677.7753455997554</v>
      </c>
      <c r="V8" s="189">
        <f t="shared" si="8"/>
        <v>3715.3481911922531</v>
      </c>
      <c r="W8" s="189">
        <f t="shared" si="8"/>
        <v>3753.3122265780266</v>
      </c>
      <c r="X8" s="189">
        <f t="shared" si="8"/>
        <v>3791.6596784101216</v>
      </c>
    </row>
    <row r="9" spans="2:185" s="204" customFormat="1">
      <c r="B9" s="204" t="s">
        <v>16</v>
      </c>
      <c r="C9" s="205"/>
      <c r="D9" s="205">
        <v>1.0000000000000001E-5</v>
      </c>
      <c r="E9" s="205">
        <f t="shared" ref="E9:O9" si="9">D9</f>
        <v>1.0000000000000001E-5</v>
      </c>
      <c r="F9" s="205">
        <f t="shared" si="9"/>
        <v>1.0000000000000001E-5</v>
      </c>
      <c r="G9" s="205">
        <f t="shared" si="9"/>
        <v>1.0000000000000001E-5</v>
      </c>
      <c r="H9" s="205">
        <f t="shared" si="9"/>
        <v>1.0000000000000001E-5</v>
      </c>
      <c r="I9" s="205">
        <f t="shared" si="9"/>
        <v>1.0000000000000001E-5</v>
      </c>
      <c r="J9" s="205">
        <f t="shared" si="9"/>
        <v>1.0000000000000001E-5</v>
      </c>
      <c r="K9" s="205">
        <f t="shared" si="9"/>
        <v>1.0000000000000001E-5</v>
      </c>
      <c r="L9" s="205">
        <f t="shared" si="9"/>
        <v>1.0000000000000001E-5</v>
      </c>
      <c r="M9" s="205">
        <f t="shared" si="9"/>
        <v>1.0000000000000001E-5</v>
      </c>
      <c r="N9" s="205">
        <f t="shared" si="9"/>
        <v>1.0000000000000001E-5</v>
      </c>
      <c r="O9" s="205">
        <f t="shared" si="9"/>
        <v>1.0000000000000001E-5</v>
      </c>
      <c r="P9" s="205">
        <f t="shared" ref="P9:X9" si="10">O9</f>
        <v>1.0000000000000001E-5</v>
      </c>
      <c r="Q9" s="205">
        <f t="shared" si="10"/>
        <v>1.0000000000000001E-5</v>
      </c>
      <c r="R9" s="205">
        <f t="shared" si="10"/>
        <v>1.0000000000000001E-5</v>
      </c>
      <c r="S9" s="205">
        <f t="shared" si="10"/>
        <v>1.0000000000000001E-5</v>
      </c>
      <c r="T9" s="205">
        <f t="shared" si="10"/>
        <v>1.0000000000000001E-5</v>
      </c>
      <c r="U9" s="205">
        <f t="shared" si="10"/>
        <v>1.0000000000000001E-5</v>
      </c>
      <c r="V9" s="205">
        <f t="shared" si="10"/>
        <v>1.0000000000000001E-5</v>
      </c>
      <c r="W9" s="205">
        <f t="shared" si="10"/>
        <v>1.0000000000000001E-5</v>
      </c>
      <c r="X9" s="205">
        <f t="shared" si="10"/>
        <v>1.0000000000000001E-5</v>
      </c>
    </row>
    <row r="10" spans="2:185" s="204" customFormat="1">
      <c r="C10" s="603"/>
      <c r="D10" s="205"/>
      <c r="E10" s="205"/>
      <c r="F10" s="205"/>
      <c r="G10" s="205"/>
      <c r="H10" s="205"/>
      <c r="I10" s="205"/>
      <c r="J10" s="205"/>
      <c r="K10" s="205"/>
      <c r="L10" s="205"/>
      <c r="M10" s="205"/>
      <c r="N10" s="205"/>
      <c r="O10" s="205"/>
      <c r="P10" s="205"/>
      <c r="Q10" s="205"/>
      <c r="R10" s="205"/>
      <c r="S10" s="205"/>
      <c r="T10" s="205"/>
      <c r="U10" s="205"/>
      <c r="V10" s="205"/>
      <c r="W10" s="205"/>
      <c r="X10" s="205"/>
    </row>
    <row r="11" spans="2:185">
      <c r="B11" s="225" t="s">
        <v>96</v>
      </c>
      <c r="C11" s="189"/>
      <c r="D11" s="189">
        <f t="shared" ref="D11:O11" si="11">D12*D6</f>
        <v>1950</v>
      </c>
      <c r="E11" s="189">
        <f t="shared" si="11"/>
        <v>2097.8698000000004</v>
      </c>
      <c r="F11" s="189">
        <f t="shared" si="11"/>
        <v>2230.7131384826457</v>
      </c>
      <c r="G11" s="189">
        <f t="shared" si="11"/>
        <v>2350.5375978509351</v>
      </c>
      <c r="H11" s="189">
        <f t="shared" si="11"/>
        <v>2459.0858189513356</v>
      </c>
      <c r="I11" s="189">
        <f t="shared" si="11"/>
        <v>2557.869262762697</v>
      </c>
      <c r="J11" s="189">
        <f t="shared" si="11"/>
        <v>2648.198211120075</v>
      </c>
      <c r="K11" s="189">
        <f t="shared" si="11"/>
        <v>2731.2084016402932</v>
      </c>
      <c r="L11" s="189">
        <f t="shared" si="11"/>
        <v>2807.8843824870073</v>
      </c>
      <c r="M11" s="189">
        <f t="shared" si="11"/>
        <v>2879.0795664371271</v>
      </c>
      <c r="N11" s="189">
        <f t="shared" si="11"/>
        <v>2945.5334711358387</v>
      </c>
      <c r="O11" s="189">
        <f t="shared" si="11"/>
        <v>3007.886633350387</v>
      </c>
      <c r="P11" s="189">
        <f t="shared" ref="P11:X11" si="12">P12*P6</f>
        <v>3066.6932709858143</v>
      </c>
      <c r="Q11" s="189">
        <f t="shared" si="12"/>
        <v>3122.432424906413</v>
      </c>
      <c r="R11" s="189">
        <f t="shared" si="12"/>
        <v>3175.5774814675797</v>
      </c>
      <c r="S11" s="189">
        <f t="shared" si="12"/>
        <v>3226.504177101112</v>
      </c>
      <c r="T11" s="189">
        <f t="shared" si="12"/>
        <v>3275.5454297117008</v>
      </c>
      <c r="U11" s="189">
        <f t="shared" si="12"/>
        <v>3323.0000815860244</v>
      </c>
      <c r="V11" s="189">
        <f t="shared" si="12"/>
        <v>3369.1208659078093</v>
      </c>
      <c r="W11" s="189">
        <f t="shared" si="12"/>
        <v>3414.1304181947871</v>
      </c>
      <c r="X11" s="189">
        <f t="shared" si="12"/>
        <v>3458.2240532846085</v>
      </c>
    </row>
    <row r="12" spans="2:185" s="204" customFormat="1">
      <c r="B12" s="204" t="s">
        <v>17</v>
      </c>
      <c r="C12" s="208"/>
      <c r="D12" s="208">
        <v>0.13</v>
      </c>
      <c r="E12" s="208">
        <f t="shared" ref="E12:O12" si="13">+D12</f>
        <v>0.13</v>
      </c>
      <c r="F12" s="208">
        <f t="shared" si="13"/>
        <v>0.13</v>
      </c>
      <c r="G12" s="208">
        <f t="shared" si="13"/>
        <v>0.13</v>
      </c>
      <c r="H12" s="208">
        <f t="shared" si="13"/>
        <v>0.13</v>
      </c>
      <c r="I12" s="208">
        <f t="shared" si="13"/>
        <v>0.13</v>
      </c>
      <c r="J12" s="208">
        <f t="shared" si="13"/>
        <v>0.13</v>
      </c>
      <c r="K12" s="208">
        <f t="shared" si="13"/>
        <v>0.13</v>
      </c>
      <c r="L12" s="208">
        <f t="shared" si="13"/>
        <v>0.13</v>
      </c>
      <c r="M12" s="208">
        <f t="shared" si="13"/>
        <v>0.13</v>
      </c>
      <c r="N12" s="208">
        <f t="shared" si="13"/>
        <v>0.13</v>
      </c>
      <c r="O12" s="208">
        <f t="shared" si="13"/>
        <v>0.13</v>
      </c>
      <c r="P12" s="208">
        <f t="shared" ref="P12:X12" si="14">+O12</f>
        <v>0.13</v>
      </c>
      <c r="Q12" s="208">
        <f t="shared" si="14"/>
        <v>0.13</v>
      </c>
      <c r="R12" s="208">
        <f t="shared" si="14"/>
        <v>0.13</v>
      </c>
      <c r="S12" s="208">
        <f t="shared" si="14"/>
        <v>0.13</v>
      </c>
      <c r="T12" s="208">
        <f t="shared" si="14"/>
        <v>0.13</v>
      </c>
      <c r="U12" s="208">
        <f t="shared" si="14"/>
        <v>0.13</v>
      </c>
      <c r="V12" s="208">
        <f t="shared" si="14"/>
        <v>0.13</v>
      </c>
      <c r="W12" s="208">
        <f t="shared" si="14"/>
        <v>0.13</v>
      </c>
      <c r="X12" s="208">
        <f t="shared" si="14"/>
        <v>0.13</v>
      </c>
    </row>
    <row r="13" spans="2:185" s="204" customFormat="1">
      <c r="C13" s="208"/>
      <c r="D13" s="208"/>
      <c r="E13" s="208"/>
      <c r="F13" s="208"/>
      <c r="G13" s="208"/>
      <c r="H13" s="208"/>
      <c r="I13" s="208"/>
      <c r="J13" s="208"/>
      <c r="K13" s="208"/>
      <c r="L13" s="208"/>
      <c r="M13" s="208"/>
      <c r="N13" s="208"/>
      <c r="O13" s="208"/>
      <c r="P13" s="208"/>
      <c r="Q13" s="208"/>
      <c r="R13" s="208"/>
      <c r="S13" s="208"/>
      <c r="T13" s="208"/>
      <c r="U13" s="208"/>
      <c r="V13" s="208"/>
      <c r="W13" s="208"/>
      <c r="X13" s="208"/>
    </row>
    <row r="14" spans="2:185">
      <c r="B14" s="90" t="s">
        <v>314</v>
      </c>
      <c r="C14" s="189"/>
      <c r="D14" s="189">
        <f t="shared" ref="D14:O14" si="15">+D6+D8-D11</f>
        <v>16137.460000000003</v>
      </c>
      <c r="E14" s="189">
        <f t="shared" si="15"/>
        <v>17159.331834481891</v>
      </c>
      <c r="F14" s="189">
        <f t="shared" si="15"/>
        <v>18081.058445007191</v>
      </c>
      <c r="G14" s="189">
        <f t="shared" si="15"/>
        <v>18916.044761164118</v>
      </c>
      <c r="H14" s="189">
        <f t="shared" si="15"/>
        <v>19675.917405866898</v>
      </c>
      <c r="I14" s="189">
        <f t="shared" si="15"/>
        <v>20370.755470154421</v>
      </c>
      <c r="J14" s="189">
        <f t="shared" si="15"/>
        <v>21009.295397233025</v>
      </c>
      <c r="K14" s="189">
        <f t="shared" si="15"/>
        <v>21599.11063451544</v>
      </c>
      <c r="L14" s="189">
        <f t="shared" si="15"/>
        <v>22146.765895670207</v>
      </c>
      <c r="M14" s="189">
        <f t="shared" si="15"/>
        <v>22657.949777967988</v>
      </c>
      <c r="N14" s="189">
        <f t="shared" si="15"/>
        <v>23137.58948731067</v>
      </c>
      <c r="O14" s="189">
        <f t="shared" si="15"/>
        <v>23589.948238352416</v>
      </c>
      <c r="P14" s="189">
        <f t="shared" ref="P14:X14" si="16">+P6+P8-P11</f>
        <v>24018.71096081856</v>
      </c>
      <c r="Q14" s="189">
        <f t="shared" si="16"/>
        <v>24427.51908821215</v>
      </c>
      <c r="R14" s="189">
        <f t="shared" si="16"/>
        <v>24819.262900777783</v>
      </c>
      <c r="S14" s="189">
        <f t="shared" si="16"/>
        <v>25196.50330547462</v>
      </c>
      <c r="T14" s="189">
        <f t="shared" si="16"/>
        <v>25561.539089123264</v>
      </c>
      <c r="U14" s="189">
        <f t="shared" si="16"/>
        <v>25916.314353136993</v>
      </c>
      <c r="V14" s="189">
        <f t="shared" si="16"/>
        <v>26262.541678421439</v>
      </c>
      <c r="W14" s="189">
        <f t="shared" si="16"/>
        <v>26601.72348680468</v>
      </c>
      <c r="X14" s="189">
        <f t="shared" si="16"/>
        <v>26935.159111930192</v>
      </c>
    </row>
    <row r="15" spans="2:185">
      <c r="C15" s="189"/>
      <c r="D15" s="189"/>
      <c r="E15" s="189"/>
      <c r="F15" s="189"/>
      <c r="G15" s="189"/>
      <c r="H15" s="189"/>
      <c r="I15" s="189"/>
      <c r="J15" s="189"/>
      <c r="K15" s="189"/>
      <c r="L15" s="189"/>
      <c r="M15" s="189"/>
      <c r="N15" s="189"/>
      <c r="O15" s="189"/>
      <c r="P15" s="462"/>
    </row>
    <row r="16" spans="2:185" hidden="1" outlineLevel="1">
      <c r="B16" s="247" t="s">
        <v>316</v>
      </c>
      <c r="C16" s="380"/>
      <c r="D16" s="380"/>
      <c r="E16" s="380">
        <f>+E23</f>
        <v>325</v>
      </c>
      <c r="F16" s="380">
        <f t="shared" ref="F16:O16" si="17">+F23+E16</f>
        <v>3489.1852278762581</v>
      </c>
      <c r="G16" s="380">
        <f t="shared" si="17"/>
        <v>6118.5154496780706</v>
      </c>
      <c r="H16" s="380">
        <f t="shared" si="17"/>
        <v>8823.9540929847699</v>
      </c>
      <c r="I16" s="380">
        <f t="shared" si="17"/>
        <v>11523.079192780231</v>
      </c>
      <c r="J16" s="380">
        <f t="shared" si="17"/>
        <v>14044.194640448193</v>
      </c>
      <c r="K16" s="380">
        <f t="shared" si="17"/>
        <v>16582.090140003758</v>
      </c>
      <c r="L16" s="380">
        <f t="shared" si="17"/>
        <v>19128.968218005833</v>
      </c>
      <c r="M16" s="380">
        <f t="shared" si="17"/>
        <v>21394.763195802632</v>
      </c>
      <c r="N16" s="380">
        <f t="shared" si="17"/>
        <v>23708.522144533701</v>
      </c>
      <c r="O16" s="380">
        <f t="shared" si="17"/>
        <v>26067.516968368942</v>
      </c>
      <c r="P16" s="380">
        <f t="shared" ref="P16:X16" si="18">+P23+O16</f>
        <v>28469.388064450799</v>
      </c>
      <c r="Q16" s="380">
        <f t="shared" si="18"/>
        <v>30667.864782389894</v>
      </c>
      <c r="R16" s="380">
        <f t="shared" si="18"/>
        <v>32653.405814452115</v>
      </c>
      <c r="S16" s="380">
        <f t="shared" si="18"/>
        <v>34417.161045835339</v>
      </c>
      <c r="T16" s="380">
        <f t="shared" si="18"/>
        <v>35950.853391182733</v>
      </c>
      <c r="U16" s="380">
        <f t="shared" si="18"/>
        <v>37376.25068060527</v>
      </c>
      <c r="V16" s="380">
        <f t="shared" si="18"/>
        <v>38689.37776452634</v>
      </c>
      <c r="W16" s="380">
        <f t="shared" si="18"/>
        <v>39753.446703998525</v>
      </c>
      <c r="X16" s="380">
        <f t="shared" si="18"/>
        <v>40830.853068475735</v>
      </c>
    </row>
    <row r="17" spans="2:24" hidden="1" outlineLevel="1">
      <c r="B17" s="173" t="s">
        <v>308</v>
      </c>
      <c r="C17" s="390"/>
      <c r="D17" s="390">
        <f>+D6+D8</f>
        <v>18087.460000000003</v>
      </c>
      <c r="E17" s="390">
        <f t="shared" ref="E17:O17" si="19">+E8+D17</f>
        <v>21207.201634481891</v>
      </c>
      <c r="F17" s="390">
        <f t="shared" si="19"/>
        <v>24359.641383489838</v>
      </c>
      <c r="G17" s="390">
        <f t="shared" si="19"/>
        <v>27545.165297497701</v>
      </c>
      <c r="H17" s="390">
        <f t="shared" si="19"/>
        <v>30764.123761151815</v>
      </c>
      <c r="I17" s="390">
        <f t="shared" si="19"/>
        <v>34016.831088202038</v>
      </c>
      <c r="J17" s="390">
        <f t="shared" si="19"/>
        <v>37303.569226400716</v>
      </c>
      <c r="K17" s="390">
        <f t="shared" si="19"/>
        <v>40624.59286532343</v>
      </c>
      <c r="L17" s="390">
        <f t="shared" si="19"/>
        <v>43980.132508965202</v>
      </c>
      <c r="M17" s="390">
        <f t="shared" si="19"/>
        <v>47370.395957700108</v>
      </c>
      <c r="N17" s="390">
        <f t="shared" si="19"/>
        <v>50795.569138178631</v>
      </c>
      <c r="O17" s="390">
        <f t="shared" si="19"/>
        <v>54255.814522570763</v>
      </c>
      <c r="P17" s="390">
        <f t="shared" ref="P17:X17" si="20">+P8+O17</f>
        <v>57751.27051602272</v>
      </c>
      <c r="Q17" s="390">
        <f t="shared" si="20"/>
        <v>61282.511068322718</v>
      </c>
      <c r="R17" s="390">
        <f t="shared" si="20"/>
        <v>64849.832362355926</v>
      </c>
      <c r="S17" s="390">
        <f t="shared" si="20"/>
        <v>68453.576944153872</v>
      </c>
      <c r="T17" s="390">
        <f t="shared" si="20"/>
        <v>72094.158157514219</v>
      </c>
      <c r="U17" s="390">
        <f t="shared" si="20"/>
        <v>75771.933503113978</v>
      </c>
      <c r="V17" s="390">
        <f t="shared" si="20"/>
        <v>79487.281694306235</v>
      </c>
      <c r="W17" s="390">
        <f t="shared" si="20"/>
        <v>83240.593920884261</v>
      </c>
      <c r="X17" s="390">
        <f t="shared" si="20"/>
        <v>87032.253599294389</v>
      </c>
    </row>
    <row r="18" spans="2:24" hidden="1" outlineLevel="1">
      <c r="B18" s="544" t="s">
        <v>309</v>
      </c>
      <c r="C18" s="545"/>
      <c r="D18" s="545"/>
      <c r="E18" s="546">
        <f t="shared" ref="E18:O18" si="21">+E16/E17</f>
        <v>1.5324982786581592E-2</v>
      </c>
      <c r="F18" s="546">
        <f t="shared" si="21"/>
        <v>0.14323631341474152</v>
      </c>
      <c r="G18" s="546">
        <f t="shared" si="21"/>
        <v>0.22212665575232174</v>
      </c>
      <c r="H18" s="546">
        <f t="shared" si="21"/>
        <v>0.2868261147787815</v>
      </c>
      <c r="I18" s="546">
        <f t="shared" si="21"/>
        <v>0.33874640359362423</v>
      </c>
      <c r="J18" s="546">
        <f t="shared" si="21"/>
        <v>0.37648393790985413</v>
      </c>
      <c r="K18" s="546">
        <f t="shared" si="21"/>
        <v>0.40817861719810594</v>
      </c>
      <c r="L18" s="546">
        <f t="shared" si="21"/>
        <v>0.43494567039120352</v>
      </c>
      <c r="M18" s="546">
        <f t="shared" si="21"/>
        <v>0.45164839269883472</v>
      </c>
      <c r="N18" s="546">
        <f t="shared" si="21"/>
        <v>0.46674390201317889</v>
      </c>
      <c r="O18" s="546">
        <f t="shared" si="21"/>
        <v>0.48045572991120961</v>
      </c>
      <c r="P18" s="546">
        <f t="shared" ref="P18:X18" si="22">+P16/P17</f>
        <v>0.49296557132110452</v>
      </c>
      <c r="Q18" s="546">
        <f t="shared" si="22"/>
        <v>0.50043420623216417</v>
      </c>
      <c r="R18" s="546">
        <f t="shared" si="22"/>
        <v>0.50352336505663486</v>
      </c>
      <c r="S18" s="546">
        <f t="shared" si="22"/>
        <v>0.50278104640044907</v>
      </c>
      <c r="T18" s="546">
        <f t="shared" si="22"/>
        <v>0.49866527760315699</v>
      </c>
      <c r="U18" s="546">
        <f t="shared" si="22"/>
        <v>0.49327302277523682</v>
      </c>
      <c r="V18" s="546">
        <f t="shared" si="22"/>
        <v>0.4867367073051852</v>
      </c>
      <c r="W18" s="546">
        <f t="shared" si="22"/>
        <v>0.47757283834113501</v>
      </c>
      <c r="X18" s="546">
        <f t="shared" si="22"/>
        <v>0.46914622315153715</v>
      </c>
    </row>
    <row r="19" spans="2:24" hidden="1" outlineLevel="1">
      <c r="C19" s="189"/>
      <c r="D19" s="189"/>
      <c r="E19" s="462"/>
      <c r="F19" s="462"/>
      <c r="G19" s="462"/>
      <c r="H19" s="462"/>
      <c r="I19" s="462"/>
      <c r="J19" s="462"/>
      <c r="K19" s="462"/>
      <c r="L19" s="462"/>
      <c r="M19" s="462"/>
      <c r="N19" s="462"/>
      <c r="O19" s="462"/>
      <c r="P19" s="462"/>
    </row>
    <row r="20" spans="2:24" s="204" customFormat="1" collapsed="1">
      <c r="B20" s="388" t="s">
        <v>388</v>
      </c>
      <c r="C20" s="379"/>
      <c r="D20" s="380"/>
      <c r="E20" s="380"/>
      <c r="F20" s="380">
        <f t="shared" ref="F20:O20" si="23">E32</f>
        <v>325</v>
      </c>
      <c r="G20" s="380">
        <f t="shared" si="23"/>
        <v>2267.970398119568</v>
      </c>
      <c r="H20" s="380">
        <f t="shared" si="23"/>
        <v>3183.2454029488972</v>
      </c>
      <c r="I20" s="380">
        <f t="shared" si="23"/>
        <v>4534.2867156168086</v>
      </c>
      <c r="J20" s="380">
        <f t="shared" si="23"/>
        <v>5714.3953341756933</v>
      </c>
      <c r="K20" s="380">
        <f t="shared" si="23"/>
        <v>6588.4086254749236</v>
      </c>
      <c r="L20" s="380">
        <f t="shared" si="23"/>
        <v>7301.0433000243911</v>
      </c>
      <c r="M20" s="380">
        <f t="shared" si="23"/>
        <v>7878.3371024211719</v>
      </c>
      <c r="N20" s="380">
        <f t="shared" si="23"/>
        <v>8216.7469849765566</v>
      </c>
      <c r="O20" s="380">
        <f t="shared" si="23"/>
        <v>8635.0148656402507</v>
      </c>
      <c r="P20" s="380">
        <f t="shared" ref="P20:X20" si="24">O32</f>
        <v>9125.0280422646592</v>
      </c>
      <c r="Q20" s="380">
        <f t="shared" si="24"/>
        <v>9567.3262848276063</v>
      </c>
      <c r="R20" s="380">
        <f t="shared" si="24"/>
        <v>9765.6164922963599</v>
      </c>
      <c r="S20" s="380">
        <f t="shared" si="24"/>
        <v>9753.4607452176242</v>
      </c>
      <c r="T20" s="380">
        <f t="shared" si="24"/>
        <v>9559.2892605787038</v>
      </c>
      <c r="U20" s="380">
        <f t="shared" si="24"/>
        <v>9207.1747329186619</v>
      </c>
      <c r="V20" s="380">
        <f t="shared" si="24"/>
        <v>8825.034778543195</v>
      </c>
      <c r="W20" s="380">
        <f t="shared" si="24"/>
        <v>8414.674345845342</v>
      </c>
      <c r="X20" s="380">
        <f t="shared" si="24"/>
        <v>7867.3569268135489</v>
      </c>
    </row>
    <row r="21" spans="2:24" s="204" customFormat="1">
      <c r="B21" s="391" t="s">
        <v>287</v>
      </c>
      <c r="C21" s="399"/>
      <c r="D21" s="399"/>
      <c r="E21" s="511"/>
      <c r="F21" s="511">
        <f t="shared" ref="F21:O21" si="25">+F20/F14</f>
        <v>1.7974611441496879E-2</v>
      </c>
      <c r="G21" s="511">
        <f t="shared" si="25"/>
        <v>0.11989665000031403</v>
      </c>
      <c r="H21" s="511">
        <f t="shared" si="25"/>
        <v>0.16178383641718927</v>
      </c>
      <c r="I21" s="511">
        <f t="shared" si="25"/>
        <v>0.2225880489439912</v>
      </c>
      <c r="J21" s="511">
        <f t="shared" si="25"/>
        <v>0.2719936688085357</v>
      </c>
      <c r="K21" s="511">
        <f t="shared" si="25"/>
        <v>0.30503147731215507</v>
      </c>
      <c r="L21" s="511">
        <f t="shared" si="25"/>
        <v>0.32966634200309031</v>
      </c>
      <c r="M21" s="511">
        <f t="shared" si="25"/>
        <v>0.34770741305472685</v>
      </c>
      <c r="N21" s="511">
        <f t="shared" si="25"/>
        <v>0.35512545459771688</v>
      </c>
      <c r="O21" s="511">
        <f t="shared" si="25"/>
        <v>0.36604636764744947</v>
      </c>
      <c r="P21" s="511">
        <f t="shared" ref="P21:X21" si="26">+P20/P14</f>
        <v>0.37991331246502819</v>
      </c>
      <c r="Q21" s="511">
        <f t="shared" si="26"/>
        <v>0.39166180774552978</v>
      </c>
      <c r="R21" s="511">
        <f t="shared" si="26"/>
        <v>0.39346923924925775</v>
      </c>
      <c r="S21" s="511">
        <f t="shared" si="26"/>
        <v>0.38709580559531137</v>
      </c>
      <c r="T21" s="511">
        <f t="shared" si="26"/>
        <v>0.37397158391946339</v>
      </c>
      <c r="U21" s="511">
        <f t="shared" si="26"/>
        <v>0.35526559091162574</v>
      </c>
      <c r="V21" s="511">
        <f t="shared" si="26"/>
        <v>0.33603125267171935</v>
      </c>
      <c r="W21" s="511">
        <f t="shared" si="26"/>
        <v>0.31632064554085354</v>
      </c>
      <c r="X21" s="511">
        <f t="shared" si="26"/>
        <v>0.29208503629477051</v>
      </c>
    </row>
    <row r="22" spans="2:24" s="204" customFormat="1">
      <c r="B22" s="391"/>
      <c r="C22" s="399"/>
      <c r="D22" s="399"/>
      <c r="E22" s="512"/>
      <c r="F22" s="512"/>
      <c r="G22" s="512"/>
      <c r="H22" s="512"/>
      <c r="I22" s="512"/>
      <c r="J22" s="512"/>
      <c r="K22" s="512"/>
      <c r="L22" s="512"/>
      <c r="M22" s="512"/>
      <c r="N22" s="512"/>
      <c r="O22" s="512"/>
      <c r="P22" s="512"/>
      <c r="Q22" s="512"/>
      <c r="R22" s="512"/>
      <c r="S22" s="512"/>
      <c r="T22" s="512"/>
      <c r="U22" s="512"/>
      <c r="V22" s="512"/>
      <c r="W22" s="512"/>
      <c r="X22" s="512"/>
    </row>
    <row r="23" spans="2:24" s="204" customFormat="1">
      <c r="B23" s="550" t="s">
        <v>315</v>
      </c>
      <c r="C23" s="551"/>
      <c r="D23" s="551"/>
      <c r="E23" s="555">
        <f t="shared" ref="E23:O23" si="27">+E24+(E14*E27)</f>
        <v>325</v>
      </c>
      <c r="F23" s="555">
        <f t="shared" si="27"/>
        <v>3164.1852278762581</v>
      </c>
      <c r="G23" s="555">
        <f t="shared" si="27"/>
        <v>2629.3302218018125</v>
      </c>
      <c r="H23" s="555">
        <f t="shared" si="27"/>
        <v>2705.4386433066989</v>
      </c>
      <c r="I23" s="555">
        <f t="shared" si="27"/>
        <v>2699.1250997954608</v>
      </c>
      <c r="J23" s="555">
        <f t="shared" si="27"/>
        <v>2521.1154476679631</v>
      </c>
      <c r="K23" s="555">
        <f t="shared" si="27"/>
        <v>2537.8954995555641</v>
      </c>
      <c r="L23" s="555">
        <f t="shared" si="27"/>
        <v>2546.8780780020738</v>
      </c>
      <c r="M23" s="555">
        <f t="shared" si="27"/>
        <v>2265.7949777967988</v>
      </c>
      <c r="N23" s="555">
        <f t="shared" si="27"/>
        <v>2313.758948731067</v>
      </c>
      <c r="O23" s="555">
        <f t="shared" si="27"/>
        <v>2358.9948238352417</v>
      </c>
      <c r="P23" s="555">
        <f t="shared" ref="P23:X23" si="28">+P24+(P14*P27)</f>
        <v>2401.8710960818562</v>
      </c>
      <c r="Q23" s="555">
        <f t="shared" si="28"/>
        <v>2198.4767179390933</v>
      </c>
      <c r="R23" s="555">
        <f t="shared" si="28"/>
        <v>1985.5410320622227</v>
      </c>
      <c r="S23" s="555">
        <f t="shared" si="28"/>
        <v>1763.7552313832236</v>
      </c>
      <c r="T23" s="555">
        <f t="shared" si="28"/>
        <v>1533.6923453473958</v>
      </c>
      <c r="U23" s="555">
        <f t="shared" si="28"/>
        <v>1425.3972894225346</v>
      </c>
      <c r="V23" s="555">
        <f t="shared" si="28"/>
        <v>1313.127083921072</v>
      </c>
      <c r="W23" s="555">
        <f t="shared" si="28"/>
        <v>1064.0689394721874</v>
      </c>
      <c r="X23" s="555">
        <f t="shared" si="28"/>
        <v>1077.4063644772079</v>
      </c>
    </row>
    <row r="24" spans="2:24" s="204" customFormat="1">
      <c r="B24" s="787" t="s">
        <v>382</v>
      </c>
      <c r="C24" s="399"/>
      <c r="D24" s="390"/>
      <c r="E24" s="514">
        <v>325</v>
      </c>
      <c r="F24" s="514">
        <f t="shared" ref="F24:O24" si="29">F25*F14</f>
        <v>3164.1852278762581</v>
      </c>
      <c r="G24" s="514">
        <f t="shared" si="29"/>
        <v>2629.3302218018125</v>
      </c>
      <c r="H24" s="514">
        <f t="shared" si="29"/>
        <v>2705.4386433066989</v>
      </c>
      <c r="I24" s="514">
        <f t="shared" si="29"/>
        <v>2699.1250997954608</v>
      </c>
      <c r="J24" s="514">
        <f t="shared" si="29"/>
        <v>2521.1154476679631</v>
      </c>
      <c r="K24" s="514">
        <f t="shared" si="29"/>
        <v>2537.8954995555641</v>
      </c>
      <c r="L24" s="514">
        <f t="shared" si="29"/>
        <v>2546.8780780020738</v>
      </c>
      <c r="M24" s="514">
        <f t="shared" si="29"/>
        <v>2265.7949777967988</v>
      </c>
      <c r="N24" s="514">
        <f t="shared" si="29"/>
        <v>2313.758948731067</v>
      </c>
      <c r="O24" s="514">
        <f t="shared" si="29"/>
        <v>2358.9948238352417</v>
      </c>
      <c r="P24" s="514">
        <f t="shared" ref="P24:X24" si="30">P25*P14</f>
        <v>2401.8710960818562</v>
      </c>
      <c r="Q24" s="514">
        <f t="shared" si="30"/>
        <v>2198.4767179390933</v>
      </c>
      <c r="R24" s="514">
        <f t="shared" si="30"/>
        <v>1985.5410320622227</v>
      </c>
      <c r="S24" s="514">
        <f t="shared" si="30"/>
        <v>1763.7552313832236</v>
      </c>
      <c r="T24" s="514">
        <f t="shared" si="30"/>
        <v>1533.6923453473958</v>
      </c>
      <c r="U24" s="514">
        <f t="shared" si="30"/>
        <v>1425.3972894225346</v>
      </c>
      <c r="V24" s="514">
        <f t="shared" si="30"/>
        <v>1313.127083921072</v>
      </c>
      <c r="W24" s="514">
        <f t="shared" si="30"/>
        <v>1064.0689394721874</v>
      </c>
      <c r="X24" s="514">
        <f t="shared" si="30"/>
        <v>1077.4063644772079</v>
      </c>
    </row>
    <row r="25" spans="2:24" s="204" customFormat="1">
      <c r="B25" s="391" t="s">
        <v>383</v>
      </c>
      <c r="C25" s="399"/>
      <c r="D25" s="399"/>
      <c r="E25" s="522">
        <v>1.8940131418573564E-2</v>
      </c>
      <c r="F25" s="515">
        <v>0.17499999999999999</v>
      </c>
      <c r="G25" s="515">
        <v>0.13900000000000001</v>
      </c>
      <c r="H25" s="548">
        <v>0.13750000000000001</v>
      </c>
      <c r="I25" s="548">
        <v>0.13250000000000001</v>
      </c>
      <c r="J25" s="548">
        <v>0.12</v>
      </c>
      <c r="K25" s="548">
        <v>0.11749999999999999</v>
      </c>
      <c r="L25" s="548">
        <v>0.115</v>
      </c>
      <c r="M25" s="548">
        <v>0.1</v>
      </c>
      <c r="N25" s="548">
        <v>0.1</v>
      </c>
      <c r="O25" s="548">
        <v>0.1</v>
      </c>
      <c r="P25" s="548">
        <v>0.1</v>
      </c>
      <c r="Q25" s="548">
        <v>0.09</v>
      </c>
      <c r="R25" s="548">
        <v>0.08</v>
      </c>
      <c r="S25" s="548">
        <v>7.0000000000000007E-2</v>
      </c>
      <c r="T25" s="548">
        <v>0.06</v>
      </c>
      <c r="U25" s="548">
        <v>5.5E-2</v>
      </c>
      <c r="V25" s="548">
        <v>0.05</v>
      </c>
      <c r="W25" s="548">
        <v>4.0000000000000008E-2</v>
      </c>
      <c r="X25" s="548">
        <v>4.0000000000000008E-2</v>
      </c>
    </row>
    <row r="26" spans="2:24" s="204" customFormat="1">
      <c r="B26" s="391" t="s">
        <v>384</v>
      </c>
      <c r="C26" s="399"/>
      <c r="D26" s="399"/>
      <c r="E26" s="175">
        <f t="shared" ref="E26:O26" si="31">+E24/E23</f>
        <v>1</v>
      </c>
      <c r="F26" s="175">
        <f t="shared" si="31"/>
        <v>1</v>
      </c>
      <c r="G26" s="175">
        <f t="shared" si="31"/>
        <v>1</v>
      </c>
      <c r="H26" s="549">
        <f t="shared" si="31"/>
        <v>1</v>
      </c>
      <c r="I26" s="549">
        <f t="shared" si="31"/>
        <v>1</v>
      </c>
      <c r="J26" s="549">
        <f t="shared" si="31"/>
        <v>1</v>
      </c>
      <c r="K26" s="549">
        <f t="shared" si="31"/>
        <v>1</v>
      </c>
      <c r="L26" s="549">
        <f t="shared" si="31"/>
        <v>1</v>
      </c>
      <c r="M26" s="549">
        <f t="shared" si="31"/>
        <v>1</v>
      </c>
      <c r="N26" s="549">
        <f t="shared" si="31"/>
        <v>1</v>
      </c>
      <c r="O26" s="549">
        <f t="shared" si="31"/>
        <v>1</v>
      </c>
      <c r="P26" s="549">
        <f t="shared" ref="P26:X26" si="32">+P24/P23</f>
        <v>1</v>
      </c>
      <c r="Q26" s="549">
        <f t="shared" si="32"/>
        <v>1</v>
      </c>
      <c r="R26" s="549">
        <f t="shared" si="32"/>
        <v>1</v>
      </c>
      <c r="S26" s="549">
        <f t="shared" si="32"/>
        <v>1</v>
      </c>
      <c r="T26" s="549">
        <f t="shared" si="32"/>
        <v>1</v>
      </c>
      <c r="U26" s="549">
        <f t="shared" si="32"/>
        <v>1</v>
      </c>
      <c r="V26" s="549">
        <f t="shared" si="32"/>
        <v>1</v>
      </c>
      <c r="W26" s="549">
        <f t="shared" si="32"/>
        <v>1</v>
      </c>
      <c r="X26" s="549">
        <f t="shared" si="32"/>
        <v>1</v>
      </c>
    </row>
    <row r="27" spans="2:24" s="204" customFormat="1">
      <c r="B27" s="513" t="s">
        <v>318</v>
      </c>
      <c r="C27" s="399"/>
      <c r="D27" s="399"/>
      <c r="E27" s="515"/>
      <c r="F27" s="515"/>
      <c r="G27" s="515"/>
      <c r="H27" s="601">
        <v>0</v>
      </c>
      <c r="I27" s="553">
        <v>0</v>
      </c>
      <c r="J27" s="553">
        <v>0</v>
      </c>
      <c r="K27" s="553">
        <v>0</v>
      </c>
      <c r="L27" s="553">
        <v>0</v>
      </c>
      <c r="M27" s="553">
        <v>0</v>
      </c>
      <c r="N27" s="553">
        <v>0</v>
      </c>
      <c r="O27" s="553">
        <v>0</v>
      </c>
      <c r="P27" s="553">
        <v>0</v>
      </c>
      <c r="Q27" s="553">
        <v>0</v>
      </c>
      <c r="R27" s="553">
        <v>0</v>
      </c>
      <c r="S27" s="553">
        <v>0</v>
      </c>
      <c r="T27" s="553">
        <v>0</v>
      </c>
      <c r="U27" s="553">
        <f t="shared" ref="U27:X27" si="33">T27</f>
        <v>0</v>
      </c>
      <c r="V27" s="553">
        <f t="shared" si="33"/>
        <v>0</v>
      </c>
      <c r="W27" s="553">
        <f t="shared" si="33"/>
        <v>0</v>
      </c>
      <c r="X27" s="553">
        <f t="shared" si="33"/>
        <v>0</v>
      </c>
    </row>
    <row r="28" spans="2:24" s="204" customFormat="1">
      <c r="B28" s="391"/>
      <c r="C28" s="399"/>
      <c r="D28" s="399"/>
      <c r="E28" s="515"/>
      <c r="F28" s="515"/>
      <c r="G28" s="515"/>
      <c r="H28" s="515"/>
      <c r="I28" s="515"/>
      <c r="J28" s="515"/>
      <c r="K28" s="515"/>
      <c r="L28" s="515"/>
      <c r="M28" s="515"/>
      <c r="N28" s="515"/>
      <c r="O28" s="515"/>
      <c r="P28" s="515"/>
      <c r="Q28" s="515"/>
      <c r="R28" s="515"/>
      <c r="S28" s="515"/>
      <c r="T28" s="515"/>
      <c r="U28" s="515"/>
      <c r="V28" s="515"/>
      <c r="W28" s="515"/>
      <c r="X28" s="515"/>
    </row>
    <row r="29" spans="2:24" s="204" customFormat="1">
      <c r="B29" s="516" t="s">
        <v>385</v>
      </c>
      <c r="C29" s="390"/>
      <c r="D29" s="390"/>
      <c r="E29" s="390"/>
      <c r="F29" s="390">
        <f t="shared" ref="F29:O29" si="34">F30*F20+F23*F30</f>
        <v>1221.2148297566903</v>
      </c>
      <c r="G29" s="390">
        <f t="shared" si="34"/>
        <v>1714.0552169724831</v>
      </c>
      <c r="H29" s="390">
        <f t="shared" si="34"/>
        <v>1354.3973306387873</v>
      </c>
      <c r="I29" s="390">
        <f t="shared" si="34"/>
        <v>1519.0164812365765</v>
      </c>
      <c r="J29" s="390">
        <f t="shared" si="34"/>
        <v>1647.1021563687314</v>
      </c>
      <c r="K29" s="390">
        <f t="shared" si="34"/>
        <v>1825.2608250060975</v>
      </c>
      <c r="L29" s="390">
        <f t="shared" si="34"/>
        <v>1969.584275605293</v>
      </c>
      <c r="M29" s="390">
        <f t="shared" si="34"/>
        <v>1927.3850952414145</v>
      </c>
      <c r="N29" s="390">
        <f t="shared" si="34"/>
        <v>1895.4910680673722</v>
      </c>
      <c r="O29" s="390">
        <f t="shared" si="34"/>
        <v>1868.9816472108337</v>
      </c>
      <c r="P29" s="390">
        <f t="shared" ref="P29:X29" si="35">P30*P20+P23*P30</f>
        <v>1959.5728535189076</v>
      </c>
      <c r="Q29" s="390">
        <f t="shared" si="35"/>
        <v>2000.1865104703388</v>
      </c>
      <c r="R29" s="390">
        <f t="shared" si="35"/>
        <v>1997.6967791409588</v>
      </c>
      <c r="S29" s="390">
        <f t="shared" si="35"/>
        <v>1957.9267160221439</v>
      </c>
      <c r="T29" s="390">
        <f t="shared" si="35"/>
        <v>1885.8068730074367</v>
      </c>
      <c r="U29" s="390">
        <f t="shared" si="35"/>
        <v>1807.5372437980031</v>
      </c>
      <c r="V29" s="390">
        <f t="shared" si="35"/>
        <v>1723.4875166189254</v>
      </c>
      <c r="W29" s="390">
        <f t="shared" si="35"/>
        <v>1611.3863585039799</v>
      </c>
      <c r="X29" s="390">
        <f t="shared" si="35"/>
        <v>1520.6097595194285</v>
      </c>
    </row>
    <row r="30" spans="2:24" s="204" customFormat="1">
      <c r="B30" s="517" t="s">
        <v>319</v>
      </c>
      <c r="C30" s="399"/>
      <c r="D30" s="399"/>
      <c r="E30" s="399"/>
      <c r="F30" s="179">
        <v>0.35</v>
      </c>
      <c r="G30" s="518">
        <v>0.35</v>
      </c>
      <c r="H30" s="518">
        <v>0.23</v>
      </c>
      <c r="I30" s="518">
        <v>0.21</v>
      </c>
      <c r="J30" s="518">
        <v>0.2</v>
      </c>
      <c r="K30" s="518">
        <v>0.2</v>
      </c>
      <c r="L30" s="518">
        <v>0.2</v>
      </c>
      <c r="M30" s="518">
        <f t="shared" ref="M30:O30" si="36">+L30-0.01</f>
        <v>0.19</v>
      </c>
      <c r="N30" s="518">
        <f t="shared" si="36"/>
        <v>0.18</v>
      </c>
      <c r="O30" s="518">
        <f t="shared" si="36"/>
        <v>0.16999999999999998</v>
      </c>
      <c r="P30" s="518">
        <f t="shared" ref="P30:X30" si="37">+O30</f>
        <v>0.16999999999999998</v>
      </c>
      <c r="Q30" s="518">
        <f t="shared" si="37"/>
        <v>0.16999999999999998</v>
      </c>
      <c r="R30" s="518">
        <f t="shared" si="37"/>
        <v>0.16999999999999998</v>
      </c>
      <c r="S30" s="518">
        <f t="shared" si="37"/>
        <v>0.16999999999999998</v>
      </c>
      <c r="T30" s="518">
        <f t="shared" si="37"/>
        <v>0.16999999999999998</v>
      </c>
      <c r="U30" s="518">
        <f t="shared" si="37"/>
        <v>0.16999999999999998</v>
      </c>
      <c r="V30" s="518">
        <f t="shared" si="37"/>
        <v>0.16999999999999998</v>
      </c>
      <c r="W30" s="518">
        <f t="shared" si="37"/>
        <v>0.16999999999999998</v>
      </c>
      <c r="X30" s="518">
        <f t="shared" si="37"/>
        <v>0.16999999999999998</v>
      </c>
    </row>
    <row r="31" spans="2:24" s="204" customFormat="1">
      <c r="B31" s="519"/>
      <c r="C31" s="383"/>
      <c r="D31" s="383"/>
      <c r="E31" s="383"/>
      <c r="F31" s="520"/>
      <c r="G31" s="521"/>
      <c r="H31" s="521"/>
      <c r="I31" s="521"/>
      <c r="J31" s="521"/>
      <c r="K31" s="521"/>
      <c r="L31" s="521"/>
      <c r="M31" s="521"/>
      <c r="N31" s="521"/>
      <c r="O31" s="521"/>
      <c r="P31" s="521"/>
      <c r="Q31" s="521"/>
      <c r="R31" s="521"/>
      <c r="S31" s="521"/>
      <c r="T31" s="521"/>
      <c r="U31" s="521"/>
      <c r="V31" s="521"/>
      <c r="W31" s="521"/>
      <c r="X31" s="521"/>
    </row>
    <row r="32" spans="2:24" s="204" customFormat="1">
      <c r="B32" s="388" t="s">
        <v>105</v>
      </c>
      <c r="C32" s="379"/>
      <c r="D32" s="380"/>
      <c r="E32" s="380">
        <f t="shared" ref="E32:O32" si="38">SUM(E20,E24,-E29)</f>
        <v>325</v>
      </c>
      <c r="F32" s="380">
        <f t="shared" si="38"/>
        <v>2267.970398119568</v>
      </c>
      <c r="G32" s="380">
        <f t="shared" si="38"/>
        <v>3183.2454029488972</v>
      </c>
      <c r="H32" s="380">
        <f t="shared" si="38"/>
        <v>4534.2867156168086</v>
      </c>
      <c r="I32" s="380">
        <f t="shared" si="38"/>
        <v>5714.3953341756933</v>
      </c>
      <c r="J32" s="380">
        <f t="shared" si="38"/>
        <v>6588.4086254749236</v>
      </c>
      <c r="K32" s="380">
        <f t="shared" si="38"/>
        <v>7301.0433000243911</v>
      </c>
      <c r="L32" s="380">
        <f t="shared" si="38"/>
        <v>7878.3371024211719</v>
      </c>
      <c r="M32" s="380">
        <f t="shared" si="38"/>
        <v>8216.7469849765566</v>
      </c>
      <c r="N32" s="380">
        <f t="shared" si="38"/>
        <v>8635.0148656402507</v>
      </c>
      <c r="O32" s="380">
        <f t="shared" si="38"/>
        <v>9125.0280422646592</v>
      </c>
      <c r="P32" s="380">
        <f t="shared" ref="P32:X32" si="39">SUM(P20,P24,-P29)</f>
        <v>9567.3262848276063</v>
      </c>
      <c r="Q32" s="380">
        <f t="shared" si="39"/>
        <v>9765.6164922963599</v>
      </c>
      <c r="R32" s="380">
        <f t="shared" si="39"/>
        <v>9753.4607452176242</v>
      </c>
      <c r="S32" s="380">
        <f t="shared" si="39"/>
        <v>9559.2892605787038</v>
      </c>
      <c r="T32" s="380">
        <f t="shared" si="39"/>
        <v>9207.1747329186619</v>
      </c>
      <c r="U32" s="380">
        <f t="shared" si="39"/>
        <v>8825.034778543195</v>
      </c>
      <c r="V32" s="380">
        <f t="shared" si="39"/>
        <v>8414.674345845342</v>
      </c>
      <c r="W32" s="380">
        <f t="shared" si="39"/>
        <v>7867.3569268135489</v>
      </c>
      <c r="X32" s="380">
        <f t="shared" si="39"/>
        <v>7424.1535317713287</v>
      </c>
    </row>
    <row r="33" spans="2:24" s="204" customFormat="1">
      <c r="B33" s="381" t="s">
        <v>387</v>
      </c>
      <c r="C33" s="383"/>
      <c r="D33" s="383"/>
      <c r="E33" s="523">
        <f t="shared" ref="E33:O33" si="40">E32/E14</f>
        <v>1.8940131418573564E-2</v>
      </c>
      <c r="F33" s="523">
        <f t="shared" si="40"/>
        <v>0.12543349743697296</v>
      </c>
      <c r="G33" s="523">
        <f t="shared" si="40"/>
        <v>0.16828282250020413</v>
      </c>
      <c r="H33" s="523">
        <f t="shared" si="40"/>
        <v>0.23044855404123574</v>
      </c>
      <c r="I33" s="523">
        <f t="shared" si="40"/>
        <v>0.28051955866575307</v>
      </c>
      <c r="J33" s="523">
        <f t="shared" si="40"/>
        <v>0.3135949350468285</v>
      </c>
      <c r="K33" s="523">
        <f t="shared" si="40"/>
        <v>0.33802518184972408</v>
      </c>
      <c r="L33" s="523">
        <f t="shared" si="40"/>
        <v>0.35573307360247225</v>
      </c>
      <c r="M33" s="523">
        <f t="shared" si="40"/>
        <v>0.3626430045743288</v>
      </c>
      <c r="N33" s="523">
        <f t="shared" si="40"/>
        <v>0.37320287277012781</v>
      </c>
      <c r="O33" s="523">
        <f t="shared" si="40"/>
        <v>0.3868184851473831</v>
      </c>
      <c r="P33" s="523">
        <f t="shared" ref="P33:X33" si="41">P32/P14</f>
        <v>0.39832804934597332</v>
      </c>
      <c r="Q33" s="523">
        <f t="shared" si="41"/>
        <v>0.39977930042878967</v>
      </c>
      <c r="R33" s="523">
        <f t="shared" si="41"/>
        <v>0.39297946857688393</v>
      </c>
      <c r="S33" s="523">
        <f t="shared" si="41"/>
        <v>0.37938951864410847</v>
      </c>
      <c r="T33" s="523">
        <f t="shared" si="41"/>
        <v>0.36019641465315455</v>
      </c>
      <c r="U33" s="523">
        <f t="shared" si="41"/>
        <v>0.34052044045664948</v>
      </c>
      <c r="V33" s="523">
        <f t="shared" si="41"/>
        <v>0.32040593971752707</v>
      </c>
      <c r="W33" s="523">
        <f t="shared" si="41"/>
        <v>0.29574613579890846</v>
      </c>
      <c r="X33" s="523">
        <f t="shared" si="41"/>
        <v>0.27563058012465957</v>
      </c>
    </row>
    <row r="34" spans="2:24" s="204" customFormat="1" hidden="1" outlineLevel="1">
      <c r="B34" s="381" t="s">
        <v>317</v>
      </c>
      <c r="C34" s="383"/>
      <c r="D34" s="383"/>
      <c r="E34" s="523">
        <f t="shared" ref="E34:O34" si="42">+E18</f>
        <v>1.5324982786581592E-2</v>
      </c>
      <c r="F34" s="523">
        <f t="shared" si="42"/>
        <v>0.14323631341474152</v>
      </c>
      <c r="G34" s="523">
        <f t="shared" si="42"/>
        <v>0.22212665575232174</v>
      </c>
      <c r="H34" s="523">
        <f t="shared" si="42"/>
        <v>0.2868261147787815</v>
      </c>
      <c r="I34" s="523">
        <f t="shared" si="42"/>
        <v>0.33874640359362423</v>
      </c>
      <c r="J34" s="523">
        <f t="shared" si="42"/>
        <v>0.37648393790985413</v>
      </c>
      <c r="K34" s="523">
        <f t="shared" si="42"/>
        <v>0.40817861719810594</v>
      </c>
      <c r="L34" s="523">
        <f t="shared" si="42"/>
        <v>0.43494567039120352</v>
      </c>
      <c r="M34" s="523">
        <f t="shared" si="42"/>
        <v>0.45164839269883472</v>
      </c>
      <c r="N34" s="523">
        <f t="shared" si="42"/>
        <v>0.46674390201317889</v>
      </c>
      <c r="O34" s="523">
        <f t="shared" si="42"/>
        <v>0.48045572991120961</v>
      </c>
      <c r="P34" s="523">
        <f t="shared" ref="P34:X34" si="43">+P18</f>
        <v>0.49296557132110452</v>
      </c>
      <c r="Q34" s="523">
        <f t="shared" si="43"/>
        <v>0.50043420623216417</v>
      </c>
      <c r="R34" s="523">
        <f t="shared" si="43"/>
        <v>0.50352336505663486</v>
      </c>
      <c r="S34" s="523">
        <f t="shared" si="43"/>
        <v>0.50278104640044907</v>
      </c>
      <c r="T34" s="523">
        <f t="shared" si="43"/>
        <v>0.49866527760315699</v>
      </c>
      <c r="U34" s="523">
        <f t="shared" si="43"/>
        <v>0.49327302277523682</v>
      </c>
      <c r="V34" s="523">
        <f t="shared" si="43"/>
        <v>0.4867367073051852</v>
      </c>
      <c r="W34" s="523">
        <f t="shared" si="43"/>
        <v>0.47757283834113501</v>
      </c>
      <c r="X34" s="523">
        <f t="shared" si="43"/>
        <v>0.46914622315153715</v>
      </c>
    </row>
    <row r="35" spans="2:24" s="204" customFormat="1" ht="13.5" customHeight="1" collapsed="1">
      <c r="B35" s="90"/>
      <c r="C35" s="189"/>
      <c r="D35" s="189"/>
      <c r="E35" s="189"/>
      <c r="F35" s="189"/>
      <c r="G35" s="189"/>
      <c r="H35" s="189"/>
      <c r="I35" s="189"/>
      <c r="J35" s="189"/>
      <c r="K35" s="189"/>
      <c r="L35" s="462"/>
      <c r="M35" s="462"/>
      <c r="N35" s="462"/>
      <c r="O35" s="462"/>
    </row>
    <row r="36" spans="2:24" s="204" customFormat="1" ht="13.5" customHeight="1">
      <c r="B36" s="90" t="s">
        <v>258</v>
      </c>
      <c r="C36" s="189"/>
      <c r="D36" s="189"/>
      <c r="E36" s="377">
        <v>1.5</v>
      </c>
      <c r="F36" s="460">
        <v>6.8</v>
      </c>
      <c r="G36" s="460">
        <v>6</v>
      </c>
      <c r="H36" s="460">
        <v>6</v>
      </c>
      <c r="I36" s="460">
        <v>6</v>
      </c>
      <c r="J36" s="460">
        <f t="shared" ref="J36:T37" si="44">I36</f>
        <v>6</v>
      </c>
      <c r="K36" s="460">
        <f t="shared" si="44"/>
        <v>6</v>
      </c>
      <c r="L36" s="460">
        <f t="shared" si="44"/>
        <v>6</v>
      </c>
      <c r="M36" s="460">
        <f t="shared" si="44"/>
        <v>6</v>
      </c>
      <c r="N36" s="460">
        <f t="shared" si="44"/>
        <v>6</v>
      </c>
      <c r="O36" s="460">
        <f t="shared" si="44"/>
        <v>6</v>
      </c>
      <c r="P36" s="460">
        <f t="shared" si="44"/>
        <v>6</v>
      </c>
      <c r="Q36" s="460">
        <f t="shared" si="44"/>
        <v>6</v>
      </c>
      <c r="R36" s="460">
        <f t="shared" si="44"/>
        <v>6</v>
      </c>
      <c r="S36" s="460">
        <f t="shared" si="44"/>
        <v>6</v>
      </c>
      <c r="T36" s="460">
        <f t="shared" si="44"/>
        <v>6</v>
      </c>
      <c r="U36" s="460">
        <f t="shared" ref="U36:X37" si="45">T36</f>
        <v>6</v>
      </c>
      <c r="V36" s="460">
        <f t="shared" si="45"/>
        <v>6</v>
      </c>
      <c r="W36" s="460">
        <f t="shared" si="45"/>
        <v>6</v>
      </c>
      <c r="X36" s="460">
        <f t="shared" si="45"/>
        <v>6</v>
      </c>
    </row>
    <row r="37" spans="2:24" s="204" customFormat="1" ht="13.5" customHeight="1">
      <c r="B37" s="90" t="s">
        <v>259</v>
      </c>
      <c r="C37" s="189"/>
      <c r="D37" s="189"/>
      <c r="E37" s="377">
        <v>1.5</v>
      </c>
      <c r="F37" s="377">
        <v>11</v>
      </c>
      <c r="G37" s="377">
        <f>F37</f>
        <v>11</v>
      </c>
      <c r="H37" s="377">
        <f>G37</f>
        <v>11</v>
      </c>
      <c r="I37" s="377">
        <f>H37</f>
        <v>11</v>
      </c>
      <c r="J37" s="377">
        <f t="shared" si="44"/>
        <v>11</v>
      </c>
      <c r="K37" s="377">
        <f t="shared" si="44"/>
        <v>11</v>
      </c>
      <c r="L37" s="377">
        <f t="shared" si="44"/>
        <v>11</v>
      </c>
      <c r="M37" s="377">
        <f t="shared" si="44"/>
        <v>11</v>
      </c>
      <c r="N37" s="377">
        <f t="shared" si="44"/>
        <v>11</v>
      </c>
      <c r="O37" s="377">
        <f t="shared" si="44"/>
        <v>11</v>
      </c>
      <c r="P37" s="377">
        <f t="shared" si="44"/>
        <v>11</v>
      </c>
      <c r="Q37" s="377">
        <f t="shared" si="44"/>
        <v>11</v>
      </c>
      <c r="R37" s="377">
        <f t="shared" si="44"/>
        <v>11</v>
      </c>
      <c r="S37" s="377">
        <f t="shared" si="44"/>
        <v>11</v>
      </c>
      <c r="T37" s="377">
        <f t="shared" si="44"/>
        <v>11</v>
      </c>
      <c r="U37" s="377">
        <f t="shared" si="45"/>
        <v>11</v>
      </c>
      <c r="V37" s="377">
        <f t="shared" si="45"/>
        <v>11</v>
      </c>
      <c r="W37" s="377">
        <f t="shared" si="45"/>
        <v>11</v>
      </c>
      <c r="X37" s="377">
        <f t="shared" si="45"/>
        <v>11</v>
      </c>
    </row>
    <row r="38" spans="2:24" s="204" customFormat="1" ht="13.5" customHeight="1">
      <c r="B38" s="90"/>
      <c r="C38" s="189"/>
      <c r="D38" s="189"/>
      <c r="E38" s="189"/>
      <c r="F38" s="189"/>
      <c r="G38" s="189"/>
      <c r="H38" s="189"/>
      <c r="I38" s="189"/>
      <c r="J38" s="189"/>
      <c r="K38" s="189"/>
      <c r="L38" s="189"/>
      <c r="M38" s="189"/>
      <c r="N38" s="189"/>
      <c r="O38" s="189"/>
      <c r="S38" s="910"/>
    </row>
    <row r="39" spans="2:24">
      <c r="B39" s="203" t="s">
        <v>62</v>
      </c>
      <c r="C39" s="217"/>
      <c r="D39" s="217"/>
      <c r="E39" s="218">
        <f>7000*0.925</f>
        <v>6475</v>
      </c>
      <c r="F39" s="218">
        <f>+E39*(1+F40)</f>
        <v>6572.1250000000009</v>
      </c>
      <c r="G39" s="218">
        <f>7871*0.914</f>
        <v>7194.0940000000001</v>
      </c>
      <c r="H39" s="217">
        <f>+G39*(1+H40)</f>
        <v>7841.562460000001</v>
      </c>
      <c r="I39" s="217">
        <f t="shared" ref="I39:X39" si="46">H39*(1+I40)</f>
        <v>8194.4327707000011</v>
      </c>
      <c r="J39" s="217">
        <f t="shared" si="46"/>
        <v>8563.1822453815003</v>
      </c>
      <c r="K39" s="217">
        <f t="shared" si="46"/>
        <v>8948.5254464236677</v>
      </c>
      <c r="L39" s="217">
        <f t="shared" si="46"/>
        <v>9351.2090915127319</v>
      </c>
      <c r="M39" s="217">
        <f t="shared" si="46"/>
        <v>9725.2574551732414</v>
      </c>
      <c r="N39" s="217">
        <f t="shared" si="46"/>
        <v>10114.267753380171</v>
      </c>
      <c r="O39" s="217">
        <f t="shared" si="46"/>
        <v>10518.838463515378</v>
      </c>
      <c r="P39" s="217">
        <f t="shared" si="46"/>
        <v>10939.592002055993</v>
      </c>
      <c r="Q39" s="217">
        <f t="shared" si="46"/>
        <v>11377.175682138233</v>
      </c>
      <c r="R39" s="217">
        <f t="shared" si="46"/>
        <v>11832.262709423763</v>
      </c>
      <c r="S39" s="217">
        <f t="shared" si="46"/>
        <v>12305.553217800714</v>
      </c>
      <c r="T39" s="217">
        <f t="shared" si="46"/>
        <v>12797.775346512743</v>
      </c>
      <c r="U39" s="217">
        <f t="shared" si="46"/>
        <v>13309.686360373253</v>
      </c>
      <c r="V39" s="217">
        <f t="shared" si="46"/>
        <v>13842.073814788184</v>
      </c>
      <c r="W39" s="217">
        <f t="shared" si="46"/>
        <v>14395.756767379711</v>
      </c>
      <c r="X39" s="217">
        <f t="shared" si="46"/>
        <v>14971.5870380749</v>
      </c>
    </row>
    <row r="40" spans="2:24">
      <c r="B40" s="203" t="s">
        <v>61</v>
      </c>
      <c r="C40" s="217"/>
      <c r="D40" s="217"/>
      <c r="E40" s="219"/>
      <c r="F40" s="231">
        <f>9%*0.166666666666667</f>
        <v>1.5000000000000029E-2</v>
      </c>
      <c r="G40" s="231">
        <f>+G39/F39-1</f>
        <v>9.4637427011811104E-2</v>
      </c>
      <c r="H40" s="220">
        <v>0.09</v>
      </c>
      <c r="I40" s="220">
        <v>4.4999999999999998E-2</v>
      </c>
      <c r="J40" s="220">
        <v>4.4999999999999998E-2</v>
      </c>
      <c r="K40" s="220">
        <v>4.4999999999999998E-2</v>
      </c>
      <c r="L40" s="220">
        <v>4.4999999999999998E-2</v>
      </c>
      <c r="M40" s="220">
        <v>0.04</v>
      </c>
      <c r="N40" s="220">
        <v>0.04</v>
      </c>
      <c r="O40" s="220">
        <v>0.04</v>
      </c>
      <c r="P40" s="220">
        <v>0.04</v>
      </c>
      <c r="Q40" s="220">
        <v>0.04</v>
      </c>
      <c r="R40" s="220">
        <v>0.04</v>
      </c>
      <c r="S40" s="220">
        <v>0.04</v>
      </c>
      <c r="T40" s="220">
        <v>0.04</v>
      </c>
      <c r="U40" s="220">
        <v>0.04</v>
      </c>
      <c r="V40" s="220">
        <f>U40</f>
        <v>0.04</v>
      </c>
      <c r="W40" s="220">
        <f>V40</f>
        <v>0.04</v>
      </c>
      <c r="X40" s="220">
        <f>W40</f>
        <v>0.04</v>
      </c>
    </row>
    <row r="41" spans="2:24">
      <c r="H41" s="792"/>
      <c r="J41" s="792"/>
    </row>
    <row r="42" spans="2:24">
      <c r="B42" s="90" t="s">
        <v>477</v>
      </c>
      <c r="E42" s="220">
        <v>0</v>
      </c>
      <c r="F42" s="220">
        <v>0</v>
      </c>
      <c r="G42" s="220">
        <v>0</v>
      </c>
      <c r="H42" s="220">
        <v>0</v>
      </c>
      <c r="I42" s="220">
        <v>0</v>
      </c>
      <c r="J42" s="220">
        <v>0</v>
      </c>
      <c r="K42" s="220">
        <v>0</v>
      </c>
      <c r="L42" s="220">
        <v>0</v>
      </c>
      <c r="M42" s="220">
        <v>0</v>
      </c>
      <c r="N42" s="220">
        <v>0</v>
      </c>
      <c r="O42" s="220">
        <v>0</v>
      </c>
      <c r="P42" s="220">
        <v>0</v>
      </c>
      <c r="Q42" s="220">
        <v>0</v>
      </c>
      <c r="R42" s="220">
        <v>0</v>
      </c>
      <c r="S42" s="220">
        <v>0</v>
      </c>
      <c r="T42" s="220">
        <v>0.2</v>
      </c>
      <c r="U42" s="220">
        <v>0.85</v>
      </c>
      <c r="V42" s="220">
        <v>0.95</v>
      </c>
      <c r="W42" s="220">
        <v>0.99</v>
      </c>
      <c r="X42" s="220">
        <v>0.99399999999999999</v>
      </c>
    </row>
    <row r="43" spans="2:24">
      <c r="H43" s="792"/>
    </row>
    <row r="44" spans="2:24">
      <c r="B44" s="191" t="s">
        <v>386</v>
      </c>
      <c r="C44" s="192"/>
      <c r="D44" s="192"/>
      <c r="E44" s="192">
        <f>+(((E24*E36*E39)+(E20*E37*E39)-(E29*0.5*E37*E39))/1000000)*(1-E42)</f>
        <v>3.1565625000000002</v>
      </c>
      <c r="F44" s="192">
        <f t="shared" ref="F44:X44" si="47">+(((F24*F36*F39)+(F20*F37*F39)-(F29*0.5*F37*F39))/1000000)*(1-F42)</f>
        <v>120.76133777056172</v>
      </c>
      <c r="G44" s="192">
        <f t="shared" si="47"/>
        <v>225.1488982657867</v>
      </c>
      <c r="H44" s="192">
        <f t="shared" si="47"/>
        <v>343.45373884793372</v>
      </c>
      <c r="I44" s="192">
        <f t="shared" si="47"/>
        <v>472.96064783416637</v>
      </c>
      <c r="J44" s="192">
        <f t="shared" si="47"/>
        <v>590.22572391630547</v>
      </c>
      <c r="K44" s="192">
        <f t="shared" si="47"/>
        <v>694.95083818621697</v>
      </c>
      <c r="L44" s="192">
        <f t="shared" si="47"/>
        <v>792.6087748448291</v>
      </c>
      <c r="M44" s="192">
        <f t="shared" si="47"/>
        <v>871.92632056918342</v>
      </c>
      <c r="N44" s="192">
        <f t="shared" si="47"/>
        <v>949.13876186546929</v>
      </c>
      <c r="O44" s="192">
        <f t="shared" si="47"/>
        <v>1039.889566237541</v>
      </c>
      <c r="P44" s="192">
        <f t="shared" si="47"/>
        <v>1137.8147593457377</v>
      </c>
      <c r="Q44" s="192">
        <f t="shared" si="47"/>
        <v>1222.2548032808984</v>
      </c>
      <c r="R44" s="192">
        <f t="shared" si="47"/>
        <v>1281.9983950147443</v>
      </c>
      <c r="S44" s="192">
        <f t="shared" si="47"/>
        <v>1317.949393312723</v>
      </c>
      <c r="T44" s="192">
        <f t="shared" si="47"/>
        <v>1064.5946970782475</v>
      </c>
      <c r="U44" s="192">
        <f t="shared" si="47"/>
        <v>199.42538802481533</v>
      </c>
      <c r="V44" s="192">
        <f t="shared" si="47"/>
        <v>66.078574768043339</v>
      </c>
      <c r="W44" s="192">
        <f t="shared" si="47"/>
        <v>12.968159291585543</v>
      </c>
      <c r="X44" s="192">
        <f t="shared" si="47"/>
        <v>7.6033513820365375</v>
      </c>
    </row>
    <row r="46" spans="2:24" ht="15.75" customHeight="1">
      <c r="E46" s="599"/>
      <c r="F46" s="599"/>
      <c r="G46" s="599"/>
      <c r="H46" s="599"/>
      <c r="I46" s="599"/>
      <c r="J46" s="599"/>
      <c r="K46" s="599"/>
      <c r="L46" s="599"/>
      <c r="M46" s="599"/>
      <c r="N46" s="599"/>
      <c r="O46" s="599"/>
    </row>
    <row r="47" spans="2:24" customFormat="1">
      <c r="B47" s="907" t="s">
        <v>290</v>
      </c>
      <c r="C47" s="908"/>
      <c r="D47" s="905">
        <v>2010</v>
      </c>
      <c r="E47" s="906">
        <f t="shared" ref="E47:L47" si="48">D47+1</f>
        <v>2011</v>
      </c>
      <c r="F47" s="906">
        <f t="shared" si="48"/>
        <v>2012</v>
      </c>
      <c r="G47" s="906">
        <f>F47+1</f>
        <v>2013</v>
      </c>
      <c r="H47" s="906">
        <f>G47+1</f>
        <v>2014</v>
      </c>
      <c r="I47" s="904">
        <f t="shared" si="48"/>
        <v>2015</v>
      </c>
      <c r="J47" s="904">
        <f t="shared" si="48"/>
        <v>2016</v>
      </c>
      <c r="K47" s="904">
        <f t="shared" si="48"/>
        <v>2017</v>
      </c>
      <c r="L47" s="904">
        <f t="shared" si="48"/>
        <v>2018</v>
      </c>
      <c r="M47" s="904">
        <f>L47+1</f>
        <v>2019</v>
      </c>
      <c r="N47" s="904">
        <f>M47+1</f>
        <v>2020</v>
      </c>
      <c r="O47" s="904">
        <f>N47+1</f>
        <v>2021</v>
      </c>
      <c r="P47" s="904">
        <f t="shared" ref="P47:X47" si="49">O47+1</f>
        <v>2022</v>
      </c>
      <c r="Q47" s="904">
        <f t="shared" si="49"/>
        <v>2023</v>
      </c>
      <c r="R47" s="904">
        <f t="shared" si="49"/>
        <v>2024</v>
      </c>
      <c r="S47" s="904">
        <f t="shared" si="49"/>
        <v>2025</v>
      </c>
      <c r="T47" s="904">
        <f t="shared" si="49"/>
        <v>2026</v>
      </c>
      <c r="U47" s="904">
        <f t="shared" si="49"/>
        <v>2027</v>
      </c>
      <c r="V47" s="904">
        <f t="shared" si="49"/>
        <v>2028</v>
      </c>
      <c r="W47" s="904">
        <f t="shared" si="49"/>
        <v>2029</v>
      </c>
      <c r="X47" s="904">
        <f t="shared" si="49"/>
        <v>2030</v>
      </c>
    </row>
    <row r="48" spans="2:24">
      <c r="B48" s="90" t="s">
        <v>291</v>
      </c>
      <c r="C48" s="215"/>
      <c r="D48" s="215">
        <v>500000000</v>
      </c>
      <c r="E48" s="216">
        <f t="shared" ref="E48:L48" si="50">(1+E49)*D48</f>
        <v>505000000</v>
      </c>
      <c r="F48" s="216">
        <f t="shared" si="50"/>
        <v>510050000</v>
      </c>
      <c r="G48" s="216">
        <f t="shared" si="50"/>
        <v>515150500</v>
      </c>
      <c r="H48" s="216">
        <f t="shared" si="50"/>
        <v>520302005</v>
      </c>
      <c r="I48" s="216">
        <f t="shared" si="50"/>
        <v>525505025.05000001</v>
      </c>
      <c r="J48" s="216">
        <f t="shared" si="50"/>
        <v>530760075.30050004</v>
      </c>
      <c r="K48" s="216">
        <f t="shared" si="50"/>
        <v>536067676.05350506</v>
      </c>
      <c r="L48" s="216">
        <f t="shared" si="50"/>
        <v>541428352.81404006</v>
      </c>
      <c r="M48" s="216">
        <f>(1+M49)*L48</f>
        <v>546842636.34218049</v>
      </c>
      <c r="N48" s="216">
        <f>(1+N49)*M48</f>
        <v>552311062.70560229</v>
      </c>
      <c r="O48" s="216">
        <f>(1+O49)*N48</f>
        <v>557834173.33265829</v>
      </c>
      <c r="P48" s="216">
        <f t="shared" ref="P48:X48" si="51">(1+P49)*O48</f>
        <v>563412515.06598485</v>
      </c>
      <c r="Q48" s="216">
        <f t="shared" si="51"/>
        <v>569046640.21664464</v>
      </c>
      <c r="R48" s="216">
        <f t="shared" si="51"/>
        <v>574737106.61881113</v>
      </c>
      <c r="S48" s="216">
        <f t="shared" si="51"/>
        <v>580484477.68499923</v>
      </c>
      <c r="T48" s="216">
        <f t="shared" si="51"/>
        <v>586289322.46184921</v>
      </c>
      <c r="U48" s="216">
        <f t="shared" si="51"/>
        <v>592152215.68646777</v>
      </c>
      <c r="V48" s="216">
        <f t="shared" si="51"/>
        <v>598073737.84333241</v>
      </c>
      <c r="W48" s="216">
        <f t="shared" si="51"/>
        <v>604054475.22176576</v>
      </c>
      <c r="X48" s="216">
        <f t="shared" si="51"/>
        <v>610095019.97398341</v>
      </c>
    </row>
    <row r="49" spans="2:24">
      <c r="B49" s="204" t="s">
        <v>52</v>
      </c>
      <c r="C49" s="208"/>
      <c r="D49" s="208">
        <v>0.01</v>
      </c>
      <c r="E49" s="208">
        <v>0.01</v>
      </c>
      <c r="F49" s="208">
        <f t="shared" ref="F49:L49" si="52">E49</f>
        <v>0.01</v>
      </c>
      <c r="G49" s="208">
        <f t="shared" si="52"/>
        <v>0.01</v>
      </c>
      <c r="H49" s="208">
        <f t="shared" si="52"/>
        <v>0.01</v>
      </c>
      <c r="I49" s="208">
        <f t="shared" si="52"/>
        <v>0.01</v>
      </c>
      <c r="J49" s="208">
        <f t="shared" si="52"/>
        <v>0.01</v>
      </c>
      <c r="K49" s="208">
        <f t="shared" si="52"/>
        <v>0.01</v>
      </c>
      <c r="L49" s="208">
        <f t="shared" si="52"/>
        <v>0.01</v>
      </c>
      <c r="M49" s="208">
        <f>L49</f>
        <v>0.01</v>
      </c>
      <c r="N49" s="208">
        <f>M49</f>
        <v>0.01</v>
      </c>
      <c r="O49" s="208">
        <f>N49</f>
        <v>0.01</v>
      </c>
      <c r="P49" s="208">
        <f t="shared" ref="P49:X49" si="53">O49</f>
        <v>0.01</v>
      </c>
      <c r="Q49" s="208">
        <f t="shared" si="53"/>
        <v>0.01</v>
      </c>
      <c r="R49" s="208">
        <f t="shared" si="53"/>
        <v>0.01</v>
      </c>
      <c r="S49" s="208">
        <f t="shared" si="53"/>
        <v>0.01</v>
      </c>
      <c r="T49" s="208">
        <f t="shared" si="53"/>
        <v>0.01</v>
      </c>
      <c r="U49" s="208">
        <f t="shared" si="53"/>
        <v>0.01</v>
      </c>
      <c r="V49" s="208">
        <f t="shared" si="53"/>
        <v>0.01</v>
      </c>
      <c r="W49" s="208">
        <f t="shared" si="53"/>
        <v>0.01</v>
      </c>
      <c r="X49" s="208">
        <f t="shared" si="53"/>
        <v>0.01</v>
      </c>
    </row>
    <row r="50" spans="2:24" s="204" customFormat="1">
      <c r="B50" s="2"/>
      <c r="C50" s="208"/>
      <c r="D50" s="208"/>
      <c r="E50" s="314"/>
      <c r="F50" s="314"/>
      <c r="G50" s="314"/>
      <c r="H50" s="314"/>
      <c r="I50" s="314"/>
      <c r="J50" s="314"/>
      <c r="K50" s="314"/>
      <c r="L50" s="314"/>
      <c r="M50" s="314"/>
      <c r="N50" s="314"/>
      <c r="O50" s="314"/>
    </row>
    <row r="51" spans="2:24" s="204" customFormat="1">
      <c r="B51" s="90" t="s">
        <v>267</v>
      </c>
      <c r="C51" s="189"/>
      <c r="D51" s="554">
        <v>24500</v>
      </c>
      <c r="E51" s="189">
        <f t="shared" ref="E51:L51" si="54">D59</f>
        <v>26315</v>
      </c>
      <c r="F51" s="189">
        <f t="shared" si="54"/>
        <v>27944.05</v>
      </c>
      <c r="G51" s="189">
        <f t="shared" si="54"/>
        <v>29411.823500000002</v>
      </c>
      <c r="H51" s="189">
        <f t="shared" si="54"/>
        <v>30739.791445000003</v>
      </c>
      <c r="I51" s="189">
        <f t="shared" si="54"/>
        <v>31946.638607150002</v>
      </c>
      <c r="J51" s="189">
        <f t="shared" si="54"/>
        <v>33048.625838720502</v>
      </c>
      <c r="K51" s="189">
        <f t="shared" si="54"/>
        <v>34059.905232691832</v>
      </c>
      <c r="L51" s="189">
        <f t="shared" si="54"/>
        <v>34992.794312976948</v>
      </c>
      <c r="M51" s="189">
        <f>L59</f>
        <v>35858.014580430347</v>
      </c>
      <c r="N51" s="189">
        <f>M59</f>
        <v>36664.899048396212</v>
      </c>
      <c r="O51" s="189">
        <f>N59</f>
        <v>37421.572799160727</v>
      </c>
      <c r="P51" s="189">
        <f t="shared" ref="P51:X51" si="55">O59</f>
        <v>38135.110068596412</v>
      </c>
      <c r="Q51" s="189">
        <f t="shared" si="55"/>
        <v>38811.670910338726</v>
      </c>
      <c r="R51" s="189">
        <f t="shared" si="55"/>
        <v>39456.620094161139</v>
      </c>
      <c r="S51" s="189">
        <f t="shared" si="55"/>
        <v>40074.630548108304</v>
      </c>
      <c r="T51" s="189">
        <f t="shared" si="55"/>
        <v>40669.773353704215</v>
      </c>
      <c r="U51" s="189">
        <f t="shared" si="55"/>
        <v>41245.59604234116</v>
      </c>
      <c r="V51" s="189">
        <f t="shared" si="55"/>
        <v>41805.190713701493</v>
      </c>
      <c r="W51" s="189">
        <f t="shared" si="55"/>
        <v>42351.253299353622</v>
      </c>
      <c r="X51" s="189">
        <f t="shared" si="55"/>
        <v>42886.135122655316</v>
      </c>
    </row>
    <row r="52" spans="2:24" s="204" customFormat="1">
      <c r="B52" s="90"/>
      <c r="C52" s="189"/>
      <c r="D52" s="189"/>
      <c r="E52" s="189"/>
      <c r="F52" s="189"/>
      <c r="G52" s="189"/>
      <c r="H52" s="189"/>
      <c r="I52" s="189"/>
      <c r="J52" s="189"/>
      <c r="K52" s="189"/>
      <c r="L52" s="189"/>
      <c r="M52" s="189"/>
      <c r="N52" s="189"/>
      <c r="O52" s="189"/>
    </row>
    <row r="53" spans="2:24">
      <c r="B53" s="90" t="s">
        <v>114</v>
      </c>
      <c r="C53" s="189"/>
      <c r="D53" s="189">
        <f t="shared" ref="D53:L53" si="56">+D48*D54</f>
        <v>5000</v>
      </c>
      <c r="E53" s="189">
        <f t="shared" si="56"/>
        <v>5050</v>
      </c>
      <c r="F53" s="189">
        <f t="shared" si="56"/>
        <v>5100.5</v>
      </c>
      <c r="G53" s="189">
        <f t="shared" si="56"/>
        <v>5151.5050000000001</v>
      </c>
      <c r="H53" s="189">
        <f t="shared" si="56"/>
        <v>5203.0200500000001</v>
      </c>
      <c r="I53" s="189">
        <f t="shared" si="56"/>
        <v>5255.0502505000004</v>
      </c>
      <c r="J53" s="189">
        <f t="shared" si="56"/>
        <v>5307.600753005001</v>
      </c>
      <c r="K53" s="189">
        <f t="shared" si="56"/>
        <v>5360.6767605350515</v>
      </c>
      <c r="L53" s="189">
        <f t="shared" si="56"/>
        <v>5414.2835281404014</v>
      </c>
      <c r="M53" s="189">
        <f>+M48*M54</f>
        <v>5468.426363421805</v>
      </c>
      <c r="N53" s="189">
        <f>+N48*N54</f>
        <v>5523.1106270560231</v>
      </c>
      <c r="O53" s="189">
        <f>+O48*O54</f>
        <v>5578.3417333265834</v>
      </c>
      <c r="P53" s="189">
        <f t="shared" ref="P53:X53" si="57">+P48*P54</f>
        <v>5634.1251506598492</v>
      </c>
      <c r="Q53" s="189">
        <f t="shared" si="57"/>
        <v>5690.4664021664466</v>
      </c>
      <c r="R53" s="189">
        <f t="shared" si="57"/>
        <v>5747.3710661881114</v>
      </c>
      <c r="S53" s="189">
        <f t="shared" si="57"/>
        <v>5804.8447768499927</v>
      </c>
      <c r="T53" s="189">
        <f t="shared" si="57"/>
        <v>5862.8932246184922</v>
      </c>
      <c r="U53" s="189">
        <f t="shared" si="57"/>
        <v>5921.5221568646784</v>
      </c>
      <c r="V53" s="189">
        <f t="shared" si="57"/>
        <v>5980.7373784333249</v>
      </c>
      <c r="W53" s="189">
        <f t="shared" si="57"/>
        <v>6040.5447522176582</v>
      </c>
      <c r="X53" s="189">
        <f t="shared" si="57"/>
        <v>6100.9501997398347</v>
      </c>
    </row>
    <row r="54" spans="2:24" s="204" customFormat="1">
      <c r="B54" s="204" t="s">
        <v>16</v>
      </c>
      <c r="C54" s="205"/>
      <c r="D54" s="205">
        <f>+D9</f>
        <v>1.0000000000000001E-5</v>
      </c>
      <c r="E54" s="205">
        <f t="shared" ref="E54:L54" si="58">D54</f>
        <v>1.0000000000000001E-5</v>
      </c>
      <c r="F54" s="205">
        <f t="shared" si="58"/>
        <v>1.0000000000000001E-5</v>
      </c>
      <c r="G54" s="205">
        <f t="shared" si="58"/>
        <v>1.0000000000000001E-5</v>
      </c>
      <c r="H54" s="205">
        <f t="shared" si="58"/>
        <v>1.0000000000000001E-5</v>
      </c>
      <c r="I54" s="205">
        <f t="shared" si="58"/>
        <v>1.0000000000000001E-5</v>
      </c>
      <c r="J54" s="205">
        <f t="shared" si="58"/>
        <v>1.0000000000000001E-5</v>
      </c>
      <c r="K54" s="205">
        <f t="shared" si="58"/>
        <v>1.0000000000000001E-5</v>
      </c>
      <c r="L54" s="205">
        <f t="shared" si="58"/>
        <v>1.0000000000000001E-5</v>
      </c>
      <c r="M54" s="205">
        <f>L54</f>
        <v>1.0000000000000001E-5</v>
      </c>
      <c r="N54" s="205">
        <f>M54</f>
        <v>1.0000000000000001E-5</v>
      </c>
      <c r="O54" s="205">
        <f>N54</f>
        <v>1.0000000000000001E-5</v>
      </c>
      <c r="P54" s="205">
        <f t="shared" ref="P54:X54" si="59">O54</f>
        <v>1.0000000000000001E-5</v>
      </c>
      <c r="Q54" s="205">
        <f t="shared" si="59"/>
        <v>1.0000000000000001E-5</v>
      </c>
      <c r="R54" s="205">
        <f t="shared" si="59"/>
        <v>1.0000000000000001E-5</v>
      </c>
      <c r="S54" s="205">
        <f t="shared" si="59"/>
        <v>1.0000000000000001E-5</v>
      </c>
      <c r="T54" s="205">
        <f t="shared" si="59"/>
        <v>1.0000000000000001E-5</v>
      </c>
      <c r="U54" s="205">
        <f t="shared" si="59"/>
        <v>1.0000000000000001E-5</v>
      </c>
      <c r="V54" s="205">
        <f t="shared" si="59"/>
        <v>1.0000000000000001E-5</v>
      </c>
      <c r="W54" s="205">
        <f t="shared" si="59"/>
        <v>1.0000000000000001E-5</v>
      </c>
      <c r="X54" s="205">
        <f t="shared" si="59"/>
        <v>1.0000000000000001E-5</v>
      </c>
    </row>
    <row r="55" spans="2:24" s="204" customFormat="1">
      <c r="C55" s="205"/>
      <c r="D55" s="205"/>
      <c r="E55" s="205"/>
      <c r="F55" s="205"/>
      <c r="G55" s="205"/>
      <c r="H55" s="205"/>
      <c r="I55" s="205"/>
      <c r="J55" s="205"/>
      <c r="K55" s="205"/>
      <c r="L55" s="205"/>
      <c r="M55" s="205"/>
      <c r="N55" s="205"/>
      <c r="O55" s="205"/>
    </row>
    <row r="56" spans="2:24">
      <c r="B56" s="225" t="s">
        <v>96</v>
      </c>
      <c r="C56" s="189"/>
      <c r="D56" s="189">
        <f t="shared" ref="D56:L56" si="60">D57*D51</f>
        <v>3185</v>
      </c>
      <c r="E56" s="189">
        <f t="shared" si="60"/>
        <v>3420.9500000000003</v>
      </c>
      <c r="F56" s="189">
        <f t="shared" si="60"/>
        <v>3632.7265000000002</v>
      </c>
      <c r="G56" s="189">
        <f t="shared" si="60"/>
        <v>3823.5370550000002</v>
      </c>
      <c r="H56" s="189">
        <f t="shared" si="60"/>
        <v>3996.1728878500003</v>
      </c>
      <c r="I56" s="189">
        <f t="shared" si="60"/>
        <v>4153.0630189295007</v>
      </c>
      <c r="J56" s="189">
        <f t="shared" si="60"/>
        <v>4296.3213590336654</v>
      </c>
      <c r="K56" s="189">
        <f t="shared" si="60"/>
        <v>4427.7876802499386</v>
      </c>
      <c r="L56" s="189">
        <f t="shared" si="60"/>
        <v>4549.0632606870031</v>
      </c>
      <c r="M56" s="189">
        <f>M57*M51</f>
        <v>4661.5418954559455</v>
      </c>
      <c r="N56" s="189">
        <f>N57*N51</f>
        <v>4766.4368762915074</v>
      </c>
      <c r="O56" s="189">
        <f>O57*O51</f>
        <v>4864.804463890895</v>
      </c>
      <c r="P56" s="189">
        <f t="shared" ref="P56:X56" si="61">P57*P51</f>
        <v>4957.5643089175337</v>
      </c>
      <c r="Q56" s="189">
        <f t="shared" si="61"/>
        <v>5045.5172183440345</v>
      </c>
      <c r="R56" s="189">
        <f t="shared" si="61"/>
        <v>5129.3606122409483</v>
      </c>
      <c r="S56" s="189">
        <f t="shared" si="61"/>
        <v>5209.7019712540796</v>
      </c>
      <c r="T56" s="189">
        <f t="shared" si="61"/>
        <v>5287.0705359815483</v>
      </c>
      <c r="U56" s="189">
        <f t="shared" si="61"/>
        <v>5361.9274855043514</v>
      </c>
      <c r="V56" s="189">
        <f t="shared" si="61"/>
        <v>5434.6747927811939</v>
      </c>
      <c r="W56" s="189">
        <f t="shared" si="61"/>
        <v>5505.662928915971</v>
      </c>
      <c r="X56" s="189">
        <f t="shared" si="61"/>
        <v>5575.1975659451909</v>
      </c>
    </row>
    <row r="57" spans="2:24" s="204" customFormat="1">
      <c r="B57" s="204" t="s">
        <v>17</v>
      </c>
      <c r="C57" s="208"/>
      <c r="D57" s="208">
        <f>+D12</f>
        <v>0.13</v>
      </c>
      <c r="E57" s="208">
        <f t="shared" ref="E57:L57" si="62">+D57</f>
        <v>0.13</v>
      </c>
      <c r="F57" s="208">
        <f t="shared" si="62"/>
        <v>0.13</v>
      </c>
      <c r="G57" s="208">
        <f t="shared" si="62"/>
        <v>0.13</v>
      </c>
      <c r="H57" s="208">
        <f t="shared" si="62"/>
        <v>0.13</v>
      </c>
      <c r="I57" s="208">
        <f t="shared" si="62"/>
        <v>0.13</v>
      </c>
      <c r="J57" s="208">
        <f t="shared" si="62"/>
        <v>0.13</v>
      </c>
      <c r="K57" s="208">
        <f t="shared" si="62"/>
        <v>0.13</v>
      </c>
      <c r="L57" s="208">
        <f t="shared" si="62"/>
        <v>0.13</v>
      </c>
      <c r="M57" s="208">
        <f>+L57</f>
        <v>0.13</v>
      </c>
      <c r="N57" s="208">
        <f>+M57</f>
        <v>0.13</v>
      </c>
      <c r="O57" s="208">
        <f>+N57</f>
        <v>0.13</v>
      </c>
      <c r="P57" s="208">
        <f t="shared" ref="P57:X57" si="63">+O57</f>
        <v>0.13</v>
      </c>
      <c r="Q57" s="208">
        <f t="shared" si="63"/>
        <v>0.13</v>
      </c>
      <c r="R57" s="208">
        <f t="shared" si="63"/>
        <v>0.13</v>
      </c>
      <c r="S57" s="208">
        <f t="shared" si="63"/>
        <v>0.13</v>
      </c>
      <c r="T57" s="208">
        <f t="shared" si="63"/>
        <v>0.13</v>
      </c>
      <c r="U57" s="208">
        <f t="shared" si="63"/>
        <v>0.13</v>
      </c>
      <c r="V57" s="208">
        <f t="shared" si="63"/>
        <v>0.13</v>
      </c>
      <c r="W57" s="208">
        <f t="shared" si="63"/>
        <v>0.13</v>
      </c>
      <c r="X57" s="208">
        <f t="shared" si="63"/>
        <v>0.13</v>
      </c>
    </row>
    <row r="58" spans="2:24" s="204" customFormat="1">
      <c r="C58" s="208"/>
      <c r="D58" s="208"/>
      <c r="E58" s="208"/>
      <c r="F58" s="208"/>
      <c r="G58" s="208"/>
      <c r="H58" s="208"/>
      <c r="I58" s="208"/>
      <c r="J58" s="208"/>
      <c r="K58" s="208"/>
      <c r="L58" s="208"/>
      <c r="M58" s="208"/>
      <c r="N58" s="208"/>
      <c r="O58" s="208"/>
    </row>
    <row r="59" spans="2:24">
      <c r="B59" s="90" t="s">
        <v>15</v>
      </c>
      <c r="C59" s="189"/>
      <c r="D59" s="189">
        <f t="shared" ref="D59:L59" si="64">+D51+D53-D56</f>
        <v>26315</v>
      </c>
      <c r="E59" s="189">
        <f t="shared" si="64"/>
        <v>27944.05</v>
      </c>
      <c r="F59" s="189">
        <f t="shared" si="64"/>
        <v>29411.823500000002</v>
      </c>
      <c r="G59" s="189">
        <f t="shared" si="64"/>
        <v>30739.791445000003</v>
      </c>
      <c r="H59" s="189">
        <f t="shared" si="64"/>
        <v>31946.638607150002</v>
      </c>
      <c r="I59" s="189">
        <f t="shared" si="64"/>
        <v>33048.625838720502</v>
      </c>
      <c r="J59" s="189">
        <f t="shared" si="64"/>
        <v>34059.905232691832</v>
      </c>
      <c r="K59" s="189">
        <f t="shared" si="64"/>
        <v>34992.794312976948</v>
      </c>
      <c r="L59" s="189">
        <f t="shared" si="64"/>
        <v>35858.014580430347</v>
      </c>
      <c r="M59" s="189">
        <f>+M51+M53-M56</f>
        <v>36664.899048396212</v>
      </c>
      <c r="N59" s="189">
        <f>+N51+N53-N56</f>
        <v>37421.572799160727</v>
      </c>
      <c r="O59" s="189">
        <f>+O51+O53-O56</f>
        <v>38135.110068596412</v>
      </c>
      <c r="P59" s="189">
        <f t="shared" ref="P59:X59" si="65">+P51+P53-P56</f>
        <v>38811.670910338726</v>
      </c>
      <c r="Q59" s="189">
        <f t="shared" si="65"/>
        <v>39456.620094161139</v>
      </c>
      <c r="R59" s="189">
        <f t="shared" si="65"/>
        <v>40074.630548108304</v>
      </c>
      <c r="S59" s="189">
        <f t="shared" si="65"/>
        <v>40669.773353704215</v>
      </c>
      <c r="T59" s="189">
        <f t="shared" si="65"/>
        <v>41245.59604234116</v>
      </c>
      <c r="U59" s="189">
        <f t="shared" si="65"/>
        <v>41805.190713701493</v>
      </c>
      <c r="V59" s="189">
        <f t="shared" si="65"/>
        <v>42351.253299353622</v>
      </c>
      <c r="W59" s="189">
        <f t="shared" si="65"/>
        <v>42886.135122655316</v>
      </c>
      <c r="X59" s="189">
        <f t="shared" si="65"/>
        <v>43411.887756449956</v>
      </c>
    </row>
    <row r="60" spans="2:24">
      <c r="C60" s="189"/>
      <c r="D60" s="189"/>
      <c r="E60" s="189"/>
      <c r="F60" s="189"/>
      <c r="G60" s="189"/>
      <c r="H60" s="189"/>
      <c r="I60" s="189"/>
      <c r="J60" s="189"/>
      <c r="K60" s="189"/>
      <c r="L60" s="189"/>
      <c r="M60" s="189"/>
      <c r="N60" s="189"/>
      <c r="O60" s="189"/>
    </row>
    <row r="61" spans="2:24" ht="13.5" hidden="1" customHeight="1" outlineLevel="2">
      <c r="B61" s="247" t="s">
        <v>316</v>
      </c>
      <c r="C61" s="380"/>
      <c r="D61" s="380"/>
      <c r="E61" s="380">
        <f>+E68</f>
        <v>0</v>
      </c>
      <c r="F61" s="380">
        <f t="shared" ref="F61:N61" si="66">+F68+E61</f>
        <v>1029.4138225000002</v>
      </c>
      <c r="G61" s="380">
        <f t="shared" si="66"/>
        <v>7484.7700259499998</v>
      </c>
      <c r="H61" s="380">
        <f t="shared" si="66"/>
        <v>12915.6985891655</v>
      </c>
      <c r="I61" s="380">
        <f t="shared" si="66"/>
        <v>16881.53368981196</v>
      </c>
      <c r="J61" s="380">
        <f t="shared" si="66"/>
        <v>20968.722317734981</v>
      </c>
      <c r="K61" s="380">
        <f t="shared" si="66"/>
        <v>25167.857635292214</v>
      </c>
      <c r="L61" s="380">
        <f t="shared" si="66"/>
        <v>29470.819384943854</v>
      </c>
      <c r="M61" s="380">
        <f t="shared" si="66"/>
        <v>33503.958280267434</v>
      </c>
      <c r="N61" s="380">
        <f t="shared" si="66"/>
        <v>37246.115560183505</v>
      </c>
      <c r="O61" s="380">
        <f>+O68+N61</f>
        <v>40678.275466357183</v>
      </c>
      <c r="P61" s="380">
        <f t="shared" ref="P61:X61" si="67">+P68+O61</f>
        <v>43783.209139184284</v>
      </c>
      <c r="Q61" s="380">
        <f t="shared" si="67"/>
        <v>46545.172545775567</v>
      </c>
      <c r="R61" s="380">
        <f t="shared" si="67"/>
        <v>48949.650378662067</v>
      </c>
      <c r="S61" s="380">
        <f t="shared" si="67"/>
        <v>51186.487913115801</v>
      </c>
      <c r="T61" s="380">
        <f t="shared" si="67"/>
        <v>53248.767715232862</v>
      </c>
      <c r="U61" s="380">
        <f t="shared" si="67"/>
        <v>55339.027250917934</v>
      </c>
      <c r="V61" s="380">
        <f t="shared" si="67"/>
        <v>57456.589915885612</v>
      </c>
      <c r="W61" s="380">
        <f t="shared" si="67"/>
        <v>59600.896672018374</v>
      </c>
      <c r="X61" s="380">
        <f t="shared" si="67"/>
        <v>61771.491059840875</v>
      </c>
    </row>
    <row r="62" spans="2:24" hidden="1" outlineLevel="2">
      <c r="B62" s="173" t="s">
        <v>308</v>
      </c>
      <c r="C62" s="390"/>
      <c r="D62" s="390">
        <f>+D51+D53</f>
        <v>29500</v>
      </c>
      <c r="E62" s="390">
        <f t="shared" ref="E62:N62" si="68">+E53+D62</f>
        <v>34550</v>
      </c>
      <c r="F62" s="390">
        <f t="shared" si="68"/>
        <v>39650.5</v>
      </c>
      <c r="G62" s="390">
        <f t="shared" si="68"/>
        <v>44802.004999999997</v>
      </c>
      <c r="H62" s="390">
        <f t="shared" si="68"/>
        <v>50005.025049999997</v>
      </c>
      <c r="I62" s="390">
        <f t="shared" si="68"/>
        <v>55260.075300500001</v>
      </c>
      <c r="J62" s="390">
        <f t="shared" si="68"/>
        <v>60567.676053504998</v>
      </c>
      <c r="K62" s="390">
        <f t="shared" si="68"/>
        <v>65928.352814040045</v>
      </c>
      <c r="L62" s="390">
        <f t="shared" si="68"/>
        <v>71342.636342180442</v>
      </c>
      <c r="M62" s="390">
        <f t="shared" si="68"/>
        <v>76811.062705602249</v>
      </c>
      <c r="N62" s="390">
        <f t="shared" si="68"/>
        <v>82334.173332658276</v>
      </c>
      <c r="O62" s="390">
        <f>+O53+N62</f>
        <v>87912.515065984859</v>
      </c>
      <c r="P62" s="390">
        <f t="shared" ref="P62:X62" si="69">+P53+O62</f>
        <v>93546.640216644708</v>
      </c>
      <c r="Q62" s="390">
        <f t="shared" si="69"/>
        <v>99237.106618811158</v>
      </c>
      <c r="R62" s="390">
        <f t="shared" si="69"/>
        <v>104984.47768499926</v>
      </c>
      <c r="S62" s="390">
        <f t="shared" si="69"/>
        <v>110789.32246184925</v>
      </c>
      <c r="T62" s="390">
        <f t="shared" si="69"/>
        <v>116652.21568646774</v>
      </c>
      <c r="U62" s="390">
        <f t="shared" si="69"/>
        <v>122573.73784333242</v>
      </c>
      <c r="V62" s="390">
        <f t="shared" si="69"/>
        <v>128554.47522176575</v>
      </c>
      <c r="W62" s="390">
        <f t="shared" si="69"/>
        <v>134595.01997398341</v>
      </c>
      <c r="X62" s="390">
        <f t="shared" si="69"/>
        <v>140695.97017372324</v>
      </c>
    </row>
    <row r="63" spans="2:24" hidden="1" outlineLevel="2">
      <c r="B63" s="544" t="s">
        <v>309</v>
      </c>
      <c r="C63" s="545"/>
      <c r="D63" s="545"/>
      <c r="E63" s="546">
        <f t="shared" ref="E63:O63" si="70">+E61/E62</f>
        <v>0</v>
      </c>
      <c r="F63" s="546">
        <f t="shared" si="70"/>
        <v>2.5962190199366974E-2</v>
      </c>
      <c r="G63" s="546">
        <f t="shared" si="70"/>
        <v>0.16706328268009435</v>
      </c>
      <c r="H63" s="546">
        <f t="shared" si="70"/>
        <v>0.25828801357965725</v>
      </c>
      <c r="I63" s="546">
        <f t="shared" si="70"/>
        <v>0.30549241198119059</v>
      </c>
      <c r="J63" s="546">
        <f t="shared" si="70"/>
        <v>0.34620318433897612</v>
      </c>
      <c r="K63" s="546">
        <f t="shared" si="70"/>
        <v>0.38174558533688241</v>
      </c>
      <c r="L63" s="546">
        <f t="shared" si="70"/>
        <v>0.41308845447753101</v>
      </c>
      <c r="M63" s="546">
        <f t="shared" si="70"/>
        <v>0.4361866259900582</v>
      </c>
      <c r="N63" s="546">
        <f t="shared" si="70"/>
        <v>0.45237735502239679</v>
      </c>
      <c r="O63" s="546">
        <f t="shared" si="70"/>
        <v>0.46271313516426099</v>
      </c>
      <c r="P63" s="546">
        <f t="shared" ref="P63:X63" si="71">+P61/P62</f>
        <v>0.46803614793419335</v>
      </c>
      <c r="Q63" s="546">
        <f t="shared" si="71"/>
        <v>0.46902992370146923</v>
      </c>
      <c r="R63" s="546">
        <f t="shared" si="71"/>
        <v>0.46625607383153417</v>
      </c>
      <c r="S63" s="546">
        <f t="shared" si="71"/>
        <v>0.46201643602200088</v>
      </c>
      <c r="T63" s="546">
        <f t="shared" si="71"/>
        <v>0.45647455045648133</v>
      </c>
      <c r="U63" s="546">
        <f t="shared" si="71"/>
        <v>0.45147539941752851</v>
      </c>
      <c r="V63" s="546">
        <f t="shared" si="71"/>
        <v>0.44694352193316372</v>
      </c>
      <c r="W63" s="546">
        <f t="shared" si="71"/>
        <v>0.44281650750182994</v>
      </c>
      <c r="X63" s="546">
        <f t="shared" si="71"/>
        <v>0.43904236193523533</v>
      </c>
    </row>
    <row r="64" spans="2:24" s="210" customFormat="1" collapsed="1">
      <c r="B64" s="386"/>
      <c r="C64" s="385"/>
      <c r="D64" s="385"/>
      <c r="E64" s="385"/>
      <c r="F64" s="385"/>
      <c r="G64" s="385"/>
      <c r="H64" s="385"/>
      <c r="I64" s="385"/>
      <c r="J64" s="385"/>
      <c r="K64" s="385"/>
      <c r="L64" s="385"/>
      <c r="M64" s="385"/>
      <c r="N64" s="385"/>
      <c r="O64" s="385"/>
      <c r="P64" s="385"/>
      <c r="Q64" s="385"/>
      <c r="R64" s="385"/>
      <c r="S64" s="385"/>
      <c r="T64" s="385"/>
      <c r="U64" s="385"/>
      <c r="V64" s="385"/>
      <c r="W64" s="385"/>
      <c r="X64" s="385"/>
    </row>
    <row r="65" spans="2:24" s="204" customFormat="1">
      <c r="B65" s="387" t="s">
        <v>390</v>
      </c>
      <c r="C65" s="314"/>
      <c r="D65" s="189"/>
      <c r="E65" s="189"/>
      <c r="F65" s="189">
        <v>0</v>
      </c>
      <c r="G65" s="189">
        <f t="shared" ref="G65:L65" si="72">+F77</f>
        <v>1029.4138225000002</v>
      </c>
      <c r="H65" s="189">
        <f t="shared" si="72"/>
        <v>4490.8620155699991</v>
      </c>
      <c r="I65" s="189">
        <f t="shared" si="72"/>
        <v>6945.2534051498496</v>
      </c>
      <c r="J65" s="189">
        <f t="shared" si="72"/>
        <v>8401.5381494631583</v>
      </c>
      <c r="K65" s="189">
        <f t="shared" si="72"/>
        <v>9866.0941541350803</v>
      </c>
      <c r="L65" s="189">
        <f t="shared" si="72"/>
        <v>11252.183577353851</v>
      </c>
      <c r="M65" s="189">
        <f>+L77</f>
        <v>12444.116261604393</v>
      </c>
      <c r="N65" s="189">
        <f>+M77</f>
        <v>13181.80412554238</v>
      </c>
      <c r="O65" s="189">
        <f>+N77</f>
        <v>13708.408738421345</v>
      </c>
      <c r="P65" s="189">
        <f t="shared" ref="P65:X65" si="73">+O77</f>
        <v>14055.26628856792</v>
      </c>
      <c r="Q65" s="189">
        <f t="shared" si="73"/>
        <v>14242.965967957865</v>
      </c>
      <c r="R65" s="189">
        <f t="shared" si="73"/>
        <v>14114.09138087579</v>
      </c>
      <c r="S65" s="189">
        <f t="shared" si="73"/>
        <v>13710.412447422701</v>
      </c>
      <c r="T65" s="189">
        <f t="shared" si="73"/>
        <v>13236.21748495744</v>
      </c>
      <c r="U65" s="189">
        <f t="shared" si="73"/>
        <v>12697.752748271834</v>
      </c>
      <c r="V65" s="189">
        <f t="shared" si="73"/>
        <v>12274.050195684234</v>
      </c>
      <c r="W65" s="189">
        <f t="shared" si="73"/>
        <v>11945.038674341091</v>
      </c>
      <c r="X65" s="189">
        <f t="shared" si="73"/>
        <v>11694.156707293301</v>
      </c>
    </row>
    <row r="66" spans="2:24" s="204" customFormat="1">
      <c r="B66" s="227" t="s">
        <v>287</v>
      </c>
      <c r="C66" s="314"/>
      <c r="D66" s="314"/>
      <c r="E66" s="314"/>
      <c r="F66" s="208">
        <f t="shared" ref="F66:X66" si="74">+F65/F59</f>
        <v>0</v>
      </c>
      <c r="G66" s="208">
        <f t="shared" si="74"/>
        <v>3.3487989804414892E-2</v>
      </c>
      <c r="H66" s="208">
        <f t="shared" si="74"/>
        <v>0.14057385100180447</v>
      </c>
      <c r="I66" s="208">
        <f t="shared" si="74"/>
        <v>0.21015256244066394</v>
      </c>
      <c r="J66" s="208">
        <f t="shared" si="74"/>
        <v>0.24666945172234603</v>
      </c>
      <c r="K66" s="208">
        <f t="shared" si="74"/>
        <v>0.28194645062901635</v>
      </c>
      <c r="L66" s="208">
        <f t="shared" si="74"/>
        <v>0.31379828774721885</v>
      </c>
      <c r="M66" s="208">
        <f t="shared" si="74"/>
        <v>0.33940135073544464</v>
      </c>
      <c r="N66" s="208">
        <f t="shared" si="74"/>
        <v>0.35225147260079925</v>
      </c>
      <c r="O66" s="208">
        <f t="shared" si="74"/>
        <v>0.35946949448324728</v>
      </c>
      <c r="P66" s="208">
        <f t="shared" si="74"/>
        <v>0.36214020058651614</v>
      </c>
      <c r="Q66" s="208">
        <f t="shared" si="74"/>
        <v>0.36097785197940879</v>
      </c>
      <c r="R66" s="208">
        <f t="shared" si="74"/>
        <v>0.35219517155453944</v>
      </c>
      <c r="S66" s="208">
        <f t="shared" si="74"/>
        <v>0.33711553610548833</v>
      </c>
      <c r="T66" s="208">
        <f t="shared" si="74"/>
        <v>0.32091226106587578</v>
      </c>
      <c r="U66" s="208">
        <f t="shared" si="74"/>
        <v>0.30373627129776959</v>
      </c>
      <c r="V66" s="208">
        <f t="shared" si="74"/>
        <v>0.28981551287105745</v>
      </c>
      <c r="W66" s="208">
        <f t="shared" si="74"/>
        <v>0.27852914794438832</v>
      </c>
      <c r="X66" s="208">
        <f t="shared" si="74"/>
        <v>0.26937682998030493</v>
      </c>
    </row>
    <row r="67" spans="2:24" s="204" customFormat="1">
      <c r="B67" s="227"/>
      <c r="C67" s="314"/>
      <c r="D67" s="314"/>
      <c r="E67" s="314"/>
      <c r="F67" s="229"/>
      <c r="G67" s="189"/>
      <c r="H67" s="189"/>
      <c r="I67" s="189"/>
      <c r="J67" s="189"/>
      <c r="K67" s="189"/>
      <c r="L67" s="189"/>
      <c r="M67" s="189"/>
      <c r="N67" s="189"/>
      <c r="O67" s="189"/>
    </row>
    <row r="68" spans="2:24" s="204" customFormat="1">
      <c r="B68" s="550" t="s">
        <v>315</v>
      </c>
      <c r="C68" s="551"/>
      <c r="D68" s="551"/>
      <c r="E68" s="552"/>
      <c r="F68" s="552">
        <f>+F69+(F59*F72)</f>
        <v>1029.4138225000002</v>
      </c>
      <c r="G68" s="552">
        <f t="shared" ref="G68:X68" si="75">+G69+(G59*G72)</f>
        <v>6455.3562034500001</v>
      </c>
      <c r="H68" s="552">
        <f t="shared" si="75"/>
        <v>5430.9285632155006</v>
      </c>
      <c r="I68" s="552">
        <f t="shared" si="75"/>
        <v>3965.83510064646</v>
      </c>
      <c r="J68" s="552">
        <f t="shared" si="75"/>
        <v>4087.1886279230198</v>
      </c>
      <c r="K68" s="552">
        <f t="shared" si="75"/>
        <v>4199.135317557234</v>
      </c>
      <c r="L68" s="552">
        <f t="shared" si="75"/>
        <v>4302.9617496516412</v>
      </c>
      <c r="M68" s="552">
        <f t="shared" si="75"/>
        <v>4033.1388953235833</v>
      </c>
      <c r="N68" s="552">
        <f t="shared" si="75"/>
        <v>3742.1572799160731</v>
      </c>
      <c r="O68" s="552">
        <f t="shared" si="75"/>
        <v>3432.159906173677</v>
      </c>
      <c r="P68" s="552">
        <f t="shared" si="75"/>
        <v>3104.9336728270982</v>
      </c>
      <c r="Q68" s="552">
        <f t="shared" si="75"/>
        <v>2761.9634065912801</v>
      </c>
      <c r="R68" s="552">
        <f t="shared" si="75"/>
        <v>2404.4778328864982</v>
      </c>
      <c r="S68" s="552">
        <f t="shared" si="75"/>
        <v>2236.8375344537317</v>
      </c>
      <c r="T68" s="552">
        <f t="shared" si="75"/>
        <v>2062.2798021170579</v>
      </c>
      <c r="U68" s="552">
        <f t="shared" si="75"/>
        <v>2090.2595356850748</v>
      </c>
      <c r="V68" s="552">
        <f t="shared" si="75"/>
        <v>2117.562664967681</v>
      </c>
      <c r="W68" s="552">
        <f t="shared" si="75"/>
        <v>2144.3067561327657</v>
      </c>
      <c r="X68" s="552">
        <f t="shared" si="75"/>
        <v>2170.594387822498</v>
      </c>
    </row>
    <row r="69" spans="2:24" s="204" customFormat="1">
      <c r="B69" s="788" t="s">
        <v>382</v>
      </c>
      <c r="C69" s="314"/>
      <c r="D69" s="189"/>
      <c r="E69" s="229"/>
      <c r="F69" s="229">
        <f t="shared" ref="F69:N69" si="76">F70*F59</f>
        <v>1029.4138225000002</v>
      </c>
      <c r="G69" s="229">
        <f t="shared" si="76"/>
        <v>6455.3562034500001</v>
      </c>
      <c r="H69" s="229">
        <f t="shared" si="76"/>
        <v>5430.9285632155006</v>
      </c>
      <c r="I69" s="229">
        <f t="shared" si="76"/>
        <v>3965.83510064646</v>
      </c>
      <c r="J69" s="229">
        <f t="shared" si="76"/>
        <v>4087.1886279230198</v>
      </c>
      <c r="K69" s="229">
        <f t="shared" si="76"/>
        <v>4199.135317557234</v>
      </c>
      <c r="L69" s="229">
        <f t="shared" si="76"/>
        <v>4302.9617496516412</v>
      </c>
      <c r="M69" s="229">
        <f t="shared" si="76"/>
        <v>4033.1388953235833</v>
      </c>
      <c r="N69" s="229">
        <f t="shared" si="76"/>
        <v>3742.1572799160731</v>
      </c>
      <c r="O69" s="229">
        <f>O70*O59</f>
        <v>3432.159906173677</v>
      </c>
      <c r="P69" s="229">
        <f t="shared" ref="P69:X69" si="77">P70*P59</f>
        <v>3104.9336728270982</v>
      </c>
      <c r="Q69" s="229">
        <f t="shared" si="77"/>
        <v>2761.9634065912801</v>
      </c>
      <c r="R69" s="229">
        <f t="shared" si="77"/>
        <v>2404.4778328864982</v>
      </c>
      <c r="S69" s="229">
        <f t="shared" si="77"/>
        <v>2236.8375344537317</v>
      </c>
      <c r="T69" s="229">
        <f t="shared" si="77"/>
        <v>2062.2798021170579</v>
      </c>
      <c r="U69" s="229">
        <f t="shared" si="77"/>
        <v>2090.2595356850748</v>
      </c>
      <c r="V69" s="229">
        <f t="shared" si="77"/>
        <v>2117.562664967681</v>
      </c>
      <c r="W69" s="229">
        <f t="shared" si="77"/>
        <v>2144.3067561327657</v>
      </c>
      <c r="X69" s="229">
        <f t="shared" si="77"/>
        <v>2170.594387822498</v>
      </c>
    </row>
    <row r="70" spans="2:24" s="204" customFormat="1">
      <c r="B70" s="227" t="s">
        <v>383</v>
      </c>
      <c r="C70" s="314"/>
      <c r="D70" s="314"/>
      <c r="E70" s="228"/>
      <c r="F70" s="228">
        <v>3.5000000000000003E-2</v>
      </c>
      <c r="G70" s="228">
        <v>0.21</v>
      </c>
      <c r="H70" s="228">
        <v>0.17</v>
      </c>
      <c r="I70" s="228">
        <v>0.12</v>
      </c>
      <c r="J70" s="228">
        <v>0.12</v>
      </c>
      <c r="K70" s="228">
        <v>0.12</v>
      </c>
      <c r="L70" s="228">
        <v>0.12</v>
      </c>
      <c r="M70" s="228">
        <v>0.11</v>
      </c>
      <c r="N70" s="228">
        <v>0.1</v>
      </c>
      <c r="O70" s="228">
        <v>0.09</v>
      </c>
      <c r="P70" s="228">
        <v>0.08</v>
      </c>
      <c r="Q70" s="228">
        <v>7.0000000000000007E-2</v>
      </c>
      <c r="R70" s="228">
        <v>0.06</v>
      </c>
      <c r="S70" s="228">
        <v>5.5E-2</v>
      </c>
      <c r="T70" s="228">
        <v>0.05</v>
      </c>
      <c r="U70" s="228">
        <v>0.05</v>
      </c>
      <c r="V70" s="228">
        <v>0.05</v>
      </c>
      <c r="W70" s="228">
        <v>0.05</v>
      </c>
      <c r="X70" s="228">
        <v>0.05</v>
      </c>
    </row>
    <row r="71" spans="2:24" s="204" customFormat="1">
      <c r="B71" s="391" t="s">
        <v>384</v>
      </c>
      <c r="C71" s="399"/>
      <c r="D71" s="399"/>
      <c r="E71" s="175"/>
      <c r="F71" s="175">
        <f t="shared" ref="F71:X71" si="78">+F69/F68</f>
        <v>1</v>
      </c>
      <c r="G71" s="175">
        <f t="shared" si="78"/>
        <v>1</v>
      </c>
      <c r="H71" s="549">
        <f t="shared" si="78"/>
        <v>1</v>
      </c>
      <c r="I71" s="549">
        <f t="shared" si="78"/>
        <v>1</v>
      </c>
      <c r="J71" s="549">
        <f t="shared" si="78"/>
        <v>1</v>
      </c>
      <c r="K71" s="549">
        <f t="shared" si="78"/>
        <v>1</v>
      </c>
      <c r="L71" s="549">
        <f t="shared" si="78"/>
        <v>1</v>
      </c>
      <c r="M71" s="549">
        <f t="shared" si="78"/>
        <v>1</v>
      </c>
      <c r="N71" s="549">
        <f t="shared" si="78"/>
        <v>1</v>
      </c>
      <c r="O71" s="549">
        <f t="shared" si="78"/>
        <v>1</v>
      </c>
      <c r="P71" s="549">
        <f t="shared" si="78"/>
        <v>1</v>
      </c>
      <c r="Q71" s="549">
        <f t="shared" si="78"/>
        <v>1</v>
      </c>
      <c r="R71" s="549">
        <f t="shared" si="78"/>
        <v>1</v>
      </c>
      <c r="S71" s="549">
        <f t="shared" si="78"/>
        <v>1</v>
      </c>
      <c r="T71" s="549">
        <f t="shared" si="78"/>
        <v>1</v>
      </c>
      <c r="U71" s="549">
        <f t="shared" si="78"/>
        <v>1</v>
      </c>
      <c r="V71" s="549">
        <f t="shared" si="78"/>
        <v>1</v>
      </c>
      <c r="W71" s="549">
        <f t="shared" si="78"/>
        <v>1</v>
      </c>
      <c r="X71" s="549">
        <f t="shared" si="78"/>
        <v>1</v>
      </c>
    </row>
    <row r="72" spans="2:24" s="204" customFormat="1">
      <c r="B72" s="227" t="s">
        <v>288</v>
      </c>
      <c r="C72" s="314"/>
      <c r="D72" s="314"/>
      <c r="E72" s="228"/>
      <c r="F72" s="228"/>
      <c r="G72" s="228"/>
      <c r="H72" s="228"/>
      <c r="I72" s="421">
        <f t="shared" ref="I72:M72" si="79">H27</f>
        <v>0</v>
      </c>
      <c r="J72" s="421">
        <f t="shared" si="79"/>
        <v>0</v>
      </c>
      <c r="K72" s="421">
        <f t="shared" si="79"/>
        <v>0</v>
      </c>
      <c r="L72" s="421">
        <f t="shared" si="79"/>
        <v>0</v>
      </c>
      <c r="M72" s="421">
        <f t="shared" si="79"/>
        <v>0</v>
      </c>
      <c r="N72" s="421">
        <v>0</v>
      </c>
      <c r="O72" s="421">
        <v>0</v>
      </c>
      <c r="P72" s="421">
        <v>0</v>
      </c>
      <c r="Q72" s="421">
        <v>0</v>
      </c>
      <c r="R72" s="421">
        <v>0</v>
      </c>
      <c r="S72" s="421">
        <v>0</v>
      </c>
      <c r="T72" s="421">
        <v>0</v>
      </c>
      <c r="U72" s="421">
        <v>0</v>
      </c>
      <c r="V72" s="421">
        <v>0</v>
      </c>
      <c r="W72" s="421">
        <v>0</v>
      </c>
      <c r="X72" s="421">
        <v>0</v>
      </c>
    </row>
    <row r="73" spans="2:24" s="204" customFormat="1">
      <c r="B73" s="227"/>
      <c r="C73" s="314"/>
      <c r="D73" s="314"/>
      <c r="E73" s="228"/>
      <c r="F73" s="228"/>
      <c r="G73" s="228"/>
      <c r="H73" s="228"/>
      <c r="I73" s="228"/>
      <c r="J73" s="228"/>
      <c r="K73" s="228"/>
      <c r="L73" s="228"/>
      <c r="M73" s="228"/>
      <c r="N73" s="228"/>
      <c r="O73" s="228"/>
    </row>
    <row r="74" spans="2:24" s="204" customFormat="1">
      <c r="B74" s="225" t="s">
        <v>70</v>
      </c>
      <c r="C74" s="189"/>
      <c r="D74" s="189"/>
      <c r="E74" s="189"/>
      <c r="F74" s="189"/>
      <c r="G74" s="189">
        <f>G75*G65+G69*G75</f>
        <v>2993.9080103800006</v>
      </c>
      <c r="H74" s="189">
        <f t="shared" ref="H74:X74" si="80">H75*H65+H69*H75</f>
        <v>2976.5371736356497</v>
      </c>
      <c r="I74" s="189">
        <f t="shared" si="80"/>
        <v>2509.5503563331513</v>
      </c>
      <c r="J74" s="189">
        <f t="shared" si="80"/>
        <v>2622.6326232510974</v>
      </c>
      <c r="K74" s="189">
        <f t="shared" si="80"/>
        <v>2813.0458943384629</v>
      </c>
      <c r="L74" s="189">
        <f t="shared" si="80"/>
        <v>3111.0290654010987</v>
      </c>
      <c r="M74" s="189">
        <f t="shared" si="80"/>
        <v>3295.4510313855958</v>
      </c>
      <c r="N74" s="189">
        <f t="shared" si="80"/>
        <v>3215.5526670371064</v>
      </c>
      <c r="O74" s="189">
        <f t="shared" si="80"/>
        <v>3085.302356027104</v>
      </c>
      <c r="P74" s="189">
        <f t="shared" si="80"/>
        <v>2917.233993437153</v>
      </c>
      <c r="Q74" s="189">
        <f t="shared" si="80"/>
        <v>2890.8379936733545</v>
      </c>
      <c r="R74" s="189">
        <f t="shared" si="80"/>
        <v>2808.1567663395886</v>
      </c>
      <c r="S74" s="189">
        <f t="shared" si="80"/>
        <v>2711.0324969189933</v>
      </c>
      <c r="T74" s="189">
        <f t="shared" si="80"/>
        <v>2600.7445388026645</v>
      </c>
      <c r="U74" s="189">
        <f t="shared" si="80"/>
        <v>2513.9620882726745</v>
      </c>
      <c r="V74" s="189">
        <f t="shared" si="80"/>
        <v>2446.5741863108256</v>
      </c>
      <c r="W74" s="189">
        <f t="shared" si="80"/>
        <v>2395.1887231805554</v>
      </c>
      <c r="X74" s="189">
        <f t="shared" si="80"/>
        <v>2357.0076861696857</v>
      </c>
    </row>
    <row r="75" spans="2:24" s="204" customFormat="1">
      <c r="B75" s="226" t="s">
        <v>289</v>
      </c>
      <c r="C75" s="314"/>
      <c r="D75" s="314"/>
      <c r="E75" s="314"/>
      <c r="F75" s="314"/>
      <c r="G75" s="232">
        <v>0.4</v>
      </c>
      <c r="H75" s="232">
        <v>0.3</v>
      </c>
      <c r="I75" s="232">
        <f t="shared" ref="I75:O75" si="81">+H30</f>
        <v>0.23</v>
      </c>
      <c r="J75" s="232">
        <f t="shared" si="81"/>
        <v>0.21</v>
      </c>
      <c r="K75" s="232">
        <f t="shared" si="81"/>
        <v>0.2</v>
      </c>
      <c r="L75" s="232">
        <f t="shared" si="81"/>
        <v>0.2</v>
      </c>
      <c r="M75" s="232">
        <f t="shared" si="81"/>
        <v>0.2</v>
      </c>
      <c r="N75" s="232">
        <f t="shared" si="81"/>
        <v>0.19</v>
      </c>
      <c r="O75" s="232">
        <f t="shared" si="81"/>
        <v>0.18</v>
      </c>
      <c r="P75" s="232">
        <f t="shared" ref="P75:X75" si="82">+O30</f>
        <v>0.16999999999999998</v>
      </c>
      <c r="Q75" s="232">
        <f t="shared" si="82"/>
        <v>0.16999999999999998</v>
      </c>
      <c r="R75" s="232">
        <f t="shared" si="82"/>
        <v>0.16999999999999998</v>
      </c>
      <c r="S75" s="232">
        <f t="shared" si="82"/>
        <v>0.16999999999999998</v>
      </c>
      <c r="T75" s="232">
        <f t="shared" si="82"/>
        <v>0.16999999999999998</v>
      </c>
      <c r="U75" s="232">
        <f t="shared" si="82"/>
        <v>0.16999999999999998</v>
      </c>
      <c r="V75" s="232">
        <f t="shared" si="82"/>
        <v>0.16999999999999998</v>
      </c>
      <c r="W75" s="232">
        <f t="shared" si="82"/>
        <v>0.16999999999999998</v>
      </c>
      <c r="X75" s="232">
        <f t="shared" si="82"/>
        <v>0.16999999999999998</v>
      </c>
    </row>
    <row r="76" spans="2:24" s="204" customFormat="1">
      <c r="B76" s="226"/>
      <c r="C76" s="314"/>
      <c r="D76" s="189"/>
      <c r="E76" s="189"/>
      <c r="F76" s="189"/>
      <c r="G76" s="229"/>
      <c r="H76" s="229"/>
      <c r="I76" s="229"/>
      <c r="J76" s="229"/>
      <c r="K76" s="229"/>
      <c r="L76" s="229"/>
      <c r="M76" s="229"/>
      <c r="N76" s="229"/>
      <c r="O76" s="229"/>
    </row>
    <row r="77" spans="2:24" s="204" customFormat="1">
      <c r="B77" s="388" t="s">
        <v>105</v>
      </c>
      <c r="C77" s="379"/>
      <c r="D77" s="380"/>
      <c r="E77" s="380"/>
      <c r="F77" s="380">
        <f t="shared" ref="F77:X77" si="83">SUM(F65,F69,-F74)</f>
        <v>1029.4138225000002</v>
      </c>
      <c r="G77" s="461">
        <f t="shared" si="83"/>
        <v>4490.8620155699991</v>
      </c>
      <c r="H77" s="461">
        <f t="shared" si="83"/>
        <v>6945.2534051498496</v>
      </c>
      <c r="I77" s="461">
        <f t="shared" si="83"/>
        <v>8401.5381494631583</v>
      </c>
      <c r="J77" s="461">
        <f t="shared" si="83"/>
        <v>9866.0941541350803</v>
      </c>
      <c r="K77" s="461">
        <f t="shared" si="83"/>
        <v>11252.183577353851</v>
      </c>
      <c r="L77" s="461">
        <f t="shared" si="83"/>
        <v>12444.116261604393</v>
      </c>
      <c r="M77" s="461">
        <f t="shared" si="83"/>
        <v>13181.80412554238</v>
      </c>
      <c r="N77" s="461">
        <f t="shared" si="83"/>
        <v>13708.408738421345</v>
      </c>
      <c r="O77" s="461">
        <f t="shared" si="83"/>
        <v>14055.26628856792</v>
      </c>
      <c r="P77" s="461">
        <f t="shared" si="83"/>
        <v>14242.965967957865</v>
      </c>
      <c r="Q77" s="461">
        <f t="shared" si="83"/>
        <v>14114.09138087579</v>
      </c>
      <c r="R77" s="461">
        <f t="shared" si="83"/>
        <v>13710.412447422701</v>
      </c>
      <c r="S77" s="461">
        <f t="shared" si="83"/>
        <v>13236.21748495744</v>
      </c>
      <c r="T77" s="461">
        <f t="shared" si="83"/>
        <v>12697.752748271834</v>
      </c>
      <c r="U77" s="461">
        <f t="shared" si="83"/>
        <v>12274.050195684234</v>
      </c>
      <c r="V77" s="461">
        <f t="shared" si="83"/>
        <v>11945.038674341091</v>
      </c>
      <c r="W77" s="461">
        <f t="shared" si="83"/>
        <v>11694.156707293301</v>
      </c>
      <c r="X77" s="461">
        <f t="shared" si="83"/>
        <v>11507.743408946115</v>
      </c>
    </row>
    <row r="78" spans="2:24" s="204" customFormat="1">
      <c r="B78" s="381" t="s">
        <v>387</v>
      </c>
      <c r="C78" s="383"/>
      <c r="D78" s="383"/>
      <c r="E78" s="523">
        <f t="shared" ref="E78:X78" si="84">E77/E59</f>
        <v>0</v>
      </c>
      <c r="F78" s="523">
        <f t="shared" si="84"/>
        <v>3.5000000000000003E-2</v>
      </c>
      <c r="G78" s="523">
        <f t="shared" si="84"/>
        <v>0.1460927938826489</v>
      </c>
      <c r="H78" s="523">
        <f t="shared" si="84"/>
        <v>0.21740169570126314</v>
      </c>
      <c r="I78" s="523">
        <f t="shared" si="84"/>
        <v>0.2542174730793112</v>
      </c>
      <c r="J78" s="523">
        <f t="shared" si="84"/>
        <v>0.28966886686065335</v>
      </c>
      <c r="K78" s="523">
        <f t="shared" si="84"/>
        <v>0.32155716050321309</v>
      </c>
      <c r="L78" s="523">
        <f t="shared" si="84"/>
        <v>0.34703863019777503</v>
      </c>
      <c r="M78" s="523">
        <f t="shared" si="84"/>
        <v>0.35952108058835569</v>
      </c>
      <c r="N78" s="523">
        <f t="shared" si="84"/>
        <v>0.36632369280664739</v>
      </c>
      <c r="O78" s="523">
        <f t="shared" si="84"/>
        <v>0.36856498547626282</v>
      </c>
      <c r="P78" s="523">
        <f t="shared" si="84"/>
        <v>0.36697636648680843</v>
      </c>
      <c r="Q78" s="523">
        <f t="shared" si="84"/>
        <v>0.35771161714290928</v>
      </c>
      <c r="R78" s="523">
        <f t="shared" si="84"/>
        <v>0.34212199239026775</v>
      </c>
      <c r="S78" s="523">
        <f t="shared" si="84"/>
        <v>0.32545589496755534</v>
      </c>
      <c r="T78" s="523">
        <f t="shared" si="84"/>
        <v>0.30785717668467694</v>
      </c>
      <c r="U78" s="523">
        <f t="shared" si="84"/>
        <v>0.29360110517714877</v>
      </c>
      <c r="V78" s="523">
        <f t="shared" si="84"/>
        <v>0.2820468756829777</v>
      </c>
      <c r="W78" s="523">
        <f t="shared" si="84"/>
        <v>0.27267919279384234</v>
      </c>
      <c r="X78" s="523">
        <f t="shared" si="84"/>
        <v>0.26508276888365312</v>
      </c>
    </row>
    <row r="79" spans="2:24" s="204" customFormat="1" hidden="1" outlineLevel="1">
      <c r="B79" s="381" t="s">
        <v>317</v>
      </c>
      <c r="C79" s="383"/>
      <c r="D79" s="383"/>
      <c r="E79" s="523">
        <f>+E63</f>
        <v>0</v>
      </c>
      <c r="F79" s="523">
        <f t="shared" ref="F79:N79" si="85">+F63</f>
        <v>2.5962190199366974E-2</v>
      </c>
      <c r="G79" s="523">
        <f t="shared" si="85"/>
        <v>0.16706328268009435</v>
      </c>
      <c r="H79" s="523">
        <f t="shared" si="85"/>
        <v>0.25828801357965725</v>
      </c>
      <c r="I79" s="523">
        <f t="shared" si="85"/>
        <v>0.30549241198119059</v>
      </c>
      <c r="J79" s="523">
        <f t="shared" si="85"/>
        <v>0.34620318433897612</v>
      </c>
      <c r="K79" s="523">
        <f t="shared" si="85"/>
        <v>0.38174558533688241</v>
      </c>
      <c r="L79" s="523">
        <f t="shared" si="85"/>
        <v>0.41308845447753101</v>
      </c>
      <c r="M79" s="523">
        <f t="shared" si="85"/>
        <v>0.4361866259900582</v>
      </c>
      <c r="N79" s="523">
        <f t="shared" si="85"/>
        <v>0.45237735502239679</v>
      </c>
      <c r="O79" s="523">
        <f>+O63</f>
        <v>0.46271313516426099</v>
      </c>
      <c r="P79" s="523">
        <f t="shared" ref="P79:X79" si="86">+P63</f>
        <v>0.46803614793419335</v>
      </c>
      <c r="Q79" s="523">
        <f t="shared" si="86"/>
        <v>0.46902992370146923</v>
      </c>
      <c r="R79" s="523">
        <f t="shared" si="86"/>
        <v>0.46625607383153417</v>
      </c>
      <c r="S79" s="523">
        <f t="shared" si="86"/>
        <v>0.46201643602200088</v>
      </c>
      <c r="T79" s="523">
        <f t="shared" si="86"/>
        <v>0.45647455045648133</v>
      </c>
      <c r="U79" s="523">
        <f t="shared" si="86"/>
        <v>0.45147539941752851</v>
      </c>
      <c r="V79" s="523">
        <f t="shared" si="86"/>
        <v>0.44694352193316372</v>
      </c>
      <c r="W79" s="523">
        <f t="shared" si="86"/>
        <v>0.44281650750182994</v>
      </c>
      <c r="X79" s="523">
        <f t="shared" si="86"/>
        <v>0.43904236193523533</v>
      </c>
    </row>
    <row r="80" spans="2:24" s="204" customFormat="1" collapsed="1">
      <c r="B80" s="391"/>
      <c r="C80" s="189"/>
      <c r="D80" s="189"/>
      <c r="E80" s="189"/>
      <c r="F80" s="189"/>
      <c r="G80" s="229"/>
      <c r="H80" s="229"/>
      <c r="I80" s="229"/>
      <c r="J80" s="229"/>
      <c r="K80" s="229"/>
      <c r="L80" s="462"/>
      <c r="M80" s="462"/>
      <c r="N80" s="462"/>
      <c r="O80" s="462"/>
      <c r="P80" s="389"/>
    </row>
    <row r="81" spans="2:256" s="204" customFormat="1">
      <c r="B81" s="90" t="s">
        <v>258</v>
      </c>
      <c r="C81" s="189"/>
      <c r="D81" s="189"/>
      <c r="E81" s="377"/>
      <c r="F81" s="377">
        <v>6</v>
      </c>
      <c r="G81" s="460">
        <v>6</v>
      </c>
      <c r="H81" s="460">
        <v>6</v>
      </c>
      <c r="I81" s="460">
        <v>6</v>
      </c>
      <c r="J81" s="460">
        <f t="shared" ref="J81:L82" si="87">I81</f>
        <v>6</v>
      </c>
      <c r="K81" s="460">
        <f t="shared" si="87"/>
        <v>6</v>
      </c>
      <c r="L81" s="460">
        <f t="shared" si="87"/>
        <v>6</v>
      </c>
      <c r="M81" s="460">
        <f t="shared" ref="M81:O82" si="88">L81</f>
        <v>6</v>
      </c>
      <c r="N81" s="460">
        <f t="shared" si="88"/>
        <v>6</v>
      </c>
      <c r="O81" s="460">
        <f t="shared" si="88"/>
        <v>6</v>
      </c>
      <c r="P81" s="460">
        <f t="shared" ref="P81:X81" si="89">O81</f>
        <v>6</v>
      </c>
      <c r="Q81" s="460">
        <f t="shared" si="89"/>
        <v>6</v>
      </c>
      <c r="R81" s="460">
        <f t="shared" si="89"/>
        <v>6</v>
      </c>
      <c r="S81" s="460">
        <f t="shared" si="89"/>
        <v>6</v>
      </c>
      <c r="T81" s="460">
        <f t="shared" si="89"/>
        <v>6</v>
      </c>
      <c r="U81" s="460">
        <f t="shared" si="89"/>
        <v>6</v>
      </c>
      <c r="V81" s="460">
        <f t="shared" si="89"/>
        <v>6</v>
      </c>
      <c r="W81" s="460">
        <f t="shared" si="89"/>
        <v>6</v>
      </c>
      <c r="X81" s="460">
        <f t="shared" si="89"/>
        <v>6</v>
      </c>
    </row>
    <row r="82" spans="2:256" s="204" customFormat="1">
      <c r="B82" s="90" t="s">
        <v>259</v>
      </c>
      <c r="C82" s="189"/>
      <c r="D82" s="189"/>
      <c r="E82" s="377"/>
      <c r="F82" s="377">
        <v>11</v>
      </c>
      <c r="G82" s="460">
        <v>11</v>
      </c>
      <c r="H82" s="460">
        <f>G82</f>
        <v>11</v>
      </c>
      <c r="I82" s="460">
        <f>H82</f>
        <v>11</v>
      </c>
      <c r="J82" s="460">
        <f t="shared" si="87"/>
        <v>11</v>
      </c>
      <c r="K82" s="460">
        <f t="shared" si="87"/>
        <v>11</v>
      </c>
      <c r="L82" s="460">
        <f t="shared" si="87"/>
        <v>11</v>
      </c>
      <c r="M82" s="460">
        <f t="shared" si="88"/>
        <v>11</v>
      </c>
      <c r="N82" s="460">
        <f t="shared" si="88"/>
        <v>11</v>
      </c>
      <c r="O82" s="460">
        <f t="shared" si="88"/>
        <v>11</v>
      </c>
      <c r="P82" s="460">
        <f t="shared" ref="P82:X82" si="90">O82</f>
        <v>11</v>
      </c>
      <c r="Q82" s="460">
        <f t="shared" si="90"/>
        <v>11</v>
      </c>
      <c r="R82" s="460">
        <f t="shared" si="90"/>
        <v>11</v>
      </c>
      <c r="S82" s="460">
        <f t="shared" si="90"/>
        <v>11</v>
      </c>
      <c r="T82" s="460">
        <f t="shared" si="90"/>
        <v>11</v>
      </c>
      <c r="U82" s="460">
        <f t="shared" si="90"/>
        <v>11</v>
      </c>
      <c r="V82" s="460">
        <f t="shared" si="90"/>
        <v>11</v>
      </c>
      <c r="W82" s="460">
        <f t="shared" si="90"/>
        <v>11</v>
      </c>
      <c r="X82" s="460">
        <f t="shared" si="90"/>
        <v>11</v>
      </c>
    </row>
    <row r="83" spans="2:256" s="204" customFormat="1">
      <c r="B83" s="90"/>
      <c r="C83" s="189"/>
      <c r="D83" s="189"/>
      <c r="E83" s="189"/>
      <c r="F83" s="189"/>
      <c r="G83" s="189"/>
      <c r="H83" s="189"/>
      <c r="I83" s="189"/>
      <c r="J83" s="189"/>
      <c r="K83" s="189"/>
      <c r="L83" s="189"/>
      <c r="M83" s="189"/>
      <c r="N83" s="189"/>
      <c r="O83" s="189"/>
    </row>
    <row r="84" spans="2:256" s="204" customFormat="1">
      <c r="B84" s="203" t="s">
        <v>62</v>
      </c>
      <c r="C84" s="217"/>
      <c r="D84" s="217"/>
      <c r="F84" s="217">
        <f>53000/12</f>
        <v>4416.666666666667</v>
      </c>
      <c r="G84" s="217">
        <f t="shared" ref="G84:L84" si="91">+F84*(1+G85)</f>
        <v>4416.666666666667</v>
      </c>
      <c r="H84" s="217">
        <f t="shared" si="91"/>
        <v>4416.666666666667</v>
      </c>
      <c r="I84" s="217">
        <f t="shared" si="91"/>
        <v>4416.666666666667</v>
      </c>
      <c r="J84" s="217">
        <f t="shared" si="91"/>
        <v>4416.666666666667</v>
      </c>
      <c r="K84" s="217">
        <f t="shared" si="91"/>
        <v>4416.666666666667</v>
      </c>
      <c r="L84" s="217">
        <f t="shared" si="91"/>
        <v>4416.666666666667</v>
      </c>
      <c r="M84" s="217">
        <f t="shared" ref="M84:X84" si="92">+L84*(1+M85)</f>
        <v>4416.666666666667</v>
      </c>
      <c r="N84" s="217">
        <f t="shared" si="92"/>
        <v>4416.666666666667</v>
      </c>
      <c r="O84" s="217">
        <f t="shared" si="92"/>
        <v>4416.666666666667</v>
      </c>
      <c r="P84" s="217">
        <f t="shared" si="92"/>
        <v>4416.666666666667</v>
      </c>
      <c r="Q84" s="217">
        <f t="shared" si="92"/>
        <v>4416.666666666667</v>
      </c>
      <c r="R84" s="217">
        <f t="shared" si="92"/>
        <v>4416.666666666667</v>
      </c>
      <c r="S84" s="217">
        <f t="shared" si="92"/>
        <v>4416.666666666667</v>
      </c>
      <c r="T84" s="217">
        <f t="shared" si="92"/>
        <v>4416.666666666667</v>
      </c>
      <c r="U84" s="217">
        <f t="shared" si="92"/>
        <v>4416.666666666667</v>
      </c>
      <c r="V84" s="217">
        <f t="shared" si="92"/>
        <v>4416.666666666667</v>
      </c>
      <c r="W84" s="217">
        <f t="shared" si="92"/>
        <v>4416.666666666667</v>
      </c>
      <c r="X84" s="217">
        <f t="shared" si="92"/>
        <v>4416.666666666667</v>
      </c>
    </row>
    <row r="85" spans="2:256" s="204" customFormat="1">
      <c r="B85" s="203" t="s">
        <v>61</v>
      </c>
      <c r="C85" s="217"/>
      <c r="D85" s="217"/>
      <c r="E85" s="219"/>
      <c r="F85" s="220"/>
      <c r="G85" s="220">
        <v>0</v>
      </c>
      <c r="H85" s="220">
        <v>0</v>
      </c>
      <c r="I85" s="220">
        <v>0</v>
      </c>
      <c r="J85" s="220">
        <v>0</v>
      </c>
      <c r="K85" s="220">
        <v>0</v>
      </c>
      <c r="L85" s="220">
        <v>0</v>
      </c>
      <c r="M85" s="220">
        <v>0</v>
      </c>
      <c r="N85" s="220">
        <v>0</v>
      </c>
      <c r="O85" s="220">
        <v>0</v>
      </c>
      <c r="P85" s="220">
        <v>0</v>
      </c>
      <c r="Q85" s="220">
        <v>0</v>
      </c>
      <c r="R85" s="220">
        <v>0</v>
      </c>
      <c r="S85" s="220">
        <v>0</v>
      </c>
      <c r="T85" s="220">
        <v>0</v>
      </c>
      <c r="U85" s="220">
        <v>0</v>
      </c>
      <c r="V85" s="220">
        <v>0</v>
      </c>
      <c r="W85" s="220">
        <v>0</v>
      </c>
      <c r="X85" s="220">
        <v>0</v>
      </c>
    </row>
    <row r="86" spans="2:256" s="204" customFormat="1">
      <c r="B86" s="391"/>
      <c r="C86" s="189"/>
      <c r="D86" s="189"/>
      <c r="E86" s="189"/>
      <c r="F86" s="189"/>
      <c r="G86" s="189"/>
      <c r="H86" s="189"/>
      <c r="I86" s="189"/>
      <c r="J86" s="189"/>
      <c r="K86" s="189"/>
      <c r="L86" s="189"/>
      <c r="M86" s="189"/>
      <c r="N86" s="189"/>
      <c r="O86" s="189"/>
    </row>
    <row r="87" spans="2:256">
      <c r="B87" s="90" t="s">
        <v>477</v>
      </c>
      <c r="E87" s="220">
        <v>0</v>
      </c>
      <c r="F87" s="220">
        <v>0</v>
      </c>
      <c r="G87" s="220">
        <v>0</v>
      </c>
      <c r="H87" s="220">
        <v>0</v>
      </c>
      <c r="I87" s="220">
        <v>0</v>
      </c>
      <c r="J87" s="220">
        <v>0</v>
      </c>
      <c r="K87" s="220">
        <v>0</v>
      </c>
      <c r="L87" s="220">
        <v>0</v>
      </c>
      <c r="M87" s="220">
        <v>0</v>
      </c>
      <c r="N87" s="220">
        <v>0</v>
      </c>
      <c r="O87" s="220">
        <v>0</v>
      </c>
      <c r="P87" s="220">
        <v>0</v>
      </c>
      <c r="Q87" s="220">
        <v>0</v>
      </c>
      <c r="R87" s="220">
        <v>0</v>
      </c>
      <c r="S87" s="220">
        <v>0</v>
      </c>
      <c r="T87" s="220">
        <v>0.5</v>
      </c>
      <c r="U87" s="220">
        <v>0.99</v>
      </c>
      <c r="V87" s="220">
        <v>1</v>
      </c>
      <c r="W87" s="220">
        <v>1</v>
      </c>
      <c r="X87" s="220">
        <v>1</v>
      </c>
    </row>
    <row r="88" spans="2:256" s="204" customFormat="1">
      <c r="B88" s="391"/>
      <c r="C88" s="189"/>
      <c r="D88" s="189"/>
      <c r="E88" s="189"/>
      <c r="F88" s="189"/>
      <c r="G88" s="189"/>
      <c r="H88" s="189"/>
      <c r="I88" s="189"/>
      <c r="J88" s="189"/>
      <c r="K88" s="189"/>
      <c r="L88" s="189"/>
      <c r="M88" s="189"/>
      <c r="N88" s="189"/>
      <c r="O88" s="189"/>
    </row>
    <row r="89" spans="2:256" s="81" customFormat="1">
      <c r="B89" s="191" t="s">
        <v>391</v>
      </c>
      <c r="C89" s="192"/>
      <c r="D89" s="192"/>
      <c r="E89" s="192">
        <f>+(((E69*E81*E84)+(E65*E82*E84)-(E74*0.5*E82*E84))/1000000)*(1-E87)</f>
        <v>0</v>
      </c>
      <c r="F89" s="192">
        <f t="shared" ref="F89:X89" si="93">+(((F69*F81*F84)+(F65*F82*F84)-(F74*0.5*F82*F84))/1000000)*(1-F87)</f>
        <v>27.279466296250003</v>
      </c>
      <c r="G89" s="192">
        <f t="shared" si="93"/>
        <v>148.35227884906917</v>
      </c>
      <c r="H89" s="192">
        <f t="shared" si="93"/>
        <v>289.79560433875395</v>
      </c>
      <c r="I89" s="192">
        <f t="shared" si="93"/>
        <v>381.55703069473526</v>
      </c>
      <c r="J89" s="192">
        <f t="shared" si="93"/>
        <v>452.77710959490389</v>
      </c>
      <c r="K89" s="192">
        <f t="shared" si="93"/>
        <v>522.27125372035766</v>
      </c>
      <c r="L89" s="192">
        <f t="shared" si="93"/>
        <v>585.12499078517487</v>
      </c>
      <c r="M89" s="192">
        <f t="shared" si="93"/>
        <v>631.40283113161331</v>
      </c>
      <c r="N89" s="192">
        <f t="shared" si="93"/>
        <v>661.47201814693358</v>
      </c>
      <c r="O89" s="192">
        <f t="shared" si="93"/>
        <v>682.00529232341444</v>
      </c>
      <c r="P89" s="192">
        <f t="shared" si="93"/>
        <v>694.26795375893198</v>
      </c>
      <c r="Q89" s="192">
        <f t="shared" si="93"/>
        <v>694.93952062163999</v>
      </c>
      <c r="R89" s="192">
        <f t="shared" si="93"/>
        <v>681.21346071004189</v>
      </c>
      <c r="S89" s="192">
        <f t="shared" si="93"/>
        <v>659.51823499598629</v>
      </c>
      <c r="T89" s="192">
        <f t="shared" si="93"/>
        <v>317.2667807392682</v>
      </c>
      <c r="U89" s="192">
        <f t="shared" si="93"/>
        <v>6.11222702988238</v>
      </c>
      <c r="V89" s="192">
        <f t="shared" si="93"/>
        <v>0</v>
      </c>
      <c r="W89" s="192">
        <f t="shared" si="93"/>
        <v>0</v>
      </c>
      <c r="X89" s="192">
        <f t="shared" si="93"/>
        <v>0</v>
      </c>
    </row>
    <row r="90" spans="2:256" s="201" customFormat="1">
      <c r="B90" s="594"/>
      <c r="C90" s="593"/>
      <c r="D90" s="593"/>
      <c r="E90" s="593"/>
      <c r="F90" s="593"/>
      <c r="G90" s="593"/>
      <c r="H90" s="593"/>
      <c r="I90" s="593"/>
      <c r="J90" s="593"/>
      <c r="K90" s="593"/>
      <c r="L90" s="593"/>
      <c r="M90" s="593"/>
      <c r="N90" s="593"/>
      <c r="O90" s="593"/>
      <c r="IV90" s="593"/>
    </row>
    <row r="91" spans="2:256" s="201" customFormat="1">
      <c r="B91" s="243"/>
      <c r="C91" s="244"/>
      <c r="D91" s="244"/>
      <c r="E91" s="244"/>
      <c r="F91" s="244"/>
      <c r="G91" s="244"/>
      <c r="H91" s="244"/>
      <c r="I91" s="244"/>
      <c r="J91" s="244"/>
      <c r="K91" s="244"/>
      <c r="L91" s="244"/>
      <c r="M91" s="244"/>
      <c r="N91" s="244"/>
      <c r="O91" s="244"/>
    </row>
    <row r="92" spans="2:256" s="201" customFormat="1">
      <c r="B92" s="191" t="s">
        <v>389</v>
      </c>
      <c r="C92" s="192"/>
      <c r="D92" s="192"/>
      <c r="E92" s="771">
        <v>2011</v>
      </c>
      <c r="F92" s="771">
        <v>2012</v>
      </c>
      <c r="G92" s="772">
        <v>2013</v>
      </c>
      <c r="H92" s="772">
        <v>2014</v>
      </c>
      <c r="I92" s="772">
        <v>2015</v>
      </c>
      <c r="J92" s="772">
        <v>2016</v>
      </c>
      <c r="K92" s="772">
        <v>2017</v>
      </c>
      <c r="L92" s="772">
        <v>2018</v>
      </c>
      <c r="M92" s="772">
        <v>2019</v>
      </c>
      <c r="N92" s="772">
        <v>2020</v>
      </c>
      <c r="O92" s="772">
        <f>O47</f>
        <v>2021</v>
      </c>
      <c r="P92" s="772">
        <f t="shared" ref="P92:X92" si="94">P47</f>
        <v>2022</v>
      </c>
      <c r="Q92" s="772">
        <f t="shared" si="94"/>
        <v>2023</v>
      </c>
      <c r="R92" s="772">
        <f t="shared" si="94"/>
        <v>2024</v>
      </c>
      <c r="S92" s="772">
        <f t="shared" si="94"/>
        <v>2025</v>
      </c>
      <c r="T92" s="772">
        <f t="shared" si="94"/>
        <v>2026</v>
      </c>
      <c r="U92" s="772">
        <f t="shared" si="94"/>
        <v>2027</v>
      </c>
      <c r="V92" s="772">
        <f t="shared" si="94"/>
        <v>2028</v>
      </c>
      <c r="W92" s="772">
        <f t="shared" si="94"/>
        <v>2029</v>
      </c>
      <c r="X92" s="772">
        <f t="shared" si="94"/>
        <v>2030</v>
      </c>
    </row>
    <row r="93" spans="2:256" s="201" customFormat="1">
      <c r="B93" s="404" t="s">
        <v>49</v>
      </c>
      <c r="C93" s="244"/>
      <c r="D93" s="244"/>
      <c r="E93" s="244">
        <f t="shared" ref="E93:O93" si="95">E44</f>
        <v>3.1565625000000002</v>
      </c>
      <c r="F93" s="244">
        <f t="shared" si="95"/>
        <v>120.76133777056172</v>
      </c>
      <c r="G93" s="244">
        <f t="shared" si="95"/>
        <v>225.1488982657867</v>
      </c>
      <c r="H93" s="244">
        <f t="shared" si="95"/>
        <v>343.45373884793372</v>
      </c>
      <c r="I93" s="244">
        <f t="shared" si="95"/>
        <v>472.96064783416637</v>
      </c>
      <c r="J93" s="244">
        <f t="shared" si="95"/>
        <v>590.22572391630547</v>
      </c>
      <c r="K93" s="244">
        <f t="shared" si="95"/>
        <v>694.95083818621697</v>
      </c>
      <c r="L93" s="244">
        <f t="shared" si="95"/>
        <v>792.6087748448291</v>
      </c>
      <c r="M93" s="244">
        <f t="shared" si="95"/>
        <v>871.92632056918342</v>
      </c>
      <c r="N93" s="244">
        <f t="shared" si="95"/>
        <v>949.13876186546929</v>
      </c>
      <c r="O93" s="244">
        <f t="shared" si="95"/>
        <v>1039.889566237541</v>
      </c>
      <c r="P93" s="244">
        <f t="shared" ref="P93:X93" si="96">P44</f>
        <v>1137.8147593457377</v>
      </c>
      <c r="Q93" s="244">
        <f t="shared" si="96"/>
        <v>1222.2548032808984</v>
      </c>
      <c r="R93" s="244">
        <f t="shared" si="96"/>
        <v>1281.9983950147443</v>
      </c>
      <c r="S93" s="244">
        <f t="shared" si="96"/>
        <v>1317.949393312723</v>
      </c>
      <c r="T93" s="244">
        <f t="shared" si="96"/>
        <v>1064.5946970782475</v>
      </c>
      <c r="U93" s="244">
        <f t="shared" si="96"/>
        <v>199.42538802481533</v>
      </c>
      <c r="V93" s="244">
        <f t="shared" si="96"/>
        <v>66.078574768043339</v>
      </c>
      <c r="W93" s="244">
        <f t="shared" si="96"/>
        <v>12.968159291585543</v>
      </c>
      <c r="X93" s="244">
        <f t="shared" si="96"/>
        <v>7.6033513820365375</v>
      </c>
    </row>
    <row r="94" spans="2:256" s="201" customFormat="1">
      <c r="B94" s="404" t="s">
        <v>276</v>
      </c>
      <c r="C94" s="244"/>
      <c r="D94" s="244"/>
      <c r="E94" s="244">
        <f>E89</f>
        <v>0</v>
      </c>
      <c r="F94" s="244">
        <f t="shared" ref="F94:L94" si="97">F89</f>
        <v>27.279466296250003</v>
      </c>
      <c r="G94" s="244">
        <f t="shared" si="97"/>
        <v>148.35227884906917</v>
      </c>
      <c r="H94" s="244">
        <f t="shared" si="97"/>
        <v>289.79560433875395</v>
      </c>
      <c r="I94" s="244">
        <f t="shared" si="97"/>
        <v>381.55703069473526</v>
      </c>
      <c r="J94" s="244">
        <f t="shared" si="97"/>
        <v>452.77710959490389</v>
      </c>
      <c r="K94" s="244">
        <f t="shared" si="97"/>
        <v>522.27125372035766</v>
      </c>
      <c r="L94" s="244">
        <f t="shared" si="97"/>
        <v>585.12499078517487</v>
      </c>
      <c r="M94" s="244">
        <f>M89</f>
        <v>631.40283113161331</v>
      </c>
      <c r="N94" s="244">
        <f>N89</f>
        <v>661.47201814693358</v>
      </c>
      <c r="O94" s="244">
        <f>O89</f>
        <v>682.00529232341444</v>
      </c>
      <c r="P94" s="244">
        <f t="shared" ref="P94:X94" si="98">P89</f>
        <v>694.26795375893198</v>
      </c>
      <c r="Q94" s="244">
        <f t="shared" si="98"/>
        <v>694.93952062163999</v>
      </c>
      <c r="R94" s="244">
        <f t="shared" si="98"/>
        <v>681.21346071004189</v>
      </c>
      <c r="S94" s="244">
        <f t="shared" si="98"/>
        <v>659.51823499598629</v>
      </c>
      <c r="T94" s="244">
        <f t="shared" si="98"/>
        <v>317.2667807392682</v>
      </c>
      <c r="U94" s="244">
        <f t="shared" si="98"/>
        <v>6.11222702988238</v>
      </c>
      <c r="V94" s="244">
        <f t="shared" si="98"/>
        <v>0</v>
      </c>
      <c r="W94" s="244">
        <f t="shared" si="98"/>
        <v>0</v>
      </c>
      <c r="X94" s="244">
        <f t="shared" si="98"/>
        <v>0</v>
      </c>
    </row>
    <row r="95" spans="2:256">
      <c r="B95" s="405" t="s">
        <v>68</v>
      </c>
      <c r="C95" s="406"/>
      <c r="D95" s="406"/>
      <c r="E95" s="406">
        <f>SUM(E93:E94)</f>
        <v>3.1565625000000002</v>
      </c>
      <c r="F95" s="406">
        <f t="shared" ref="F95:L95" si="99">SUM(F93:F94)</f>
        <v>148.04080406681172</v>
      </c>
      <c r="G95" s="406">
        <f t="shared" si="99"/>
        <v>373.50117711485586</v>
      </c>
      <c r="H95" s="406">
        <f t="shared" si="99"/>
        <v>633.24934318668761</v>
      </c>
      <c r="I95" s="406">
        <f t="shared" si="99"/>
        <v>854.51767852890157</v>
      </c>
      <c r="J95" s="406">
        <f t="shared" si="99"/>
        <v>1043.0028335112092</v>
      </c>
      <c r="K95" s="406">
        <f t="shared" si="99"/>
        <v>1217.2220919065746</v>
      </c>
      <c r="L95" s="406">
        <f t="shared" si="99"/>
        <v>1377.733765630004</v>
      </c>
      <c r="M95" s="406">
        <f>SUM(M93:M94)</f>
        <v>1503.3291517007967</v>
      </c>
      <c r="N95" s="406">
        <f>SUM(N93:N94)</f>
        <v>1610.6107800124028</v>
      </c>
      <c r="O95" s="406">
        <f>SUM(O93:O94)</f>
        <v>1721.8948585609555</v>
      </c>
      <c r="P95" s="406">
        <f t="shared" ref="P95:X95" si="100">SUM(P93:P94)</f>
        <v>1832.0827131046697</v>
      </c>
      <c r="Q95" s="406">
        <f t="shared" si="100"/>
        <v>1917.1943239025384</v>
      </c>
      <c r="R95" s="406">
        <f t="shared" si="100"/>
        <v>1963.2118557247863</v>
      </c>
      <c r="S95" s="406">
        <f t="shared" si="100"/>
        <v>1977.4676283087092</v>
      </c>
      <c r="T95" s="406">
        <f t="shared" si="100"/>
        <v>1381.8614778175156</v>
      </c>
      <c r="U95" s="406">
        <f t="shared" si="100"/>
        <v>205.53761505469771</v>
      </c>
      <c r="V95" s="406">
        <f t="shared" si="100"/>
        <v>66.078574768043339</v>
      </c>
      <c r="W95" s="406">
        <f t="shared" si="100"/>
        <v>12.968159291585543</v>
      </c>
      <c r="X95" s="406">
        <f t="shared" si="100"/>
        <v>7.6033513820365375</v>
      </c>
    </row>
    <row r="97" spans="2:8">
      <c r="B97" s="2"/>
    </row>
    <row r="98" spans="2:8">
      <c r="E98" s="211"/>
      <c r="F98" s="211"/>
      <c r="G98" s="211"/>
      <c r="H98" s="211"/>
    </row>
    <row r="99" spans="2:8">
      <c r="B99" s="81"/>
      <c r="E99" s="211"/>
      <c r="F99" s="211"/>
      <c r="G99" s="211"/>
      <c r="H99" s="211"/>
    </row>
    <row r="100" spans="2:8">
      <c r="B100" s="81"/>
      <c r="E100" s="211"/>
      <c r="F100" s="211"/>
      <c r="G100" s="211"/>
      <c r="H100" s="211"/>
    </row>
    <row r="103" spans="2:8">
      <c r="E103" s="193"/>
      <c r="F103" s="211"/>
    </row>
    <row r="104" spans="2:8">
      <c r="F104" s="211"/>
    </row>
    <row r="105" spans="2:8">
      <c r="F105" s="211"/>
    </row>
    <row r="106" spans="2:8">
      <c r="F106" s="211"/>
    </row>
    <row r="107" spans="2:8">
      <c r="F107" s="211"/>
    </row>
    <row r="108" spans="2:8">
      <c r="F108" s="211"/>
    </row>
    <row r="109" spans="2:8">
      <c r="F109" s="211"/>
    </row>
    <row r="110" spans="2:8">
      <c r="F110" s="211"/>
    </row>
    <row r="111" spans="2:8">
      <c r="F111" s="211"/>
    </row>
    <row r="112" spans="2:8">
      <c r="F112" s="211"/>
    </row>
    <row r="113" spans="2:6">
      <c r="F113" s="211"/>
    </row>
    <row r="114" spans="2:6">
      <c r="F114" s="211"/>
    </row>
    <row r="115" spans="2:6">
      <c r="F115" s="211"/>
    </row>
    <row r="123" spans="2:6">
      <c r="B123" s="90" t="s">
        <v>412</v>
      </c>
    </row>
    <row r="125" spans="2:6">
      <c r="B125" s="790">
        <v>40863</v>
      </c>
      <c r="C125" s="172">
        <v>7000</v>
      </c>
    </row>
    <row r="126" spans="2:6">
      <c r="B126" s="790">
        <v>41229</v>
      </c>
      <c r="C126" s="172">
        <v>7630</v>
      </c>
      <c r="D126" s="791">
        <f t="shared" ref="D126:D131" si="101">C126/C125-1</f>
        <v>9.000000000000008E-2</v>
      </c>
    </row>
    <row r="127" spans="2:6">
      <c r="B127" s="790">
        <v>41516</v>
      </c>
      <c r="C127" s="172">
        <v>8355</v>
      </c>
      <c r="D127" s="791">
        <f t="shared" si="101"/>
        <v>9.501965923984268E-2</v>
      </c>
    </row>
    <row r="128" spans="2:6">
      <c r="B128" s="790">
        <v>41726</v>
      </c>
      <c r="C128" s="172">
        <v>8752</v>
      </c>
      <c r="D128" s="791">
        <f t="shared" si="101"/>
        <v>4.7516457211250751E-2</v>
      </c>
    </row>
    <row r="129" spans="2:8">
      <c r="B129" s="790">
        <v>41912</v>
      </c>
      <c r="C129" s="172">
        <v>9168</v>
      </c>
      <c r="D129" s="791">
        <f t="shared" si="101"/>
        <v>4.7531992687385838E-2</v>
      </c>
    </row>
    <row r="130" spans="2:8">
      <c r="B130" s="790">
        <v>42069</v>
      </c>
      <c r="C130" s="172">
        <v>9603</v>
      </c>
      <c r="D130" s="791">
        <f t="shared" si="101"/>
        <v>4.7447643979057652E-2</v>
      </c>
    </row>
    <row r="131" spans="2:8">
      <c r="B131" s="790">
        <v>42258</v>
      </c>
      <c r="C131" s="172">
        <v>9987</v>
      </c>
      <c r="D131" s="791">
        <f t="shared" si="101"/>
        <v>3.9987503905029698E-2</v>
      </c>
    </row>
    <row r="132" spans="2:8">
      <c r="B132" s="1526">
        <v>42460</v>
      </c>
      <c r="C132" s="1525">
        <v>10586</v>
      </c>
    </row>
    <row r="133" spans="2:8">
      <c r="B133" s="1526">
        <v>42643</v>
      </c>
      <c r="C133" s="1525">
        <v>10904</v>
      </c>
      <c r="H133" s="172">
        <f>C133/C132-1</f>
        <v>3.0039675042508929E-2</v>
      </c>
    </row>
    <row r="137" spans="2:8">
      <c r="C137" s="1496">
        <v>2</v>
      </c>
    </row>
  </sheetData>
  <phoneticPr fontId="13" type="noConversion"/>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B1:AS146"/>
  <sheetViews>
    <sheetView showGridLines="0" zoomScale="85" workbookViewId="0"/>
  </sheetViews>
  <sheetFormatPr defaultRowHeight="12.75" outlineLevelRow="1" outlineLevelCol="1"/>
  <cols>
    <col min="1" max="1" width="1.85546875" style="90" customWidth="1"/>
    <col min="2" max="2" width="37.5703125" style="90" customWidth="1"/>
    <col min="3" max="3" width="13.5703125" style="172" hidden="1" customWidth="1" outlineLevel="1"/>
    <col min="4" max="4" width="12.7109375" style="172" hidden="1" customWidth="1" outlineLevel="1"/>
    <col min="5" max="5" width="12.7109375" style="172" hidden="1" customWidth="1" outlineLevel="1" collapsed="1"/>
    <col min="6" max="8" width="12.7109375" style="172" hidden="1" customWidth="1" outlineLevel="1"/>
    <col min="9" max="9" width="12.7109375" style="172" bestFit="1" customWidth="1" collapsed="1"/>
    <col min="10" max="10" width="12.7109375" style="172" bestFit="1" customWidth="1"/>
    <col min="11" max="11" width="12.85546875" style="172" bestFit="1" customWidth="1"/>
    <col min="12" max="16" width="12.7109375" style="172" bestFit="1" customWidth="1"/>
    <col min="17" max="17" width="11.85546875" style="90" bestFit="1" customWidth="1"/>
    <col min="18" max="18" width="12.28515625" style="196" bestFit="1" customWidth="1"/>
    <col min="19" max="22" width="11.85546875" style="196" bestFit="1" customWidth="1"/>
    <col min="23" max="25" width="11.85546875" style="90" bestFit="1" customWidth="1"/>
    <col min="26" max="16384" width="9.140625" style="90"/>
  </cols>
  <sheetData>
    <row r="1" spans="2:25">
      <c r="F1" s="211"/>
      <c r="G1" s="211"/>
      <c r="H1" s="211"/>
      <c r="I1" s="211"/>
      <c r="J1" s="211"/>
      <c r="K1" s="211"/>
      <c r="L1" s="211"/>
      <c r="M1" s="211"/>
      <c r="N1" s="211"/>
      <c r="O1" s="211"/>
      <c r="P1" s="794"/>
    </row>
    <row r="2" spans="2:25">
      <c r="B2" s="907" t="s">
        <v>277</v>
      </c>
      <c r="C2" s="909">
        <v>2008</v>
      </c>
      <c r="D2" s="909">
        <f t="shared" ref="D2:M2" si="0">C2+1</f>
        <v>2009</v>
      </c>
      <c r="E2" s="909">
        <f t="shared" si="0"/>
        <v>2010</v>
      </c>
      <c r="F2" s="909">
        <f t="shared" si="0"/>
        <v>2011</v>
      </c>
      <c r="G2" s="909">
        <f t="shared" si="0"/>
        <v>2012</v>
      </c>
      <c r="H2" s="909">
        <f t="shared" ref="H2" si="1">G2+1</f>
        <v>2013</v>
      </c>
      <c r="I2" s="909">
        <f t="shared" ref="I2" si="2">H2+1</f>
        <v>2014</v>
      </c>
      <c r="J2" s="909">
        <f t="shared" si="0"/>
        <v>2015</v>
      </c>
      <c r="K2" s="908">
        <f t="shared" si="0"/>
        <v>2016</v>
      </c>
      <c r="L2" s="908">
        <f t="shared" si="0"/>
        <v>2017</v>
      </c>
      <c r="M2" s="908">
        <f t="shared" si="0"/>
        <v>2018</v>
      </c>
      <c r="N2" s="908">
        <f>M2+1</f>
        <v>2019</v>
      </c>
      <c r="O2" s="908">
        <f>N2+1</f>
        <v>2020</v>
      </c>
      <c r="P2" s="908">
        <f>O2+1</f>
        <v>2021</v>
      </c>
      <c r="Q2" s="908">
        <f>P2+1</f>
        <v>2022</v>
      </c>
      <c r="R2" s="908">
        <f t="shared" ref="R2:Y2" si="3">Q2+1</f>
        <v>2023</v>
      </c>
      <c r="S2" s="908">
        <f t="shared" si="3"/>
        <v>2024</v>
      </c>
      <c r="T2" s="908">
        <f t="shared" si="3"/>
        <v>2025</v>
      </c>
      <c r="U2" s="908">
        <f t="shared" si="3"/>
        <v>2026</v>
      </c>
      <c r="V2" s="908">
        <f t="shared" si="3"/>
        <v>2027</v>
      </c>
      <c r="W2" s="908">
        <f>V2+1</f>
        <v>2028</v>
      </c>
      <c r="X2" s="908">
        <f t="shared" si="3"/>
        <v>2029</v>
      </c>
      <c r="Y2" s="908">
        <f t="shared" si="3"/>
        <v>2030</v>
      </c>
    </row>
    <row r="3" spans="2:25" hidden="1" outlineLevel="1">
      <c r="P3" s="793"/>
    </row>
    <row r="4" spans="2:25" hidden="1" outlineLevel="1">
      <c r="B4" s="90" t="s">
        <v>37</v>
      </c>
      <c r="C4" s="215">
        <v>304374846</v>
      </c>
      <c r="D4" s="215">
        <v>307000000</v>
      </c>
      <c r="E4" s="215">
        <v>309673803</v>
      </c>
      <c r="F4" s="216">
        <f t="shared" ref="F4:M4" si="4">E4*1.01</f>
        <v>312770541.03000003</v>
      </c>
      <c r="G4" s="216">
        <f t="shared" si="4"/>
        <v>315898246.44030005</v>
      </c>
      <c r="H4" s="216">
        <f t="shared" si="4"/>
        <v>319057228.90470302</v>
      </c>
      <c r="I4" s="216">
        <f t="shared" si="4"/>
        <v>322247801.19375008</v>
      </c>
      <c r="J4" s="216">
        <f t="shared" si="4"/>
        <v>325470279.20568758</v>
      </c>
      <c r="K4" s="216">
        <f t="shared" si="4"/>
        <v>328724981.99774444</v>
      </c>
      <c r="L4" s="216">
        <f t="shared" si="4"/>
        <v>332012231.8177219</v>
      </c>
      <c r="M4" s="216">
        <f t="shared" si="4"/>
        <v>335332354.13589913</v>
      </c>
      <c r="N4" s="216">
        <f>M4*1.01</f>
        <v>338685677.67725813</v>
      </c>
      <c r="O4" s="216">
        <f>N4*1.01</f>
        <v>342072534.45403069</v>
      </c>
      <c r="P4" s="795">
        <f>O4*1.01</f>
        <v>345493259.79857099</v>
      </c>
      <c r="Q4" s="795">
        <f t="shared" ref="Q4:Y4" si="5">P4*1.01</f>
        <v>348948192.39655668</v>
      </c>
      <c r="R4" s="795">
        <f t="shared" si="5"/>
        <v>352437674.32052225</v>
      </c>
      <c r="S4" s="795">
        <f t="shared" si="5"/>
        <v>355962051.0637275</v>
      </c>
      <c r="T4" s="795">
        <f t="shared" si="5"/>
        <v>359521671.57436478</v>
      </c>
      <c r="U4" s="795">
        <f t="shared" si="5"/>
        <v>363116888.29010844</v>
      </c>
      <c r="V4" s="795">
        <f t="shared" si="5"/>
        <v>366748057.17300951</v>
      </c>
      <c r="W4" s="795">
        <f t="shared" si="5"/>
        <v>370415537.74473959</v>
      </c>
      <c r="X4" s="795">
        <f t="shared" si="5"/>
        <v>374119693.12218702</v>
      </c>
      <c r="Y4" s="795">
        <f t="shared" si="5"/>
        <v>377860890.05340892</v>
      </c>
    </row>
    <row r="5" spans="2:25" hidden="1" outlineLevel="1">
      <c r="B5" s="204" t="s">
        <v>38</v>
      </c>
      <c r="C5" s="206"/>
      <c r="D5" s="208">
        <f>+D4/C4-1</f>
        <v>8.6247402980206278E-3</v>
      </c>
      <c r="E5" s="208">
        <f>+E4/D4-1</f>
        <v>8.7094560260585485E-3</v>
      </c>
      <c r="F5" s="208">
        <f t="shared" ref="F5:M5" si="6">E5</f>
        <v>8.7094560260585485E-3</v>
      </c>
      <c r="G5" s="208">
        <f t="shared" si="6"/>
        <v>8.7094560260585485E-3</v>
      </c>
      <c r="H5" s="208">
        <f t="shared" si="6"/>
        <v>8.7094560260585485E-3</v>
      </c>
      <c r="I5" s="208">
        <f t="shared" si="6"/>
        <v>8.7094560260585485E-3</v>
      </c>
      <c r="J5" s="208">
        <f t="shared" si="6"/>
        <v>8.7094560260585485E-3</v>
      </c>
      <c r="K5" s="208">
        <f t="shared" si="6"/>
        <v>8.7094560260585485E-3</v>
      </c>
      <c r="L5" s="208">
        <f t="shared" si="6"/>
        <v>8.7094560260585485E-3</v>
      </c>
      <c r="M5" s="208">
        <f t="shared" si="6"/>
        <v>8.7094560260585485E-3</v>
      </c>
      <c r="N5" s="208">
        <f>M5</f>
        <v>8.7094560260585485E-3</v>
      </c>
      <c r="O5" s="208">
        <f>N5</f>
        <v>8.7094560260585485E-3</v>
      </c>
      <c r="P5" s="511">
        <f>O5</f>
        <v>8.7094560260585485E-3</v>
      </c>
      <c r="Q5" s="511">
        <f t="shared" ref="Q5:Y5" si="7">P5</f>
        <v>8.7094560260585485E-3</v>
      </c>
      <c r="R5" s="511">
        <f t="shared" si="7"/>
        <v>8.7094560260585485E-3</v>
      </c>
      <c r="S5" s="511">
        <f t="shared" si="7"/>
        <v>8.7094560260585485E-3</v>
      </c>
      <c r="T5" s="511">
        <f t="shared" si="7"/>
        <v>8.7094560260585485E-3</v>
      </c>
      <c r="U5" s="511">
        <f t="shared" si="7"/>
        <v>8.7094560260585485E-3</v>
      </c>
      <c r="V5" s="511">
        <f t="shared" si="7"/>
        <v>8.7094560260585485E-3</v>
      </c>
      <c r="W5" s="511">
        <f t="shared" si="7"/>
        <v>8.7094560260585485E-3</v>
      </c>
      <c r="X5" s="511">
        <f t="shared" si="7"/>
        <v>8.7094560260585485E-3</v>
      </c>
      <c r="Y5" s="511">
        <f t="shared" si="7"/>
        <v>8.7094560260585485E-3</v>
      </c>
    </row>
    <row r="6" spans="2:25" hidden="1" outlineLevel="1">
      <c r="B6" s="204"/>
      <c r="C6" s="206"/>
      <c r="D6" s="208"/>
      <c r="E6" s="208"/>
      <c r="F6" s="314"/>
      <c r="G6" s="314"/>
      <c r="H6" s="314"/>
      <c r="I6" s="314"/>
      <c r="J6" s="314"/>
      <c r="K6" s="314"/>
      <c r="L6" s="314"/>
      <c r="M6" s="314"/>
      <c r="N6" s="314"/>
      <c r="O6" s="314"/>
      <c r="P6" s="399"/>
    </row>
    <row r="7" spans="2:25" hidden="1" outlineLevel="1">
      <c r="B7" s="90" t="s">
        <v>262</v>
      </c>
      <c r="C7" s="229">
        <f t="shared" ref="C7:M7" si="8">C8*C4</f>
        <v>95000</v>
      </c>
      <c r="D7" s="189">
        <f t="shared" si="8"/>
        <v>95819.350328311964</v>
      </c>
      <c r="E7" s="189">
        <f t="shared" si="8"/>
        <v>96653.884746441894</v>
      </c>
      <c r="F7" s="189">
        <f t="shared" si="8"/>
        <v>97620.423593906322</v>
      </c>
      <c r="G7" s="189">
        <f t="shared" si="8"/>
        <v>98596.627829845398</v>
      </c>
      <c r="H7" s="189">
        <f t="shared" si="8"/>
        <v>99582.594108143836</v>
      </c>
      <c r="I7" s="189">
        <f t="shared" si="8"/>
        <v>100578.42004922529</v>
      </c>
      <c r="J7" s="189">
        <f t="shared" si="8"/>
        <v>101584.20424971754</v>
      </c>
      <c r="K7" s="189">
        <f t="shared" si="8"/>
        <v>102600.04629221471</v>
      </c>
      <c r="L7" s="189">
        <f t="shared" si="8"/>
        <v>103626.04675513686</v>
      </c>
      <c r="M7" s="189">
        <f t="shared" si="8"/>
        <v>104662.30722268824</v>
      </c>
      <c r="N7" s="189">
        <f>N8*N4</f>
        <v>105708.93029491512</v>
      </c>
      <c r="O7" s="189">
        <f>O8*O4</f>
        <v>106766.01959786427</v>
      </c>
      <c r="P7" s="390">
        <f>P8*P4</f>
        <v>107833.67979384291</v>
      </c>
      <c r="Q7" s="390">
        <f t="shared" ref="Q7:Y7" si="9">Q8*Q4</f>
        <v>108912.01659178133</v>
      </c>
      <c r="R7" s="390">
        <f t="shared" si="9"/>
        <v>110001.13675769915</v>
      </c>
      <c r="S7" s="390">
        <f t="shared" si="9"/>
        <v>111101.14812527614</v>
      </c>
      <c r="T7" s="390">
        <f t="shared" si="9"/>
        <v>112212.1596065289</v>
      </c>
      <c r="U7" s="390">
        <f t="shared" si="9"/>
        <v>113334.2812025942</v>
      </c>
      <c r="V7" s="390">
        <f t="shared" si="9"/>
        <v>114467.62401462015</v>
      </c>
      <c r="W7" s="390">
        <f t="shared" si="9"/>
        <v>115612.30025476633</v>
      </c>
      <c r="X7" s="390">
        <f t="shared" si="9"/>
        <v>116768.423257314</v>
      </c>
      <c r="Y7" s="390">
        <f t="shared" si="9"/>
        <v>117936.10748988716</v>
      </c>
    </row>
    <row r="8" spans="2:25" hidden="1" outlineLevel="1">
      <c r="B8" s="213" t="s">
        <v>40</v>
      </c>
      <c r="C8" s="214">
        <f>95000/C4</f>
        <v>3.1211514764922462E-4</v>
      </c>
      <c r="D8" s="248">
        <f t="shared" ref="D8:M8" si="10">C8</f>
        <v>3.1211514764922462E-4</v>
      </c>
      <c r="E8" s="248">
        <f t="shared" si="10"/>
        <v>3.1211514764922462E-4</v>
      </c>
      <c r="F8" s="248">
        <f t="shared" si="10"/>
        <v>3.1211514764922462E-4</v>
      </c>
      <c r="G8" s="248">
        <f t="shared" si="10"/>
        <v>3.1211514764922462E-4</v>
      </c>
      <c r="H8" s="248">
        <f t="shared" si="10"/>
        <v>3.1211514764922462E-4</v>
      </c>
      <c r="I8" s="248">
        <f t="shared" si="10"/>
        <v>3.1211514764922462E-4</v>
      </c>
      <c r="J8" s="248">
        <f t="shared" si="10"/>
        <v>3.1211514764922462E-4</v>
      </c>
      <c r="K8" s="248">
        <f t="shared" si="10"/>
        <v>3.1211514764922462E-4</v>
      </c>
      <c r="L8" s="248">
        <f t="shared" si="10"/>
        <v>3.1211514764922462E-4</v>
      </c>
      <c r="M8" s="248">
        <f t="shared" si="10"/>
        <v>3.1211514764922462E-4</v>
      </c>
      <c r="N8" s="248">
        <f>M8</f>
        <v>3.1211514764922462E-4</v>
      </c>
      <c r="O8" s="248">
        <f>N8</f>
        <v>3.1211514764922462E-4</v>
      </c>
      <c r="P8" s="796">
        <f>O8</f>
        <v>3.1211514764922462E-4</v>
      </c>
      <c r="Q8" s="796">
        <f t="shared" ref="Q8:Y8" si="11">P8</f>
        <v>3.1211514764922462E-4</v>
      </c>
      <c r="R8" s="796">
        <f t="shared" si="11"/>
        <v>3.1211514764922462E-4</v>
      </c>
      <c r="S8" s="796">
        <f t="shared" si="11"/>
        <v>3.1211514764922462E-4</v>
      </c>
      <c r="T8" s="796">
        <f t="shared" si="11"/>
        <v>3.1211514764922462E-4</v>
      </c>
      <c r="U8" s="796">
        <f t="shared" si="11"/>
        <v>3.1211514764922462E-4</v>
      </c>
      <c r="V8" s="796">
        <f t="shared" si="11"/>
        <v>3.1211514764922462E-4</v>
      </c>
      <c r="W8" s="796">
        <f t="shared" si="11"/>
        <v>3.1211514764922462E-4</v>
      </c>
      <c r="X8" s="796">
        <f t="shared" si="11"/>
        <v>3.1211514764922462E-4</v>
      </c>
      <c r="Y8" s="796">
        <f t="shared" si="11"/>
        <v>3.1211514764922462E-4</v>
      </c>
    </row>
    <row r="9" spans="2:25" hidden="1" outlineLevel="1">
      <c r="B9" s="213"/>
      <c r="C9" s="214"/>
      <c r="D9" s="248"/>
      <c r="E9" s="248"/>
      <c r="F9" s="248"/>
      <c r="G9" s="248"/>
      <c r="H9" s="248"/>
      <c r="I9" s="248"/>
      <c r="J9" s="248"/>
      <c r="K9" s="248"/>
      <c r="L9" s="248"/>
      <c r="M9" s="248"/>
      <c r="N9" s="248"/>
      <c r="O9" s="248"/>
      <c r="P9" s="796"/>
    </row>
    <row r="10" spans="2:25" hidden="1" outlineLevel="1">
      <c r="B10" s="90" t="s">
        <v>272</v>
      </c>
      <c r="C10" s="189">
        <f>C11*C7</f>
        <v>90250</v>
      </c>
      <c r="D10" s="189">
        <f t="shared" ref="D10:M10" si="12">C19</f>
        <v>92998.246920000005</v>
      </c>
      <c r="E10" s="189">
        <f t="shared" si="12"/>
        <v>95697.311783960002</v>
      </c>
      <c r="F10" s="189">
        <f>E19</f>
        <v>98349.987307953488</v>
      </c>
      <c r="G10" s="189">
        <f t="shared" si="12"/>
        <v>100966.4485981592</v>
      </c>
      <c r="H10" s="189">
        <f t="shared" si="12"/>
        <v>103548.65492883332</v>
      </c>
      <c r="I10" s="189">
        <f t="shared" si="12"/>
        <v>106098.49927456054</v>
      </c>
      <c r="J10" s="189">
        <f t="shared" si="12"/>
        <v>108617.8108252768</v>
      </c>
      <c r="K10" s="189">
        <f t="shared" si="12"/>
        <v>111108.35740885531</v>
      </c>
      <c r="L10" s="189">
        <f t="shared" si="12"/>
        <v>113571.84782468255</v>
      </c>
      <c r="M10" s="189">
        <f t="shared" si="12"/>
        <v>116009.93409152374</v>
      </c>
      <c r="N10" s="189">
        <f>M19</f>
        <v>118424.21361285535</v>
      </c>
      <c r="O10" s="189">
        <f>N19</f>
        <v>120816.23126272488</v>
      </c>
      <c r="P10" s="390">
        <f>O19</f>
        <v>123187.48139508466</v>
      </c>
      <c r="Q10" s="390">
        <f t="shared" ref="Q10:Y10" si="13">P19</f>
        <v>125539.40977943795</v>
      </c>
      <c r="R10" s="390">
        <f t="shared" si="13"/>
        <v>127873.41546552989</v>
      </c>
      <c r="S10" s="390">
        <f t="shared" si="13"/>
        <v>130190.85257971573</v>
      </c>
      <c r="T10" s="390">
        <f t="shared" si="13"/>
        <v>132493.0320555408</v>
      </c>
      <c r="U10" s="390">
        <f t="shared" si="13"/>
        <v>134781.22330097307</v>
      </c>
      <c r="V10" s="390">
        <f t="shared" si="13"/>
        <v>137056.65580463922</v>
      </c>
      <c r="W10" s="390">
        <f t="shared" si="13"/>
        <v>139320.52068332775</v>
      </c>
      <c r="X10" s="390">
        <f t="shared" si="13"/>
        <v>141573.97217293942</v>
      </c>
      <c r="Y10" s="390">
        <f t="shared" si="13"/>
        <v>143818.12906498442</v>
      </c>
    </row>
    <row r="11" spans="2:25" hidden="1" outlineLevel="1">
      <c r="B11" s="204" t="s">
        <v>260</v>
      </c>
      <c r="C11" s="209">
        <v>0.95</v>
      </c>
      <c r="D11" s="208">
        <f t="shared" ref="D11:M11" si="14">C11</f>
        <v>0.95</v>
      </c>
      <c r="E11" s="208">
        <f t="shared" si="14"/>
        <v>0.95</v>
      </c>
      <c r="F11" s="208">
        <f t="shared" si="14"/>
        <v>0.95</v>
      </c>
      <c r="G11" s="208">
        <f t="shared" si="14"/>
        <v>0.95</v>
      </c>
      <c r="H11" s="208">
        <f t="shared" si="14"/>
        <v>0.95</v>
      </c>
      <c r="I11" s="208">
        <f t="shared" si="14"/>
        <v>0.95</v>
      </c>
      <c r="J11" s="208">
        <f t="shared" si="14"/>
        <v>0.95</v>
      </c>
      <c r="K11" s="208">
        <f t="shared" si="14"/>
        <v>0.95</v>
      </c>
      <c r="L11" s="208">
        <f t="shared" si="14"/>
        <v>0.95</v>
      </c>
      <c r="M11" s="208">
        <f t="shared" si="14"/>
        <v>0.95</v>
      </c>
      <c r="N11" s="208">
        <f>M11</f>
        <v>0.95</v>
      </c>
      <c r="O11" s="208">
        <f>N11</f>
        <v>0.95</v>
      </c>
      <c r="P11" s="511">
        <f>O11</f>
        <v>0.95</v>
      </c>
      <c r="Q11" s="511">
        <f t="shared" ref="Q11:Y11" si="15">P11</f>
        <v>0.95</v>
      </c>
      <c r="R11" s="511">
        <f t="shared" si="15"/>
        <v>0.95</v>
      </c>
      <c r="S11" s="511">
        <f t="shared" si="15"/>
        <v>0.95</v>
      </c>
      <c r="T11" s="511">
        <f t="shared" si="15"/>
        <v>0.95</v>
      </c>
      <c r="U11" s="511">
        <f t="shared" si="15"/>
        <v>0.95</v>
      </c>
      <c r="V11" s="511">
        <f t="shared" si="15"/>
        <v>0.95</v>
      </c>
      <c r="W11" s="511">
        <f t="shared" si="15"/>
        <v>0.95</v>
      </c>
      <c r="X11" s="511">
        <f t="shared" si="15"/>
        <v>0.95</v>
      </c>
      <c r="Y11" s="511">
        <f t="shared" si="15"/>
        <v>0.95</v>
      </c>
    </row>
    <row r="12" spans="2:25" hidden="1" outlineLevel="1">
      <c r="B12" s="213"/>
      <c r="C12" s="214"/>
      <c r="D12" s="248"/>
      <c r="E12" s="248"/>
      <c r="F12" s="248"/>
      <c r="G12" s="248"/>
      <c r="H12" s="248"/>
      <c r="I12" s="248"/>
      <c r="J12" s="248"/>
      <c r="K12" s="248"/>
      <c r="L12" s="248"/>
      <c r="M12" s="248"/>
      <c r="N12" s="248"/>
      <c r="O12" s="248"/>
      <c r="P12" s="796"/>
    </row>
    <row r="13" spans="2:25" hidden="1" outlineLevel="1">
      <c r="B13" s="90" t="s">
        <v>114</v>
      </c>
      <c r="C13" s="189">
        <f t="shared" ref="C13:M13" si="16">C14*C4</f>
        <v>6087.4969200000005</v>
      </c>
      <c r="D13" s="189">
        <f t="shared" si="16"/>
        <v>6140.0000000000009</v>
      </c>
      <c r="E13" s="189">
        <f t="shared" si="16"/>
        <v>6193.4760600000009</v>
      </c>
      <c r="F13" s="189">
        <f t="shared" si="16"/>
        <v>6255.410820600001</v>
      </c>
      <c r="G13" s="189">
        <f t="shared" si="16"/>
        <v>6317.9649288060018</v>
      </c>
      <c r="H13" s="189">
        <f t="shared" si="16"/>
        <v>6381.1445780940612</v>
      </c>
      <c r="I13" s="189">
        <f t="shared" si="16"/>
        <v>6444.9560238750018</v>
      </c>
      <c r="J13" s="189">
        <f t="shared" si="16"/>
        <v>6509.4055841137524</v>
      </c>
      <c r="K13" s="189">
        <f t="shared" si="16"/>
        <v>6574.4996399548891</v>
      </c>
      <c r="L13" s="189">
        <f t="shared" si="16"/>
        <v>6640.2446363544386</v>
      </c>
      <c r="M13" s="189">
        <f t="shared" si="16"/>
        <v>6706.6470827179828</v>
      </c>
      <c r="N13" s="189">
        <f>N14*N4</f>
        <v>6773.7135535451634</v>
      </c>
      <c r="O13" s="189">
        <f>O14*O4</f>
        <v>6841.4506890806142</v>
      </c>
      <c r="P13" s="390">
        <f>P14*P4</f>
        <v>6909.8651959714207</v>
      </c>
      <c r="Q13" s="390">
        <f t="shared" ref="Q13:Y13" si="17">Q14*Q4</f>
        <v>6978.9638479311343</v>
      </c>
      <c r="R13" s="390">
        <f t="shared" si="17"/>
        <v>7048.7534864104455</v>
      </c>
      <c r="S13" s="390">
        <f t="shared" si="17"/>
        <v>7119.2410212745508</v>
      </c>
      <c r="T13" s="390">
        <f t="shared" si="17"/>
        <v>7190.4334314872958</v>
      </c>
      <c r="U13" s="390">
        <f t="shared" si="17"/>
        <v>7262.3377658021691</v>
      </c>
      <c r="V13" s="390">
        <f t="shared" si="17"/>
        <v>7334.9611434601911</v>
      </c>
      <c r="W13" s="390">
        <f t="shared" si="17"/>
        <v>7408.3107548947928</v>
      </c>
      <c r="X13" s="390">
        <f t="shared" si="17"/>
        <v>7482.3938624437405</v>
      </c>
      <c r="Y13" s="390">
        <f t="shared" si="17"/>
        <v>7557.2178010681791</v>
      </c>
    </row>
    <row r="14" spans="2:25" hidden="1" outlineLevel="1">
      <c r="B14" s="204" t="s">
        <v>16</v>
      </c>
      <c r="C14" s="413">
        <v>2.0000000000000002E-5</v>
      </c>
      <c r="D14" s="413">
        <v>2.0000000000000002E-5</v>
      </c>
      <c r="E14" s="413">
        <v>2.0000000000000002E-5</v>
      </c>
      <c r="F14" s="413">
        <v>2.0000000000000002E-5</v>
      </c>
      <c r="G14" s="413">
        <f>F14</f>
        <v>2.0000000000000002E-5</v>
      </c>
      <c r="H14" s="413">
        <f t="shared" ref="H14:Y14" si="18">G14</f>
        <v>2.0000000000000002E-5</v>
      </c>
      <c r="I14" s="413">
        <f t="shared" si="18"/>
        <v>2.0000000000000002E-5</v>
      </c>
      <c r="J14" s="413">
        <f t="shared" si="18"/>
        <v>2.0000000000000002E-5</v>
      </c>
      <c r="K14" s="413">
        <f t="shared" si="18"/>
        <v>2.0000000000000002E-5</v>
      </c>
      <c r="L14" s="413">
        <f t="shared" si="18"/>
        <v>2.0000000000000002E-5</v>
      </c>
      <c r="M14" s="413">
        <f t="shared" si="18"/>
        <v>2.0000000000000002E-5</v>
      </c>
      <c r="N14" s="413">
        <f t="shared" si="18"/>
        <v>2.0000000000000002E-5</v>
      </c>
      <c r="O14" s="413">
        <f t="shared" si="18"/>
        <v>2.0000000000000002E-5</v>
      </c>
      <c r="P14" s="413">
        <f t="shared" si="18"/>
        <v>2.0000000000000002E-5</v>
      </c>
      <c r="Q14" s="413">
        <f t="shared" si="18"/>
        <v>2.0000000000000002E-5</v>
      </c>
      <c r="R14" s="413">
        <f t="shared" si="18"/>
        <v>2.0000000000000002E-5</v>
      </c>
      <c r="S14" s="413">
        <f t="shared" si="18"/>
        <v>2.0000000000000002E-5</v>
      </c>
      <c r="T14" s="413">
        <f t="shared" si="18"/>
        <v>2.0000000000000002E-5</v>
      </c>
      <c r="U14" s="413">
        <f t="shared" si="18"/>
        <v>2.0000000000000002E-5</v>
      </c>
      <c r="V14" s="413">
        <f t="shared" si="18"/>
        <v>2.0000000000000002E-5</v>
      </c>
      <c r="W14" s="413">
        <f t="shared" si="18"/>
        <v>2.0000000000000002E-5</v>
      </c>
      <c r="X14" s="413">
        <f t="shared" si="18"/>
        <v>2.0000000000000002E-5</v>
      </c>
      <c r="Y14" s="413">
        <f t="shared" si="18"/>
        <v>2.0000000000000002E-5</v>
      </c>
    </row>
    <row r="15" spans="2:25" hidden="1" outlineLevel="1">
      <c r="B15" s="213"/>
      <c r="C15" s="214"/>
      <c r="D15" s="248"/>
      <c r="E15" s="248"/>
      <c r="F15" s="248"/>
      <c r="G15" s="248"/>
      <c r="H15" s="248"/>
      <c r="I15" s="248"/>
      <c r="J15" s="248"/>
      <c r="K15" s="248"/>
      <c r="L15" s="248"/>
      <c r="M15" s="248"/>
      <c r="N15" s="248"/>
      <c r="O15" s="248"/>
      <c r="P15" s="796"/>
    </row>
    <row r="16" spans="2:25" hidden="1" outlineLevel="1">
      <c r="B16" s="225" t="s">
        <v>96</v>
      </c>
      <c r="C16" s="189">
        <f t="shared" ref="C16:M16" si="19">C17*C10</f>
        <v>3339.25</v>
      </c>
      <c r="D16" s="189">
        <f t="shared" si="19"/>
        <v>3440.9351360400001</v>
      </c>
      <c r="E16" s="189">
        <f t="shared" si="19"/>
        <v>3540.8005360065199</v>
      </c>
      <c r="F16" s="189">
        <f t="shared" si="19"/>
        <v>3638.949530394279</v>
      </c>
      <c r="G16" s="189">
        <f t="shared" si="19"/>
        <v>3735.7585981318903</v>
      </c>
      <c r="H16" s="189">
        <f t="shared" si="19"/>
        <v>3831.3002323668325</v>
      </c>
      <c r="I16" s="189">
        <f t="shared" si="19"/>
        <v>3925.6444731587399</v>
      </c>
      <c r="J16" s="189">
        <f t="shared" si="19"/>
        <v>4018.8590005352412</v>
      </c>
      <c r="K16" s="189">
        <f t="shared" si="19"/>
        <v>4111.0092241276461</v>
      </c>
      <c r="L16" s="189">
        <f t="shared" si="19"/>
        <v>4202.158369513254</v>
      </c>
      <c r="M16" s="189">
        <f t="shared" si="19"/>
        <v>4292.3675613863779</v>
      </c>
      <c r="N16" s="189">
        <f>N17*N10</f>
        <v>4381.695903675648</v>
      </c>
      <c r="O16" s="189">
        <f>O17*O10</f>
        <v>4470.2005567208198</v>
      </c>
      <c r="P16" s="390">
        <f>P17*P10</f>
        <v>4557.9368116181322</v>
      </c>
      <c r="Q16" s="390">
        <f t="shared" ref="Q16:Y16" si="20">Q17*Q10</f>
        <v>4644.958161839204</v>
      </c>
      <c r="R16" s="390">
        <f t="shared" si="20"/>
        <v>4731.3163722246054</v>
      </c>
      <c r="S16" s="390">
        <f t="shared" si="20"/>
        <v>4817.0615454494819</v>
      </c>
      <c r="T16" s="390">
        <f t="shared" si="20"/>
        <v>4902.2421860550094</v>
      </c>
      <c r="U16" s="390">
        <f t="shared" si="20"/>
        <v>4986.9052621360033</v>
      </c>
      <c r="V16" s="390">
        <f t="shared" si="20"/>
        <v>5071.0962647716506</v>
      </c>
      <c r="W16" s="390">
        <f t="shared" si="20"/>
        <v>5154.8592652831267</v>
      </c>
      <c r="X16" s="390">
        <f t="shared" si="20"/>
        <v>5238.2369703987588</v>
      </c>
      <c r="Y16" s="390">
        <f t="shared" si="20"/>
        <v>5321.2707754044231</v>
      </c>
    </row>
    <row r="17" spans="2:45" hidden="1" outlineLevel="1">
      <c r="B17" s="204" t="s">
        <v>17</v>
      </c>
      <c r="C17" s="414">
        <v>3.6999999999999998E-2</v>
      </c>
      <c r="D17" s="415">
        <v>3.6999999999999998E-2</v>
      </c>
      <c r="E17" s="415">
        <v>3.6999999999999998E-2</v>
      </c>
      <c r="F17" s="415">
        <v>3.6999999999999998E-2</v>
      </c>
      <c r="G17" s="415">
        <f>F17</f>
        <v>3.6999999999999998E-2</v>
      </c>
      <c r="H17" s="415">
        <f t="shared" ref="H17:Y17" si="21">G17</f>
        <v>3.6999999999999998E-2</v>
      </c>
      <c r="I17" s="415">
        <f t="shared" si="21"/>
        <v>3.6999999999999998E-2</v>
      </c>
      <c r="J17" s="415">
        <f t="shared" si="21"/>
        <v>3.6999999999999998E-2</v>
      </c>
      <c r="K17" s="415">
        <f t="shared" si="21"/>
        <v>3.6999999999999998E-2</v>
      </c>
      <c r="L17" s="415">
        <f t="shared" si="21"/>
        <v>3.6999999999999998E-2</v>
      </c>
      <c r="M17" s="415">
        <f t="shared" si="21"/>
        <v>3.6999999999999998E-2</v>
      </c>
      <c r="N17" s="415">
        <f t="shared" si="21"/>
        <v>3.6999999999999998E-2</v>
      </c>
      <c r="O17" s="415">
        <f t="shared" si="21"/>
        <v>3.6999999999999998E-2</v>
      </c>
      <c r="P17" s="415">
        <f t="shared" si="21"/>
        <v>3.6999999999999998E-2</v>
      </c>
      <c r="Q17" s="415">
        <f t="shared" si="21"/>
        <v>3.6999999999999998E-2</v>
      </c>
      <c r="R17" s="415">
        <f t="shared" si="21"/>
        <v>3.6999999999999998E-2</v>
      </c>
      <c r="S17" s="415">
        <f t="shared" si="21"/>
        <v>3.6999999999999998E-2</v>
      </c>
      <c r="T17" s="415">
        <f t="shared" si="21"/>
        <v>3.6999999999999998E-2</v>
      </c>
      <c r="U17" s="415">
        <f t="shared" si="21"/>
        <v>3.6999999999999998E-2</v>
      </c>
      <c r="V17" s="415">
        <f t="shared" si="21"/>
        <v>3.6999999999999998E-2</v>
      </c>
      <c r="W17" s="415">
        <f t="shared" si="21"/>
        <v>3.6999999999999998E-2</v>
      </c>
      <c r="X17" s="415">
        <f t="shared" si="21"/>
        <v>3.6999999999999998E-2</v>
      </c>
      <c r="Y17" s="415">
        <f t="shared" si="21"/>
        <v>3.6999999999999998E-2</v>
      </c>
    </row>
    <row r="18" spans="2:45" hidden="1" outlineLevel="1">
      <c r="B18" s="213"/>
      <c r="C18" s="214"/>
      <c r="D18" s="248"/>
      <c r="E18" s="248"/>
      <c r="F18" s="248"/>
      <c r="G18" s="248"/>
      <c r="H18" s="248"/>
      <c r="I18" s="248"/>
      <c r="J18" s="248"/>
      <c r="K18" s="248"/>
      <c r="L18" s="248"/>
      <c r="M18" s="248"/>
      <c r="N18" s="248"/>
      <c r="O18" s="248"/>
      <c r="P18" s="796"/>
    </row>
    <row r="19" spans="2:45" hidden="1" outlineLevel="1">
      <c r="B19" s="90" t="s">
        <v>15</v>
      </c>
      <c r="C19" s="189">
        <f t="shared" ref="C19:M19" si="22">+C10+C13-C16</f>
        <v>92998.246920000005</v>
      </c>
      <c r="D19" s="189">
        <f t="shared" si="22"/>
        <v>95697.311783960002</v>
      </c>
      <c r="E19" s="189">
        <f t="shared" si="22"/>
        <v>98349.987307953488</v>
      </c>
      <c r="F19" s="189">
        <f t="shared" si="22"/>
        <v>100966.4485981592</v>
      </c>
      <c r="G19" s="189">
        <f t="shared" si="22"/>
        <v>103548.65492883332</v>
      </c>
      <c r="H19" s="189">
        <f t="shared" si="22"/>
        <v>106098.49927456054</v>
      </c>
      <c r="I19" s="189">
        <f t="shared" si="22"/>
        <v>108617.8108252768</v>
      </c>
      <c r="J19" s="189">
        <f t="shared" si="22"/>
        <v>111108.35740885531</v>
      </c>
      <c r="K19" s="189">
        <f t="shared" si="22"/>
        <v>113571.84782468255</v>
      </c>
      <c r="L19" s="189">
        <f t="shared" si="22"/>
        <v>116009.93409152374</v>
      </c>
      <c r="M19" s="189">
        <f t="shared" si="22"/>
        <v>118424.21361285535</v>
      </c>
      <c r="N19" s="189">
        <f>+N10+N13-N16</f>
        <v>120816.23126272488</v>
      </c>
      <c r="O19" s="189">
        <f>+O10+O13-O16</f>
        <v>123187.48139508466</v>
      </c>
      <c r="P19" s="390">
        <f>+P10+P13-P16</f>
        <v>125539.40977943795</v>
      </c>
      <c r="Q19" s="390">
        <f t="shared" ref="Q19:Y19" si="23">+Q10+Q13-Q16</f>
        <v>127873.41546552989</v>
      </c>
      <c r="R19" s="390">
        <f t="shared" si="23"/>
        <v>130190.85257971573</v>
      </c>
      <c r="S19" s="390">
        <f t="shared" si="23"/>
        <v>132493.0320555408</v>
      </c>
      <c r="T19" s="390">
        <f t="shared" si="23"/>
        <v>134781.22330097307</v>
      </c>
      <c r="U19" s="390">
        <f t="shared" si="23"/>
        <v>137056.65580463922</v>
      </c>
      <c r="V19" s="390">
        <f t="shared" si="23"/>
        <v>139320.52068332775</v>
      </c>
      <c r="W19" s="390">
        <f t="shared" si="23"/>
        <v>141573.97217293942</v>
      </c>
      <c r="X19" s="390">
        <f t="shared" si="23"/>
        <v>143818.12906498442</v>
      </c>
      <c r="Y19" s="390">
        <f t="shared" si="23"/>
        <v>146054.07609064819</v>
      </c>
    </row>
    <row r="20" spans="2:45" collapsed="1">
      <c r="C20" s="189"/>
      <c r="D20" s="189"/>
      <c r="E20" s="189"/>
      <c r="F20" s="189"/>
      <c r="G20" s="189"/>
      <c r="H20" s="189"/>
      <c r="I20" s="189"/>
      <c r="J20" s="189"/>
      <c r="K20" s="189"/>
      <c r="L20" s="189"/>
      <c r="M20" s="189"/>
      <c r="N20" s="189"/>
      <c r="O20" s="189"/>
      <c r="P20" s="390"/>
    </row>
    <row r="21" spans="2:45">
      <c r="B21" s="247" t="s">
        <v>273</v>
      </c>
      <c r="C21" s="380">
        <f t="shared" ref="C21:M21" si="24">+C22*C10</f>
        <v>47832.5</v>
      </c>
      <c r="D21" s="380">
        <f t="shared" si="24"/>
        <v>49289.070867600007</v>
      </c>
      <c r="E21" s="380">
        <f t="shared" si="24"/>
        <v>50719.575245498803</v>
      </c>
      <c r="F21" s="380">
        <f t="shared" si="24"/>
        <v>52125.493273215354</v>
      </c>
      <c r="G21" s="380">
        <f t="shared" si="24"/>
        <v>53512.21775702438</v>
      </c>
      <c r="H21" s="380">
        <f t="shared" si="24"/>
        <v>54880.787112281665</v>
      </c>
      <c r="I21" s="380">
        <f t="shared" si="24"/>
        <v>56232.20461551709</v>
      </c>
      <c r="J21" s="380">
        <f t="shared" si="24"/>
        <v>57567.439737396708</v>
      </c>
      <c r="K21" s="380">
        <f t="shared" si="24"/>
        <v>58887.429426693321</v>
      </c>
      <c r="L21" s="380">
        <f t="shared" si="24"/>
        <v>60193.079347081759</v>
      </c>
      <c r="M21" s="380">
        <f t="shared" si="24"/>
        <v>61485.265068507586</v>
      </c>
      <c r="N21" s="380">
        <f>+N22*N10</f>
        <v>62764.833214813341</v>
      </c>
      <c r="O21" s="380">
        <f>+O22*O10</f>
        <v>64032.602569244191</v>
      </c>
      <c r="P21" s="380">
        <f>+P22*P10</f>
        <v>65289.365139394875</v>
      </c>
      <c r="Q21" s="380">
        <f t="shared" ref="Q21:Y21" si="25">+Q22*Q10</f>
        <v>66535.88718310211</v>
      </c>
      <c r="R21" s="380">
        <f t="shared" si="25"/>
        <v>67772.910196730852</v>
      </c>
      <c r="S21" s="380">
        <f t="shared" si="25"/>
        <v>69001.15186724934</v>
      </c>
      <c r="T21" s="380">
        <f t="shared" si="25"/>
        <v>70221.30698943662</v>
      </c>
      <c r="U21" s="380">
        <f t="shared" si="25"/>
        <v>71434.048349515724</v>
      </c>
      <c r="V21" s="380">
        <f t="shared" si="25"/>
        <v>72640.027576458786</v>
      </c>
      <c r="W21" s="380">
        <f t="shared" si="25"/>
        <v>73839.875962163715</v>
      </c>
      <c r="X21" s="380">
        <f t="shared" si="25"/>
        <v>75034.205251657899</v>
      </c>
      <c r="Y21" s="380">
        <f t="shared" si="25"/>
        <v>76223.608404441751</v>
      </c>
    </row>
    <row r="22" spans="2:45">
      <c r="B22" s="389" t="s">
        <v>261</v>
      </c>
      <c r="C22" s="396">
        <v>0.53</v>
      </c>
      <c r="D22" s="397">
        <f t="shared" ref="D22:M22" si="26">C22</f>
        <v>0.53</v>
      </c>
      <c r="E22" s="397">
        <f t="shared" si="26"/>
        <v>0.53</v>
      </c>
      <c r="F22" s="397">
        <f t="shared" si="26"/>
        <v>0.53</v>
      </c>
      <c r="G22" s="397">
        <f t="shared" si="26"/>
        <v>0.53</v>
      </c>
      <c r="H22" s="397">
        <f t="shared" si="26"/>
        <v>0.53</v>
      </c>
      <c r="I22" s="397">
        <f t="shared" si="26"/>
        <v>0.53</v>
      </c>
      <c r="J22" s="397">
        <f t="shared" si="26"/>
        <v>0.53</v>
      </c>
      <c r="K22" s="397">
        <f t="shared" si="26"/>
        <v>0.53</v>
      </c>
      <c r="L22" s="397">
        <f t="shared" si="26"/>
        <v>0.53</v>
      </c>
      <c r="M22" s="397">
        <f t="shared" si="26"/>
        <v>0.53</v>
      </c>
      <c r="N22" s="397">
        <f>M22</f>
        <v>0.53</v>
      </c>
      <c r="O22" s="397">
        <f>N22</f>
        <v>0.53</v>
      </c>
      <c r="P22" s="397">
        <f>O22</f>
        <v>0.53</v>
      </c>
      <c r="Q22" s="397">
        <f t="shared" ref="Q22:Y22" si="27">P22</f>
        <v>0.53</v>
      </c>
      <c r="R22" s="397">
        <f t="shared" si="27"/>
        <v>0.53</v>
      </c>
      <c r="S22" s="397">
        <f t="shared" si="27"/>
        <v>0.53</v>
      </c>
      <c r="T22" s="397">
        <f t="shared" si="27"/>
        <v>0.53</v>
      </c>
      <c r="U22" s="397">
        <f t="shared" si="27"/>
        <v>0.53</v>
      </c>
      <c r="V22" s="397">
        <f t="shared" si="27"/>
        <v>0.53</v>
      </c>
      <c r="W22" s="397">
        <f t="shared" si="27"/>
        <v>0.53</v>
      </c>
      <c r="X22" s="397">
        <f t="shared" si="27"/>
        <v>0.53</v>
      </c>
      <c r="Y22" s="397">
        <f t="shared" si="27"/>
        <v>0.53</v>
      </c>
    </row>
    <row r="23" spans="2:45">
      <c r="B23" s="389"/>
      <c r="C23" s="396"/>
      <c r="D23" s="397"/>
      <c r="E23" s="397"/>
      <c r="F23" s="397"/>
      <c r="G23" s="397"/>
      <c r="H23" s="397"/>
      <c r="I23" s="397"/>
      <c r="J23" s="397"/>
      <c r="K23" s="397"/>
      <c r="L23" s="397"/>
      <c r="M23" s="397"/>
      <c r="N23" s="397"/>
      <c r="O23" s="397"/>
      <c r="P23" s="397"/>
    </row>
    <row r="24" spans="2:45">
      <c r="B24" s="173" t="s">
        <v>274</v>
      </c>
      <c r="C24" s="390">
        <f t="shared" ref="C24:M24" si="28">C21*C25</f>
        <v>19133</v>
      </c>
      <c r="D24" s="390">
        <f t="shared" si="28"/>
        <v>19715.628347040005</v>
      </c>
      <c r="E24" s="390">
        <f t="shared" si="28"/>
        <v>20287.830098199523</v>
      </c>
      <c r="F24" s="390">
        <f t="shared" si="28"/>
        <v>20850.197309286144</v>
      </c>
      <c r="G24" s="390">
        <f t="shared" si="28"/>
        <v>21404.887102809753</v>
      </c>
      <c r="H24" s="390">
        <f t="shared" si="28"/>
        <v>21952.314844912667</v>
      </c>
      <c r="I24" s="390">
        <f t="shared" si="28"/>
        <v>22492.881846206838</v>
      </c>
      <c r="J24" s="390">
        <f t="shared" si="28"/>
        <v>23026.975894958683</v>
      </c>
      <c r="K24" s="390">
        <f t="shared" si="28"/>
        <v>23554.97177067733</v>
      </c>
      <c r="L24" s="390">
        <f t="shared" si="28"/>
        <v>24077.231738832706</v>
      </c>
      <c r="M24" s="390">
        <f t="shared" si="28"/>
        <v>24594.106027403035</v>
      </c>
      <c r="N24" s="390">
        <f>N21*N25</f>
        <v>25105.933285925337</v>
      </c>
      <c r="O24" s="390">
        <f>O21*O25</f>
        <v>25613.041027697676</v>
      </c>
      <c r="P24" s="390">
        <f>P21*P25</f>
        <v>26115.746055757951</v>
      </c>
      <c r="Q24" s="390">
        <f t="shared" ref="Q24:Y24" si="29">Q21*Q25</f>
        <v>26614.354873240845</v>
      </c>
      <c r="R24" s="390">
        <f t="shared" si="29"/>
        <v>27109.164078692342</v>
      </c>
      <c r="S24" s="390">
        <f t="shared" si="29"/>
        <v>27600.460746899738</v>
      </c>
      <c r="T24" s="390">
        <f t="shared" si="29"/>
        <v>28088.52279577465</v>
      </c>
      <c r="U24" s="390">
        <f t="shared" si="29"/>
        <v>28573.61933980629</v>
      </c>
      <c r="V24" s="390">
        <f t="shared" si="29"/>
        <v>29056.011030583515</v>
      </c>
      <c r="W24" s="390">
        <f t="shared" si="29"/>
        <v>29535.950384865486</v>
      </c>
      <c r="X24" s="390">
        <f t="shared" si="29"/>
        <v>30013.682100663162</v>
      </c>
      <c r="Y24" s="390">
        <f t="shared" si="29"/>
        <v>30489.443361776703</v>
      </c>
    </row>
    <row r="25" spans="2:45">
      <c r="B25" s="400" t="s">
        <v>166</v>
      </c>
      <c r="C25" s="401">
        <v>0.4</v>
      </c>
      <c r="D25" s="402">
        <f t="shared" ref="D25:M25" si="30">C25</f>
        <v>0.4</v>
      </c>
      <c r="E25" s="402">
        <f t="shared" si="30"/>
        <v>0.4</v>
      </c>
      <c r="F25" s="402">
        <f t="shared" si="30"/>
        <v>0.4</v>
      </c>
      <c r="G25" s="402">
        <f t="shared" si="30"/>
        <v>0.4</v>
      </c>
      <c r="H25" s="402">
        <f t="shared" si="30"/>
        <v>0.4</v>
      </c>
      <c r="I25" s="402">
        <f t="shared" si="30"/>
        <v>0.4</v>
      </c>
      <c r="J25" s="402">
        <f t="shared" si="30"/>
        <v>0.4</v>
      </c>
      <c r="K25" s="402">
        <f t="shared" si="30"/>
        <v>0.4</v>
      </c>
      <c r="L25" s="402">
        <f t="shared" si="30"/>
        <v>0.4</v>
      </c>
      <c r="M25" s="402">
        <f t="shared" si="30"/>
        <v>0.4</v>
      </c>
      <c r="N25" s="402">
        <f>M25</f>
        <v>0.4</v>
      </c>
      <c r="O25" s="402">
        <f>N25</f>
        <v>0.4</v>
      </c>
      <c r="P25" s="402">
        <f>O25</f>
        <v>0.4</v>
      </c>
      <c r="Q25" s="402">
        <f t="shared" ref="Q25:Y25" si="31">P25</f>
        <v>0.4</v>
      </c>
      <c r="R25" s="402">
        <f t="shared" si="31"/>
        <v>0.4</v>
      </c>
      <c r="S25" s="402">
        <f t="shared" si="31"/>
        <v>0.4</v>
      </c>
      <c r="T25" s="402">
        <f t="shared" si="31"/>
        <v>0.4</v>
      </c>
      <c r="U25" s="402">
        <f t="shared" si="31"/>
        <v>0.4</v>
      </c>
      <c r="V25" s="402">
        <f t="shared" si="31"/>
        <v>0.4</v>
      </c>
      <c r="W25" s="402">
        <f t="shared" si="31"/>
        <v>0.4</v>
      </c>
      <c r="X25" s="402">
        <f t="shared" si="31"/>
        <v>0.4</v>
      </c>
      <c r="Y25" s="402">
        <f t="shared" si="31"/>
        <v>0.4</v>
      </c>
    </row>
    <row r="26" spans="2:45">
      <c r="B26" s="417" t="s">
        <v>275</v>
      </c>
      <c r="C26" s="418">
        <f>+C24</f>
        <v>19133</v>
      </c>
      <c r="D26" s="418">
        <f t="shared" ref="D26:M26" si="32">+D24</f>
        <v>19715.628347040005</v>
      </c>
      <c r="E26" s="418">
        <f t="shared" si="32"/>
        <v>20287.830098199523</v>
      </c>
      <c r="F26" s="418">
        <f t="shared" si="32"/>
        <v>20850.197309286144</v>
      </c>
      <c r="G26" s="418">
        <f t="shared" si="32"/>
        <v>21404.887102809753</v>
      </c>
      <c r="H26" s="418">
        <f t="shared" si="32"/>
        <v>21952.314844912667</v>
      </c>
      <c r="I26" s="418">
        <f t="shared" si="32"/>
        <v>22492.881846206838</v>
      </c>
      <c r="J26" s="418">
        <f t="shared" si="32"/>
        <v>23026.975894958683</v>
      </c>
      <c r="K26" s="418">
        <f t="shared" si="32"/>
        <v>23554.97177067733</v>
      </c>
      <c r="L26" s="418">
        <f t="shared" si="32"/>
        <v>24077.231738832706</v>
      </c>
      <c r="M26" s="418">
        <f t="shared" si="32"/>
        <v>24594.106027403035</v>
      </c>
      <c r="N26" s="418">
        <f>+N24</f>
        <v>25105.933285925337</v>
      </c>
      <c r="O26" s="418">
        <f>+O24</f>
        <v>25613.041027697676</v>
      </c>
      <c r="P26" s="418">
        <f>+P24</f>
        <v>26115.746055757951</v>
      </c>
      <c r="Q26" s="418">
        <f t="shared" ref="Q26:Y26" si="33">+Q24</f>
        <v>26614.354873240845</v>
      </c>
      <c r="R26" s="418">
        <f t="shared" si="33"/>
        <v>27109.164078692342</v>
      </c>
      <c r="S26" s="418">
        <f t="shared" si="33"/>
        <v>27600.460746899738</v>
      </c>
      <c r="T26" s="418">
        <f t="shared" si="33"/>
        <v>28088.52279577465</v>
      </c>
      <c r="U26" s="418">
        <f t="shared" si="33"/>
        <v>28573.61933980629</v>
      </c>
      <c r="V26" s="418">
        <f t="shared" si="33"/>
        <v>29056.011030583515</v>
      </c>
      <c r="W26" s="418">
        <f t="shared" si="33"/>
        <v>29535.950384865486</v>
      </c>
      <c r="X26" s="418">
        <f t="shared" si="33"/>
        <v>30013.682100663162</v>
      </c>
      <c r="Y26" s="418">
        <f t="shared" si="33"/>
        <v>30489.443361776703</v>
      </c>
    </row>
    <row r="27" spans="2:45" hidden="1" outlineLevel="1">
      <c r="B27" s="243"/>
      <c r="C27" s="416"/>
      <c r="D27" s="416"/>
      <c r="E27" s="416"/>
      <c r="F27" s="416"/>
      <c r="G27" s="416"/>
      <c r="H27" s="416"/>
      <c r="I27" s="416"/>
      <c r="J27" s="416"/>
      <c r="K27" s="416"/>
      <c r="L27" s="416"/>
      <c r="M27" s="416"/>
      <c r="N27" s="416"/>
      <c r="O27" s="416"/>
      <c r="P27" s="416"/>
    </row>
    <row r="28" spans="2:45" hidden="1" outlineLevel="1">
      <c r="B28" s="90" t="s">
        <v>307</v>
      </c>
      <c r="C28" s="416"/>
      <c r="D28" s="416"/>
      <c r="E28" s="416"/>
      <c r="F28" s="416"/>
      <c r="G28" s="416"/>
      <c r="H28" s="416"/>
      <c r="I28" s="390">
        <f>+I45</f>
        <v>1034.8044188427727</v>
      </c>
      <c r="J28" s="390">
        <f t="shared" ref="J28:O28" si="34">+J36+I28</f>
        <v>2704.2601712272772</v>
      </c>
      <c r="K28" s="390">
        <f t="shared" si="34"/>
        <v>4235.3333363213042</v>
      </c>
      <c r="L28" s="390">
        <f t="shared" si="34"/>
        <v>5950.8360977131342</v>
      </c>
      <c r="M28" s="390">
        <f t="shared" si="34"/>
        <v>7487.9677244258237</v>
      </c>
      <c r="N28" s="390">
        <f t="shared" si="34"/>
        <v>8994.3237215813442</v>
      </c>
      <c r="O28" s="390">
        <f t="shared" si="34"/>
        <v>10531.106183243204</v>
      </c>
      <c r="P28" s="390">
        <f>+P36+O28</f>
        <v>12032.761581449286</v>
      </c>
      <c r="Q28" s="390">
        <f t="shared" ref="Q28:Y28" si="35">+Q36+P28</f>
        <v>13496.551099477532</v>
      </c>
      <c r="R28" s="390">
        <f t="shared" si="35"/>
        <v>14852.009303412149</v>
      </c>
      <c r="S28" s="390">
        <f t="shared" si="35"/>
        <v>15956.027733288138</v>
      </c>
      <c r="T28" s="390">
        <f t="shared" si="35"/>
        <v>16798.683417161377</v>
      </c>
      <c r="U28" s="390">
        <f t="shared" si="35"/>
        <v>17370.155803957503</v>
      </c>
      <c r="V28" s="390">
        <f t="shared" si="35"/>
        <v>17951.276024569172</v>
      </c>
      <c r="W28" s="390">
        <f t="shared" si="35"/>
        <v>18541.995032266481</v>
      </c>
      <c r="X28" s="390">
        <f t="shared" si="35"/>
        <v>19142.268674279745</v>
      </c>
      <c r="Y28" s="390">
        <f t="shared" si="35"/>
        <v>19752.057541515278</v>
      </c>
    </row>
    <row r="29" spans="2:45" hidden="1" outlineLevel="1">
      <c r="B29" s="90" t="s">
        <v>308</v>
      </c>
      <c r="C29" s="416"/>
      <c r="D29" s="416"/>
      <c r="E29" s="416"/>
      <c r="F29" s="416"/>
      <c r="G29" s="416"/>
      <c r="H29" s="416"/>
      <c r="I29" s="390">
        <f>+I26</f>
        <v>22492.881846206838</v>
      </c>
      <c r="J29" s="390">
        <f t="shared" ref="J29:O29" si="36">+I29+(J24-I24)</f>
        <v>23026.975894958683</v>
      </c>
      <c r="K29" s="390">
        <f t="shared" si="36"/>
        <v>23554.97177067733</v>
      </c>
      <c r="L29" s="390">
        <f t="shared" si="36"/>
        <v>24077.231738832706</v>
      </c>
      <c r="M29" s="390">
        <f t="shared" si="36"/>
        <v>24594.106027403035</v>
      </c>
      <c r="N29" s="390">
        <f t="shared" si="36"/>
        <v>25105.933285925337</v>
      </c>
      <c r="O29" s="390">
        <f t="shared" si="36"/>
        <v>25613.041027697676</v>
      </c>
      <c r="P29" s="390">
        <f>+O29+(P24-O24)</f>
        <v>26115.746055757951</v>
      </c>
      <c r="Q29" s="390">
        <f t="shared" ref="Q29:Y29" si="37">+P29+(Q24-P24)</f>
        <v>26614.354873240845</v>
      </c>
      <c r="R29" s="390">
        <f t="shared" si="37"/>
        <v>27109.164078692342</v>
      </c>
      <c r="S29" s="390">
        <f t="shared" si="37"/>
        <v>27600.460746899738</v>
      </c>
      <c r="T29" s="390">
        <f t="shared" si="37"/>
        <v>28088.52279577465</v>
      </c>
      <c r="U29" s="390">
        <f t="shared" si="37"/>
        <v>28573.61933980629</v>
      </c>
      <c r="V29" s="390">
        <f t="shared" si="37"/>
        <v>29056.011030583515</v>
      </c>
      <c r="W29" s="390">
        <f t="shared" si="37"/>
        <v>29535.950384865486</v>
      </c>
      <c r="X29" s="390">
        <f t="shared" si="37"/>
        <v>30013.682100663162</v>
      </c>
      <c r="Y29" s="390">
        <f t="shared" si="37"/>
        <v>30489.443361776703</v>
      </c>
    </row>
    <row r="30" spans="2:45" hidden="1" outlineLevel="1">
      <c r="B30" s="2" t="s">
        <v>309</v>
      </c>
      <c r="C30" s="416"/>
      <c r="D30" s="416"/>
      <c r="E30" s="416"/>
      <c r="F30" s="416"/>
      <c r="G30" s="416"/>
      <c r="H30" s="416"/>
      <c r="I30" s="527">
        <f t="shared" ref="I30:P30" si="38">+I28/I29</f>
        <v>4.6005862028625756E-2</v>
      </c>
      <c r="J30" s="527">
        <f t="shared" si="38"/>
        <v>0.11743878933834831</v>
      </c>
      <c r="K30" s="527">
        <f t="shared" si="38"/>
        <v>0.17980634311749447</v>
      </c>
      <c r="L30" s="527">
        <f t="shared" si="38"/>
        <v>0.24715615824369841</v>
      </c>
      <c r="M30" s="527">
        <f t="shared" si="38"/>
        <v>0.3044618786339558</v>
      </c>
      <c r="N30" s="527">
        <f t="shared" si="38"/>
        <v>0.35825490409566496</v>
      </c>
      <c r="O30" s="527">
        <f t="shared" si="38"/>
        <v>0.4111618831928226</v>
      </c>
      <c r="P30" s="527">
        <f t="shared" si="38"/>
        <v>0.4607473803642812</v>
      </c>
      <c r="Q30" s="527">
        <f t="shared" ref="Q30:Y30" si="39">+Q28/Q29</f>
        <v>0.50711547072093466</v>
      </c>
      <c r="R30" s="527">
        <f t="shared" si="39"/>
        <v>0.54785936077924846</v>
      </c>
      <c r="S30" s="527">
        <f t="shared" si="39"/>
        <v>0.57810729609216471</v>
      </c>
      <c r="T30" s="527">
        <f t="shared" si="39"/>
        <v>0.5980621885779055</v>
      </c>
      <c r="U30" s="527">
        <f t="shared" si="39"/>
        <v>0.60790884057725614</v>
      </c>
      <c r="V30" s="527">
        <f t="shared" si="39"/>
        <v>0.61781625859358946</v>
      </c>
      <c r="W30" s="527">
        <f t="shared" si="39"/>
        <v>0.62777715938226875</v>
      </c>
      <c r="X30" s="527">
        <f t="shared" si="39"/>
        <v>0.63778474797188545</v>
      </c>
      <c r="Y30" s="527">
        <f t="shared" si="39"/>
        <v>0.64783267136577438</v>
      </c>
    </row>
    <row r="31" spans="2:45" hidden="1" outlineLevel="1">
      <c r="B31" s="243"/>
      <c r="C31" s="416"/>
      <c r="D31" s="416"/>
      <c r="E31" s="416"/>
      <c r="F31" s="416"/>
      <c r="G31" s="416"/>
      <c r="H31" s="416"/>
      <c r="I31" s="416"/>
      <c r="J31" s="416"/>
      <c r="K31" s="416"/>
      <c r="L31" s="416"/>
      <c r="M31" s="416"/>
      <c r="N31" s="416"/>
      <c r="O31" s="416"/>
      <c r="P31" s="416"/>
      <c r="AN31" s="196"/>
      <c r="AO31" s="196"/>
      <c r="AP31" s="196"/>
      <c r="AQ31" s="196"/>
      <c r="AR31" s="196"/>
    </row>
    <row r="32" spans="2:45" collapsed="1">
      <c r="B32" s="243"/>
      <c r="C32" s="416"/>
      <c r="D32" s="416"/>
      <c r="E32" s="416"/>
      <c r="F32" s="416"/>
      <c r="G32" s="416"/>
      <c r="H32" s="416"/>
      <c r="I32" s="416"/>
      <c r="J32" s="416"/>
      <c r="K32" s="416"/>
      <c r="L32" s="416"/>
      <c r="M32" s="416"/>
      <c r="N32" s="416"/>
      <c r="O32" s="416"/>
      <c r="P32" s="416"/>
      <c r="AN32" s="196"/>
      <c r="AO32" s="196"/>
      <c r="AP32" s="196"/>
      <c r="AQ32" s="196"/>
      <c r="AR32" s="416">
        <v>100</v>
      </c>
      <c r="AS32" s="196"/>
    </row>
    <row r="33" spans="2:45" s="204" customFormat="1">
      <c r="B33" s="387" t="s">
        <v>388</v>
      </c>
      <c r="C33" s="209"/>
      <c r="D33" s="314"/>
      <c r="E33" s="189"/>
      <c r="F33" s="189">
        <f>E46</f>
        <v>0</v>
      </c>
      <c r="G33" s="189">
        <f>F45</f>
        <v>0</v>
      </c>
      <c r="H33" s="189">
        <f t="shared" ref="H33:M33" si="40">G45</f>
        <v>0</v>
      </c>
      <c r="I33" s="189">
        <f t="shared" si="40"/>
        <v>439.04629689825333</v>
      </c>
      <c r="J33" s="189">
        <f t="shared" si="40"/>
        <v>1034.8044188427727</v>
      </c>
      <c r="K33" s="189">
        <f t="shared" si="40"/>
        <v>2549.0395084008615</v>
      </c>
      <c r="L33" s="189">
        <f t="shared" si="40"/>
        <v>3774.2279324867845</v>
      </c>
      <c r="M33" s="189">
        <f t="shared" si="40"/>
        <v>5112.3079006299367</v>
      </c>
      <c r="N33" s="189">
        <f>M45</f>
        <v>6138.2087372796323</v>
      </c>
      <c r="O33" s="189">
        <f>N45</f>
        <v>7030.7438607071899</v>
      </c>
      <c r="P33" s="390">
        <f>O45</f>
        <v>7864.4519362983319</v>
      </c>
      <c r="Q33" s="390">
        <f t="shared" ref="Q33:Y33" si="41">P45</f>
        <v>8579.6621408745796</v>
      </c>
      <c r="R33" s="390">
        <f t="shared" si="41"/>
        <v>9185.4854448153674</v>
      </c>
      <c r="S33" s="390">
        <f t="shared" si="41"/>
        <v>9622.3951042684475</v>
      </c>
      <c r="T33" s="390">
        <f t="shared" si="41"/>
        <v>9764.1740237175927</v>
      </c>
      <c r="U33" s="390">
        <f t="shared" si="41"/>
        <v>9630.4123052190735</v>
      </c>
      <c r="V33" s="390">
        <f t="shared" si="41"/>
        <v>9238.8434614932921</v>
      </c>
      <c r="W33" s="390">
        <f t="shared" si="41"/>
        <v>8896.0793359556337</v>
      </c>
      <c r="X33" s="390">
        <f t="shared" si="41"/>
        <v>8597.1904100573793</v>
      </c>
      <c r="Y33" s="390">
        <f t="shared" si="41"/>
        <v>8337.7450110649042</v>
      </c>
      <c r="AN33" s="207"/>
      <c r="AO33" s="207"/>
      <c r="AP33" s="207"/>
      <c r="AQ33" s="204">
        <v>0.5</v>
      </c>
      <c r="AR33" s="416">
        <f t="shared" ref="AR33:AR41" si="42">AR32*(1-AS33)</f>
        <v>95</v>
      </c>
      <c r="AS33" s="780">
        <v>0.05</v>
      </c>
    </row>
    <row r="34" spans="2:45" s="204" customFormat="1">
      <c r="B34" s="227" t="s">
        <v>82</v>
      </c>
      <c r="C34" s="209"/>
      <c r="D34" s="314"/>
      <c r="E34" s="314"/>
      <c r="F34" s="208">
        <f t="shared" ref="F34:P34" si="43">F33/F26</f>
        <v>0</v>
      </c>
      <c r="G34" s="208">
        <f t="shared" si="43"/>
        <v>0</v>
      </c>
      <c r="H34" s="208">
        <f t="shared" si="43"/>
        <v>0</v>
      </c>
      <c r="I34" s="208">
        <f t="shared" si="43"/>
        <v>1.9519343937348489E-2</v>
      </c>
      <c r="J34" s="208">
        <f t="shared" si="43"/>
        <v>4.4938789338348308E-2</v>
      </c>
      <c r="K34" s="208">
        <f t="shared" si="43"/>
        <v>0.10821662336161497</v>
      </c>
      <c r="L34" s="208">
        <f t="shared" si="43"/>
        <v>0.15675506110611384</v>
      </c>
      <c r="M34" s="208">
        <f t="shared" si="43"/>
        <v>0.20786719773159246</v>
      </c>
      <c r="N34" s="208">
        <f t="shared" si="43"/>
        <v>0.24449235435198019</v>
      </c>
      <c r="O34" s="208">
        <f t="shared" si="43"/>
        <v>0.2744985983157649</v>
      </c>
      <c r="P34" s="511">
        <f t="shared" si="43"/>
        <v>0.30113832166645654</v>
      </c>
      <c r="Q34" s="511">
        <f t="shared" ref="Q34:Y34" si="44">Q33/Q26</f>
        <v>0.322369720466188</v>
      </c>
      <c r="R34" s="511">
        <f t="shared" si="44"/>
        <v>0.33883322326545323</v>
      </c>
      <c r="S34" s="511">
        <f t="shared" si="44"/>
        <v>0.34863168381525289</v>
      </c>
      <c r="T34" s="511">
        <f t="shared" si="44"/>
        <v>0.34762148564061957</v>
      </c>
      <c r="U34" s="511">
        <f t="shared" si="44"/>
        <v>0.33703858761087424</v>
      </c>
      <c r="V34" s="511">
        <f t="shared" si="44"/>
        <v>0.31796668344353096</v>
      </c>
      <c r="W34" s="511">
        <f t="shared" si="44"/>
        <v>0.30119495801002133</v>
      </c>
      <c r="X34" s="511">
        <f t="shared" si="44"/>
        <v>0.28644237588787619</v>
      </c>
      <c r="Y34" s="511">
        <f t="shared" si="44"/>
        <v>0.2734633398233034</v>
      </c>
      <c r="AN34" s="207"/>
      <c r="AO34" s="207"/>
      <c r="AP34" s="207"/>
      <c r="AQ34" s="204">
        <f>AQ33+0.5</f>
        <v>1</v>
      </c>
      <c r="AR34" s="416">
        <f t="shared" si="42"/>
        <v>90.25</v>
      </c>
      <c r="AS34" s="780">
        <f>AS33</f>
        <v>0.05</v>
      </c>
    </row>
    <row r="35" spans="2:45" s="204" customFormat="1">
      <c r="B35" s="227"/>
      <c r="C35" s="209"/>
      <c r="D35" s="314"/>
      <c r="E35" s="314"/>
      <c r="F35" s="412"/>
      <c r="G35" s="412"/>
      <c r="H35" s="412"/>
      <c r="I35" s="412"/>
      <c r="J35" s="412"/>
      <c r="K35" s="412"/>
      <c r="L35" s="412"/>
      <c r="M35" s="412"/>
      <c r="N35" s="412"/>
      <c r="O35" s="412"/>
      <c r="P35" s="512"/>
      <c r="AN35" s="207"/>
      <c r="AO35" s="207"/>
      <c r="AP35" s="207"/>
      <c r="AQ35" s="204">
        <f t="shared" ref="AQ35:AQ41" si="45">AQ34+0.5</f>
        <v>1.5</v>
      </c>
      <c r="AR35" s="416">
        <f t="shared" si="42"/>
        <v>85.737499999999997</v>
      </c>
      <c r="AS35" s="780">
        <f t="shared" ref="AS35:AS41" si="46">AS34</f>
        <v>0.05</v>
      </c>
    </row>
    <row r="36" spans="2:45" s="204" customFormat="1">
      <c r="B36" s="788" t="s">
        <v>382</v>
      </c>
      <c r="C36" s="209"/>
      <c r="D36" s="314"/>
      <c r="E36" s="189"/>
      <c r="F36" s="229">
        <f t="shared" ref="F36:Y36" si="47">(F37*F24)+(F38*F21)</f>
        <v>0</v>
      </c>
      <c r="G36" s="229">
        <f t="shared" si="47"/>
        <v>0</v>
      </c>
      <c r="H36" s="229">
        <f t="shared" si="47"/>
        <v>439.04629689825333</v>
      </c>
      <c r="I36" s="229">
        <f t="shared" si="47"/>
        <v>674.78645538620515</v>
      </c>
      <c r="J36" s="229">
        <f t="shared" si="47"/>
        <v>1669.4557523845044</v>
      </c>
      <c r="K36" s="229">
        <f t="shared" si="47"/>
        <v>1531.0731650940265</v>
      </c>
      <c r="L36" s="229">
        <f t="shared" si="47"/>
        <v>1715.5027613918303</v>
      </c>
      <c r="M36" s="229">
        <f t="shared" si="47"/>
        <v>1537.1316267126897</v>
      </c>
      <c r="N36" s="229">
        <f t="shared" si="47"/>
        <v>1506.3559971555201</v>
      </c>
      <c r="O36" s="229">
        <f t="shared" si="47"/>
        <v>1536.7824616618605</v>
      </c>
      <c r="P36" s="514">
        <f t="shared" si="47"/>
        <v>1501.6553982060823</v>
      </c>
      <c r="Q36" s="514">
        <f t="shared" si="47"/>
        <v>1463.7895180282464</v>
      </c>
      <c r="R36" s="514">
        <f t="shared" si="47"/>
        <v>1355.4582039346171</v>
      </c>
      <c r="S36" s="514">
        <f t="shared" si="47"/>
        <v>1104.0184298759896</v>
      </c>
      <c r="T36" s="514">
        <f t="shared" si="47"/>
        <v>842.65568387323947</v>
      </c>
      <c r="U36" s="514">
        <f t="shared" si="47"/>
        <v>571.47238679612576</v>
      </c>
      <c r="V36" s="514">
        <f t="shared" si="47"/>
        <v>581.12022061167033</v>
      </c>
      <c r="W36" s="514">
        <f t="shared" si="47"/>
        <v>590.71900769730973</v>
      </c>
      <c r="X36" s="514">
        <f t="shared" si="47"/>
        <v>600.27364201326327</v>
      </c>
      <c r="Y36" s="514">
        <f t="shared" si="47"/>
        <v>609.7888672355341</v>
      </c>
      <c r="AN36" s="207"/>
      <c r="AO36" s="207"/>
      <c r="AP36" s="207"/>
      <c r="AQ36" s="204">
        <f t="shared" si="45"/>
        <v>2</v>
      </c>
      <c r="AR36" s="416">
        <f t="shared" si="42"/>
        <v>81.450624999999988</v>
      </c>
      <c r="AS36" s="780">
        <f t="shared" si="46"/>
        <v>0.05</v>
      </c>
    </row>
    <row r="37" spans="2:45" s="204" customFormat="1">
      <c r="B37" s="227" t="s">
        <v>413</v>
      </c>
      <c r="C37" s="209"/>
      <c r="D37" s="314"/>
      <c r="E37" s="314"/>
      <c r="F37" s="419">
        <v>0</v>
      </c>
      <c r="G37" s="419">
        <v>0</v>
      </c>
      <c r="H37" s="419">
        <v>0.02</v>
      </c>
      <c r="I37" s="419">
        <v>0.03</v>
      </c>
      <c r="J37" s="419">
        <v>7.2499999999999995E-2</v>
      </c>
      <c r="K37" s="419">
        <v>6.5000000000000002E-2</v>
      </c>
      <c r="L37" s="419">
        <v>6.5000000000000002E-2</v>
      </c>
      <c r="M37" s="419">
        <v>6.25E-2</v>
      </c>
      <c r="N37" s="419">
        <v>0.06</v>
      </c>
      <c r="O37" s="419">
        <v>0.06</v>
      </c>
      <c r="P37" s="548">
        <v>5.7500000000000002E-2</v>
      </c>
      <c r="Q37" s="548">
        <v>5.5E-2</v>
      </c>
      <c r="R37" s="548">
        <v>0.05</v>
      </c>
      <c r="S37" s="548">
        <v>0.04</v>
      </c>
      <c r="T37" s="548">
        <v>0.03</v>
      </c>
      <c r="U37" s="548">
        <v>0.02</v>
      </c>
      <c r="V37" s="548">
        <v>0.02</v>
      </c>
      <c r="W37" s="548">
        <v>0.02</v>
      </c>
      <c r="X37" s="548">
        <v>0.02</v>
      </c>
      <c r="Y37" s="548">
        <v>0.02</v>
      </c>
      <c r="AN37" s="207"/>
      <c r="AO37" s="207"/>
      <c r="AP37" s="207"/>
      <c r="AQ37" s="204">
        <f t="shared" si="45"/>
        <v>2.5</v>
      </c>
      <c r="AR37" s="416">
        <f t="shared" si="42"/>
        <v>77.378093749999991</v>
      </c>
      <c r="AS37" s="780">
        <f t="shared" si="46"/>
        <v>0.05</v>
      </c>
    </row>
    <row r="38" spans="2:45" s="204" customFormat="1">
      <c r="B38" s="227" t="s">
        <v>414</v>
      </c>
      <c r="C38" s="209"/>
      <c r="D38" s="314"/>
      <c r="E38" s="314"/>
      <c r="F38" s="419">
        <v>0</v>
      </c>
      <c r="G38" s="419">
        <v>0</v>
      </c>
      <c r="H38" s="419">
        <v>0</v>
      </c>
      <c r="I38" s="419">
        <v>0</v>
      </c>
      <c r="J38" s="419">
        <v>0</v>
      </c>
      <c r="K38" s="419">
        <v>0</v>
      </c>
      <c r="L38" s="419">
        <v>2.5000000000000001E-3</v>
      </c>
      <c r="M38" s="419">
        <v>0</v>
      </c>
      <c r="N38" s="419">
        <v>0</v>
      </c>
      <c r="O38" s="419">
        <v>0</v>
      </c>
      <c r="P38" s="548">
        <v>0</v>
      </c>
      <c r="Q38" s="548">
        <v>0</v>
      </c>
      <c r="R38" s="548">
        <v>0</v>
      </c>
      <c r="S38" s="548">
        <v>0</v>
      </c>
      <c r="T38" s="548">
        <v>0</v>
      </c>
      <c r="U38" s="548">
        <v>0</v>
      </c>
      <c r="V38" s="548">
        <v>0</v>
      </c>
      <c r="W38" s="548">
        <v>0</v>
      </c>
      <c r="X38" s="548">
        <v>0</v>
      </c>
      <c r="Y38" s="548">
        <v>0</v>
      </c>
      <c r="AO38" s="416">
        <v>100</v>
      </c>
      <c r="AP38" s="196"/>
      <c r="AQ38" s="204">
        <f t="shared" si="45"/>
        <v>3</v>
      </c>
      <c r="AR38" s="416">
        <f t="shared" si="42"/>
        <v>73.509189062499985</v>
      </c>
      <c r="AS38" s="780">
        <f t="shared" si="46"/>
        <v>0.05</v>
      </c>
    </row>
    <row r="39" spans="2:45" s="204" customFormat="1">
      <c r="B39" s="227" t="s">
        <v>265</v>
      </c>
      <c r="C39" s="209"/>
      <c r="D39" s="314"/>
      <c r="E39" s="314"/>
      <c r="F39" s="419"/>
      <c r="G39" s="419"/>
      <c r="H39" s="419"/>
      <c r="I39" s="421">
        <v>0</v>
      </c>
      <c r="J39" s="421">
        <v>0</v>
      </c>
      <c r="K39" s="421">
        <v>0</v>
      </c>
      <c r="L39" s="421">
        <v>0</v>
      </c>
      <c r="M39" s="421">
        <v>0</v>
      </c>
      <c r="N39" s="421">
        <v>0</v>
      </c>
      <c r="O39" s="421">
        <v>0</v>
      </c>
      <c r="P39" s="799">
        <v>0</v>
      </c>
      <c r="Q39" s="799">
        <f>P39</f>
        <v>0</v>
      </c>
      <c r="R39" s="799">
        <f t="shared" ref="R39:Y39" si="48">Q39</f>
        <v>0</v>
      </c>
      <c r="S39" s="799">
        <f t="shared" si="48"/>
        <v>0</v>
      </c>
      <c r="T39" s="799">
        <f t="shared" si="48"/>
        <v>0</v>
      </c>
      <c r="U39" s="799">
        <f t="shared" si="48"/>
        <v>0</v>
      </c>
      <c r="V39" s="799">
        <f t="shared" si="48"/>
        <v>0</v>
      </c>
      <c r="W39" s="799">
        <f t="shared" si="48"/>
        <v>0</v>
      </c>
      <c r="X39" s="799">
        <f t="shared" si="48"/>
        <v>0</v>
      </c>
      <c r="Y39" s="799">
        <f t="shared" si="48"/>
        <v>0</v>
      </c>
      <c r="AN39" s="204">
        <v>1</v>
      </c>
      <c r="AO39" s="416">
        <f t="shared" ref="AO39:AO47" si="49">AO38*(1-AP39)</f>
        <v>90</v>
      </c>
      <c r="AP39" s="397">
        <v>0.1</v>
      </c>
      <c r="AQ39" s="204">
        <f t="shared" si="45"/>
        <v>3.5</v>
      </c>
      <c r="AR39" s="416">
        <f t="shared" si="42"/>
        <v>69.833729609374984</v>
      </c>
      <c r="AS39" s="780">
        <f t="shared" si="46"/>
        <v>0.05</v>
      </c>
    </row>
    <row r="40" spans="2:45" s="204" customFormat="1">
      <c r="B40" s="227" t="s">
        <v>266</v>
      </c>
      <c r="C40" s="209"/>
      <c r="D40" s="314"/>
      <c r="E40" s="314"/>
      <c r="F40" s="208">
        <f>+F37+F39</f>
        <v>0</v>
      </c>
      <c r="G40" s="208">
        <f t="shared" ref="G40:M40" si="50">+G37+G39</f>
        <v>0</v>
      </c>
      <c r="H40" s="208">
        <f t="shared" si="50"/>
        <v>0.02</v>
      </c>
      <c r="I40" s="208">
        <f t="shared" si="50"/>
        <v>0.03</v>
      </c>
      <c r="J40" s="208">
        <f t="shared" si="50"/>
        <v>7.2499999999999995E-2</v>
      </c>
      <c r="K40" s="208">
        <f t="shared" si="50"/>
        <v>6.5000000000000002E-2</v>
      </c>
      <c r="L40" s="208">
        <f t="shared" si="50"/>
        <v>6.5000000000000002E-2</v>
      </c>
      <c r="M40" s="208">
        <f t="shared" si="50"/>
        <v>6.25E-2</v>
      </c>
      <c r="N40" s="208">
        <f>+N37+N39</f>
        <v>0.06</v>
      </c>
      <c r="O40" s="208">
        <f>+O37+O39</f>
        <v>0.06</v>
      </c>
      <c r="P40" s="511">
        <f>+P37+P39</f>
        <v>5.7500000000000002E-2</v>
      </c>
      <c r="Q40" s="511">
        <f t="shared" ref="Q40:Y40" si="51">+Q37+Q39</f>
        <v>5.5E-2</v>
      </c>
      <c r="R40" s="511">
        <f t="shared" si="51"/>
        <v>0.05</v>
      </c>
      <c r="S40" s="511">
        <f t="shared" si="51"/>
        <v>0.04</v>
      </c>
      <c r="T40" s="511">
        <f t="shared" si="51"/>
        <v>0.03</v>
      </c>
      <c r="U40" s="511">
        <f t="shared" si="51"/>
        <v>0.02</v>
      </c>
      <c r="V40" s="511">
        <f t="shared" si="51"/>
        <v>0.02</v>
      </c>
      <c r="W40" s="511">
        <f t="shared" si="51"/>
        <v>0.02</v>
      </c>
      <c r="X40" s="511">
        <f t="shared" si="51"/>
        <v>0.02</v>
      </c>
      <c r="Y40" s="511">
        <f t="shared" si="51"/>
        <v>0.02</v>
      </c>
      <c r="AN40" s="204">
        <f t="shared" ref="AN40:AN47" si="52">AN39+1</f>
        <v>2</v>
      </c>
      <c r="AO40" s="416">
        <f t="shared" si="49"/>
        <v>81</v>
      </c>
      <c r="AP40" s="397">
        <v>0.1</v>
      </c>
      <c r="AQ40" s="204">
        <f t="shared" si="45"/>
        <v>4</v>
      </c>
      <c r="AR40" s="416">
        <f t="shared" si="42"/>
        <v>66.342043128906226</v>
      </c>
      <c r="AS40" s="780">
        <f t="shared" si="46"/>
        <v>0.05</v>
      </c>
    </row>
    <row r="41" spans="2:45" s="204" customFormat="1">
      <c r="B41" s="227"/>
      <c r="C41" s="209"/>
      <c r="D41" s="314"/>
      <c r="E41" s="314"/>
      <c r="F41" s="228"/>
      <c r="G41" s="228"/>
      <c r="H41" s="228"/>
      <c r="I41" s="228"/>
      <c r="J41" s="228"/>
      <c r="K41" s="228"/>
      <c r="L41" s="228"/>
      <c r="M41" s="228"/>
      <c r="N41" s="228"/>
      <c r="O41" s="228"/>
      <c r="P41" s="515"/>
      <c r="AN41" s="204">
        <f t="shared" si="52"/>
        <v>3</v>
      </c>
      <c r="AO41" s="416">
        <f t="shared" si="49"/>
        <v>72.900000000000006</v>
      </c>
      <c r="AP41" s="397">
        <v>0.1</v>
      </c>
      <c r="AQ41" s="204">
        <f t="shared" si="45"/>
        <v>4.5</v>
      </c>
      <c r="AR41" s="416">
        <f t="shared" si="42"/>
        <v>63.024940972460911</v>
      </c>
      <c r="AS41" s="780">
        <f t="shared" si="46"/>
        <v>0.05</v>
      </c>
    </row>
    <row r="42" spans="2:45" s="204" customFormat="1">
      <c r="B42" s="225" t="s">
        <v>70</v>
      </c>
      <c r="C42" s="189"/>
      <c r="D42" s="189"/>
      <c r="E42" s="189"/>
      <c r="F42" s="189"/>
      <c r="G42" s="189">
        <f>G43*G33</f>
        <v>0</v>
      </c>
      <c r="H42" s="189">
        <f t="shared" ref="H42:M42" si="53">H43*H33</f>
        <v>0</v>
      </c>
      <c r="I42" s="189">
        <f t="shared" si="53"/>
        <v>79.028333441685604</v>
      </c>
      <c r="J42" s="189">
        <f t="shared" si="53"/>
        <v>155.22066282641592</v>
      </c>
      <c r="K42" s="189">
        <f t="shared" si="53"/>
        <v>305.88474100810339</v>
      </c>
      <c r="L42" s="189">
        <f t="shared" si="53"/>
        <v>377.42279324867849</v>
      </c>
      <c r="M42" s="189">
        <f t="shared" si="53"/>
        <v>511.23079006299372</v>
      </c>
      <c r="N42" s="189">
        <f>N43*N33</f>
        <v>613.8208737279632</v>
      </c>
      <c r="O42" s="189">
        <f>O43*O33</f>
        <v>703.07438607071902</v>
      </c>
      <c r="P42" s="390">
        <f>P43*P33</f>
        <v>786.44519362983328</v>
      </c>
      <c r="Q42" s="390">
        <f t="shared" ref="Q42:Y42" si="54">Q43*Q33</f>
        <v>857.96621408745796</v>
      </c>
      <c r="R42" s="390">
        <f t="shared" si="54"/>
        <v>918.54854448153674</v>
      </c>
      <c r="S42" s="390">
        <f t="shared" si="54"/>
        <v>962.23951042684484</v>
      </c>
      <c r="T42" s="390">
        <f t="shared" si="54"/>
        <v>976.41740237175929</v>
      </c>
      <c r="U42" s="390">
        <f t="shared" si="54"/>
        <v>963.04123052190744</v>
      </c>
      <c r="V42" s="390">
        <f t="shared" si="54"/>
        <v>923.8843461493293</v>
      </c>
      <c r="W42" s="390">
        <f t="shared" si="54"/>
        <v>889.6079335955634</v>
      </c>
      <c r="X42" s="390">
        <f t="shared" si="54"/>
        <v>859.71904100573795</v>
      </c>
      <c r="Y42" s="390">
        <f t="shared" si="54"/>
        <v>833.77450110649045</v>
      </c>
      <c r="AN42" s="204">
        <f t="shared" si="52"/>
        <v>4</v>
      </c>
      <c r="AO42" s="416">
        <f t="shared" si="49"/>
        <v>65.610000000000014</v>
      </c>
      <c r="AP42" s="397">
        <v>0.1</v>
      </c>
      <c r="AQ42" s="207"/>
    </row>
    <row r="43" spans="2:45" s="204" customFormat="1">
      <c r="B43" s="226" t="s">
        <v>257</v>
      </c>
      <c r="C43" s="189"/>
      <c r="D43" s="314"/>
      <c r="E43" s="314"/>
      <c r="F43" s="314"/>
      <c r="G43" s="420">
        <v>0.1</v>
      </c>
      <c r="H43" s="414">
        <v>0.2</v>
      </c>
      <c r="I43" s="414">
        <v>0.18</v>
      </c>
      <c r="J43" s="414">
        <v>0.15</v>
      </c>
      <c r="K43" s="414">
        <v>0.12</v>
      </c>
      <c r="L43" s="414">
        <v>0.1</v>
      </c>
      <c r="M43" s="414">
        <f>+L43</f>
        <v>0.1</v>
      </c>
      <c r="N43" s="414">
        <f>+M43</f>
        <v>0.1</v>
      </c>
      <c r="O43" s="414">
        <f>+N43</f>
        <v>0.1</v>
      </c>
      <c r="P43" s="800">
        <f>+O43</f>
        <v>0.1</v>
      </c>
      <c r="Q43" s="800">
        <f t="shared" ref="Q43:Y43" si="55">+P43</f>
        <v>0.1</v>
      </c>
      <c r="R43" s="800">
        <f t="shared" si="55"/>
        <v>0.1</v>
      </c>
      <c r="S43" s="800">
        <f t="shared" si="55"/>
        <v>0.1</v>
      </c>
      <c r="T43" s="800">
        <f t="shared" si="55"/>
        <v>0.1</v>
      </c>
      <c r="U43" s="800">
        <f t="shared" si="55"/>
        <v>0.1</v>
      </c>
      <c r="V43" s="800">
        <f t="shared" si="55"/>
        <v>0.1</v>
      </c>
      <c r="W43" s="800">
        <f t="shared" si="55"/>
        <v>0.1</v>
      </c>
      <c r="X43" s="800">
        <f t="shared" si="55"/>
        <v>0.1</v>
      </c>
      <c r="Y43" s="800">
        <f t="shared" si="55"/>
        <v>0.1</v>
      </c>
      <c r="AN43" s="204">
        <f t="shared" si="52"/>
        <v>5</v>
      </c>
      <c r="AO43" s="416">
        <f t="shared" si="49"/>
        <v>59.049000000000014</v>
      </c>
      <c r="AP43" s="397">
        <v>0.1</v>
      </c>
      <c r="AQ43" s="207"/>
    </row>
    <row r="44" spans="2:45" s="204" customFormat="1">
      <c r="B44" s="226"/>
      <c r="C44" s="189"/>
      <c r="D44" s="314"/>
      <c r="E44" s="314"/>
      <c r="F44" s="314"/>
      <c r="G44" s="220"/>
      <c r="H44" s="232"/>
      <c r="I44" s="232"/>
      <c r="J44" s="232"/>
      <c r="K44" s="232"/>
      <c r="L44" s="232"/>
      <c r="M44" s="232"/>
      <c r="N44" s="232"/>
      <c r="O44" s="232"/>
      <c r="P44" s="518"/>
      <c r="AN44" s="204">
        <f t="shared" si="52"/>
        <v>6</v>
      </c>
      <c r="AO44" s="416">
        <f t="shared" si="49"/>
        <v>53.144100000000016</v>
      </c>
      <c r="AP44" s="397">
        <v>0.1</v>
      </c>
      <c r="AQ44" s="207"/>
    </row>
    <row r="45" spans="2:45" s="204" customFormat="1">
      <c r="B45" s="388" t="s">
        <v>105</v>
      </c>
      <c r="C45" s="378"/>
      <c r="D45" s="379"/>
      <c r="E45" s="380"/>
      <c r="F45" s="380">
        <f>SUM(F33,F36,-F42)</f>
        <v>0</v>
      </c>
      <c r="G45" s="380">
        <f t="shared" ref="G45:M45" si="56">SUM(G33,G36,-G42)</f>
        <v>0</v>
      </c>
      <c r="H45" s="380">
        <f t="shared" si="56"/>
        <v>439.04629689825333</v>
      </c>
      <c r="I45" s="380">
        <f t="shared" si="56"/>
        <v>1034.8044188427727</v>
      </c>
      <c r="J45" s="380">
        <f t="shared" si="56"/>
        <v>2549.0395084008615</v>
      </c>
      <c r="K45" s="380">
        <f t="shared" si="56"/>
        <v>3774.2279324867845</v>
      </c>
      <c r="L45" s="380">
        <f t="shared" si="56"/>
        <v>5112.3079006299367</v>
      </c>
      <c r="M45" s="380">
        <f t="shared" si="56"/>
        <v>6138.2087372796323</v>
      </c>
      <c r="N45" s="380">
        <f>SUM(N33,N36,-N42)</f>
        <v>7030.7438607071899</v>
      </c>
      <c r="O45" s="380">
        <f>SUM(O33,O36,-O42)</f>
        <v>7864.4519362983319</v>
      </c>
      <c r="P45" s="380">
        <f>SUM(P33,P36,-P42)</f>
        <v>8579.6621408745796</v>
      </c>
      <c r="Q45" s="380">
        <f t="shared" ref="Q45:Y45" si="57">SUM(Q33,Q36,-Q42)</f>
        <v>9185.4854448153674</v>
      </c>
      <c r="R45" s="380">
        <f t="shared" si="57"/>
        <v>9622.3951042684475</v>
      </c>
      <c r="S45" s="380">
        <f t="shared" si="57"/>
        <v>9764.1740237175927</v>
      </c>
      <c r="T45" s="380">
        <f t="shared" si="57"/>
        <v>9630.4123052190735</v>
      </c>
      <c r="U45" s="380">
        <f t="shared" si="57"/>
        <v>9238.8434614932921</v>
      </c>
      <c r="V45" s="380">
        <f t="shared" si="57"/>
        <v>8896.0793359556337</v>
      </c>
      <c r="W45" s="380">
        <f t="shared" si="57"/>
        <v>8597.1904100573793</v>
      </c>
      <c r="X45" s="380">
        <f t="shared" si="57"/>
        <v>8337.7450110649042</v>
      </c>
      <c r="Y45" s="380">
        <f t="shared" si="57"/>
        <v>8113.7593771939482</v>
      </c>
      <c r="AN45" s="204">
        <f t="shared" si="52"/>
        <v>7</v>
      </c>
      <c r="AO45" s="416">
        <f t="shared" si="49"/>
        <v>47.829690000000014</v>
      </c>
      <c r="AP45" s="397">
        <v>0.1</v>
      </c>
      <c r="AQ45" s="207"/>
    </row>
    <row r="46" spans="2:45" s="204" customFormat="1">
      <c r="B46" s="391" t="s">
        <v>83</v>
      </c>
      <c r="C46" s="398"/>
      <c r="D46" s="399"/>
      <c r="E46" s="399"/>
      <c r="F46" s="175">
        <f t="shared" ref="F46:P46" si="58">F45/F26</f>
        <v>0</v>
      </c>
      <c r="G46" s="175">
        <f t="shared" si="58"/>
        <v>0</v>
      </c>
      <c r="H46" s="175">
        <f t="shared" si="58"/>
        <v>0.02</v>
      </c>
      <c r="I46" s="175">
        <f t="shared" si="58"/>
        <v>4.6005862028625756E-2</v>
      </c>
      <c r="J46" s="175">
        <f t="shared" si="58"/>
        <v>0.11069797093759606</v>
      </c>
      <c r="K46" s="175">
        <f t="shared" si="58"/>
        <v>0.16023062855822118</v>
      </c>
      <c r="L46" s="175">
        <f t="shared" si="58"/>
        <v>0.21232955499550246</v>
      </c>
      <c r="M46" s="175">
        <f t="shared" si="58"/>
        <v>0.24958047795843319</v>
      </c>
      <c r="N46" s="175">
        <f t="shared" si="58"/>
        <v>0.28004311891678219</v>
      </c>
      <c r="O46" s="175">
        <f t="shared" si="58"/>
        <v>0.3070487384841884</v>
      </c>
      <c r="P46" s="175">
        <f t="shared" si="58"/>
        <v>0.32852448949981083</v>
      </c>
      <c r="Q46" s="175">
        <f t="shared" ref="Q46:Y46" si="59">Q45/Q26</f>
        <v>0.34513274841956915</v>
      </c>
      <c r="R46" s="175">
        <f t="shared" si="59"/>
        <v>0.35494990093890794</v>
      </c>
      <c r="S46" s="175">
        <f t="shared" si="59"/>
        <v>0.35376851543372761</v>
      </c>
      <c r="T46" s="175">
        <f t="shared" si="59"/>
        <v>0.34285933707655764</v>
      </c>
      <c r="U46" s="175">
        <f t="shared" si="59"/>
        <v>0.32333472884978687</v>
      </c>
      <c r="V46" s="175">
        <f t="shared" si="59"/>
        <v>0.30617001509917785</v>
      </c>
      <c r="W46" s="175">
        <f t="shared" si="59"/>
        <v>0.2910754622090192</v>
      </c>
      <c r="X46" s="175">
        <f t="shared" si="59"/>
        <v>0.27779813829908856</v>
      </c>
      <c r="Y46" s="175">
        <f t="shared" si="59"/>
        <v>0.26611700584097309</v>
      </c>
      <c r="AN46" s="204">
        <f t="shared" si="52"/>
        <v>8</v>
      </c>
      <c r="AO46" s="416">
        <f t="shared" si="49"/>
        <v>43.046721000000012</v>
      </c>
      <c r="AP46" s="397">
        <v>0.1</v>
      </c>
      <c r="AQ46" s="207"/>
    </row>
    <row r="47" spans="2:45" s="204" customFormat="1">
      <c r="B47" s="381" t="s">
        <v>310</v>
      </c>
      <c r="C47" s="382"/>
      <c r="D47" s="383"/>
      <c r="E47" s="383"/>
      <c r="F47" s="384"/>
      <c r="G47" s="384"/>
      <c r="H47" s="384"/>
      <c r="I47" s="384">
        <f>+I30</f>
        <v>4.6005862028625756E-2</v>
      </c>
      <c r="J47" s="384">
        <f t="shared" ref="J47:O47" si="60">+J30</f>
        <v>0.11743878933834831</v>
      </c>
      <c r="K47" s="384">
        <f t="shared" si="60"/>
        <v>0.17980634311749447</v>
      </c>
      <c r="L47" s="384">
        <f t="shared" si="60"/>
        <v>0.24715615824369841</v>
      </c>
      <c r="M47" s="384">
        <f t="shared" si="60"/>
        <v>0.3044618786339558</v>
      </c>
      <c r="N47" s="384">
        <f t="shared" si="60"/>
        <v>0.35825490409566496</v>
      </c>
      <c r="O47" s="384">
        <f t="shared" si="60"/>
        <v>0.4111618831928226</v>
      </c>
      <c r="P47" s="384">
        <f>+P30</f>
        <v>0.4607473803642812</v>
      </c>
      <c r="Q47" s="384">
        <f t="shared" ref="Q47:Y47" si="61">+Q30</f>
        <v>0.50711547072093466</v>
      </c>
      <c r="R47" s="384">
        <f t="shared" si="61"/>
        <v>0.54785936077924846</v>
      </c>
      <c r="S47" s="384">
        <f t="shared" si="61"/>
        <v>0.57810729609216471</v>
      </c>
      <c r="T47" s="384">
        <f t="shared" si="61"/>
        <v>0.5980621885779055</v>
      </c>
      <c r="U47" s="384">
        <f t="shared" si="61"/>
        <v>0.60790884057725614</v>
      </c>
      <c r="V47" s="384">
        <f t="shared" si="61"/>
        <v>0.61781625859358946</v>
      </c>
      <c r="W47" s="384">
        <f t="shared" si="61"/>
        <v>0.62777715938226875</v>
      </c>
      <c r="X47" s="384">
        <f t="shared" si="61"/>
        <v>0.63778474797188545</v>
      </c>
      <c r="Y47" s="384">
        <f t="shared" si="61"/>
        <v>0.64783267136577438</v>
      </c>
      <c r="AN47" s="204">
        <f t="shared" si="52"/>
        <v>9</v>
      </c>
      <c r="AO47" s="416">
        <f t="shared" si="49"/>
        <v>38.742048900000015</v>
      </c>
      <c r="AP47" s="397">
        <v>0.1</v>
      </c>
      <c r="AQ47" s="207"/>
    </row>
    <row r="48" spans="2:45">
      <c r="B48" s="389"/>
      <c r="C48" s="396"/>
      <c r="D48" s="403"/>
      <c r="E48" s="403"/>
      <c r="F48" s="403"/>
      <c r="G48" s="403"/>
      <c r="H48" s="403"/>
      <c r="I48" s="403"/>
      <c r="J48" s="403"/>
      <c r="K48" s="403"/>
      <c r="L48" s="403"/>
      <c r="M48" s="403"/>
      <c r="N48" s="403"/>
      <c r="O48" s="403"/>
      <c r="P48" s="403"/>
      <c r="AN48" s="196"/>
      <c r="AO48" s="196"/>
      <c r="AP48" s="196"/>
      <c r="AQ48" s="196"/>
      <c r="AR48" s="196"/>
    </row>
    <row r="49" spans="2:44">
      <c r="B49" s="90" t="s">
        <v>258</v>
      </c>
      <c r="F49" s="212"/>
      <c r="G49" s="212">
        <v>6</v>
      </c>
      <c r="H49" s="212">
        <v>6</v>
      </c>
      <c r="I49" s="212">
        <v>6</v>
      </c>
      <c r="J49" s="212">
        <v>6</v>
      </c>
      <c r="K49" s="212">
        <v>6</v>
      </c>
      <c r="L49" s="212">
        <v>6</v>
      </c>
      <c r="M49" s="212">
        <v>6</v>
      </c>
      <c r="N49" s="212">
        <v>6</v>
      </c>
      <c r="O49" s="212">
        <v>6</v>
      </c>
      <c r="P49" s="801">
        <v>6</v>
      </c>
      <c r="Q49" s="801">
        <v>6</v>
      </c>
      <c r="R49" s="801">
        <v>6</v>
      </c>
      <c r="S49" s="801">
        <v>6</v>
      </c>
      <c r="T49" s="801">
        <v>6</v>
      </c>
      <c r="U49" s="801">
        <v>6</v>
      </c>
      <c r="V49" s="801">
        <v>6</v>
      </c>
      <c r="W49" s="801">
        <v>6</v>
      </c>
      <c r="X49" s="801">
        <v>6</v>
      </c>
      <c r="Y49" s="801">
        <v>6</v>
      </c>
      <c r="AN49" s="196"/>
      <c r="AO49" s="196"/>
      <c r="AP49" s="196"/>
      <c r="AQ49" s="196"/>
      <c r="AR49" s="196"/>
    </row>
    <row r="50" spans="2:44">
      <c r="B50" s="90" t="s">
        <v>259</v>
      </c>
      <c r="F50" s="212"/>
      <c r="G50" s="212">
        <v>11</v>
      </c>
      <c r="H50" s="212">
        <v>11</v>
      </c>
      <c r="I50" s="212">
        <v>11</v>
      </c>
      <c r="J50" s="212">
        <v>11</v>
      </c>
      <c r="K50" s="212">
        <v>11</v>
      </c>
      <c r="L50" s="212">
        <v>11</v>
      </c>
      <c r="M50" s="212">
        <v>11</v>
      </c>
      <c r="N50" s="212">
        <v>11</v>
      </c>
      <c r="O50" s="212">
        <v>11</v>
      </c>
      <c r="P50" s="801">
        <v>11</v>
      </c>
      <c r="Q50" s="801">
        <v>11</v>
      </c>
      <c r="R50" s="801">
        <v>11</v>
      </c>
      <c r="S50" s="801">
        <v>11</v>
      </c>
      <c r="T50" s="801">
        <v>11</v>
      </c>
      <c r="U50" s="801">
        <v>11</v>
      </c>
      <c r="V50" s="801">
        <v>11</v>
      </c>
      <c r="W50" s="801">
        <v>11</v>
      </c>
      <c r="X50" s="801">
        <v>11</v>
      </c>
      <c r="Y50" s="801">
        <v>11</v>
      </c>
    </row>
    <row r="51" spans="2:44">
      <c r="F51" s="212"/>
      <c r="G51" s="212"/>
      <c r="H51" s="212"/>
      <c r="I51" s="212"/>
      <c r="J51" s="212"/>
      <c r="K51" s="212"/>
      <c r="L51" s="212"/>
      <c r="M51" s="212"/>
      <c r="N51" s="212"/>
      <c r="O51" s="212"/>
      <c r="P51" s="801"/>
    </row>
    <row r="52" spans="2:44">
      <c r="B52" s="203" t="s">
        <v>62</v>
      </c>
      <c r="C52" s="217"/>
      <c r="D52" s="217"/>
      <c r="E52" s="217"/>
      <c r="F52" s="217">
        <f>+'Jakafi - MF'!E39</f>
        <v>6475</v>
      </c>
      <c r="G52" s="217">
        <f>+'Jakafi - MF'!F39</f>
        <v>6572.1250000000009</v>
      </c>
      <c r="H52" s="217">
        <f>+'Jakafi - MF'!G39</f>
        <v>7194.0940000000001</v>
      </c>
      <c r="I52" s="217">
        <f>+'Jakafi - MF'!H39</f>
        <v>7841.562460000001</v>
      </c>
      <c r="J52" s="217">
        <f>+'Jakafi - MF'!I39</f>
        <v>8194.4327707000011</v>
      </c>
      <c r="K52" s="217">
        <f>+'Jakafi - MF'!J39</f>
        <v>8563.1822453815003</v>
      </c>
      <c r="L52" s="217">
        <f>+'Jakafi - MF'!K39</f>
        <v>8948.5254464236677</v>
      </c>
      <c r="M52" s="217">
        <f>+'Jakafi - MF'!L39</f>
        <v>9351.2090915127319</v>
      </c>
      <c r="N52" s="217">
        <f>+'Jakafi - MF'!M39</f>
        <v>9725.2574551732414</v>
      </c>
      <c r="O52" s="217">
        <f>+'Jakafi - MF'!N39</f>
        <v>10114.267753380171</v>
      </c>
      <c r="P52" s="476">
        <f>+'Jakafi - MF'!O39</f>
        <v>10518.838463515378</v>
      </c>
      <c r="Q52" s="476">
        <f>+'Jakafi - MF'!P39</f>
        <v>10939.592002055993</v>
      </c>
      <c r="R52" s="476">
        <f>+'Jakafi - MF'!Q39</f>
        <v>11377.175682138233</v>
      </c>
      <c r="S52" s="476">
        <f>+'Jakafi - MF'!R39</f>
        <v>11832.262709423763</v>
      </c>
      <c r="T52" s="476">
        <f>+'Jakafi - MF'!S39</f>
        <v>12305.553217800714</v>
      </c>
      <c r="U52" s="476">
        <f>+'Jakafi - MF'!T39</f>
        <v>12797.775346512743</v>
      </c>
      <c r="V52" s="476">
        <f>+'Jakafi - MF'!U39</f>
        <v>13309.686360373253</v>
      </c>
      <c r="W52" s="476">
        <f>+'Jakafi - MF'!V39</f>
        <v>13842.073814788184</v>
      </c>
      <c r="X52" s="476">
        <f>+'Jakafi - MF'!W39</f>
        <v>14395.756767379711</v>
      </c>
      <c r="Y52" s="476">
        <f>+'Jakafi - MF'!X39</f>
        <v>14971.5870380749</v>
      </c>
    </row>
    <row r="53" spans="2:44">
      <c r="B53" s="392" t="s">
        <v>61</v>
      </c>
      <c r="C53" s="393"/>
      <c r="D53" s="393"/>
      <c r="E53" s="393"/>
      <c r="F53" s="394"/>
      <c r="G53" s="395">
        <f>G52/F52-1</f>
        <v>1.5000000000000124E-2</v>
      </c>
      <c r="H53" s="395">
        <f t="shared" ref="H53:Y53" si="62">H52/G52-1</f>
        <v>9.4637427011811104E-2</v>
      </c>
      <c r="I53" s="395">
        <f t="shared" si="62"/>
        <v>9.000000000000008E-2</v>
      </c>
      <c r="J53" s="395">
        <f t="shared" si="62"/>
        <v>4.4999999999999929E-2</v>
      </c>
      <c r="K53" s="395">
        <f t="shared" si="62"/>
        <v>4.4999999999999929E-2</v>
      </c>
      <c r="L53" s="395">
        <f t="shared" si="62"/>
        <v>4.4999999999999929E-2</v>
      </c>
      <c r="M53" s="395">
        <f t="shared" si="62"/>
        <v>4.4999999999999929E-2</v>
      </c>
      <c r="N53" s="395">
        <f t="shared" si="62"/>
        <v>4.0000000000000036E-2</v>
      </c>
      <c r="O53" s="395">
        <f t="shared" si="62"/>
        <v>4.0000000000000036E-2</v>
      </c>
      <c r="P53" s="395">
        <f t="shared" si="62"/>
        <v>4.0000000000000036E-2</v>
      </c>
      <c r="Q53" s="395">
        <f t="shared" si="62"/>
        <v>4.0000000000000036E-2</v>
      </c>
      <c r="R53" s="395">
        <f t="shared" si="62"/>
        <v>4.0000000000000036E-2</v>
      </c>
      <c r="S53" s="395">
        <f t="shared" si="62"/>
        <v>4.0000000000000036E-2</v>
      </c>
      <c r="T53" s="395">
        <f t="shared" si="62"/>
        <v>4.0000000000000036E-2</v>
      </c>
      <c r="U53" s="395">
        <f t="shared" si="62"/>
        <v>4.0000000000000036E-2</v>
      </c>
      <c r="V53" s="395">
        <f t="shared" si="62"/>
        <v>4.0000000000000036E-2</v>
      </c>
      <c r="W53" s="395">
        <f t="shared" si="62"/>
        <v>4.0000000000000036E-2</v>
      </c>
      <c r="X53" s="395">
        <f t="shared" si="62"/>
        <v>4.0000000000000036E-2</v>
      </c>
      <c r="Y53" s="395">
        <f t="shared" si="62"/>
        <v>4.0000000000000036E-2</v>
      </c>
    </row>
    <row r="54" spans="2:44">
      <c r="P54" s="793"/>
    </row>
    <row r="55" spans="2:44">
      <c r="B55" s="90" t="s">
        <v>477</v>
      </c>
      <c r="E55" s="220">
        <v>0</v>
      </c>
      <c r="F55" s="220">
        <v>0</v>
      </c>
      <c r="G55" s="220">
        <v>0</v>
      </c>
      <c r="H55" s="220">
        <v>0</v>
      </c>
      <c r="I55" s="220">
        <v>0</v>
      </c>
      <c r="J55" s="220">
        <v>0</v>
      </c>
      <c r="K55" s="220">
        <v>0</v>
      </c>
      <c r="L55" s="220">
        <v>0</v>
      </c>
      <c r="M55" s="220">
        <v>0</v>
      </c>
      <c r="N55" s="220">
        <v>0</v>
      </c>
      <c r="O55" s="220">
        <v>0</v>
      </c>
      <c r="P55" s="220">
        <v>0</v>
      </c>
      <c r="Q55" s="220">
        <v>0</v>
      </c>
      <c r="R55" s="220">
        <v>0</v>
      </c>
      <c r="S55" s="220">
        <v>0</v>
      </c>
      <c r="T55" s="220">
        <v>0</v>
      </c>
      <c r="U55" s="220">
        <v>0.2</v>
      </c>
      <c r="V55" s="220">
        <v>0.85</v>
      </c>
      <c r="W55" s="220">
        <v>0.95</v>
      </c>
      <c r="X55" s="220">
        <v>0.99</v>
      </c>
      <c r="Y55" s="220">
        <v>0.99399999999999999</v>
      </c>
    </row>
    <row r="56" spans="2:44">
      <c r="P56" s="793"/>
    </row>
    <row r="57" spans="2:44">
      <c r="B57" s="191" t="s">
        <v>280</v>
      </c>
      <c r="C57" s="192"/>
      <c r="D57" s="192"/>
      <c r="E57" s="192"/>
      <c r="F57" s="192">
        <f>+(((F36*F49*F52)+(F33*F50*F52)-(F42*0.5*F50*F52))/1000000)*(1-F55)</f>
        <v>0</v>
      </c>
      <c r="G57" s="192">
        <f t="shared" ref="G57:Y57" si="63">+(((G36*G49*G52)+(G33*G50*G52)-(G42*0.5*G50*G52))/1000000)*(1-G55)</f>
        <v>0</v>
      </c>
      <c r="H57" s="192">
        <f t="shared" si="63"/>
        <v>18.951241981427657</v>
      </c>
      <c r="I57" s="192">
        <f t="shared" si="63"/>
        <v>66.210798511630756</v>
      </c>
      <c r="J57" s="192">
        <f t="shared" si="63"/>
        <v>168.36174613692347</v>
      </c>
      <c r="K57" s="192">
        <f t="shared" si="63"/>
        <v>304.36553242620056</v>
      </c>
      <c r="L57" s="192">
        <f t="shared" si="63"/>
        <v>445.04326623946645</v>
      </c>
      <c r="M57" s="192">
        <f t="shared" si="63"/>
        <v>585.81965369877742</v>
      </c>
      <c r="N57" s="192">
        <f t="shared" si="63"/>
        <v>711.71784931290972</v>
      </c>
      <c r="O57" s="192">
        <f t="shared" si="63"/>
        <v>836.36870656262568</v>
      </c>
      <c r="P57" s="192">
        <f t="shared" si="63"/>
        <v>959.24922337450403</v>
      </c>
      <c r="Q57" s="192">
        <f t="shared" si="63"/>
        <v>1076.8956954927271</v>
      </c>
      <c r="R57" s="192">
        <f t="shared" si="63"/>
        <v>1184.6037297437638</v>
      </c>
      <c r="S57" s="192">
        <f t="shared" si="63"/>
        <v>1268.1599023112128</v>
      </c>
      <c r="T57" s="192">
        <f t="shared" si="63"/>
        <v>1317.8208003248742</v>
      </c>
      <c r="U57" s="192">
        <f t="shared" si="63"/>
        <v>1065.4572136255906</v>
      </c>
      <c r="V57" s="192">
        <f t="shared" si="63"/>
        <v>199.71045063854399</v>
      </c>
      <c r="W57" s="192">
        <f t="shared" si="63"/>
        <v>66.793780451444761</v>
      </c>
      <c r="X57" s="192">
        <f t="shared" si="63"/>
        <v>13.451723582378243</v>
      </c>
      <c r="Y57" s="192">
        <f t="shared" si="63"/>
        <v>8.1554578065529277</v>
      </c>
    </row>
    <row r="58" spans="2:44">
      <c r="P58" s="793"/>
    </row>
    <row r="59" spans="2:44">
      <c r="B59" s="907" t="s">
        <v>278</v>
      </c>
      <c r="C59" s="909">
        <v>2008</v>
      </c>
      <c r="D59" s="909">
        <f t="shared" ref="D59:M59" si="64">C59+1</f>
        <v>2009</v>
      </c>
      <c r="E59" s="909">
        <f t="shared" si="64"/>
        <v>2010</v>
      </c>
      <c r="F59" s="909">
        <f t="shared" si="64"/>
        <v>2011</v>
      </c>
      <c r="G59" s="909">
        <f t="shared" si="64"/>
        <v>2012</v>
      </c>
      <c r="H59" s="908">
        <f t="shared" si="64"/>
        <v>2013</v>
      </c>
      <c r="I59" s="908">
        <f t="shared" si="64"/>
        <v>2014</v>
      </c>
      <c r="J59" s="908">
        <f t="shared" si="64"/>
        <v>2015</v>
      </c>
      <c r="K59" s="908">
        <f t="shared" si="64"/>
        <v>2016</v>
      </c>
      <c r="L59" s="908">
        <f t="shared" si="64"/>
        <v>2017</v>
      </c>
      <c r="M59" s="908">
        <f t="shared" si="64"/>
        <v>2018</v>
      </c>
      <c r="N59" s="908">
        <f>M59+1</f>
        <v>2019</v>
      </c>
      <c r="O59" s="908">
        <f>N59+1</f>
        <v>2020</v>
      </c>
      <c r="P59" s="908">
        <f>O59+1</f>
        <v>2021</v>
      </c>
      <c r="Q59" s="908">
        <f t="shared" ref="Q59:Y59" si="65">P59+1</f>
        <v>2022</v>
      </c>
      <c r="R59" s="908">
        <f t="shared" si="65"/>
        <v>2023</v>
      </c>
      <c r="S59" s="908">
        <f t="shared" si="65"/>
        <v>2024</v>
      </c>
      <c r="T59" s="908">
        <f t="shared" si="65"/>
        <v>2025</v>
      </c>
      <c r="U59" s="908">
        <f t="shared" si="65"/>
        <v>2026</v>
      </c>
      <c r="V59" s="908">
        <f t="shared" si="65"/>
        <v>2027</v>
      </c>
      <c r="W59" s="908">
        <f t="shared" si="65"/>
        <v>2028</v>
      </c>
      <c r="X59" s="908">
        <f t="shared" si="65"/>
        <v>2029</v>
      </c>
      <c r="Y59" s="908">
        <f t="shared" si="65"/>
        <v>2030</v>
      </c>
    </row>
    <row r="60" spans="2:44" hidden="1" outlineLevel="1">
      <c r="P60" s="793"/>
    </row>
    <row r="61" spans="2:44" hidden="1" outlineLevel="1">
      <c r="B61" s="90" t="s">
        <v>51</v>
      </c>
      <c r="C61" s="215"/>
      <c r="D61" s="215"/>
      <c r="E61" s="215">
        <f>+'Jakafi - MF'!D48</f>
        <v>500000000</v>
      </c>
      <c r="F61" s="216">
        <f>+E61*(1+F62)</f>
        <v>505000000</v>
      </c>
      <c r="G61" s="216">
        <f t="shared" ref="G61:M61" si="66">+F61*(1+G62)</f>
        <v>510050000</v>
      </c>
      <c r="H61" s="216">
        <f t="shared" si="66"/>
        <v>515150500</v>
      </c>
      <c r="I61" s="216">
        <f t="shared" si="66"/>
        <v>520302005</v>
      </c>
      <c r="J61" s="216">
        <f t="shared" si="66"/>
        <v>525505025.05000001</v>
      </c>
      <c r="K61" s="216">
        <f t="shared" si="66"/>
        <v>530760075.30050004</v>
      </c>
      <c r="L61" s="216">
        <f t="shared" si="66"/>
        <v>536067676.05350506</v>
      </c>
      <c r="M61" s="216">
        <f t="shared" si="66"/>
        <v>541428352.81404006</v>
      </c>
      <c r="N61" s="216">
        <f>+M61*(1+N62)</f>
        <v>546842636.34218049</v>
      </c>
      <c r="O61" s="216">
        <f>+N61*(1+O62)</f>
        <v>552311062.70560229</v>
      </c>
      <c r="P61" s="795">
        <f>+O61*(1+P62)</f>
        <v>557834173.33265829</v>
      </c>
      <c r="Q61" s="795">
        <f t="shared" ref="Q61:Y61" si="67">+P61*(1+Q62)</f>
        <v>563412515.06598485</v>
      </c>
      <c r="R61" s="795">
        <f t="shared" si="67"/>
        <v>569046640.21664464</v>
      </c>
      <c r="S61" s="795">
        <f t="shared" si="67"/>
        <v>574737106.61881113</v>
      </c>
      <c r="T61" s="795">
        <f t="shared" si="67"/>
        <v>580484477.68499923</v>
      </c>
      <c r="U61" s="795">
        <f t="shared" si="67"/>
        <v>586289322.46184921</v>
      </c>
      <c r="V61" s="795">
        <f t="shared" si="67"/>
        <v>592152215.68646777</v>
      </c>
      <c r="W61" s="795">
        <f t="shared" si="67"/>
        <v>598073737.84333241</v>
      </c>
      <c r="X61" s="795">
        <f t="shared" si="67"/>
        <v>604054475.22176576</v>
      </c>
      <c r="Y61" s="795">
        <f t="shared" si="67"/>
        <v>610095019.97398341</v>
      </c>
    </row>
    <row r="62" spans="2:44" hidden="1" outlineLevel="1">
      <c r="B62" s="204" t="s">
        <v>52</v>
      </c>
      <c r="C62" s="206"/>
      <c r="D62" s="208"/>
      <c r="E62" s="208"/>
      <c r="F62" s="208">
        <v>0.01</v>
      </c>
      <c r="G62" s="208">
        <v>0.01</v>
      </c>
      <c r="H62" s="208">
        <v>0.01</v>
      </c>
      <c r="I62" s="208">
        <v>0.01</v>
      </c>
      <c r="J62" s="208">
        <v>0.01</v>
      </c>
      <c r="K62" s="208">
        <v>0.01</v>
      </c>
      <c r="L62" s="208">
        <v>0.01</v>
      </c>
      <c r="M62" s="208">
        <v>0.01</v>
      </c>
      <c r="N62" s="208">
        <v>0.01</v>
      </c>
      <c r="O62" s="208">
        <v>0.01</v>
      </c>
      <c r="P62" s="511">
        <v>0.01</v>
      </c>
      <c r="Q62" s="511">
        <v>0.01</v>
      </c>
      <c r="R62" s="511">
        <v>0.01</v>
      </c>
      <c r="S62" s="511">
        <v>0.01</v>
      </c>
      <c r="T62" s="511">
        <v>0.01</v>
      </c>
      <c r="U62" s="511">
        <v>0.01</v>
      </c>
      <c r="V62" s="511">
        <v>0.01</v>
      </c>
      <c r="W62" s="511">
        <v>0.01</v>
      </c>
      <c r="X62" s="511">
        <v>0.01</v>
      </c>
      <c r="Y62" s="511">
        <v>0.01</v>
      </c>
    </row>
    <row r="63" spans="2:44" hidden="1" outlineLevel="1">
      <c r="B63" s="204"/>
      <c r="C63" s="206"/>
      <c r="D63" s="208"/>
      <c r="E63" s="208"/>
      <c r="F63" s="314"/>
      <c r="G63" s="314"/>
      <c r="H63" s="314"/>
      <c r="I63" s="314"/>
      <c r="J63" s="314"/>
      <c r="K63" s="314"/>
      <c r="L63" s="314"/>
      <c r="M63" s="314"/>
      <c r="N63" s="314"/>
      <c r="O63" s="314"/>
      <c r="P63" s="399"/>
    </row>
    <row r="64" spans="2:44" hidden="1" outlineLevel="1">
      <c r="B64" s="90" t="s">
        <v>262</v>
      </c>
      <c r="C64" s="229"/>
      <c r="D64" s="189"/>
      <c r="E64" s="189">
        <f t="shared" ref="E64:M64" si="68">E65*E61</f>
        <v>156057.57382461231</v>
      </c>
      <c r="F64" s="189">
        <f t="shared" si="68"/>
        <v>157618.14956285842</v>
      </c>
      <c r="G64" s="189">
        <f t="shared" si="68"/>
        <v>159194.33105848701</v>
      </c>
      <c r="H64" s="189">
        <f t="shared" si="68"/>
        <v>160786.27436907188</v>
      </c>
      <c r="I64" s="189">
        <f t="shared" si="68"/>
        <v>162394.1371127626</v>
      </c>
      <c r="J64" s="189">
        <f t="shared" si="68"/>
        <v>164018.07848389025</v>
      </c>
      <c r="K64" s="189">
        <f t="shared" si="68"/>
        <v>165658.25926872916</v>
      </c>
      <c r="L64" s="189">
        <f t="shared" si="68"/>
        <v>167314.84186141644</v>
      </c>
      <c r="M64" s="189">
        <f t="shared" si="68"/>
        <v>168987.99028003059</v>
      </c>
      <c r="N64" s="189">
        <f>N65*N61</f>
        <v>170677.8701828309</v>
      </c>
      <c r="O64" s="189">
        <f>O65*O61</f>
        <v>172384.64888465923</v>
      </c>
      <c r="P64" s="390">
        <f>P65*P61</f>
        <v>174108.49537350581</v>
      </c>
      <c r="Q64" s="390">
        <f t="shared" ref="Q64:Y64" si="69">Q65*Q61</f>
        <v>175849.58032724087</v>
      </c>
      <c r="R64" s="390">
        <f t="shared" si="69"/>
        <v>177608.07613051325</v>
      </c>
      <c r="S64" s="390">
        <f t="shared" si="69"/>
        <v>179384.15689181839</v>
      </c>
      <c r="T64" s="390">
        <f t="shared" si="69"/>
        <v>181177.99846073656</v>
      </c>
      <c r="U64" s="390">
        <f t="shared" si="69"/>
        <v>182989.77844534392</v>
      </c>
      <c r="V64" s="390">
        <f t="shared" si="69"/>
        <v>184819.67622979739</v>
      </c>
      <c r="W64" s="390">
        <f t="shared" si="69"/>
        <v>186667.87299209536</v>
      </c>
      <c r="X64" s="390">
        <f t="shared" si="69"/>
        <v>188534.5517220163</v>
      </c>
      <c r="Y64" s="390">
        <f t="shared" si="69"/>
        <v>190419.89723923648</v>
      </c>
    </row>
    <row r="65" spans="2:25" hidden="1" outlineLevel="1">
      <c r="B65" s="213" t="s">
        <v>40</v>
      </c>
      <c r="C65" s="214"/>
      <c r="D65" s="248"/>
      <c r="E65" s="248">
        <v>3.1211514764922462E-4</v>
      </c>
      <c r="F65" s="248">
        <f t="shared" ref="F65:M65" si="70">E65</f>
        <v>3.1211514764922462E-4</v>
      </c>
      <c r="G65" s="248">
        <f t="shared" si="70"/>
        <v>3.1211514764922462E-4</v>
      </c>
      <c r="H65" s="248">
        <f t="shared" si="70"/>
        <v>3.1211514764922462E-4</v>
      </c>
      <c r="I65" s="248">
        <f t="shared" si="70"/>
        <v>3.1211514764922462E-4</v>
      </c>
      <c r="J65" s="248">
        <f t="shared" si="70"/>
        <v>3.1211514764922462E-4</v>
      </c>
      <c r="K65" s="248">
        <f t="shared" si="70"/>
        <v>3.1211514764922462E-4</v>
      </c>
      <c r="L65" s="248">
        <f t="shared" si="70"/>
        <v>3.1211514764922462E-4</v>
      </c>
      <c r="M65" s="248">
        <f t="shared" si="70"/>
        <v>3.1211514764922462E-4</v>
      </c>
      <c r="N65" s="248">
        <f>M65</f>
        <v>3.1211514764922462E-4</v>
      </c>
      <c r="O65" s="248">
        <f>N65</f>
        <v>3.1211514764922462E-4</v>
      </c>
      <c r="P65" s="796">
        <f>O65</f>
        <v>3.1211514764922462E-4</v>
      </c>
      <c r="Q65" s="796">
        <f t="shared" ref="Q65:Y65" si="71">P65</f>
        <v>3.1211514764922462E-4</v>
      </c>
      <c r="R65" s="796">
        <f t="shared" si="71"/>
        <v>3.1211514764922462E-4</v>
      </c>
      <c r="S65" s="796">
        <f t="shared" si="71"/>
        <v>3.1211514764922462E-4</v>
      </c>
      <c r="T65" s="796">
        <f t="shared" si="71"/>
        <v>3.1211514764922462E-4</v>
      </c>
      <c r="U65" s="796">
        <f t="shared" si="71"/>
        <v>3.1211514764922462E-4</v>
      </c>
      <c r="V65" s="796">
        <f t="shared" si="71"/>
        <v>3.1211514764922462E-4</v>
      </c>
      <c r="W65" s="796">
        <f t="shared" si="71"/>
        <v>3.1211514764922462E-4</v>
      </c>
      <c r="X65" s="796">
        <f t="shared" si="71"/>
        <v>3.1211514764922462E-4</v>
      </c>
      <c r="Y65" s="796">
        <f t="shared" si="71"/>
        <v>3.1211514764922462E-4</v>
      </c>
    </row>
    <row r="66" spans="2:25" hidden="1" outlineLevel="1">
      <c r="B66" s="260"/>
      <c r="C66" s="212"/>
      <c r="D66" s="212"/>
      <c r="E66" s="212"/>
      <c r="F66" s="212"/>
      <c r="G66" s="212"/>
      <c r="H66" s="212"/>
      <c r="I66" s="212"/>
      <c r="J66" s="212"/>
      <c r="K66" s="212"/>
      <c r="L66" s="212"/>
      <c r="M66" s="212"/>
      <c r="N66" s="212"/>
      <c r="O66" s="212"/>
      <c r="P66" s="801"/>
    </row>
    <row r="67" spans="2:25" hidden="1" outlineLevel="1">
      <c r="B67" s="90" t="s">
        <v>272</v>
      </c>
      <c r="C67" s="189"/>
      <c r="D67" s="189"/>
      <c r="E67" s="189">
        <f>E68*E64</f>
        <v>148254.6951333817</v>
      </c>
      <c r="F67" s="189">
        <f t="shared" ref="F67:M67" si="72">E76</f>
        <v>152769.27141344658</v>
      </c>
      <c r="G67" s="189">
        <f t="shared" si="72"/>
        <v>157216.80837114906</v>
      </c>
      <c r="H67" s="189">
        <f t="shared" si="72"/>
        <v>161600.78646141654</v>
      </c>
      <c r="I67" s="189">
        <f t="shared" si="72"/>
        <v>165924.56736234415</v>
      </c>
      <c r="J67" s="189">
        <f t="shared" si="72"/>
        <v>170191.39846993744</v>
      </c>
      <c r="K67" s="189">
        <f t="shared" si="72"/>
        <v>174404.41722754977</v>
      </c>
      <c r="L67" s="189">
        <f t="shared" si="72"/>
        <v>178566.65529614041</v>
      </c>
      <c r="M67" s="189">
        <f t="shared" si="72"/>
        <v>182681.04257125332</v>
      </c>
      <c r="N67" s="189">
        <f>M76</f>
        <v>186750.41105239774</v>
      </c>
      <c r="O67" s="189">
        <f>N76</f>
        <v>190777.49857030265</v>
      </c>
      <c r="P67" s="390">
        <f>O76</f>
        <v>194764.95237731352</v>
      </c>
      <c r="Q67" s="390">
        <f t="shared" ref="Q67:Y67" si="73">P76</f>
        <v>198715.33260600609</v>
      </c>
      <c r="R67" s="390">
        <f t="shared" si="73"/>
        <v>202631.11560090358</v>
      </c>
      <c r="S67" s="390">
        <f t="shared" si="73"/>
        <v>206514.69712800306</v>
      </c>
      <c r="T67" s="390">
        <f t="shared" si="73"/>
        <v>210368.39546664315</v>
      </c>
      <c r="U67" s="390">
        <f t="shared" si="73"/>
        <v>214194.45438807734</v>
      </c>
      <c r="V67" s="390">
        <f t="shared" si="73"/>
        <v>217995.04602495549</v>
      </c>
      <c r="W67" s="390">
        <f t="shared" si="73"/>
        <v>221772.27363576149</v>
      </c>
      <c r="X67" s="390">
        <f t="shared" si="73"/>
        <v>225528.17426810498</v>
      </c>
      <c r="Y67" s="390">
        <f t="shared" si="73"/>
        <v>229264.72132462042</v>
      </c>
    </row>
    <row r="68" spans="2:25" hidden="1" outlineLevel="1">
      <c r="B68" s="204" t="s">
        <v>260</v>
      </c>
      <c r="C68" s="209"/>
      <c r="D68" s="208"/>
      <c r="E68" s="208">
        <v>0.95</v>
      </c>
      <c r="F68" s="208">
        <f t="shared" ref="F68:M68" si="74">E68</f>
        <v>0.95</v>
      </c>
      <c r="G68" s="208">
        <f t="shared" si="74"/>
        <v>0.95</v>
      </c>
      <c r="H68" s="208">
        <f t="shared" si="74"/>
        <v>0.95</v>
      </c>
      <c r="I68" s="208">
        <f t="shared" si="74"/>
        <v>0.95</v>
      </c>
      <c r="J68" s="208">
        <f t="shared" si="74"/>
        <v>0.95</v>
      </c>
      <c r="K68" s="208">
        <f t="shared" si="74"/>
        <v>0.95</v>
      </c>
      <c r="L68" s="208">
        <f t="shared" si="74"/>
        <v>0.95</v>
      </c>
      <c r="M68" s="208">
        <f t="shared" si="74"/>
        <v>0.95</v>
      </c>
      <c r="N68" s="208">
        <f>M68</f>
        <v>0.95</v>
      </c>
      <c r="O68" s="208">
        <f>N68</f>
        <v>0.95</v>
      </c>
      <c r="P68" s="511">
        <f>O68</f>
        <v>0.95</v>
      </c>
      <c r="Q68" s="511">
        <f t="shared" ref="Q68:Y68" si="75">P68</f>
        <v>0.95</v>
      </c>
      <c r="R68" s="511">
        <f t="shared" si="75"/>
        <v>0.95</v>
      </c>
      <c r="S68" s="511">
        <f t="shared" si="75"/>
        <v>0.95</v>
      </c>
      <c r="T68" s="511">
        <f t="shared" si="75"/>
        <v>0.95</v>
      </c>
      <c r="U68" s="511">
        <f t="shared" si="75"/>
        <v>0.95</v>
      </c>
      <c r="V68" s="511">
        <f t="shared" si="75"/>
        <v>0.95</v>
      </c>
      <c r="W68" s="511">
        <f t="shared" si="75"/>
        <v>0.95</v>
      </c>
      <c r="X68" s="511">
        <f t="shared" si="75"/>
        <v>0.95</v>
      </c>
      <c r="Y68" s="511">
        <f t="shared" si="75"/>
        <v>0.95</v>
      </c>
    </row>
    <row r="69" spans="2:25" hidden="1" outlineLevel="1">
      <c r="B69" s="204"/>
      <c r="C69" s="209"/>
      <c r="D69" s="208"/>
      <c r="E69" s="208"/>
      <c r="F69" s="208"/>
      <c r="G69" s="208"/>
      <c r="H69" s="208"/>
      <c r="I69" s="208"/>
      <c r="J69" s="208"/>
      <c r="K69" s="208"/>
      <c r="L69" s="208"/>
      <c r="M69" s="208"/>
      <c r="N69" s="208"/>
      <c r="O69" s="208"/>
      <c r="P69" s="511"/>
    </row>
    <row r="70" spans="2:25" hidden="1" outlineLevel="1">
      <c r="B70" s="90" t="s">
        <v>114</v>
      </c>
      <c r="C70" s="189"/>
      <c r="D70" s="189"/>
      <c r="E70" s="189">
        <f t="shared" ref="E70:M70" si="76">E71*E61</f>
        <v>10000</v>
      </c>
      <c r="F70" s="189">
        <f t="shared" si="76"/>
        <v>10100</v>
      </c>
      <c r="G70" s="189">
        <f t="shared" si="76"/>
        <v>10201</v>
      </c>
      <c r="H70" s="189">
        <f t="shared" si="76"/>
        <v>10303.01</v>
      </c>
      <c r="I70" s="189">
        <f t="shared" si="76"/>
        <v>10406.0401</v>
      </c>
      <c r="J70" s="189">
        <f t="shared" si="76"/>
        <v>10510.100501000001</v>
      </c>
      <c r="K70" s="189">
        <f t="shared" si="76"/>
        <v>10615.201506010002</v>
      </c>
      <c r="L70" s="189">
        <f t="shared" si="76"/>
        <v>10721.353521070103</v>
      </c>
      <c r="M70" s="189">
        <f t="shared" si="76"/>
        <v>10828.567056280803</v>
      </c>
      <c r="N70" s="189">
        <f>N71*N61</f>
        <v>10936.85272684361</v>
      </c>
      <c r="O70" s="189">
        <f>O71*O61</f>
        <v>11046.221254112046</v>
      </c>
      <c r="P70" s="390">
        <f>P71*P61</f>
        <v>11156.683466653167</v>
      </c>
      <c r="Q70" s="390">
        <f t="shared" ref="Q70:Y70" si="77">Q71*Q61</f>
        <v>11268.250301319698</v>
      </c>
      <c r="R70" s="390">
        <f t="shared" si="77"/>
        <v>11380.932804332893</v>
      </c>
      <c r="S70" s="390">
        <f t="shared" si="77"/>
        <v>11494.742132376223</v>
      </c>
      <c r="T70" s="390">
        <f t="shared" si="77"/>
        <v>11609.689553699985</v>
      </c>
      <c r="U70" s="390">
        <f t="shared" si="77"/>
        <v>11725.786449236984</v>
      </c>
      <c r="V70" s="390">
        <f t="shared" si="77"/>
        <v>11843.044313729357</v>
      </c>
      <c r="W70" s="390">
        <f t="shared" si="77"/>
        <v>11961.47475686665</v>
      </c>
      <c r="X70" s="390">
        <f t="shared" si="77"/>
        <v>12081.089504435316</v>
      </c>
      <c r="Y70" s="390">
        <f t="shared" si="77"/>
        <v>12201.900399479669</v>
      </c>
    </row>
    <row r="71" spans="2:25" hidden="1" outlineLevel="1">
      <c r="B71" s="204" t="s">
        <v>16</v>
      </c>
      <c r="C71" s="413"/>
      <c r="D71" s="413"/>
      <c r="E71" s="413">
        <v>2.0000000000000002E-5</v>
      </c>
      <c r="F71" s="413">
        <v>2.0000000000000002E-5</v>
      </c>
      <c r="G71" s="413">
        <v>2.0000000000000002E-5</v>
      </c>
      <c r="H71" s="413">
        <v>2.0000000000000002E-5</v>
      </c>
      <c r="I71" s="413">
        <v>2.0000000000000002E-5</v>
      </c>
      <c r="J71" s="413">
        <v>2.0000000000000002E-5</v>
      </c>
      <c r="K71" s="413">
        <v>2.0000000000000002E-5</v>
      </c>
      <c r="L71" s="413">
        <v>2.0000000000000002E-5</v>
      </c>
      <c r="M71" s="413">
        <v>2.0000000000000002E-5</v>
      </c>
      <c r="N71" s="413">
        <v>2.0000000000000002E-5</v>
      </c>
      <c r="O71" s="413">
        <v>2.0000000000000002E-5</v>
      </c>
      <c r="P71" s="797">
        <v>2.0000000000000002E-5</v>
      </c>
      <c r="Q71" s="797">
        <f>P71</f>
        <v>2.0000000000000002E-5</v>
      </c>
      <c r="R71" s="797">
        <f t="shared" ref="R71:Y71" si="78">Q71</f>
        <v>2.0000000000000002E-5</v>
      </c>
      <c r="S71" s="797">
        <f t="shared" si="78"/>
        <v>2.0000000000000002E-5</v>
      </c>
      <c r="T71" s="797">
        <f t="shared" si="78"/>
        <v>2.0000000000000002E-5</v>
      </c>
      <c r="U71" s="797">
        <f t="shared" si="78"/>
        <v>2.0000000000000002E-5</v>
      </c>
      <c r="V71" s="797">
        <f t="shared" si="78"/>
        <v>2.0000000000000002E-5</v>
      </c>
      <c r="W71" s="797">
        <f t="shared" si="78"/>
        <v>2.0000000000000002E-5</v>
      </c>
      <c r="X71" s="797">
        <f t="shared" si="78"/>
        <v>2.0000000000000002E-5</v>
      </c>
      <c r="Y71" s="797">
        <f t="shared" si="78"/>
        <v>2.0000000000000002E-5</v>
      </c>
    </row>
    <row r="72" spans="2:25" hidden="1" outlineLevel="1">
      <c r="B72" s="213"/>
      <c r="C72" s="214"/>
      <c r="D72" s="248"/>
      <c r="E72" s="248"/>
      <c r="F72" s="248"/>
      <c r="G72" s="248"/>
      <c r="H72" s="248"/>
      <c r="I72" s="248"/>
      <c r="J72" s="248"/>
      <c r="K72" s="248"/>
      <c r="L72" s="248"/>
      <c r="M72" s="248"/>
      <c r="N72" s="248"/>
      <c r="O72" s="248"/>
      <c r="P72" s="796"/>
    </row>
    <row r="73" spans="2:25" hidden="1" outlineLevel="1">
      <c r="B73" s="225" t="s">
        <v>96</v>
      </c>
      <c r="C73" s="189"/>
      <c r="D73" s="189"/>
      <c r="E73" s="189">
        <f t="shared" ref="E73:M73" si="79">E74*E67</f>
        <v>5485.4237199351228</v>
      </c>
      <c r="F73" s="189">
        <f t="shared" si="79"/>
        <v>5652.4630422975233</v>
      </c>
      <c r="G73" s="189">
        <f t="shared" si="79"/>
        <v>5817.0219097325153</v>
      </c>
      <c r="H73" s="189">
        <f t="shared" si="79"/>
        <v>5979.2290990724123</v>
      </c>
      <c r="I73" s="189">
        <f t="shared" si="79"/>
        <v>6139.2089924067332</v>
      </c>
      <c r="J73" s="189">
        <f t="shared" si="79"/>
        <v>6297.0817433876846</v>
      </c>
      <c r="K73" s="189">
        <f t="shared" si="79"/>
        <v>6452.9634374193411</v>
      </c>
      <c r="L73" s="189">
        <f t="shared" si="79"/>
        <v>6606.9662459571946</v>
      </c>
      <c r="M73" s="189">
        <f t="shared" si="79"/>
        <v>6759.1985751363727</v>
      </c>
      <c r="N73" s="189">
        <f>N74*N67</f>
        <v>6909.7652089387166</v>
      </c>
      <c r="O73" s="189">
        <f>O74*O67</f>
        <v>7058.7674471011978</v>
      </c>
      <c r="P73" s="390">
        <f>P74*P67</f>
        <v>7206.3032379605993</v>
      </c>
      <c r="Q73" s="390">
        <f t="shared" ref="Q73:Y73" si="80">Q74*Q67</f>
        <v>7352.4673064222252</v>
      </c>
      <c r="R73" s="390">
        <f t="shared" si="80"/>
        <v>7497.3512772334316</v>
      </c>
      <c r="S73" s="390">
        <f t="shared" si="80"/>
        <v>7641.043793736113</v>
      </c>
      <c r="T73" s="390">
        <f t="shared" si="80"/>
        <v>7783.6306322657965</v>
      </c>
      <c r="U73" s="390">
        <f t="shared" si="80"/>
        <v>7925.1948123588609</v>
      </c>
      <c r="V73" s="390">
        <f t="shared" si="80"/>
        <v>8065.8167029233528</v>
      </c>
      <c r="W73" s="390">
        <f t="shared" si="80"/>
        <v>8205.5741245231748</v>
      </c>
      <c r="X73" s="390">
        <f t="shared" si="80"/>
        <v>8344.5424479198846</v>
      </c>
      <c r="Y73" s="390">
        <f t="shared" si="80"/>
        <v>8482.7946890109542</v>
      </c>
    </row>
    <row r="74" spans="2:25" hidden="1" outlineLevel="1">
      <c r="B74" s="204" t="s">
        <v>17</v>
      </c>
      <c r="C74" s="414"/>
      <c r="D74" s="415"/>
      <c r="E74" s="415">
        <v>3.6999999999999998E-2</v>
      </c>
      <c r="F74" s="415">
        <v>3.6999999999999998E-2</v>
      </c>
      <c r="G74" s="415">
        <v>3.6999999999999998E-2</v>
      </c>
      <c r="H74" s="415">
        <v>3.6999999999999998E-2</v>
      </c>
      <c r="I74" s="415">
        <v>3.6999999999999998E-2</v>
      </c>
      <c r="J74" s="415">
        <v>3.6999999999999998E-2</v>
      </c>
      <c r="K74" s="415">
        <v>3.6999999999999998E-2</v>
      </c>
      <c r="L74" s="415">
        <v>3.6999999999999998E-2</v>
      </c>
      <c r="M74" s="415">
        <v>3.6999999999999998E-2</v>
      </c>
      <c r="N74" s="415">
        <v>3.6999999999999998E-2</v>
      </c>
      <c r="O74" s="415">
        <v>3.6999999999999998E-2</v>
      </c>
      <c r="P74" s="798">
        <v>3.6999999999999998E-2</v>
      </c>
      <c r="Q74" s="798">
        <f>P74</f>
        <v>3.6999999999999998E-2</v>
      </c>
      <c r="R74" s="798">
        <f t="shared" ref="R74:Y74" si="81">Q74</f>
        <v>3.6999999999999998E-2</v>
      </c>
      <c r="S74" s="798">
        <f t="shared" si="81"/>
        <v>3.6999999999999998E-2</v>
      </c>
      <c r="T74" s="798">
        <f t="shared" si="81"/>
        <v>3.6999999999999998E-2</v>
      </c>
      <c r="U74" s="798">
        <f t="shared" si="81"/>
        <v>3.6999999999999998E-2</v>
      </c>
      <c r="V74" s="798">
        <f t="shared" si="81"/>
        <v>3.6999999999999998E-2</v>
      </c>
      <c r="W74" s="798">
        <f t="shared" si="81"/>
        <v>3.6999999999999998E-2</v>
      </c>
      <c r="X74" s="798">
        <f t="shared" si="81"/>
        <v>3.6999999999999998E-2</v>
      </c>
      <c r="Y74" s="798">
        <f t="shared" si="81"/>
        <v>3.6999999999999998E-2</v>
      </c>
    </row>
    <row r="75" spans="2:25" hidden="1" outlineLevel="1">
      <c r="B75" s="213"/>
      <c r="C75" s="214"/>
      <c r="D75" s="248"/>
      <c r="E75" s="248"/>
      <c r="F75" s="248"/>
      <c r="G75" s="248"/>
      <c r="H75" s="248"/>
      <c r="I75" s="248"/>
      <c r="J75" s="248"/>
      <c r="K75" s="248"/>
      <c r="L75" s="248"/>
      <c r="M75" s="248"/>
      <c r="N75" s="248"/>
      <c r="O75" s="248"/>
      <c r="P75" s="796"/>
    </row>
    <row r="76" spans="2:25" hidden="1" outlineLevel="1">
      <c r="B76" s="90" t="s">
        <v>15</v>
      </c>
      <c r="C76" s="189"/>
      <c r="D76" s="189"/>
      <c r="E76" s="189">
        <f t="shared" ref="E76:M76" si="82">+E67+E70-E73</f>
        <v>152769.27141344658</v>
      </c>
      <c r="F76" s="189">
        <f t="shared" si="82"/>
        <v>157216.80837114906</v>
      </c>
      <c r="G76" s="189">
        <f t="shared" si="82"/>
        <v>161600.78646141654</v>
      </c>
      <c r="H76" s="189">
        <f t="shared" si="82"/>
        <v>165924.56736234415</v>
      </c>
      <c r="I76" s="189">
        <f t="shared" si="82"/>
        <v>170191.39846993744</v>
      </c>
      <c r="J76" s="189">
        <f t="shared" si="82"/>
        <v>174404.41722754977</v>
      </c>
      <c r="K76" s="189">
        <f t="shared" si="82"/>
        <v>178566.65529614041</v>
      </c>
      <c r="L76" s="189">
        <f t="shared" si="82"/>
        <v>182681.04257125332</v>
      </c>
      <c r="M76" s="189">
        <f t="shared" si="82"/>
        <v>186750.41105239774</v>
      </c>
      <c r="N76" s="189">
        <f>+N67+N70-N73</f>
        <v>190777.49857030265</v>
      </c>
      <c r="O76" s="189">
        <f>+O67+O70-O73</f>
        <v>194764.95237731352</v>
      </c>
      <c r="P76" s="390">
        <f>+P67+P70-P73</f>
        <v>198715.33260600609</v>
      </c>
      <c r="Q76" s="390">
        <f t="shared" ref="Q76:Y76" si="83">+Q67+Q70-Q73</f>
        <v>202631.11560090358</v>
      </c>
      <c r="R76" s="390">
        <f t="shared" si="83"/>
        <v>206514.69712800306</v>
      </c>
      <c r="S76" s="390">
        <f t="shared" si="83"/>
        <v>210368.39546664315</v>
      </c>
      <c r="T76" s="390">
        <f t="shared" si="83"/>
        <v>214194.45438807734</v>
      </c>
      <c r="U76" s="390">
        <f t="shared" si="83"/>
        <v>217995.04602495549</v>
      </c>
      <c r="V76" s="390">
        <f t="shared" si="83"/>
        <v>221772.27363576149</v>
      </c>
      <c r="W76" s="390">
        <f t="shared" si="83"/>
        <v>225528.17426810498</v>
      </c>
      <c r="X76" s="390">
        <f t="shared" si="83"/>
        <v>229264.72132462042</v>
      </c>
      <c r="Y76" s="390">
        <f t="shared" si="83"/>
        <v>232983.82703508914</v>
      </c>
    </row>
    <row r="77" spans="2:25" hidden="1" outlineLevel="1">
      <c r="C77" s="189"/>
      <c r="D77" s="189"/>
      <c r="E77" s="189"/>
      <c r="F77" s="189"/>
      <c r="G77" s="189"/>
      <c r="H77" s="189"/>
      <c r="I77" s="189"/>
      <c r="J77" s="189"/>
      <c r="K77" s="189"/>
      <c r="L77" s="189"/>
      <c r="M77" s="189"/>
      <c r="N77" s="189"/>
      <c r="O77" s="189"/>
      <c r="P77" s="390"/>
    </row>
    <row r="78" spans="2:25" collapsed="1">
      <c r="B78" s="2"/>
      <c r="C78" s="209"/>
      <c r="D78" s="314"/>
      <c r="E78" s="314"/>
      <c r="F78" s="314"/>
      <c r="G78" s="314"/>
      <c r="H78" s="314"/>
      <c r="I78" s="314"/>
      <c r="J78" s="314"/>
      <c r="K78" s="314"/>
      <c r="L78" s="314"/>
      <c r="M78" s="314"/>
      <c r="N78" s="314"/>
      <c r="O78" s="314"/>
      <c r="P78" s="399"/>
    </row>
    <row r="79" spans="2:25">
      <c r="B79" s="247" t="s">
        <v>273</v>
      </c>
      <c r="C79" s="380"/>
      <c r="D79" s="380"/>
      <c r="E79" s="380">
        <f t="shared" ref="E79:M79" si="84">+E80*E67</f>
        <v>78574.988420692302</v>
      </c>
      <c r="F79" s="380">
        <f t="shared" si="84"/>
        <v>80967.713849126696</v>
      </c>
      <c r="G79" s="380">
        <f t="shared" si="84"/>
        <v>83324.908436709011</v>
      </c>
      <c r="H79" s="380">
        <f t="shared" si="84"/>
        <v>85648.416824550775</v>
      </c>
      <c r="I79" s="380">
        <f t="shared" si="84"/>
        <v>87940.020702042413</v>
      </c>
      <c r="J79" s="380">
        <f t="shared" si="84"/>
        <v>90201.441189066842</v>
      </c>
      <c r="K79" s="380">
        <f t="shared" si="84"/>
        <v>92434.341130601388</v>
      </c>
      <c r="L79" s="380">
        <f t="shared" si="84"/>
        <v>94640.327306954423</v>
      </c>
      <c r="M79" s="380">
        <f t="shared" si="84"/>
        <v>96820.952562764258</v>
      </c>
      <c r="N79" s="380">
        <f>+N80*N67</f>
        <v>98977.717857770811</v>
      </c>
      <c r="O79" s="380">
        <f>+O80*O67</f>
        <v>101112.07424226041</v>
      </c>
      <c r="P79" s="380">
        <f>+P80*P67</f>
        <v>103225.42475997617</v>
      </c>
      <c r="Q79" s="380">
        <f t="shared" ref="Q79:Y79" si="85">+Q80*Q67</f>
        <v>105319.12628118324</v>
      </c>
      <c r="R79" s="380">
        <f t="shared" si="85"/>
        <v>107394.4912684789</v>
      </c>
      <c r="S79" s="380">
        <f t="shared" si="85"/>
        <v>109452.78947784162</v>
      </c>
      <c r="T79" s="380">
        <f t="shared" si="85"/>
        <v>111495.24959732087</v>
      </c>
      <c r="U79" s="380">
        <f t="shared" si="85"/>
        <v>113523.06082568099</v>
      </c>
      <c r="V79" s="380">
        <f t="shared" si="85"/>
        <v>115537.37439322642</v>
      </c>
      <c r="W79" s="380">
        <f t="shared" si="85"/>
        <v>117539.3050269536</v>
      </c>
      <c r="X79" s="380">
        <f t="shared" si="85"/>
        <v>119529.93236209564</v>
      </c>
      <c r="Y79" s="380">
        <f t="shared" si="85"/>
        <v>121510.30230204883</v>
      </c>
    </row>
    <row r="80" spans="2:25">
      <c r="B80" s="389" t="s">
        <v>261</v>
      </c>
      <c r="C80" s="396"/>
      <c r="D80" s="397"/>
      <c r="E80" s="397">
        <v>0.53</v>
      </c>
      <c r="F80" s="397">
        <f t="shared" ref="F80:M80" si="86">E80</f>
        <v>0.53</v>
      </c>
      <c r="G80" s="397">
        <f t="shared" si="86"/>
        <v>0.53</v>
      </c>
      <c r="H80" s="397">
        <f t="shared" si="86"/>
        <v>0.53</v>
      </c>
      <c r="I80" s="397">
        <f t="shared" si="86"/>
        <v>0.53</v>
      </c>
      <c r="J80" s="397">
        <f t="shared" si="86"/>
        <v>0.53</v>
      </c>
      <c r="K80" s="397">
        <f t="shared" si="86"/>
        <v>0.53</v>
      </c>
      <c r="L80" s="397">
        <f t="shared" si="86"/>
        <v>0.53</v>
      </c>
      <c r="M80" s="397">
        <f t="shared" si="86"/>
        <v>0.53</v>
      </c>
      <c r="N80" s="397">
        <f>M80</f>
        <v>0.53</v>
      </c>
      <c r="O80" s="397">
        <f>N80</f>
        <v>0.53</v>
      </c>
      <c r="P80" s="397">
        <f>O80</f>
        <v>0.53</v>
      </c>
      <c r="Q80" s="397">
        <f t="shared" ref="Q80:Y80" si="87">P80</f>
        <v>0.53</v>
      </c>
      <c r="R80" s="397">
        <f t="shared" si="87"/>
        <v>0.53</v>
      </c>
      <c r="S80" s="397">
        <f t="shared" si="87"/>
        <v>0.53</v>
      </c>
      <c r="T80" s="397">
        <f t="shared" si="87"/>
        <v>0.53</v>
      </c>
      <c r="U80" s="397">
        <f t="shared" si="87"/>
        <v>0.53</v>
      </c>
      <c r="V80" s="397">
        <f t="shared" si="87"/>
        <v>0.53</v>
      </c>
      <c r="W80" s="397">
        <f t="shared" si="87"/>
        <v>0.53</v>
      </c>
      <c r="X80" s="397">
        <f t="shared" si="87"/>
        <v>0.53</v>
      </c>
      <c r="Y80" s="397">
        <f t="shared" si="87"/>
        <v>0.53</v>
      </c>
    </row>
    <row r="81" spans="2:25">
      <c r="B81" s="389"/>
      <c r="C81" s="398"/>
      <c r="D81" s="399"/>
      <c r="E81" s="399"/>
      <c r="F81" s="399"/>
      <c r="G81" s="399"/>
      <c r="H81" s="399"/>
      <c r="I81" s="399"/>
      <c r="J81" s="399"/>
      <c r="K81" s="399"/>
      <c r="L81" s="399"/>
      <c r="M81" s="399"/>
      <c r="N81" s="399"/>
      <c r="O81" s="399"/>
      <c r="P81" s="399"/>
    </row>
    <row r="82" spans="2:25">
      <c r="B82" s="173" t="s">
        <v>274</v>
      </c>
      <c r="C82" s="390"/>
      <c r="D82" s="390"/>
      <c r="E82" s="390">
        <f t="shared" ref="E82:M82" si="88">E79*E83</f>
        <v>27501.245947242303</v>
      </c>
      <c r="F82" s="390">
        <f>F79*F83</f>
        <v>28338.699847194341</v>
      </c>
      <c r="G82" s="390">
        <f t="shared" si="88"/>
        <v>29163.71795284815</v>
      </c>
      <c r="H82" s="390">
        <f t="shared" si="88"/>
        <v>29976.945888592771</v>
      </c>
      <c r="I82" s="390">
        <f t="shared" si="88"/>
        <v>30779.007245714842</v>
      </c>
      <c r="J82" s="390">
        <f t="shared" si="88"/>
        <v>31570.504416173393</v>
      </c>
      <c r="K82" s="390">
        <f t="shared" si="88"/>
        <v>32352.019395710482</v>
      </c>
      <c r="L82" s="390">
        <f t="shared" si="88"/>
        <v>33124.114557434048</v>
      </c>
      <c r="M82" s="390">
        <f t="shared" si="88"/>
        <v>33887.333396967486</v>
      </c>
      <c r="N82" s="390">
        <f>N79*N83</f>
        <v>34642.201250219783</v>
      </c>
      <c r="O82" s="390">
        <f>O79*O83</f>
        <v>35389.225984791141</v>
      </c>
      <c r="P82" s="390">
        <f>P79*P83</f>
        <v>36128.898665991655</v>
      </c>
      <c r="Q82" s="390">
        <f t="shared" ref="Q82:Y82" si="89">Q79*Q83</f>
        <v>36861.69419841413</v>
      </c>
      <c r="R82" s="390">
        <f t="shared" si="89"/>
        <v>37588.07194396761</v>
      </c>
      <c r="S82" s="390">
        <f t="shared" si="89"/>
        <v>38308.476317244567</v>
      </c>
      <c r="T82" s="390">
        <f t="shared" si="89"/>
        <v>39023.337359062301</v>
      </c>
      <c r="U82" s="390">
        <f t="shared" si="89"/>
        <v>39733.071288988343</v>
      </c>
      <c r="V82" s="390">
        <f t="shared" si="89"/>
        <v>40438.081037629243</v>
      </c>
      <c r="W82" s="390">
        <f t="shared" si="89"/>
        <v>41138.75675943376</v>
      </c>
      <c r="X82" s="390">
        <f t="shared" si="89"/>
        <v>41835.476326733471</v>
      </c>
      <c r="Y82" s="390">
        <f t="shared" si="89"/>
        <v>42528.605805717089</v>
      </c>
    </row>
    <row r="83" spans="2:25">
      <c r="B83" s="400" t="s">
        <v>166</v>
      </c>
      <c r="C83" s="401"/>
      <c r="D83" s="402"/>
      <c r="E83" s="402">
        <v>0.35</v>
      </c>
      <c r="F83" s="402">
        <f t="shared" ref="F83:M83" si="90">E83</f>
        <v>0.35</v>
      </c>
      <c r="G83" s="402">
        <f t="shared" si="90"/>
        <v>0.35</v>
      </c>
      <c r="H83" s="402">
        <f t="shared" si="90"/>
        <v>0.35</v>
      </c>
      <c r="I83" s="402">
        <f t="shared" si="90"/>
        <v>0.35</v>
      </c>
      <c r="J83" s="402">
        <f t="shared" si="90"/>
        <v>0.35</v>
      </c>
      <c r="K83" s="402">
        <f t="shared" si="90"/>
        <v>0.35</v>
      </c>
      <c r="L83" s="402">
        <f t="shared" si="90"/>
        <v>0.35</v>
      </c>
      <c r="M83" s="402">
        <f t="shared" si="90"/>
        <v>0.35</v>
      </c>
      <c r="N83" s="402">
        <f>M83</f>
        <v>0.35</v>
      </c>
      <c r="O83" s="402">
        <f>N83</f>
        <v>0.35</v>
      </c>
      <c r="P83" s="402">
        <f>O83</f>
        <v>0.35</v>
      </c>
      <c r="Q83" s="402">
        <f t="shared" ref="Q83:Y83" si="91">P83</f>
        <v>0.35</v>
      </c>
      <c r="R83" s="402">
        <f t="shared" si="91"/>
        <v>0.35</v>
      </c>
      <c r="S83" s="402">
        <f t="shared" si="91"/>
        <v>0.35</v>
      </c>
      <c r="T83" s="402">
        <f t="shared" si="91"/>
        <v>0.35</v>
      </c>
      <c r="U83" s="402">
        <f t="shared" si="91"/>
        <v>0.35</v>
      </c>
      <c r="V83" s="402">
        <f t="shared" si="91"/>
        <v>0.35</v>
      </c>
      <c r="W83" s="402">
        <f t="shared" si="91"/>
        <v>0.35</v>
      </c>
      <c r="X83" s="402">
        <f t="shared" si="91"/>
        <v>0.35</v>
      </c>
      <c r="Y83" s="402">
        <f t="shared" si="91"/>
        <v>0.35</v>
      </c>
    </row>
    <row r="84" spans="2:25">
      <c r="B84" s="417" t="s">
        <v>275</v>
      </c>
      <c r="C84" s="418">
        <f>+C82</f>
        <v>0</v>
      </c>
      <c r="D84" s="418">
        <f t="shared" ref="D84:M84" si="92">+D82</f>
        <v>0</v>
      </c>
      <c r="E84" s="418">
        <f t="shared" si="92"/>
        <v>27501.245947242303</v>
      </c>
      <c r="F84" s="418">
        <f t="shared" si="92"/>
        <v>28338.699847194341</v>
      </c>
      <c r="G84" s="418">
        <f t="shared" si="92"/>
        <v>29163.71795284815</v>
      </c>
      <c r="H84" s="418">
        <f t="shared" si="92"/>
        <v>29976.945888592771</v>
      </c>
      <c r="I84" s="418">
        <f t="shared" si="92"/>
        <v>30779.007245714842</v>
      </c>
      <c r="J84" s="418">
        <f t="shared" si="92"/>
        <v>31570.504416173393</v>
      </c>
      <c r="K84" s="418">
        <f t="shared" si="92"/>
        <v>32352.019395710482</v>
      </c>
      <c r="L84" s="418">
        <f t="shared" si="92"/>
        <v>33124.114557434048</v>
      </c>
      <c r="M84" s="418">
        <f t="shared" si="92"/>
        <v>33887.333396967486</v>
      </c>
      <c r="N84" s="418">
        <f>+N82</f>
        <v>34642.201250219783</v>
      </c>
      <c r="O84" s="418">
        <f>+O82</f>
        <v>35389.225984791141</v>
      </c>
      <c r="P84" s="418">
        <f>+P82</f>
        <v>36128.898665991655</v>
      </c>
      <c r="Q84" s="418">
        <f t="shared" ref="Q84:Y84" si="93">+Q82</f>
        <v>36861.69419841413</v>
      </c>
      <c r="R84" s="418">
        <f t="shared" si="93"/>
        <v>37588.07194396761</v>
      </c>
      <c r="S84" s="418">
        <f t="shared" si="93"/>
        <v>38308.476317244567</v>
      </c>
      <c r="T84" s="418">
        <f t="shared" si="93"/>
        <v>39023.337359062301</v>
      </c>
      <c r="U84" s="418">
        <f t="shared" si="93"/>
        <v>39733.071288988343</v>
      </c>
      <c r="V84" s="418">
        <f t="shared" si="93"/>
        <v>40438.081037629243</v>
      </c>
      <c r="W84" s="418">
        <f t="shared" si="93"/>
        <v>41138.75675943376</v>
      </c>
      <c r="X84" s="418">
        <f t="shared" si="93"/>
        <v>41835.476326733471</v>
      </c>
      <c r="Y84" s="418">
        <f t="shared" si="93"/>
        <v>42528.605805717089</v>
      </c>
    </row>
    <row r="85" spans="2:25" hidden="1" outlineLevel="1">
      <c r="B85" s="243"/>
      <c r="C85" s="416"/>
      <c r="D85" s="416"/>
      <c r="E85" s="416"/>
      <c r="F85" s="416"/>
      <c r="G85" s="416"/>
      <c r="H85" s="416"/>
      <c r="I85" s="416"/>
      <c r="J85" s="416"/>
      <c r="K85" s="416"/>
      <c r="L85" s="416"/>
      <c r="M85" s="416"/>
      <c r="N85" s="416"/>
      <c r="O85" s="416"/>
      <c r="P85" s="416"/>
    </row>
    <row r="86" spans="2:25" hidden="1" outlineLevel="1">
      <c r="B86" s="90" t="s">
        <v>307</v>
      </c>
      <c r="C86" s="416"/>
      <c r="D86" s="416"/>
      <c r="E86" s="416"/>
      <c r="F86" s="416"/>
      <c r="G86" s="416"/>
      <c r="H86" s="416"/>
      <c r="I86" s="390">
        <f>+I103</f>
        <v>0</v>
      </c>
      <c r="J86" s="390">
        <f t="shared" ref="J86:O86" si="94">+J94+I86</f>
        <v>1894.2302649704036</v>
      </c>
      <c r="K86" s="390">
        <f t="shared" si="94"/>
        <v>4158.8716226701372</v>
      </c>
      <c r="L86" s="390">
        <f t="shared" si="94"/>
        <v>6477.5596416905209</v>
      </c>
      <c r="M86" s="390">
        <f t="shared" si="94"/>
        <v>8510.7996455085704</v>
      </c>
      <c r="N86" s="390">
        <f t="shared" si="94"/>
        <v>10242.909708019561</v>
      </c>
      <c r="O86" s="390">
        <f t="shared" si="94"/>
        <v>11658.478747411205</v>
      </c>
      <c r="P86" s="390">
        <f>+P94+O86</f>
        <v>12742.345707390956</v>
      </c>
      <c r="Q86" s="390">
        <f t="shared" ref="Q86:Y86" si="95">+Q94+P86</f>
        <v>13479.579591359239</v>
      </c>
      <c r="R86" s="390">
        <f t="shared" si="95"/>
        <v>14043.400670518753</v>
      </c>
      <c r="S86" s="390">
        <f t="shared" si="95"/>
        <v>14618.027815277421</v>
      </c>
      <c r="T86" s="390">
        <f t="shared" si="95"/>
        <v>15203.377875663355</v>
      </c>
      <c r="U86" s="390">
        <f t="shared" si="95"/>
        <v>15799.37394499818</v>
      </c>
      <c r="V86" s="390">
        <f t="shared" si="95"/>
        <v>16405.94516056262</v>
      </c>
      <c r="W86" s="390">
        <f t="shared" si="95"/>
        <v>17023.026511954125</v>
      </c>
      <c r="X86" s="390">
        <f t="shared" si="95"/>
        <v>17650.558656855126</v>
      </c>
      <c r="Y86" s="390">
        <f t="shared" si="95"/>
        <v>18288.487743940881</v>
      </c>
    </row>
    <row r="87" spans="2:25" hidden="1" outlineLevel="1">
      <c r="B87" s="90" t="s">
        <v>308</v>
      </c>
      <c r="C87" s="416"/>
      <c r="D87" s="416"/>
      <c r="E87" s="416"/>
      <c r="F87" s="416"/>
      <c r="G87" s="416"/>
      <c r="H87" s="416"/>
      <c r="I87" s="390">
        <f>+I84</f>
        <v>30779.007245714842</v>
      </c>
      <c r="J87" s="390">
        <f t="shared" ref="J87:O87" si="96">+I87+(J82-I82)</f>
        <v>31570.504416173393</v>
      </c>
      <c r="K87" s="390">
        <f t="shared" si="96"/>
        <v>32352.019395710482</v>
      </c>
      <c r="L87" s="390">
        <f t="shared" si="96"/>
        <v>33124.114557434048</v>
      </c>
      <c r="M87" s="390">
        <f t="shared" si="96"/>
        <v>33887.333396967486</v>
      </c>
      <c r="N87" s="390">
        <f t="shared" si="96"/>
        <v>34642.201250219783</v>
      </c>
      <c r="O87" s="390">
        <f t="shared" si="96"/>
        <v>35389.225984791141</v>
      </c>
      <c r="P87" s="390">
        <f>+O87+(P82-O82)</f>
        <v>36128.898665991655</v>
      </c>
      <c r="Q87" s="390">
        <f t="shared" ref="Q87:Y87" si="97">+P87+(Q82-P82)</f>
        <v>36861.69419841413</v>
      </c>
      <c r="R87" s="390">
        <f t="shared" si="97"/>
        <v>37588.07194396761</v>
      </c>
      <c r="S87" s="390">
        <f t="shared" si="97"/>
        <v>38308.476317244567</v>
      </c>
      <c r="T87" s="390">
        <f t="shared" si="97"/>
        <v>39023.337359062301</v>
      </c>
      <c r="U87" s="390">
        <f t="shared" si="97"/>
        <v>39733.071288988343</v>
      </c>
      <c r="V87" s="390">
        <f t="shared" si="97"/>
        <v>40438.081037629243</v>
      </c>
      <c r="W87" s="390">
        <f t="shared" si="97"/>
        <v>41138.75675943376</v>
      </c>
      <c r="X87" s="390">
        <f t="shared" si="97"/>
        <v>41835.476326733471</v>
      </c>
      <c r="Y87" s="390">
        <f t="shared" si="97"/>
        <v>42528.605805717089</v>
      </c>
    </row>
    <row r="88" spans="2:25" hidden="1" outlineLevel="1">
      <c r="B88" s="2" t="s">
        <v>309</v>
      </c>
      <c r="C88" s="416"/>
      <c r="D88" s="416"/>
      <c r="E88" s="416"/>
      <c r="F88" s="416"/>
      <c r="G88" s="416"/>
      <c r="H88" s="416"/>
      <c r="I88" s="527">
        <f t="shared" ref="I88:Y88" si="98">+I86/I87</f>
        <v>0</v>
      </c>
      <c r="J88" s="527">
        <f t="shared" si="98"/>
        <v>0.06</v>
      </c>
      <c r="K88" s="527">
        <f t="shared" si="98"/>
        <v>0.12855060365170148</v>
      </c>
      <c r="L88" s="527">
        <f t="shared" si="98"/>
        <v>0.19555419754568992</v>
      </c>
      <c r="M88" s="527">
        <f t="shared" si="98"/>
        <v>0.25114987791486082</v>
      </c>
      <c r="N88" s="527">
        <f t="shared" si="98"/>
        <v>0.29567721848953166</v>
      </c>
      <c r="O88" s="527">
        <f t="shared" si="98"/>
        <v>0.32943582186345494</v>
      </c>
      <c r="P88" s="527">
        <f t="shared" si="98"/>
        <v>0.35269122995397034</v>
      </c>
      <c r="Q88" s="527">
        <f t="shared" si="98"/>
        <v>0.36567987132667279</v>
      </c>
      <c r="R88" s="527">
        <f t="shared" si="98"/>
        <v>0.37361322207356618</v>
      </c>
      <c r="S88" s="527">
        <f t="shared" si="98"/>
        <v>0.38158729400305363</v>
      </c>
      <c r="T88" s="527">
        <f t="shared" si="98"/>
        <v>0.38959706946060851</v>
      </c>
      <c r="U88" s="527">
        <f t="shared" si="98"/>
        <v>0.39763787274548879</v>
      </c>
      <c r="V88" s="527">
        <f t="shared" si="98"/>
        <v>0.40570533367535999</v>
      </c>
      <c r="W88" s="527">
        <f t="shared" si="98"/>
        <v>0.41379535632297587</v>
      </c>
      <c r="X88" s="527">
        <f t="shared" si="98"/>
        <v>0.42190409209171992</v>
      </c>
      <c r="Y88" s="527">
        <f t="shared" si="98"/>
        <v>0.43002791644494431</v>
      </c>
    </row>
    <row r="89" spans="2:25" hidden="1" outlineLevel="1">
      <c r="B89" s="2"/>
      <c r="C89" s="416"/>
      <c r="D89" s="416"/>
      <c r="E89" s="416"/>
      <c r="F89" s="416"/>
      <c r="G89" s="416"/>
      <c r="H89" s="416"/>
      <c r="I89" s="527"/>
      <c r="J89" s="527"/>
      <c r="K89" s="527"/>
      <c r="L89" s="527"/>
      <c r="M89" s="527"/>
      <c r="N89" s="527"/>
      <c r="O89" s="527"/>
      <c r="P89" s="527"/>
    </row>
    <row r="90" spans="2:25" collapsed="1">
      <c r="B90" s="243"/>
      <c r="C90" s="416"/>
      <c r="D90" s="416"/>
      <c r="E90" s="416"/>
      <c r="F90" s="416"/>
      <c r="G90" s="416"/>
      <c r="H90" s="416"/>
      <c r="I90" s="416"/>
      <c r="J90" s="416"/>
      <c r="K90" s="416"/>
      <c r="L90" s="416"/>
      <c r="M90" s="416"/>
      <c r="N90" s="416"/>
      <c r="O90" s="416"/>
      <c r="P90" s="416"/>
    </row>
    <row r="91" spans="2:25" s="204" customFormat="1">
      <c r="B91" s="387" t="s">
        <v>388</v>
      </c>
      <c r="C91" s="209"/>
      <c r="D91" s="314"/>
      <c r="E91" s="189"/>
      <c r="F91" s="189">
        <f>E104</f>
        <v>0</v>
      </c>
      <c r="G91" s="189">
        <f t="shared" ref="G91:M91" si="99">F103</f>
        <v>0</v>
      </c>
      <c r="H91" s="189">
        <f t="shared" si="99"/>
        <v>0</v>
      </c>
      <c r="I91" s="189">
        <f t="shared" si="99"/>
        <v>0</v>
      </c>
      <c r="J91" s="189">
        <f t="shared" si="99"/>
        <v>0</v>
      </c>
      <c r="K91" s="189">
        <f t="shared" si="99"/>
        <v>1894.2302649704036</v>
      </c>
      <c r="L91" s="189">
        <f t="shared" si="99"/>
        <v>3969.448596173097</v>
      </c>
      <c r="M91" s="189">
        <f t="shared" si="99"/>
        <v>5891.1917555761711</v>
      </c>
      <c r="N91" s="189">
        <f>M103</f>
        <v>7335.3125838366022</v>
      </c>
      <c r="O91" s="189">
        <f>N103</f>
        <v>8333.8913879639313</v>
      </c>
      <c r="P91" s="390">
        <f>O103</f>
        <v>8916.0712885591856</v>
      </c>
      <c r="Q91" s="390">
        <f t="shared" ref="Q91:Y91" si="100">P103</f>
        <v>9108.3311196830182</v>
      </c>
      <c r="R91" s="390">
        <f t="shared" si="100"/>
        <v>8934.731891682999</v>
      </c>
      <c r="S91" s="390">
        <f t="shared" si="100"/>
        <v>8605.0797816742124</v>
      </c>
      <c r="T91" s="390">
        <f t="shared" si="100"/>
        <v>8319.198948265459</v>
      </c>
      <c r="U91" s="390">
        <f t="shared" si="100"/>
        <v>8072.6291138248471</v>
      </c>
      <c r="V91" s="390">
        <f t="shared" si="100"/>
        <v>7861.3622717771877</v>
      </c>
      <c r="W91" s="390">
        <f t="shared" si="100"/>
        <v>7681.7972601639076</v>
      </c>
      <c r="X91" s="390">
        <f t="shared" si="100"/>
        <v>7530.6988855390227</v>
      </c>
      <c r="Y91" s="390">
        <f t="shared" si="100"/>
        <v>7405.161141886123</v>
      </c>
    </row>
    <row r="92" spans="2:25" s="204" customFormat="1">
      <c r="B92" s="227" t="s">
        <v>82</v>
      </c>
      <c r="C92" s="209"/>
      <c r="D92" s="314"/>
      <c r="E92" s="314"/>
      <c r="F92" s="208">
        <f t="shared" ref="F92:M92" si="101">F91/F84</f>
        <v>0</v>
      </c>
      <c r="G92" s="208">
        <f t="shared" si="101"/>
        <v>0</v>
      </c>
      <c r="H92" s="208">
        <f t="shared" si="101"/>
        <v>0</v>
      </c>
      <c r="I92" s="208">
        <f t="shared" si="101"/>
        <v>0</v>
      </c>
      <c r="J92" s="208">
        <f t="shared" si="101"/>
        <v>0</v>
      </c>
      <c r="K92" s="208">
        <f t="shared" si="101"/>
        <v>5.8550603651701491E-2</v>
      </c>
      <c r="L92" s="208">
        <f t="shared" si="101"/>
        <v>0.1198356136974002</v>
      </c>
      <c r="M92" s="208">
        <f t="shared" si="101"/>
        <v>0.1738464247559639</v>
      </c>
      <c r="N92" s="208">
        <f>N91/N84</f>
        <v>0.21174499076585279</v>
      </c>
      <c r="O92" s="208">
        <f>O91/O84</f>
        <v>0.23549233293617389</v>
      </c>
      <c r="P92" s="511">
        <f>P91/P84</f>
        <v>0.2467850285442533</v>
      </c>
      <c r="Q92" s="511">
        <f t="shared" ref="Q92:Y92" si="102">Q91/Q84</f>
        <v>0.24709475019395277</v>
      </c>
      <c r="R92" s="511">
        <f t="shared" si="102"/>
        <v>0.23770125546747831</v>
      </c>
      <c r="S92" s="511">
        <f t="shared" si="102"/>
        <v>0.22462599948932541</v>
      </c>
      <c r="T92" s="511">
        <f t="shared" si="102"/>
        <v>0.21318522482376845</v>
      </c>
      <c r="U92" s="511">
        <f t="shared" si="102"/>
        <v>0.20317153574941743</v>
      </c>
      <c r="V92" s="511">
        <f t="shared" si="102"/>
        <v>0.19440492896935138</v>
      </c>
      <c r="W92" s="511">
        <f t="shared" si="102"/>
        <v>0.18672895987315785</v>
      </c>
      <c r="X92" s="511">
        <f t="shared" si="102"/>
        <v>0.18000748519568779</v>
      </c>
      <c r="Y92" s="511">
        <f t="shared" si="102"/>
        <v>0.17412188811725995</v>
      </c>
    </row>
    <row r="93" spans="2:25" s="204" customFormat="1">
      <c r="B93" s="227"/>
      <c r="C93" s="209"/>
      <c r="D93" s="314"/>
      <c r="E93" s="314"/>
      <c r="F93" s="412"/>
      <c r="G93" s="412"/>
      <c r="H93" s="412"/>
      <c r="I93" s="412"/>
      <c r="J93" s="412"/>
      <c r="K93" s="412"/>
      <c r="L93" s="412"/>
      <c r="M93" s="412"/>
      <c r="N93" s="412"/>
      <c r="O93" s="412"/>
      <c r="P93" s="512"/>
      <c r="R93" s="207"/>
      <c r="S93" s="207"/>
      <c r="T93" s="207"/>
      <c r="U93" s="207"/>
      <c r="V93" s="207"/>
    </row>
    <row r="94" spans="2:25" s="204" customFormat="1">
      <c r="B94" s="788" t="s">
        <v>382</v>
      </c>
      <c r="C94" s="209"/>
      <c r="D94" s="314"/>
      <c r="E94" s="189"/>
      <c r="F94" s="229">
        <f t="shared" ref="F94:M94" si="103">(F95*F82)+(F96*F79)</f>
        <v>0</v>
      </c>
      <c r="G94" s="229">
        <f t="shared" si="103"/>
        <v>0</v>
      </c>
      <c r="H94" s="229">
        <f t="shared" si="103"/>
        <v>0</v>
      </c>
      <c r="I94" s="229">
        <f t="shared" si="103"/>
        <v>0</v>
      </c>
      <c r="J94" s="229">
        <f t="shared" si="103"/>
        <v>1894.2302649704036</v>
      </c>
      <c r="K94" s="229">
        <f t="shared" si="103"/>
        <v>2264.6413576997338</v>
      </c>
      <c r="L94" s="229">
        <f t="shared" si="103"/>
        <v>2318.6880190203838</v>
      </c>
      <c r="M94" s="229">
        <f t="shared" si="103"/>
        <v>2033.240003818049</v>
      </c>
      <c r="N94" s="229">
        <f>(N95*N82)+(N96*N79)</f>
        <v>1732.1100625109893</v>
      </c>
      <c r="O94" s="229">
        <f>(O95*O82)+(O96*O79)</f>
        <v>1415.5690393916457</v>
      </c>
      <c r="P94" s="514">
        <f>(P95*P82)+(P96*P79)</f>
        <v>1083.8669599797497</v>
      </c>
      <c r="Q94" s="514">
        <f t="shared" ref="Q94:Y94" si="104">(Q95*Q82)+(Q96*Q79)</f>
        <v>737.23388396828261</v>
      </c>
      <c r="R94" s="514">
        <f t="shared" si="104"/>
        <v>563.82107915951417</v>
      </c>
      <c r="S94" s="514">
        <f t="shared" si="104"/>
        <v>574.62714475866846</v>
      </c>
      <c r="T94" s="514">
        <f t="shared" si="104"/>
        <v>585.35006038593451</v>
      </c>
      <c r="U94" s="514">
        <f t="shared" si="104"/>
        <v>595.99606933482517</v>
      </c>
      <c r="V94" s="514">
        <f t="shared" si="104"/>
        <v>606.5712155644386</v>
      </c>
      <c r="W94" s="514">
        <f t="shared" si="104"/>
        <v>617.08135139150636</v>
      </c>
      <c r="X94" s="514">
        <f t="shared" si="104"/>
        <v>627.53214490100208</v>
      </c>
      <c r="Y94" s="514">
        <f t="shared" si="104"/>
        <v>637.92908708575635</v>
      </c>
    </row>
    <row r="95" spans="2:25" s="204" customFormat="1">
      <c r="B95" s="227" t="s">
        <v>413</v>
      </c>
      <c r="C95" s="209"/>
      <c r="D95" s="314"/>
      <c r="E95" s="314"/>
      <c r="F95" s="228">
        <v>0</v>
      </c>
      <c r="G95" s="228">
        <v>0</v>
      </c>
      <c r="H95" s="228">
        <v>0</v>
      </c>
      <c r="I95" s="228">
        <v>0</v>
      </c>
      <c r="J95" s="228">
        <v>0.06</v>
      </c>
      <c r="K95" s="228">
        <v>7.0000000000000007E-2</v>
      </c>
      <c r="L95" s="228">
        <v>7.0000000000000007E-2</v>
      </c>
      <c r="M95" s="228">
        <v>0.06</v>
      </c>
      <c r="N95" s="228">
        <v>0.05</v>
      </c>
      <c r="O95" s="228">
        <v>0.04</v>
      </c>
      <c r="P95" s="515">
        <v>0.03</v>
      </c>
      <c r="Q95" s="515">
        <v>0.02</v>
      </c>
      <c r="R95" s="515">
        <v>1.4999999999999999E-2</v>
      </c>
      <c r="S95" s="515">
        <v>1.4999999999999999E-2</v>
      </c>
      <c r="T95" s="515">
        <v>1.4999999999999999E-2</v>
      </c>
      <c r="U95" s="515">
        <v>1.4999999999999999E-2</v>
      </c>
      <c r="V95" s="515">
        <v>1.4999999999999999E-2</v>
      </c>
      <c r="W95" s="515">
        <v>1.4999999999999999E-2</v>
      </c>
      <c r="X95" s="515">
        <v>1.4999999999999999E-2</v>
      </c>
      <c r="Y95" s="515">
        <v>1.4999999999999999E-2</v>
      </c>
    </row>
    <row r="96" spans="2:25" s="204" customFormat="1">
      <c r="B96" s="227" t="s">
        <v>414</v>
      </c>
      <c r="C96" s="209"/>
      <c r="D96" s="314"/>
      <c r="E96" s="314"/>
      <c r="F96" s="228">
        <v>0</v>
      </c>
      <c r="G96" s="228">
        <v>0</v>
      </c>
      <c r="H96" s="228">
        <v>0</v>
      </c>
      <c r="I96" s="228">
        <v>0</v>
      </c>
      <c r="J96" s="228">
        <v>0</v>
      </c>
      <c r="K96" s="228">
        <v>0</v>
      </c>
      <c r="L96" s="228">
        <v>0</v>
      </c>
      <c r="M96" s="228">
        <v>0</v>
      </c>
      <c r="N96" s="228">
        <v>0</v>
      </c>
      <c r="O96" s="228">
        <v>0</v>
      </c>
      <c r="P96" s="515">
        <v>0</v>
      </c>
      <c r="Q96" s="515">
        <v>0</v>
      </c>
      <c r="R96" s="515">
        <v>0</v>
      </c>
      <c r="S96" s="515">
        <v>0</v>
      </c>
      <c r="T96" s="515">
        <v>0</v>
      </c>
      <c r="U96" s="515">
        <v>0</v>
      </c>
      <c r="V96" s="515">
        <v>0</v>
      </c>
      <c r="W96" s="515">
        <v>0</v>
      </c>
      <c r="X96" s="515">
        <v>0</v>
      </c>
      <c r="Y96" s="515">
        <v>0</v>
      </c>
    </row>
    <row r="97" spans="2:25" s="204" customFormat="1">
      <c r="B97" s="227" t="s">
        <v>265</v>
      </c>
      <c r="C97" s="209"/>
      <c r="D97" s="314"/>
      <c r="E97" s="314"/>
      <c r="F97" s="228"/>
      <c r="G97" s="228"/>
      <c r="H97" s="228"/>
      <c r="I97" s="419"/>
      <c r="J97" s="421">
        <v>0</v>
      </c>
      <c r="K97" s="421">
        <v>0</v>
      </c>
      <c r="L97" s="421">
        <v>0</v>
      </c>
      <c r="M97" s="421">
        <v>0</v>
      </c>
      <c r="N97" s="421">
        <v>0</v>
      </c>
      <c r="O97" s="421">
        <v>0</v>
      </c>
      <c r="P97" s="799">
        <v>0</v>
      </c>
      <c r="Q97" s="799">
        <f>P97</f>
        <v>0</v>
      </c>
      <c r="R97" s="799">
        <f t="shared" ref="R97:Y97" si="105">Q97</f>
        <v>0</v>
      </c>
      <c r="S97" s="799">
        <f t="shared" si="105"/>
        <v>0</v>
      </c>
      <c r="T97" s="799">
        <f t="shared" si="105"/>
        <v>0</v>
      </c>
      <c r="U97" s="799">
        <f t="shared" si="105"/>
        <v>0</v>
      </c>
      <c r="V97" s="799">
        <f t="shared" si="105"/>
        <v>0</v>
      </c>
      <c r="W97" s="799">
        <f t="shared" si="105"/>
        <v>0</v>
      </c>
      <c r="X97" s="799">
        <f t="shared" si="105"/>
        <v>0</v>
      </c>
      <c r="Y97" s="799">
        <f t="shared" si="105"/>
        <v>0</v>
      </c>
    </row>
    <row r="98" spans="2:25" s="204" customFormat="1">
      <c r="B98" s="227" t="s">
        <v>266</v>
      </c>
      <c r="C98" s="209"/>
      <c r="D98" s="314"/>
      <c r="E98" s="314"/>
      <c r="F98" s="208">
        <f t="shared" ref="F98:M98" si="106">+F95+F97</f>
        <v>0</v>
      </c>
      <c r="G98" s="208">
        <f t="shared" si="106"/>
        <v>0</v>
      </c>
      <c r="H98" s="208">
        <f t="shared" si="106"/>
        <v>0</v>
      </c>
      <c r="I98" s="208">
        <f t="shared" si="106"/>
        <v>0</v>
      </c>
      <c r="J98" s="208">
        <f t="shared" si="106"/>
        <v>0.06</v>
      </c>
      <c r="K98" s="208">
        <f t="shared" si="106"/>
        <v>7.0000000000000007E-2</v>
      </c>
      <c r="L98" s="208">
        <f t="shared" si="106"/>
        <v>7.0000000000000007E-2</v>
      </c>
      <c r="M98" s="208">
        <f t="shared" si="106"/>
        <v>0.06</v>
      </c>
      <c r="N98" s="208">
        <f>+N95+N97</f>
        <v>0.05</v>
      </c>
      <c r="O98" s="208">
        <f>+O95+O97</f>
        <v>0.04</v>
      </c>
      <c r="P98" s="511">
        <f>+P95+P97</f>
        <v>0.03</v>
      </c>
      <c r="Q98" s="511">
        <f t="shared" ref="Q98:Y98" si="107">+Q95+Q97</f>
        <v>0.02</v>
      </c>
      <c r="R98" s="511">
        <f t="shared" si="107"/>
        <v>1.4999999999999999E-2</v>
      </c>
      <c r="S98" s="511">
        <f t="shared" si="107"/>
        <v>1.4999999999999999E-2</v>
      </c>
      <c r="T98" s="511">
        <f t="shared" si="107"/>
        <v>1.4999999999999999E-2</v>
      </c>
      <c r="U98" s="511">
        <f t="shared" si="107"/>
        <v>1.4999999999999999E-2</v>
      </c>
      <c r="V98" s="511">
        <f t="shared" si="107"/>
        <v>1.4999999999999999E-2</v>
      </c>
      <c r="W98" s="511">
        <f t="shared" si="107"/>
        <v>1.4999999999999999E-2</v>
      </c>
      <c r="X98" s="511">
        <f t="shared" si="107"/>
        <v>1.4999999999999999E-2</v>
      </c>
      <c r="Y98" s="511">
        <f t="shared" si="107"/>
        <v>1.4999999999999999E-2</v>
      </c>
    </row>
    <row r="99" spans="2:25" s="204" customFormat="1">
      <c r="B99" s="227"/>
      <c r="C99" s="209"/>
      <c r="D99" s="314"/>
      <c r="E99" s="314"/>
      <c r="F99" s="228"/>
      <c r="G99" s="228"/>
      <c r="H99" s="228"/>
      <c r="I99" s="228"/>
      <c r="J99" s="228"/>
      <c r="K99" s="228"/>
      <c r="L99" s="228"/>
      <c r="M99" s="228"/>
      <c r="N99" s="228"/>
      <c r="O99" s="228"/>
      <c r="P99" s="515"/>
      <c r="R99" s="207"/>
      <c r="S99" s="207"/>
      <c r="T99" s="207"/>
      <c r="U99" s="207"/>
      <c r="V99" s="207"/>
    </row>
    <row r="100" spans="2:25" s="204" customFormat="1">
      <c r="B100" s="225" t="s">
        <v>70</v>
      </c>
      <c r="C100" s="189"/>
      <c r="D100" s="189"/>
      <c r="E100" s="189"/>
      <c r="F100" s="189"/>
      <c r="G100" s="189">
        <f>G101*G91</f>
        <v>0</v>
      </c>
      <c r="H100" s="189">
        <f t="shared" ref="H100:M100" si="108">H101*H91</f>
        <v>0</v>
      </c>
      <c r="I100" s="189">
        <f t="shared" si="108"/>
        <v>0</v>
      </c>
      <c r="J100" s="189">
        <f t="shared" si="108"/>
        <v>0</v>
      </c>
      <c r="K100" s="189">
        <f t="shared" si="108"/>
        <v>189.42302649704038</v>
      </c>
      <c r="L100" s="189">
        <f t="shared" si="108"/>
        <v>396.9448596173097</v>
      </c>
      <c r="M100" s="189">
        <f t="shared" si="108"/>
        <v>589.11917555761715</v>
      </c>
      <c r="N100" s="189">
        <f>N101*N91</f>
        <v>733.53125838366032</v>
      </c>
      <c r="O100" s="189">
        <f>O101*O91</f>
        <v>833.38913879639313</v>
      </c>
      <c r="P100" s="390">
        <f>P101*P91</f>
        <v>891.60712885591863</v>
      </c>
      <c r="Q100" s="390">
        <f t="shared" ref="Q100:Y100" si="109">Q101*Q91</f>
        <v>910.83311196830186</v>
      </c>
      <c r="R100" s="390">
        <f t="shared" si="109"/>
        <v>893.4731891683</v>
      </c>
      <c r="S100" s="390">
        <f t="shared" si="109"/>
        <v>860.50797816742124</v>
      </c>
      <c r="T100" s="390">
        <f t="shared" si="109"/>
        <v>831.91989482654594</v>
      </c>
      <c r="U100" s="390">
        <f t="shared" si="109"/>
        <v>807.26291138248473</v>
      </c>
      <c r="V100" s="390">
        <f t="shared" si="109"/>
        <v>786.13622717771887</v>
      </c>
      <c r="W100" s="390">
        <f t="shared" si="109"/>
        <v>768.17972601639076</v>
      </c>
      <c r="X100" s="390">
        <f t="shared" si="109"/>
        <v>753.06988855390227</v>
      </c>
      <c r="Y100" s="390">
        <f t="shared" si="109"/>
        <v>740.51611418861239</v>
      </c>
    </row>
    <row r="101" spans="2:25" s="204" customFormat="1">
      <c r="B101" s="226" t="s">
        <v>257</v>
      </c>
      <c r="C101" s="189"/>
      <c r="D101" s="314"/>
      <c r="E101" s="314"/>
      <c r="F101" s="314"/>
      <c r="G101" s="420">
        <f>+G43</f>
        <v>0.1</v>
      </c>
      <c r="H101" s="414">
        <f t="shared" ref="H101:M101" si="110">G101</f>
        <v>0.1</v>
      </c>
      <c r="I101" s="414">
        <f t="shared" si="110"/>
        <v>0.1</v>
      </c>
      <c r="J101" s="414">
        <f t="shared" si="110"/>
        <v>0.1</v>
      </c>
      <c r="K101" s="414">
        <f t="shared" si="110"/>
        <v>0.1</v>
      </c>
      <c r="L101" s="414">
        <f t="shared" si="110"/>
        <v>0.1</v>
      </c>
      <c r="M101" s="414">
        <f t="shared" si="110"/>
        <v>0.1</v>
      </c>
      <c r="N101" s="414">
        <f>M101</f>
        <v>0.1</v>
      </c>
      <c r="O101" s="414">
        <f>N101</f>
        <v>0.1</v>
      </c>
      <c r="P101" s="800">
        <f>O101</f>
        <v>0.1</v>
      </c>
      <c r="Q101" s="800">
        <f t="shared" ref="Q101:Y101" si="111">P101</f>
        <v>0.1</v>
      </c>
      <c r="R101" s="800">
        <f t="shared" si="111"/>
        <v>0.1</v>
      </c>
      <c r="S101" s="800">
        <f t="shared" si="111"/>
        <v>0.1</v>
      </c>
      <c r="T101" s="800">
        <f t="shared" si="111"/>
        <v>0.1</v>
      </c>
      <c r="U101" s="800">
        <f t="shared" si="111"/>
        <v>0.1</v>
      </c>
      <c r="V101" s="800">
        <f t="shared" si="111"/>
        <v>0.1</v>
      </c>
      <c r="W101" s="800">
        <f t="shared" si="111"/>
        <v>0.1</v>
      </c>
      <c r="X101" s="800">
        <f t="shared" si="111"/>
        <v>0.1</v>
      </c>
      <c r="Y101" s="800">
        <f t="shared" si="111"/>
        <v>0.1</v>
      </c>
    </row>
    <row r="102" spans="2:25" s="204" customFormat="1">
      <c r="B102" s="226"/>
      <c r="C102" s="189"/>
      <c r="D102" s="314"/>
      <c r="E102" s="314"/>
      <c r="F102" s="314"/>
      <c r="G102" s="220"/>
      <c r="H102" s="232"/>
      <c r="I102" s="232"/>
      <c r="J102" s="232"/>
      <c r="K102" s="232"/>
      <c r="L102" s="232"/>
      <c r="M102" s="232"/>
      <c r="N102" s="232"/>
      <c r="O102" s="232"/>
      <c r="P102" s="518"/>
      <c r="R102" s="207"/>
      <c r="S102" s="207"/>
      <c r="T102" s="207"/>
      <c r="U102" s="207"/>
      <c r="V102" s="207"/>
    </row>
    <row r="103" spans="2:25" s="204" customFormat="1">
      <c r="B103" s="388" t="s">
        <v>105</v>
      </c>
      <c r="C103" s="378"/>
      <c r="D103" s="379"/>
      <c r="E103" s="380"/>
      <c r="F103" s="380">
        <f>SUM(F91,F94,-F100)</f>
        <v>0</v>
      </c>
      <c r="G103" s="380">
        <f t="shared" ref="G103:M103" si="112">SUM(G91,G94,-G100)</f>
        <v>0</v>
      </c>
      <c r="H103" s="380">
        <f t="shared" si="112"/>
        <v>0</v>
      </c>
      <c r="I103" s="380">
        <f t="shared" si="112"/>
        <v>0</v>
      </c>
      <c r="J103" s="380">
        <f t="shared" si="112"/>
        <v>1894.2302649704036</v>
      </c>
      <c r="K103" s="380">
        <f t="shared" si="112"/>
        <v>3969.448596173097</v>
      </c>
      <c r="L103" s="380">
        <f t="shared" si="112"/>
        <v>5891.1917555761711</v>
      </c>
      <c r="M103" s="380">
        <f t="shared" si="112"/>
        <v>7335.3125838366022</v>
      </c>
      <c r="N103" s="380">
        <f>SUM(N91,N94,-N100)</f>
        <v>8333.8913879639313</v>
      </c>
      <c r="O103" s="380">
        <f>SUM(O91,O94,-O100)</f>
        <v>8916.0712885591856</v>
      </c>
      <c r="P103" s="380">
        <f>SUM(P91,P94,-P100)</f>
        <v>9108.3311196830182</v>
      </c>
      <c r="Q103" s="380">
        <f t="shared" ref="Q103:Y103" si="113">SUM(Q91,Q94,-Q100)</f>
        <v>8934.731891682999</v>
      </c>
      <c r="R103" s="380">
        <f t="shared" si="113"/>
        <v>8605.0797816742124</v>
      </c>
      <c r="S103" s="380">
        <f t="shared" si="113"/>
        <v>8319.198948265459</v>
      </c>
      <c r="T103" s="380">
        <f t="shared" si="113"/>
        <v>8072.6291138248471</v>
      </c>
      <c r="U103" s="380">
        <f t="shared" si="113"/>
        <v>7861.3622717771877</v>
      </c>
      <c r="V103" s="380">
        <f t="shared" si="113"/>
        <v>7681.7972601639076</v>
      </c>
      <c r="W103" s="380">
        <f t="shared" si="113"/>
        <v>7530.6988855390227</v>
      </c>
      <c r="X103" s="380">
        <f t="shared" si="113"/>
        <v>7405.161141886123</v>
      </c>
      <c r="Y103" s="380">
        <f t="shared" si="113"/>
        <v>7302.5741147832669</v>
      </c>
    </row>
    <row r="104" spans="2:25" s="204" customFormat="1">
      <c r="B104" s="381" t="s">
        <v>83</v>
      </c>
      <c r="C104" s="382"/>
      <c r="D104" s="383"/>
      <c r="E104" s="383"/>
      <c r="F104" s="384">
        <f t="shared" ref="F104:M104" si="114">F103/F84</f>
        <v>0</v>
      </c>
      <c r="G104" s="384">
        <f t="shared" si="114"/>
        <v>0</v>
      </c>
      <c r="H104" s="384">
        <f t="shared" si="114"/>
        <v>0</v>
      </c>
      <c r="I104" s="384">
        <f t="shared" si="114"/>
        <v>0</v>
      </c>
      <c r="J104" s="384">
        <f t="shared" si="114"/>
        <v>0.06</v>
      </c>
      <c r="K104" s="384">
        <f t="shared" si="114"/>
        <v>0.12269554328653134</v>
      </c>
      <c r="L104" s="384">
        <f t="shared" si="114"/>
        <v>0.17785205232766019</v>
      </c>
      <c r="M104" s="384">
        <f t="shared" si="114"/>
        <v>0.2164617822803675</v>
      </c>
      <c r="N104" s="384">
        <f>N103/N84</f>
        <v>0.24057049168926753</v>
      </c>
      <c r="O104" s="384">
        <f>O103/O84</f>
        <v>0.25194309964255657</v>
      </c>
      <c r="P104" s="384">
        <f>P103/P84</f>
        <v>0.252106525689828</v>
      </c>
      <c r="Q104" s="384">
        <f t="shared" ref="Q104:Y104" si="115">Q103/Q84</f>
        <v>0.24238527517455752</v>
      </c>
      <c r="R104" s="384">
        <f t="shared" si="115"/>
        <v>0.22893112992073045</v>
      </c>
      <c r="S104" s="384">
        <f t="shared" si="115"/>
        <v>0.21716339954039285</v>
      </c>
      <c r="T104" s="384">
        <f t="shared" si="115"/>
        <v>0.2068667023413916</v>
      </c>
      <c r="U104" s="384">
        <f t="shared" si="115"/>
        <v>0.19785438217447571</v>
      </c>
      <c r="V104" s="384">
        <f t="shared" si="115"/>
        <v>0.18996443607241623</v>
      </c>
      <c r="W104" s="384">
        <f t="shared" si="115"/>
        <v>0.18305606388584206</v>
      </c>
      <c r="X104" s="384">
        <f t="shared" si="115"/>
        <v>0.17700673667611902</v>
      </c>
      <c r="Y104" s="384">
        <f t="shared" si="115"/>
        <v>0.17170969930553395</v>
      </c>
    </row>
    <row r="105" spans="2:25">
      <c r="B105" s="389"/>
      <c r="C105" s="396"/>
      <c r="D105" s="397"/>
      <c r="E105" s="397"/>
      <c r="F105" s="397"/>
      <c r="G105" s="397"/>
      <c r="H105" s="397"/>
      <c r="I105" s="397"/>
      <c r="J105" s="397"/>
      <c r="K105" s="397"/>
      <c r="L105" s="397"/>
      <c r="M105" s="397"/>
      <c r="N105" s="397"/>
      <c r="O105" s="397"/>
      <c r="P105" s="397"/>
    </row>
    <row r="106" spans="2:25">
      <c r="B106" s="90" t="s">
        <v>258</v>
      </c>
      <c r="F106" s="212">
        <v>1.5</v>
      </c>
      <c r="G106" s="212">
        <v>6</v>
      </c>
      <c r="H106" s="212">
        <v>6</v>
      </c>
      <c r="I106" s="212">
        <v>6</v>
      </c>
      <c r="J106" s="212">
        <v>7</v>
      </c>
      <c r="K106" s="212">
        <v>6</v>
      </c>
      <c r="L106" s="212">
        <v>6</v>
      </c>
      <c r="M106" s="212">
        <v>6</v>
      </c>
      <c r="N106" s="212">
        <v>6</v>
      </c>
      <c r="O106" s="212">
        <v>6</v>
      </c>
      <c r="P106" s="801">
        <v>6</v>
      </c>
      <c r="Q106" s="801">
        <f>P106</f>
        <v>6</v>
      </c>
      <c r="R106" s="801">
        <f t="shared" ref="R106:Y106" si="116">Q106</f>
        <v>6</v>
      </c>
      <c r="S106" s="801">
        <f t="shared" si="116"/>
        <v>6</v>
      </c>
      <c r="T106" s="801">
        <f t="shared" si="116"/>
        <v>6</v>
      </c>
      <c r="U106" s="801">
        <f t="shared" si="116"/>
        <v>6</v>
      </c>
      <c r="V106" s="801">
        <f t="shared" si="116"/>
        <v>6</v>
      </c>
      <c r="W106" s="801">
        <f t="shared" si="116"/>
        <v>6</v>
      </c>
      <c r="X106" s="801">
        <f t="shared" si="116"/>
        <v>6</v>
      </c>
      <c r="Y106" s="801">
        <f t="shared" si="116"/>
        <v>6</v>
      </c>
    </row>
    <row r="107" spans="2:25">
      <c r="B107" s="90" t="s">
        <v>259</v>
      </c>
      <c r="F107" s="212">
        <v>1.5</v>
      </c>
      <c r="G107" s="212">
        <v>11</v>
      </c>
      <c r="H107" s="212">
        <v>11</v>
      </c>
      <c r="I107" s="212">
        <v>11</v>
      </c>
      <c r="J107" s="212">
        <v>11</v>
      </c>
      <c r="K107" s="212">
        <v>11</v>
      </c>
      <c r="L107" s="212">
        <v>11</v>
      </c>
      <c r="M107" s="212">
        <v>11</v>
      </c>
      <c r="N107" s="212">
        <v>11</v>
      </c>
      <c r="O107" s="212">
        <v>11</v>
      </c>
      <c r="P107" s="801">
        <v>11</v>
      </c>
      <c r="Q107" s="801">
        <f>P107</f>
        <v>11</v>
      </c>
      <c r="R107" s="801">
        <f t="shared" ref="R107:Y107" si="117">Q107</f>
        <v>11</v>
      </c>
      <c r="S107" s="801">
        <f t="shared" si="117"/>
        <v>11</v>
      </c>
      <c r="T107" s="801">
        <f t="shared" si="117"/>
        <v>11</v>
      </c>
      <c r="U107" s="801">
        <f t="shared" si="117"/>
        <v>11</v>
      </c>
      <c r="V107" s="801">
        <f t="shared" si="117"/>
        <v>11</v>
      </c>
      <c r="W107" s="801">
        <f t="shared" si="117"/>
        <v>11</v>
      </c>
      <c r="X107" s="801">
        <f t="shared" si="117"/>
        <v>11</v>
      </c>
      <c r="Y107" s="801">
        <f t="shared" si="117"/>
        <v>11</v>
      </c>
    </row>
    <row r="108" spans="2:25">
      <c r="F108" s="212"/>
      <c r="G108" s="212"/>
      <c r="H108" s="212"/>
      <c r="I108" s="212"/>
      <c r="J108" s="212"/>
      <c r="K108" s="212"/>
      <c r="L108" s="212"/>
      <c r="M108" s="212"/>
      <c r="N108" s="212"/>
      <c r="O108" s="212"/>
      <c r="P108" s="801"/>
    </row>
    <row r="109" spans="2:25">
      <c r="B109" s="203" t="s">
        <v>62</v>
      </c>
      <c r="C109" s="217"/>
      <c r="D109" s="217"/>
      <c r="E109" s="217"/>
      <c r="F109" s="217"/>
      <c r="G109" s="217">
        <f>+'Jakafi - MF'!F84</f>
        <v>4416.666666666667</v>
      </c>
      <c r="H109" s="217">
        <f>+'Jakafi - MF'!G84</f>
        <v>4416.666666666667</v>
      </c>
      <c r="I109" s="217">
        <f>+'Jakafi - MF'!H84</f>
        <v>4416.666666666667</v>
      </c>
      <c r="J109" s="217">
        <f>+'Jakafi - MF'!I84</f>
        <v>4416.666666666667</v>
      </c>
      <c r="K109" s="217">
        <f>+'Jakafi - MF'!J84</f>
        <v>4416.666666666667</v>
      </c>
      <c r="L109" s="217">
        <f>+'Jakafi - MF'!K84</f>
        <v>4416.666666666667</v>
      </c>
      <c r="M109" s="217">
        <f>+'Jakafi - MF'!L84</f>
        <v>4416.666666666667</v>
      </c>
      <c r="N109" s="217">
        <f>+'Jakafi - MF'!M84</f>
        <v>4416.666666666667</v>
      </c>
      <c r="O109" s="217">
        <f>+'Jakafi - MF'!N84</f>
        <v>4416.666666666667</v>
      </c>
      <c r="P109" s="476">
        <f>+'Jakafi - MF'!O84</f>
        <v>4416.666666666667</v>
      </c>
      <c r="Q109" s="476">
        <f>+'Jakafi - MF'!P84</f>
        <v>4416.666666666667</v>
      </c>
      <c r="R109" s="476">
        <f>+'Jakafi - MF'!Q84</f>
        <v>4416.666666666667</v>
      </c>
      <c r="S109" s="476">
        <f>+'Jakafi - MF'!R84</f>
        <v>4416.666666666667</v>
      </c>
      <c r="T109" s="476">
        <f>+'Jakafi - MF'!S84</f>
        <v>4416.666666666667</v>
      </c>
      <c r="U109" s="476">
        <f>+'Jakafi - MF'!T84</f>
        <v>4416.666666666667</v>
      </c>
      <c r="V109" s="476">
        <f>+'Jakafi - MF'!U84</f>
        <v>4416.666666666667</v>
      </c>
      <c r="W109" s="476">
        <f>+'Jakafi - MF'!V84</f>
        <v>4416.666666666667</v>
      </c>
      <c r="X109" s="476">
        <f>+'Jakafi - MF'!W84</f>
        <v>4416.666666666667</v>
      </c>
      <c r="Y109" s="476">
        <f>+'Jakafi - MF'!X84</f>
        <v>4416.666666666667</v>
      </c>
    </row>
    <row r="110" spans="2:25">
      <c r="B110" s="203" t="s">
        <v>61</v>
      </c>
      <c r="C110" s="217"/>
      <c r="D110" s="217"/>
      <c r="E110" s="217"/>
      <c r="F110" s="219"/>
      <c r="G110" s="231"/>
      <c r="H110" s="231">
        <f>H109/G109-1</f>
        <v>0</v>
      </c>
      <c r="I110" s="231">
        <f t="shared" ref="I110:Y110" si="118">I109/H109-1</f>
        <v>0</v>
      </c>
      <c r="J110" s="231">
        <f t="shared" si="118"/>
        <v>0</v>
      </c>
      <c r="K110" s="231">
        <f t="shared" si="118"/>
        <v>0</v>
      </c>
      <c r="L110" s="231">
        <f t="shared" si="118"/>
        <v>0</v>
      </c>
      <c r="M110" s="231">
        <f t="shared" si="118"/>
        <v>0</v>
      </c>
      <c r="N110" s="231">
        <f t="shared" si="118"/>
        <v>0</v>
      </c>
      <c r="O110" s="231">
        <f t="shared" si="118"/>
        <v>0</v>
      </c>
      <c r="P110" s="231">
        <f t="shared" si="118"/>
        <v>0</v>
      </c>
      <c r="Q110" s="231">
        <f t="shared" si="118"/>
        <v>0</v>
      </c>
      <c r="R110" s="231">
        <f t="shared" si="118"/>
        <v>0</v>
      </c>
      <c r="S110" s="231">
        <f t="shared" si="118"/>
        <v>0</v>
      </c>
      <c r="T110" s="231">
        <f t="shared" si="118"/>
        <v>0</v>
      </c>
      <c r="U110" s="231">
        <f t="shared" si="118"/>
        <v>0</v>
      </c>
      <c r="V110" s="231">
        <f t="shared" si="118"/>
        <v>0</v>
      </c>
      <c r="W110" s="231">
        <f t="shared" si="118"/>
        <v>0</v>
      </c>
      <c r="X110" s="231">
        <f t="shared" si="118"/>
        <v>0</v>
      </c>
      <c r="Y110" s="231">
        <f t="shared" si="118"/>
        <v>0</v>
      </c>
    </row>
    <row r="111" spans="2:25">
      <c r="B111" s="203"/>
      <c r="C111" s="217"/>
      <c r="D111" s="217"/>
      <c r="E111" s="217"/>
      <c r="F111" s="217"/>
      <c r="G111" s="217"/>
      <c r="H111" s="217"/>
      <c r="I111" s="217"/>
      <c r="J111" s="217"/>
      <c r="K111" s="217"/>
      <c r="L111" s="217"/>
      <c r="M111" s="217"/>
      <c r="N111" s="217"/>
      <c r="O111" s="217"/>
      <c r="P111" s="476"/>
    </row>
    <row r="112" spans="2:25">
      <c r="B112" s="90" t="s">
        <v>477</v>
      </c>
      <c r="E112" s="220">
        <v>0</v>
      </c>
      <c r="F112" s="220">
        <v>0</v>
      </c>
      <c r="G112" s="220">
        <v>0</v>
      </c>
      <c r="H112" s="220">
        <v>0</v>
      </c>
      <c r="I112" s="220">
        <v>0</v>
      </c>
      <c r="J112" s="220">
        <v>0</v>
      </c>
      <c r="K112" s="220">
        <v>0</v>
      </c>
      <c r="L112" s="220">
        <v>0</v>
      </c>
      <c r="M112" s="220">
        <v>0</v>
      </c>
      <c r="N112" s="220">
        <v>0</v>
      </c>
      <c r="O112" s="220">
        <v>0</v>
      </c>
      <c r="P112" s="220">
        <v>0</v>
      </c>
      <c r="Q112" s="220">
        <v>0</v>
      </c>
      <c r="R112" s="220">
        <v>0</v>
      </c>
      <c r="S112" s="220">
        <v>0</v>
      </c>
      <c r="T112" s="220">
        <v>0</v>
      </c>
      <c r="U112" s="220">
        <v>0.5</v>
      </c>
      <c r="V112" s="220">
        <v>0.99</v>
      </c>
      <c r="W112" s="220">
        <v>1</v>
      </c>
      <c r="X112" s="220">
        <v>1</v>
      </c>
      <c r="Y112" s="220">
        <v>1</v>
      </c>
    </row>
    <row r="113" spans="2:25">
      <c r="B113" s="203"/>
      <c r="C113" s="217"/>
      <c r="D113" s="217"/>
      <c r="E113" s="217"/>
      <c r="F113" s="217"/>
      <c r="G113" s="217"/>
      <c r="H113" s="217"/>
      <c r="I113" s="217"/>
      <c r="J113" s="217"/>
      <c r="K113" s="217"/>
      <c r="L113" s="217"/>
      <c r="M113" s="217"/>
      <c r="N113" s="217"/>
      <c r="O113" s="217"/>
      <c r="P113" s="476"/>
    </row>
    <row r="114" spans="2:25">
      <c r="B114" s="191" t="s">
        <v>279</v>
      </c>
      <c r="C114" s="192"/>
      <c r="D114" s="192"/>
      <c r="E114" s="192"/>
      <c r="F114" s="192">
        <f>+(((F94*F106*F109)+(F91*F107*F109)-(F100*0.5*F107*F109))/1000000)*(1-F112)</f>
        <v>0</v>
      </c>
      <c r="G114" s="192">
        <f t="shared" ref="G114:Y114" si="119">+(((G94*G106*G109)+(G91*G107*G109)-(G100*0.5*G107*G109))/1000000)*(1-G112)</f>
        <v>0</v>
      </c>
      <c r="H114" s="192">
        <f t="shared" si="119"/>
        <v>0</v>
      </c>
      <c r="I114" s="192">
        <f t="shared" si="119"/>
        <v>0</v>
      </c>
      <c r="J114" s="192">
        <f t="shared" si="119"/>
        <v>58.563285692001649</v>
      </c>
      <c r="K114" s="192">
        <f t="shared" si="119"/>
        <v>147.43961533353115</v>
      </c>
      <c r="L114" s="192">
        <f t="shared" si="119"/>
        <v>244.65182458657935</v>
      </c>
      <c r="M114" s="192">
        <f t="shared" si="119"/>
        <v>325.7839062533335</v>
      </c>
      <c r="N114" s="192">
        <f t="shared" si="119"/>
        <v>384.45615620303312</v>
      </c>
      <c r="O114" s="192">
        <f t="shared" si="119"/>
        <v>422.15639164586389</v>
      </c>
      <c r="P114" s="192">
        <f t="shared" si="119"/>
        <v>440.23631470350551</v>
      </c>
      <c r="Q114" s="192">
        <f t="shared" si="119"/>
        <v>439.92413047819616</v>
      </c>
      <c r="R114" s="192">
        <f t="shared" si="119"/>
        <v>427.31636344844617</v>
      </c>
      <c r="S114" s="192">
        <f t="shared" si="119"/>
        <v>412.3879057594599</v>
      </c>
      <c r="T114" s="192">
        <f t="shared" si="119"/>
        <v>399.47747139162936</v>
      </c>
      <c r="U114" s="192">
        <f t="shared" si="119"/>
        <v>194.18968269751525</v>
      </c>
      <c r="V114" s="192">
        <f t="shared" si="119"/>
        <v>3.7890876173110759</v>
      </c>
      <c r="W114" s="192">
        <f t="shared" si="119"/>
        <v>0</v>
      </c>
      <c r="X114" s="192">
        <f t="shared" si="119"/>
        <v>0</v>
      </c>
      <c r="Y114" s="192">
        <f t="shared" si="119"/>
        <v>0</v>
      </c>
    </row>
    <row r="115" spans="2:25" s="201" customFormat="1">
      <c r="B115" s="243"/>
      <c r="C115" s="244"/>
      <c r="D115" s="244"/>
      <c r="E115" s="244"/>
      <c r="F115" s="244"/>
      <c r="G115" s="244"/>
      <c r="H115" s="244"/>
      <c r="I115" s="244"/>
      <c r="J115" s="244"/>
      <c r="K115" s="244"/>
      <c r="L115" s="244"/>
      <c r="M115" s="244"/>
      <c r="N115" s="244"/>
      <c r="O115" s="244"/>
      <c r="P115" s="244"/>
      <c r="R115" s="202"/>
      <c r="S115" s="202"/>
      <c r="T115" s="202"/>
      <c r="U115" s="202"/>
      <c r="V115" s="202"/>
    </row>
    <row r="117" spans="2:25">
      <c r="B117" s="82"/>
      <c r="C117" s="194"/>
      <c r="D117" s="194"/>
      <c r="E117" s="194"/>
      <c r="F117" s="194"/>
      <c r="G117" s="194"/>
      <c r="H117" s="194"/>
      <c r="I117" s="194"/>
      <c r="J117" s="194"/>
      <c r="K117" s="194"/>
      <c r="L117" s="194"/>
      <c r="M117" s="194"/>
      <c r="N117" s="194"/>
      <c r="O117" s="194"/>
      <c r="P117" s="194"/>
    </row>
    <row r="118" spans="2:25">
      <c r="B118" s="82"/>
      <c r="C118" s="194"/>
      <c r="D118" s="194"/>
      <c r="E118" s="194"/>
      <c r="F118" s="194"/>
      <c r="G118" s="194"/>
      <c r="H118" s="194"/>
      <c r="I118" s="194"/>
      <c r="J118" s="194"/>
      <c r="K118" s="194"/>
      <c r="L118" s="194"/>
      <c r="M118" s="194"/>
      <c r="N118" s="194"/>
      <c r="O118" s="194"/>
      <c r="P118" s="194"/>
    </row>
    <row r="119" spans="2:25" s="201" customFormat="1">
      <c r="R119" s="245"/>
      <c r="S119" s="202"/>
      <c r="T119" s="202"/>
      <c r="U119" s="202"/>
      <c r="V119" s="202"/>
    </row>
    <row r="120" spans="2:25" s="201" customFormat="1">
      <c r="R120" s="245"/>
      <c r="S120" s="202"/>
      <c r="T120" s="202"/>
      <c r="U120" s="202"/>
      <c r="V120" s="202"/>
    </row>
    <row r="121" spans="2:25" s="201" customFormat="1">
      <c r="R121" s="245"/>
      <c r="S121" s="202"/>
      <c r="T121" s="202"/>
      <c r="U121" s="202"/>
      <c r="V121" s="202"/>
    </row>
    <row r="122" spans="2:25" s="201" customFormat="1">
      <c r="R122" s="245"/>
      <c r="S122" s="202"/>
      <c r="T122" s="202"/>
      <c r="U122" s="202"/>
      <c r="V122" s="202"/>
    </row>
    <row r="123" spans="2:25" s="201" customFormat="1">
      <c r="R123" s="245"/>
      <c r="S123" s="202"/>
      <c r="T123" s="202"/>
      <c r="U123" s="202"/>
      <c r="V123" s="202"/>
    </row>
    <row r="124" spans="2:25" s="201" customFormat="1">
      <c r="R124" s="245"/>
      <c r="S124" s="202"/>
      <c r="T124" s="202"/>
      <c r="U124" s="202"/>
      <c r="V124" s="202"/>
    </row>
    <row r="125" spans="2:25" s="201" customFormat="1">
      <c r="R125" s="245"/>
      <c r="S125" s="202"/>
      <c r="T125" s="202"/>
      <c r="U125" s="202"/>
      <c r="V125" s="202"/>
    </row>
    <row r="126" spans="2:25" s="201" customFormat="1">
      <c r="R126" s="245"/>
      <c r="S126" s="202"/>
      <c r="T126" s="202"/>
      <c r="U126" s="202"/>
      <c r="V126" s="202"/>
    </row>
    <row r="127" spans="2:25" s="201" customFormat="1">
      <c r="R127" s="245"/>
      <c r="S127" s="202"/>
      <c r="T127" s="202"/>
      <c r="U127" s="202"/>
      <c r="V127" s="202"/>
    </row>
    <row r="128" spans="2:25" s="201" customFormat="1">
      <c r="R128" s="245"/>
      <c r="S128" s="202"/>
      <c r="T128" s="202"/>
      <c r="U128" s="202"/>
      <c r="V128" s="202"/>
    </row>
    <row r="129" spans="17:22" s="201" customFormat="1">
      <c r="R129" s="245"/>
      <c r="S129" s="202"/>
      <c r="T129" s="202"/>
      <c r="U129" s="202"/>
      <c r="V129" s="202"/>
    </row>
    <row r="130" spans="17:22" s="201" customFormat="1">
      <c r="R130" s="245"/>
      <c r="S130" s="202"/>
      <c r="T130" s="202"/>
      <c r="U130" s="202"/>
      <c r="V130" s="202"/>
    </row>
    <row r="131" spans="17:22" s="201" customFormat="1">
      <c r="R131" s="245"/>
      <c r="S131" s="202"/>
      <c r="T131" s="202"/>
      <c r="U131" s="202"/>
      <c r="V131" s="202"/>
    </row>
    <row r="133" spans="17:22" s="201" customFormat="1">
      <c r="R133" s="202"/>
      <c r="S133" s="202"/>
      <c r="T133" s="202"/>
      <c r="U133" s="202"/>
      <c r="V133" s="202"/>
    </row>
    <row r="134" spans="17:22" s="201" customFormat="1">
      <c r="R134" s="202"/>
      <c r="S134" s="202"/>
      <c r="T134" s="202"/>
      <c r="U134" s="202"/>
      <c r="V134" s="202"/>
    </row>
    <row r="135" spans="17:22" s="201" customFormat="1">
      <c r="R135" s="202"/>
      <c r="S135" s="202"/>
      <c r="T135" s="202"/>
      <c r="U135" s="202"/>
      <c r="V135" s="202"/>
    </row>
    <row r="136" spans="17:22" s="201" customFormat="1">
      <c r="R136" s="202"/>
      <c r="S136" s="202"/>
      <c r="T136" s="202"/>
      <c r="U136" s="202"/>
      <c r="V136" s="202"/>
    </row>
    <row r="137" spans="17:22" s="201" customFormat="1">
      <c r="R137" s="202"/>
      <c r="S137" s="202"/>
      <c r="T137" s="202"/>
      <c r="U137" s="202"/>
      <c r="V137" s="202"/>
    </row>
    <row r="138" spans="17:22" s="251" customFormat="1">
      <c r="R138" s="252"/>
      <c r="S138" s="252"/>
      <c r="T138" s="252"/>
      <c r="U138" s="252"/>
      <c r="V138" s="252"/>
    </row>
    <row r="139" spans="17:22" s="201" customFormat="1">
      <c r="R139" s="245"/>
      <c r="S139" s="202"/>
      <c r="T139" s="202"/>
      <c r="U139" s="202"/>
      <c r="V139" s="202"/>
    </row>
    <row r="140" spans="17:22" s="201" customFormat="1">
      <c r="R140" s="245"/>
      <c r="S140" s="202"/>
      <c r="T140" s="202"/>
      <c r="U140" s="202"/>
      <c r="V140" s="202"/>
    </row>
    <row r="141" spans="17:22" s="201" customFormat="1">
      <c r="R141" s="245"/>
      <c r="S141" s="202"/>
      <c r="T141" s="202"/>
      <c r="U141" s="202"/>
      <c r="V141" s="202"/>
    </row>
    <row r="142" spans="17:22" s="201" customFormat="1">
      <c r="R142" s="245"/>
      <c r="S142" s="202"/>
      <c r="T142" s="202"/>
      <c r="U142" s="202"/>
      <c r="V142" s="202"/>
    </row>
    <row r="143" spans="17:22">
      <c r="Q143" s="197"/>
    </row>
    <row r="146" spans="6:16">
      <c r="F146" s="190"/>
      <c r="G146" s="190"/>
      <c r="H146" s="190"/>
      <c r="I146" s="190"/>
      <c r="J146" s="190"/>
      <c r="K146" s="190"/>
      <c r="L146" s="190"/>
      <c r="M146" s="190"/>
      <c r="N146" s="190"/>
      <c r="O146" s="190"/>
      <c r="P146" s="190"/>
    </row>
  </sheetData>
  <phoneticPr fontId="13"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IV181"/>
  <sheetViews>
    <sheetView showGridLines="0" zoomScale="85" zoomScaleNormal="85" workbookViewId="0"/>
  </sheetViews>
  <sheetFormatPr defaultRowHeight="15" outlineLevelRow="1" outlineLevelCol="1"/>
  <cols>
    <col min="1" max="1" width="5.140625" style="1228" customWidth="1"/>
    <col min="2" max="2" width="42.85546875" style="1229" customWidth="1"/>
    <col min="3" max="6" width="11.5703125" style="1229" hidden="1" customWidth="1" outlineLevel="1"/>
    <col min="7" max="7" width="11.28515625" style="1230" customWidth="1" collapsed="1"/>
    <col min="8" max="10" width="11.28515625" style="1230" customWidth="1"/>
    <col min="11" max="21" width="11.5703125" style="1230" bestFit="1" customWidth="1"/>
    <col min="22" max="22" width="11.42578125" style="1228" bestFit="1" customWidth="1"/>
    <col min="23" max="23" width="12.5703125" style="1228" bestFit="1" customWidth="1"/>
    <col min="24" max="16384" width="9.140625" style="1228"/>
  </cols>
  <sheetData>
    <row r="2" spans="1:21" ht="21">
      <c r="B2" s="1386" t="s">
        <v>634</v>
      </c>
      <c r="C2" s="1231"/>
      <c r="D2" s="1231"/>
      <c r="E2" s="1231"/>
      <c r="F2" s="1231"/>
      <c r="K2" s="1232"/>
    </row>
    <row r="3" spans="1:21" ht="11.25" customHeight="1" thickBot="1">
      <c r="B3" s="1231"/>
      <c r="C3" s="1231"/>
      <c r="D3" s="1231"/>
      <c r="E3" s="1231"/>
      <c r="F3" s="1231"/>
    </row>
    <row r="4" spans="1:21" ht="15.75" thickBot="1">
      <c r="B4" s="1169"/>
      <c r="C4" s="1170" t="s">
        <v>580</v>
      </c>
      <c r="D4" s="1170" t="s">
        <v>372</v>
      </c>
      <c r="E4" s="1170" t="s">
        <v>302</v>
      </c>
      <c r="F4" s="1170" t="s">
        <v>301</v>
      </c>
      <c r="G4" s="1170" t="s">
        <v>300</v>
      </c>
      <c r="H4" s="1170" t="s">
        <v>312</v>
      </c>
      <c r="I4" s="1170" t="s">
        <v>313</v>
      </c>
      <c r="J4" s="1170" t="s">
        <v>323</v>
      </c>
      <c r="K4" s="1170" t="s">
        <v>324</v>
      </c>
      <c r="L4" s="1170" t="s">
        <v>325</v>
      </c>
      <c r="M4" s="1170" t="s">
        <v>392</v>
      </c>
      <c r="N4" s="1170" t="s">
        <v>393</v>
      </c>
      <c r="O4" s="1170" t="s">
        <v>394</v>
      </c>
      <c r="P4" s="1170" t="s">
        <v>395</v>
      </c>
      <c r="Q4" s="1170" t="s">
        <v>396</v>
      </c>
      <c r="R4" s="1170" t="s">
        <v>397</v>
      </c>
      <c r="S4" s="1170" t="s">
        <v>398</v>
      </c>
      <c r="T4" s="1170" t="s">
        <v>399</v>
      </c>
      <c r="U4" s="1171" t="s">
        <v>400</v>
      </c>
    </row>
    <row r="5" spans="1:21">
      <c r="B5" s="1233" t="s">
        <v>635</v>
      </c>
      <c r="C5" s="1234"/>
      <c r="D5" s="1234"/>
      <c r="E5" s="1234"/>
      <c r="F5" s="1234"/>
      <c r="G5" s="1235"/>
      <c r="H5" s="1235"/>
      <c r="I5" s="1235"/>
      <c r="J5" s="1235"/>
      <c r="K5" s="1235"/>
      <c r="L5" s="1235"/>
      <c r="M5" s="1235"/>
      <c r="N5" s="1235"/>
      <c r="O5" s="1235"/>
      <c r="P5" s="1235"/>
      <c r="Q5" s="1235"/>
      <c r="R5" s="1235"/>
      <c r="S5" s="1235"/>
      <c r="T5" s="1235"/>
      <c r="U5" s="1236"/>
    </row>
    <row r="6" spans="1:21">
      <c r="A6" s="1237"/>
      <c r="B6" s="1238" t="s">
        <v>636</v>
      </c>
      <c r="C6" s="1239"/>
      <c r="D6" s="1239"/>
      <c r="E6" s="1239"/>
      <c r="F6" s="1239"/>
      <c r="G6" s="1240"/>
      <c r="H6" s="1240"/>
      <c r="I6" s="1240">
        <f t="shared" ref="I6:U6" si="0">I50</f>
        <v>0</v>
      </c>
      <c r="J6" s="1240">
        <f t="shared" si="0"/>
        <v>17.271946329248195</v>
      </c>
      <c r="K6" s="1240">
        <f t="shared" si="0"/>
        <v>125.92505065965381</v>
      </c>
      <c r="L6" s="1240">
        <f t="shared" si="0"/>
        <v>257.0638573546014</v>
      </c>
      <c r="M6" s="1240">
        <f t="shared" si="0"/>
        <v>367.33976669694948</v>
      </c>
      <c r="N6" s="1240">
        <f t="shared" si="0"/>
        <v>437.43509746825015</v>
      </c>
      <c r="O6" s="1240">
        <f t="shared" si="0"/>
        <v>510.27520126758259</v>
      </c>
      <c r="P6" s="1240">
        <f t="shared" si="0"/>
        <v>625.00659334942634</v>
      </c>
      <c r="Q6" s="1240">
        <f t="shared" si="0"/>
        <v>664.5264257919697</v>
      </c>
      <c r="R6" s="1240">
        <f t="shared" si="0"/>
        <v>705.41466710006057</v>
      </c>
      <c r="S6" s="1240">
        <f t="shared" si="0"/>
        <v>747.71103755336151</v>
      </c>
      <c r="T6" s="1240">
        <f t="shared" si="0"/>
        <v>777.32316705127766</v>
      </c>
      <c r="U6" s="1241">
        <f t="shared" si="0"/>
        <v>793.41517309914889</v>
      </c>
    </row>
    <row r="7" spans="1:21">
      <c r="A7" s="1237"/>
      <c r="B7" s="1242" t="s">
        <v>637</v>
      </c>
      <c r="C7" s="1243"/>
      <c r="D7" s="1243"/>
      <c r="E7" s="1243"/>
      <c r="F7" s="1243"/>
      <c r="G7" s="1244"/>
      <c r="H7" s="1244"/>
      <c r="I7" s="1244">
        <f>I88</f>
        <v>0</v>
      </c>
      <c r="J7" s="1244">
        <f>J88</f>
        <v>0</v>
      </c>
      <c r="K7" s="1244">
        <f>K92</f>
        <v>281.04485499371179</v>
      </c>
      <c r="L7" s="1244">
        <f t="shared" ref="L7:U7" si="1">L92</f>
        <v>1072.989219732221</v>
      </c>
      <c r="M7" s="1244">
        <f t="shared" si="1"/>
        <v>2039.1566156382942</v>
      </c>
      <c r="N7" s="1244">
        <f t="shared" si="1"/>
        <v>2768.0744773792826</v>
      </c>
      <c r="O7" s="1244">
        <f t="shared" si="1"/>
        <v>3271.0829124237171</v>
      </c>
      <c r="P7" s="1244">
        <f t="shared" si="1"/>
        <v>3560.831736709069</v>
      </c>
      <c r="Q7" s="1244">
        <f t="shared" si="1"/>
        <v>3729.5904229803891</v>
      </c>
      <c r="R7" s="1244">
        <f t="shared" si="1"/>
        <v>3929.8436359610814</v>
      </c>
      <c r="S7" s="1244">
        <f t="shared" si="1"/>
        <v>4055.0224785906848</v>
      </c>
      <c r="T7" s="1244">
        <f t="shared" si="1"/>
        <v>4128.3995091786919</v>
      </c>
      <c r="U7" s="1245">
        <f t="shared" si="1"/>
        <v>1120.8278193193721</v>
      </c>
    </row>
    <row r="8" spans="1:21" hidden="1" outlineLevel="1">
      <c r="A8" s="1237"/>
      <c r="B8" s="1545" t="s">
        <v>851</v>
      </c>
      <c r="C8" s="1243"/>
      <c r="D8" s="1243"/>
      <c r="E8" s="1243"/>
      <c r="F8" s="1243"/>
      <c r="G8" s="1244"/>
      <c r="H8" s="1244"/>
      <c r="I8" s="1244"/>
      <c r="J8" s="1244"/>
      <c r="K8" s="1244">
        <f>K88</f>
        <v>70.261213748427949</v>
      </c>
      <c r="L8" s="1244">
        <f t="shared" ref="L8:T8" si="2">L88</f>
        <v>357.6630732440737</v>
      </c>
      <c r="M8" s="1244">
        <f t="shared" si="2"/>
        <v>728.27021987081946</v>
      </c>
      <c r="N8" s="1244">
        <f t="shared" si="2"/>
        <v>988.59802763545815</v>
      </c>
      <c r="O8" s="1244">
        <f t="shared" si="2"/>
        <v>1157.4601074730076</v>
      </c>
      <c r="P8" s="1244">
        <f t="shared" si="2"/>
        <v>1332.1097144523137</v>
      </c>
      <c r="Q8" s="1244">
        <f t="shared" si="2"/>
        <v>1460.5389069014116</v>
      </c>
      <c r="R8" s="1244">
        <f t="shared" si="2"/>
        <v>1540.0738573360993</v>
      </c>
      <c r="S8" s="1244">
        <f t="shared" si="2"/>
        <v>1622.0089914362741</v>
      </c>
      <c r="T8" s="1244">
        <f t="shared" si="2"/>
        <v>1651.3598036714768</v>
      </c>
      <c r="U8" s="1245">
        <f t="shared" ref="U8" si="3">U88</f>
        <v>280.20695482984303</v>
      </c>
    </row>
    <row r="9" spans="1:21" hidden="1" outlineLevel="1">
      <c r="A9" s="1237"/>
      <c r="B9" s="1545" t="s">
        <v>852</v>
      </c>
      <c r="C9" s="1243"/>
      <c r="D9" s="1243"/>
      <c r="E9" s="1243"/>
      <c r="F9" s="1243"/>
      <c r="G9" s="1244"/>
      <c r="H9" s="1244"/>
      <c r="I9" s="1244"/>
      <c r="J9" s="1244"/>
      <c r="K9" s="1244">
        <f>K90</f>
        <v>210.78364124528383</v>
      </c>
      <c r="L9" s="1244">
        <f t="shared" ref="L9:T9" si="4">L90</f>
        <v>715.3261464881474</v>
      </c>
      <c r="M9" s="1244">
        <f t="shared" si="4"/>
        <v>1310.8863957674748</v>
      </c>
      <c r="N9" s="1244">
        <f t="shared" si="4"/>
        <v>1779.4764497438246</v>
      </c>
      <c r="O9" s="1244">
        <f t="shared" si="4"/>
        <v>2113.6228049507095</v>
      </c>
      <c r="P9" s="1244">
        <f t="shared" si="4"/>
        <v>2228.7220222567553</v>
      </c>
      <c r="Q9" s="1244">
        <f t="shared" si="4"/>
        <v>2269.0515160789778</v>
      </c>
      <c r="R9" s="1244">
        <f t="shared" si="4"/>
        <v>2389.7697786249819</v>
      </c>
      <c r="S9" s="1244">
        <f t="shared" si="4"/>
        <v>2433.013487154411</v>
      </c>
      <c r="T9" s="1244">
        <f t="shared" si="4"/>
        <v>2477.0397055072153</v>
      </c>
      <c r="U9" s="1245">
        <f t="shared" ref="U9" si="5">U90</f>
        <v>840.62086448952903</v>
      </c>
    </row>
    <row r="10" spans="1:21" collapsed="1">
      <c r="A10" s="1237"/>
      <c r="B10" s="1242" t="s">
        <v>638</v>
      </c>
      <c r="C10" s="1243"/>
      <c r="D10" s="1243"/>
      <c r="E10" s="1243"/>
      <c r="F10" s="1243"/>
      <c r="G10" s="1244"/>
      <c r="H10" s="1244"/>
      <c r="I10" s="1244">
        <f t="shared" ref="I10:U10" si="6">I121</f>
        <v>0</v>
      </c>
      <c r="J10" s="1244">
        <f t="shared" si="6"/>
        <v>0</v>
      </c>
      <c r="K10" s="1244">
        <f t="shared" si="6"/>
        <v>27.365252414528307</v>
      </c>
      <c r="L10" s="1244">
        <f t="shared" si="6"/>
        <v>147.69780065742364</v>
      </c>
      <c r="M10" s="1244">
        <f t="shared" si="6"/>
        <v>269.04342032552461</v>
      </c>
      <c r="N10" s="1244">
        <f t="shared" si="6"/>
        <v>363.02535110487599</v>
      </c>
      <c r="O10" s="1244">
        <f t="shared" si="6"/>
        <v>459.22213057200651</v>
      </c>
      <c r="P10" s="1244">
        <f t="shared" si="6"/>
        <v>557.67335802485798</v>
      </c>
      <c r="Q10" s="1244">
        <f t="shared" si="6"/>
        <v>658.41926392262803</v>
      </c>
      <c r="R10" s="1244">
        <f t="shared" si="6"/>
        <v>690.11002689094653</v>
      </c>
      <c r="S10" s="1244">
        <f t="shared" si="6"/>
        <v>722.46603790392101</v>
      </c>
      <c r="T10" s="1244">
        <f t="shared" si="6"/>
        <v>731.12776765016054</v>
      </c>
      <c r="U10" s="1245">
        <f t="shared" si="6"/>
        <v>123.3155573144038</v>
      </c>
    </row>
    <row r="11" spans="1:21">
      <c r="A11" s="1237"/>
      <c r="B11" s="1242" t="s">
        <v>807</v>
      </c>
      <c r="C11" s="1243"/>
      <c r="D11" s="1243"/>
      <c r="E11" s="1243"/>
      <c r="F11" s="1243"/>
      <c r="G11" s="1244"/>
      <c r="H11" s="1244"/>
      <c r="I11" s="1244">
        <f>I152</f>
        <v>0</v>
      </c>
      <c r="J11" s="1244">
        <f t="shared" ref="J11:T11" si="7">J152</f>
        <v>0</v>
      </c>
      <c r="K11" s="1244">
        <f t="shared" si="7"/>
        <v>29.512057540950067</v>
      </c>
      <c r="L11" s="1244">
        <f t="shared" si="7"/>
        <v>162.15104895299606</v>
      </c>
      <c r="M11" s="1244">
        <f t="shared" si="7"/>
        <v>300.68641913647775</v>
      </c>
      <c r="N11" s="1244">
        <f t="shared" si="7"/>
        <v>481.86000954684346</v>
      </c>
      <c r="O11" s="1244">
        <f t="shared" si="7"/>
        <v>620.51522729394765</v>
      </c>
      <c r="P11" s="1244">
        <f t="shared" si="7"/>
        <v>767.10574458987003</v>
      </c>
      <c r="Q11" s="1244">
        <f t="shared" si="7"/>
        <v>921.98439442256472</v>
      </c>
      <c r="R11" s="1244">
        <f t="shared" si="7"/>
        <v>983.75076324605902</v>
      </c>
      <c r="S11" s="1244">
        <f t="shared" si="7"/>
        <v>1048.4069340994038</v>
      </c>
      <c r="T11" s="1244">
        <f t="shared" si="7"/>
        <v>1080.0688235092057</v>
      </c>
      <c r="U11" s="1245">
        <f t="shared" ref="U11" si="8">U152</f>
        <v>185.44781699653069</v>
      </c>
    </row>
    <row r="12" spans="1:21">
      <c r="A12" s="1237"/>
      <c r="B12" s="1242" t="s">
        <v>808</v>
      </c>
      <c r="C12" s="1243"/>
      <c r="D12" s="1243"/>
      <c r="E12" s="1243"/>
      <c r="F12" s="1243"/>
      <c r="G12" s="1244"/>
      <c r="H12" s="1244"/>
      <c r="I12" s="1244">
        <f>I180</f>
        <v>0</v>
      </c>
      <c r="J12" s="1244">
        <f t="shared" ref="J12:T12" si="9">J180</f>
        <v>0</v>
      </c>
      <c r="K12" s="1244">
        <f t="shared" si="9"/>
        <v>60.734693969328511</v>
      </c>
      <c r="L12" s="1244">
        <f t="shared" si="9"/>
        <v>210.62791868563124</v>
      </c>
      <c r="M12" s="1244">
        <f t="shared" si="9"/>
        <v>350.61965856084925</v>
      </c>
      <c r="N12" s="1244">
        <f t="shared" si="9"/>
        <v>455.98086595838441</v>
      </c>
      <c r="O12" s="1244">
        <f t="shared" si="9"/>
        <v>569.28299153172372</v>
      </c>
      <c r="P12" s="1244">
        <f t="shared" si="9"/>
        <v>690.99569512120638</v>
      </c>
      <c r="Q12" s="1244">
        <f t="shared" si="9"/>
        <v>770.26277271868173</v>
      </c>
      <c r="R12" s="1244">
        <f t="shared" si="9"/>
        <v>854.80681465228452</v>
      </c>
      <c r="S12" s="1244">
        <f t="shared" si="9"/>
        <v>944.92482308700153</v>
      </c>
      <c r="T12" s="1244">
        <f t="shared" si="9"/>
        <v>1040.9291851126409</v>
      </c>
      <c r="U12" s="1245">
        <f t="shared" ref="U12" si="10">U180</f>
        <v>300.82853449755316</v>
      </c>
    </row>
    <row r="13" spans="1:21">
      <c r="A13" s="1237"/>
      <c r="B13" s="1242" t="s">
        <v>639</v>
      </c>
      <c r="C13" s="1243"/>
      <c r="D13" s="1243"/>
      <c r="E13" s="1243"/>
      <c r="F13" s="1243"/>
      <c r="G13" s="1244"/>
      <c r="H13" s="1244"/>
      <c r="I13" s="1244"/>
      <c r="J13" s="1244"/>
      <c r="K13" s="1244">
        <f t="shared" ref="K13:U13" si="11">(K6+K7+K10+K11+K12)*0.1</f>
        <v>52.458190957817251</v>
      </c>
      <c r="L13" s="1244">
        <f t="shared" si="11"/>
        <v>185.05298453828732</v>
      </c>
      <c r="M13" s="1244">
        <f t="shared" si="11"/>
        <v>332.6845880358095</v>
      </c>
      <c r="N13" s="1244">
        <f t="shared" si="11"/>
        <v>450.63758014576365</v>
      </c>
      <c r="O13" s="1244">
        <f t="shared" si="11"/>
        <v>543.03784630889777</v>
      </c>
      <c r="P13" s="1244">
        <f t="shared" si="11"/>
        <v>620.16131277944305</v>
      </c>
      <c r="Q13" s="1244">
        <f t="shared" si="11"/>
        <v>674.47832798362333</v>
      </c>
      <c r="R13" s="1244">
        <f t="shared" si="11"/>
        <v>716.39259078504335</v>
      </c>
      <c r="S13" s="1244">
        <f t="shared" si="11"/>
        <v>751.85313112343738</v>
      </c>
      <c r="T13" s="1244">
        <f t="shared" si="11"/>
        <v>775.78484525019769</v>
      </c>
      <c r="U13" s="1245">
        <f t="shared" si="11"/>
        <v>252.38349012270083</v>
      </c>
    </row>
    <row r="14" spans="1:21">
      <c r="B14" s="1246" t="s">
        <v>640</v>
      </c>
      <c r="C14" s="1247"/>
      <c r="D14" s="1247"/>
      <c r="E14" s="1247"/>
      <c r="F14" s="1247"/>
      <c r="G14" s="1248"/>
      <c r="H14" s="1248"/>
      <c r="I14" s="1248">
        <v>0</v>
      </c>
      <c r="J14" s="1248">
        <f>I14</f>
        <v>0</v>
      </c>
      <c r="K14" s="1248">
        <f t="shared" ref="K14:U14" si="12">J14</f>
        <v>0</v>
      </c>
      <c r="L14" s="1248">
        <f t="shared" si="12"/>
        <v>0</v>
      </c>
      <c r="M14" s="1248">
        <f t="shared" si="12"/>
        <v>0</v>
      </c>
      <c r="N14" s="1248">
        <f t="shared" si="12"/>
        <v>0</v>
      </c>
      <c r="O14" s="1248">
        <f t="shared" si="12"/>
        <v>0</v>
      </c>
      <c r="P14" s="1248">
        <f t="shared" si="12"/>
        <v>0</v>
      </c>
      <c r="Q14" s="1248">
        <f t="shared" si="12"/>
        <v>0</v>
      </c>
      <c r="R14" s="1248">
        <f t="shared" si="12"/>
        <v>0</v>
      </c>
      <c r="S14" s="1248">
        <f t="shared" si="12"/>
        <v>0</v>
      </c>
      <c r="T14" s="1248">
        <f t="shared" si="12"/>
        <v>0</v>
      </c>
      <c r="U14" s="1248">
        <f t="shared" si="12"/>
        <v>0</v>
      </c>
    </row>
    <row r="15" spans="1:21">
      <c r="B15" s="1250"/>
      <c r="C15" s="1251"/>
      <c r="D15" s="1251"/>
      <c r="E15" s="1251"/>
      <c r="F15" s="1251"/>
      <c r="G15" s="1252"/>
      <c r="H15" s="1252"/>
      <c r="I15" s="1252"/>
      <c r="J15" s="1252"/>
      <c r="K15" s="1252"/>
      <c r="L15" s="1252"/>
      <c r="M15" s="1252"/>
      <c r="N15" s="1252"/>
      <c r="O15" s="1252"/>
      <c r="P15" s="1252"/>
      <c r="Q15" s="1252"/>
      <c r="R15" s="1252"/>
      <c r="S15" s="1252"/>
      <c r="T15" s="1252"/>
      <c r="U15" s="1253"/>
    </row>
    <row r="16" spans="1:21">
      <c r="B16" s="1246" t="s">
        <v>641</v>
      </c>
      <c r="C16" s="1247"/>
      <c r="D16" s="1247"/>
      <c r="E16" s="1247"/>
      <c r="F16" s="1247"/>
      <c r="G16" s="1248"/>
      <c r="H16" s="1248"/>
      <c r="I16" s="1248"/>
      <c r="J16" s="1248">
        <f>I14*J17</f>
        <v>0</v>
      </c>
      <c r="K16" s="1500">
        <f t="shared" ref="K16:U16" si="13">J14*K17</f>
        <v>0</v>
      </c>
      <c r="L16" s="1248">
        <f t="shared" si="13"/>
        <v>0</v>
      </c>
      <c r="M16" s="1248">
        <f t="shared" si="13"/>
        <v>0</v>
      </c>
      <c r="N16" s="1248">
        <f t="shared" si="13"/>
        <v>0</v>
      </c>
      <c r="O16" s="1248">
        <f t="shared" si="13"/>
        <v>0</v>
      </c>
      <c r="P16" s="1248">
        <f t="shared" si="13"/>
        <v>0</v>
      </c>
      <c r="Q16" s="1248">
        <f t="shared" si="13"/>
        <v>0</v>
      </c>
      <c r="R16" s="1248">
        <f t="shared" si="13"/>
        <v>0</v>
      </c>
      <c r="S16" s="1248">
        <f t="shared" si="13"/>
        <v>0</v>
      </c>
      <c r="T16" s="1248">
        <f t="shared" si="13"/>
        <v>0</v>
      </c>
      <c r="U16" s="1249">
        <f t="shared" si="13"/>
        <v>0</v>
      </c>
    </row>
    <row r="17" spans="2:23">
      <c r="B17" s="1254" t="s">
        <v>369</v>
      </c>
      <c r="C17" s="1255"/>
      <c r="D17" s="1255"/>
      <c r="E17" s="1255"/>
      <c r="F17" s="1255"/>
      <c r="G17" s="1256"/>
      <c r="H17" s="1256"/>
      <c r="I17" s="1256"/>
      <c r="J17" s="1257">
        <v>0.3</v>
      </c>
      <c r="K17" s="1257">
        <f>J17+5%</f>
        <v>0.35</v>
      </c>
      <c r="L17" s="1257">
        <f>K17+5%</f>
        <v>0.39999999999999997</v>
      </c>
      <c r="M17" s="1257">
        <v>0.42</v>
      </c>
      <c r="N17" s="1257">
        <f>M17+5%</f>
        <v>0.47</v>
      </c>
      <c r="O17" s="1257">
        <v>0.52</v>
      </c>
      <c r="P17" s="1257">
        <v>0.55000000000000004</v>
      </c>
      <c r="Q17" s="1257">
        <v>0.56999999999999995</v>
      </c>
      <c r="R17" s="1257">
        <v>0.57999999999999996</v>
      </c>
      <c r="S17" s="1257">
        <v>0.59</v>
      </c>
      <c r="T17" s="1257">
        <v>0.3</v>
      </c>
      <c r="U17" s="1258">
        <v>0.1</v>
      </c>
    </row>
    <row r="18" spans="2:23">
      <c r="B18" s="1254"/>
      <c r="C18" s="1255"/>
      <c r="D18" s="1255"/>
      <c r="E18" s="1255"/>
      <c r="F18" s="1255"/>
      <c r="G18" s="1256"/>
      <c r="H18" s="1256"/>
      <c r="I18" s="1256"/>
      <c r="J18" s="1259"/>
      <c r="K18" s="1259"/>
      <c r="L18" s="1259"/>
      <c r="M18" s="1259"/>
      <c r="N18" s="1259"/>
      <c r="O18" s="1259"/>
      <c r="P18" s="1259"/>
      <c r="Q18" s="1259"/>
      <c r="R18" s="1259"/>
      <c r="S18" s="1259"/>
      <c r="T18" s="1259"/>
      <c r="U18" s="1260"/>
    </row>
    <row r="19" spans="2:23">
      <c r="B19" s="1246" t="s">
        <v>642</v>
      </c>
      <c r="C19" s="1247"/>
      <c r="D19" s="1247"/>
      <c r="E19" s="1247"/>
      <c r="F19" s="1247"/>
      <c r="G19" s="1248"/>
      <c r="H19" s="1248"/>
      <c r="I19" s="1248">
        <f>I14+I16</f>
        <v>0</v>
      </c>
      <c r="J19" s="1248">
        <f t="shared" ref="J19:U19" si="14">J14+J16</f>
        <v>0</v>
      </c>
      <c r="K19" s="1248">
        <f t="shared" si="14"/>
        <v>0</v>
      </c>
      <c r="L19" s="1248">
        <f t="shared" si="14"/>
        <v>0</v>
      </c>
      <c r="M19" s="1248">
        <f t="shared" si="14"/>
        <v>0</v>
      </c>
      <c r="N19" s="1248">
        <f t="shared" si="14"/>
        <v>0</v>
      </c>
      <c r="O19" s="1248">
        <f t="shared" si="14"/>
        <v>0</v>
      </c>
      <c r="P19" s="1248">
        <f t="shared" si="14"/>
        <v>0</v>
      </c>
      <c r="Q19" s="1248">
        <f t="shared" si="14"/>
        <v>0</v>
      </c>
      <c r="R19" s="1248">
        <f t="shared" si="14"/>
        <v>0</v>
      </c>
      <c r="S19" s="1248">
        <f t="shared" si="14"/>
        <v>0</v>
      </c>
      <c r="T19" s="1248">
        <f t="shared" si="14"/>
        <v>0</v>
      </c>
      <c r="U19" s="1249">
        <f t="shared" si="14"/>
        <v>0</v>
      </c>
    </row>
    <row r="20" spans="2:23" ht="15.75" thickBot="1">
      <c r="B20" s="1261"/>
      <c r="C20" s="1262"/>
      <c r="D20" s="1262"/>
      <c r="E20" s="1262"/>
      <c r="F20" s="1262"/>
      <c r="G20" s="1263"/>
      <c r="H20" s="1263"/>
      <c r="I20" s="1263"/>
      <c r="J20" s="1263"/>
      <c r="K20" s="1264"/>
      <c r="L20" s="1264"/>
      <c r="M20" s="1264"/>
      <c r="N20" s="1264"/>
      <c r="O20" s="1264"/>
      <c r="P20" s="1264"/>
      <c r="Q20" s="1264"/>
      <c r="R20" s="1264"/>
      <c r="S20" s="1264"/>
      <c r="T20" s="1264"/>
      <c r="U20" s="1265"/>
    </row>
    <row r="21" spans="2:23">
      <c r="B21" s="1228"/>
      <c r="C21" s="1228"/>
      <c r="D21" s="1228"/>
      <c r="E21" s="1228"/>
      <c r="F21" s="1228"/>
      <c r="G21" s="1228"/>
      <c r="H21" s="1228"/>
      <c r="I21" s="1228"/>
      <c r="J21" s="1228"/>
      <c r="K21" s="1228"/>
      <c r="L21" s="1228"/>
      <c r="M21" s="1228"/>
      <c r="N21" s="1228"/>
      <c r="O21" s="1228"/>
      <c r="P21" s="1228"/>
      <c r="Q21" s="1228"/>
      <c r="R21" s="1228"/>
      <c r="S21" s="1228"/>
      <c r="T21" s="1228"/>
      <c r="U21" s="1228"/>
    </row>
    <row r="22" spans="2:23" ht="15.75">
      <c r="B22" s="1266"/>
      <c r="C22" s="1266"/>
      <c r="D22" s="1266"/>
      <c r="E22" s="1266"/>
      <c r="F22" s="1266"/>
    </row>
    <row r="23" spans="2:23" s="1269" customFormat="1">
      <c r="B23" s="1267" t="s">
        <v>636</v>
      </c>
      <c r="C23" s="1268" t="s">
        <v>580</v>
      </c>
      <c r="D23" s="1268" t="s">
        <v>372</v>
      </c>
      <c r="E23" s="1268" t="s">
        <v>302</v>
      </c>
      <c r="F23" s="1268" t="s">
        <v>301</v>
      </c>
      <c r="G23" s="1268" t="s">
        <v>300</v>
      </c>
      <c r="H23" s="1268" t="s">
        <v>312</v>
      </c>
      <c r="I23" s="1268" t="s">
        <v>313</v>
      </c>
      <c r="J23" s="1268" t="s">
        <v>323</v>
      </c>
      <c r="K23" s="1268" t="s">
        <v>324</v>
      </c>
      <c r="L23" s="1268" t="s">
        <v>325</v>
      </c>
      <c r="M23" s="1268" t="s">
        <v>392</v>
      </c>
      <c r="N23" s="1268" t="s">
        <v>393</v>
      </c>
      <c r="O23" s="1268" t="s">
        <v>394</v>
      </c>
      <c r="P23" s="1268" t="s">
        <v>395</v>
      </c>
      <c r="Q23" s="1268" t="s">
        <v>396</v>
      </c>
      <c r="R23" s="1268" t="s">
        <v>397</v>
      </c>
      <c r="S23" s="1268" t="s">
        <v>398</v>
      </c>
      <c r="T23" s="1268" t="s">
        <v>399</v>
      </c>
      <c r="U23" s="1268" t="s">
        <v>400</v>
      </c>
    </row>
    <row r="24" spans="2:23" s="1269" customFormat="1" hidden="1">
      <c r="B24" s="1269" t="s">
        <v>643</v>
      </c>
      <c r="C24" s="1270">
        <v>996587</v>
      </c>
      <c r="D24" s="1271">
        <f>C29</f>
        <v>1063657</v>
      </c>
      <c r="E24" s="1271">
        <f>D29</f>
        <v>1130867</v>
      </c>
      <c r="F24" s="1271">
        <f>E29</f>
        <v>1197257</v>
      </c>
      <c r="G24" s="1271">
        <f>F29</f>
        <v>1261187</v>
      </c>
      <c r="H24" s="1271">
        <f>G29</f>
        <v>1062837</v>
      </c>
      <c r="I24" s="1271">
        <f t="shared" ref="I24:T24" si="15">H29</f>
        <v>1132662.3554277688</v>
      </c>
      <c r="J24" s="1271">
        <f t="shared" si="15"/>
        <v>1202077.405261483</v>
      </c>
      <c r="K24" s="1271">
        <f t="shared" si="15"/>
        <v>1271059.5819874266</v>
      </c>
      <c r="L24" s="1271">
        <f t="shared" si="15"/>
        <v>1339562.9143216165</v>
      </c>
      <c r="M24" s="1271">
        <f t="shared" si="15"/>
        <v>1407530.1659132417</v>
      </c>
      <c r="N24" s="1271">
        <f t="shared" si="15"/>
        <v>1474884.3887711868</v>
      </c>
      <c r="O24" s="1271">
        <f t="shared" si="15"/>
        <v>1541771.0146374172</v>
      </c>
      <c r="P24" s="1271">
        <f t="shared" si="15"/>
        <v>1608170.9651624197</v>
      </c>
      <c r="Q24" s="1271">
        <f t="shared" si="15"/>
        <v>1674067.5136918263</v>
      </c>
      <c r="R24" s="1271">
        <f t="shared" si="15"/>
        <v>1739452.6940150729</v>
      </c>
      <c r="S24" s="1271">
        <f t="shared" si="15"/>
        <v>1804331.8504344719</v>
      </c>
      <c r="T24" s="1271">
        <f t="shared" si="15"/>
        <v>1868731.3571759004</v>
      </c>
      <c r="U24" s="1271">
        <f>T29</f>
        <v>1932646.6478421893</v>
      </c>
    </row>
    <row r="25" spans="2:23" s="1269" customFormat="1">
      <c r="B25" s="1269" t="s">
        <v>644</v>
      </c>
      <c r="C25" s="1270">
        <v>76250</v>
      </c>
      <c r="D25" s="1270">
        <v>76690</v>
      </c>
      <c r="E25" s="1270">
        <v>76100</v>
      </c>
      <c r="F25" s="1270">
        <v>73870</v>
      </c>
      <c r="G25" s="1270">
        <v>76380</v>
      </c>
      <c r="H25" s="1271">
        <f>G25*(1+G26)</f>
        <v>78975.286313794495</v>
      </c>
      <c r="I25" s="1271">
        <f t="shared" ref="I25:T25" si="16">H25*(1+H26)</f>
        <v>79029.626131865472</v>
      </c>
      <c r="J25" s="1271">
        <f t="shared" si="16"/>
        <v>79084.00333904849</v>
      </c>
      <c r="K25" s="1271">
        <f t="shared" si="16"/>
        <v>79138.417961069528</v>
      </c>
      <c r="L25" s="1271">
        <f t="shared" si="16"/>
        <v>79192.87002367228</v>
      </c>
      <c r="M25" s="1271">
        <f t="shared" si="16"/>
        <v>79247.35955261816</v>
      </c>
      <c r="N25" s="1271">
        <f t="shared" si="16"/>
        <v>79301.886573686294</v>
      </c>
      <c r="O25" s="1271">
        <f t="shared" si="16"/>
        <v>79356.45111267356</v>
      </c>
      <c r="P25" s="1271">
        <f t="shared" si="16"/>
        <v>79411.053195394561</v>
      </c>
      <c r="Q25" s="1271">
        <f t="shared" si="16"/>
        <v>79465.692847681697</v>
      </c>
      <c r="R25" s="1271">
        <f t="shared" si="16"/>
        <v>79520.370095385108</v>
      </c>
      <c r="S25" s="1271">
        <f t="shared" si="16"/>
        <v>79575.084964372742</v>
      </c>
      <c r="T25" s="1271">
        <f t="shared" si="16"/>
        <v>79629.837480530332</v>
      </c>
      <c r="U25" s="1271">
        <f>T25*(1+T26)</f>
        <v>79684.627669761438</v>
      </c>
    </row>
    <row r="26" spans="2:23" s="1269" customFormat="1">
      <c r="B26" s="1272" t="s">
        <v>645</v>
      </c>
      <c r="C26" s="1272"/>
      <c r="D26" s="1273">
        <f>D25/C25-1</f>
        <v>5.770491803278599E-3</v>
      </c>
      <c r="E26" s="1273">
        <f>E25/D25-1</f>
        <v>-7.6933107315164673E-3</v>
      </c>
      <c r="F26" s="1273">
        <f>F25/E25-1</f>
        <v>-2.9303547963206333E-2</v>
      </c>
      <c r="G26" s="1273">
        <f>G25/F25-1</f>
        <v>3.3978611073507414E-2</v>
      </c>
      <c r="H26" s="1273">
        <f>AVERAGE(D26:G26)</f>
        <v>6.8806104551580316E-4</v>
      </c>
      <c r="I26" s="1273">
        <f>H26</f>
        <v>6.8806104551580316E-4</v>
      </c>
      <c r="J26" s="1273">
        <f t="shared" ref="J26:U26" si="17">I26</f>
        <v>6.8806104551580316E-4</v>
      </c>
      <c r="K26" s="1273">
        <f t="shared" si="17"/>
        <v>6.8806104551580316E-4</v>
      </c>
      <c r="L26" s="1273">
        <f t="shared" si="17"/>
        <v>6.8806104551580316E-4</v>
      </c>
      <c r="M26" s="1273">
        <f t="shared" si="17"/>
        <v>6.8806104551580316E-4</v>
      </c>
      <c r="N26" s="1273">
        <f t="shared" si="17"/>
        <v>6.8806104551580316E-4</v>
      </c>
      <c r="O26" s="1273">
        <f t="shared" si="17"/>
        <v>6.8806104551580316E-4</v>
      </c>
      <c r="P26" s="1273">
        <f t="shared" si="17"/>
        <v>6.8806104551580316E-4</v>
      </c>
      <c r="Q26" s="1273">
        <f t="shared" si="17"/>
        <v>6.8806104551580316E-4</v>
      </c>
      <c r="R26" s="1273">
        <f t="shared" si="17"/>
        <v>6.8806104551580316E-4</v>
      </c>
      <c r="S26" s="1273">
        <f t="shared" si="17"/>
        <v>6.8806104551580316E-4</v>
      </c>
      <c r="T26" s="1273">
        <f t="shared" si="17"/>
        <v>6.8806104551580316E-4</v>
      </c>
      <c r="U26" s="1273">
        <f t="shared" si="17"/>
        <v>6.8806104551580316E-4</v>
      </c>
    </row>
    <row r="27" spans="2:23" s="1269" customFormat="1" hidden="1">
      <c r="B27" s="1269" t="s">
        <v>646</v>
      </c>
      <c r="C27" s="1270">
        <v>9180</v>
      </c>
      <c r="D27" s="1270">
        <v>9480</v>
      </c>
      <c r="E27" s="1270">
        <v>9710</v>
      </c>
      <c r="F27" s="1270">
        <v>9940</v>
      </c>
      <c r="G27" s="1270">
        <v>10130</v>
      </c>
      <c r="H27" s="1270">
        <f>H28*H24</f>
        <v>9149.9308860257279</v>
      </c>
      <c r="I27" s="1270">
        <f t="shared" ref="I27:T27" si="18">I28*I24</f>
        <v>9614.5762981512289</v>
      </c>
      <c r="J27" s="1270">
        <f t="shared" si="18"/>
        <v>10101.826613104966</v>
      </c>
      <c r="K27" s="1270">
        <f t="shared" si="18"/>
        <v>10635.085626879805</v>
      </c>
      <c r="L27" s="1270">
        <f t="shared" si="18"/>
        <v>11225.618432046964</v>
      </c>
      <c r="M27" s="1270">
        <f t="shared" si="18"/>
        <v>11893.136694673047</v>
      </c>
      <c r="N27" s="1270">
        <f t="shared" si="18"/>
        <v>12415.260707455935</v>
      </c>
      <c r="O27" s="1270">
        <f t="shared" si="18"/>
        <v>12956.500587670958</v>
      </c>
      <c r="P27" s="1270">
        <f t="shared" si="18"/>
        <v>13514.504665987981</v>
      </c>
      <c r="Q27" s="1270">
        <f t="shared" si="18"/>
        <v>14080.512524435142</v>
      </c>
      <c r="R27" s="1270">
        <f t="shared" si="18"/>
        <v>14641.213675986124</v>
      </c>
      <c r="S27" s="1270">
        <f t="shared" si="18"/>
        <v>15175.578222944154</v>
      </c>
      <c r="T27" s="1270">
        <f t="shared" si="18"/>
        <v>15714.546814241427</v>
      </c>
      <c r="U27" s="1270">
        <f>U28*U24</f>
        <v>16254.172038635883</v>
      </c>
    </row>
    <row r="28" spans="2:23" s="1269" customFormat="1" hidden="1">
      <c r="B28" s="1272" t="s">
        <v>647</v>
      </c>
      <c r="C28" s="1273">
        <f>C27/C24</f>
        <v>9.211438640078588E-3</v>
      </c>
      <c r="D28" s="1273">
        <f>D27/D24</f>
        <v>8.9126475922219287E-3</v>
      </c>
      <c r="E28" s="1273">
        <f>E27/E24</f>
        <v>8.586332433433817E-3</v>
      </c>
      <c r="F28" s="1273">
        <f>F27/F24</f>
        <v>8.3023110326354323E-3</v>
      </c>
      <c r="G28" s="1273">
        <f>G27/G24</f>
        <v>8.0321157766453342E-3</v>
      </c>
      <c r="H28" s="1273">
        <f>AVERAGE(C28:G28)</f>
        <v>8.6089690950030221E-3</v>
      </c>
      <c r="I28" s="1273">
        <f t="shared" ref="I28:U28" si="19">AVERAGE(D28:H28)</f>
        <v>8.4884751859879062E-3</v>
      </c>
      <c r="J28" s="1273">
        <f t="shared" si="19"/>
        <v>8.4036407047411027E-3</v>
      </c>
      <c r="K28" s="1273">
        <f t="shared" si="19"/>
        <v>8.3671023590025598E-3</v>
      </c>
      <c r="L28" s="1273">
        <f t="shared" si="19"/>
        <v>8.380060624275985E-3</v>
      </c>
      <c r="M28" s="1273">
        <f t="shared" si="19"/>
        <v>8.4496495938021152E-3</v>
      </c>
      <c r="N28" s="1273">
        <f t="shared" si="19"/>
        <v>8.4177856935619341E-3</v>
      </c>
      <c r="O28" s="1273">
        <f t="shared" si="19"/>
        <v>8.403647795076739E-3</v>
      </c>
      <c r="P28" s="1273">
        <f t="shared" si="19"/>
        <v>8.4036492131438663E-3</v>
      </c>
      <c r="Q28" s="1273">
        <f t="shared" si="19"/>
        <v>8.4109585839721272E-3</v>
      </c>
      <c r="R28" s="1273">
        <f t="shared" si="19"/>
        <v>8.417138175911356E-3</v>
      </c>
      <c r="S28" s="1273">
        <f t="shared" si="19"/>
        <v>8.4106358923332035E-3</v>
      </c>
      <c r="T28" s="1273">
        <f t="shared" si="19"/>
        <v>8.409205932087457E-3</v>
      </c>
      <c r="U28" s="1273">
        <f t="shared" si="19"/>
        <v>8.4103175594896027E-3</v>
      </c>
    </row>
    <row r="29" spans="2:23" s="1269" customFormat="1" hidden="1">
      <c r="B29" s="1269" t="s">
        <v>648</v>
      </c>
      <c r="C29" s="1271">
        <f>C24+C25-C27</f>
        <v>1063657</v>
      </c>
      <c r="D29" s="1271">
        <f>D24+D25-D27</f>
        <v>1130867</v>
      </c>
      <c r="E29" s="1271">
        <f>E24+E25-E27</f>
        <v>1197257</v>
      </c>
      <c r="F29" s="1271">
        <f>F24+F25-F27</f>
        <v>1261187</v>
      </c>
      <c r="G29" s="1271">
        <f>C24+G25-G27</f>
        <v>1062837</v>
      </c>
      <c r="H29" s="1271">
        <f t="shared" ref="H29:U29" si="20">H24+H25-H27</f>
        <v>1132662.3554277688</v>
      </c>
      <c r="I29" s="1271">
        <f t="shared" si="20"/>
        <v>1202077.405261483</v>
      </c>
      <c r="J29" s="1271">
        <f t="shared" si="20"/>
        <v>1271059.5819874266</v>
      </c>
      <c r="K29" s="1271">
        <f t="shared" si="20"/>
        <v>1339562.9143216165</v>
      </c>
      <c r="L29" s="1271">
        <f t="shared" si="20"/>
        <v>1407530.1659132417</v>
      </c>
      <c r="M29" s="1271">
        <f t="shared" si="20"/>
        <v>1474884.3887711868</v>
      </c>
      <c r="N29" s="1271">
        <f t="shared" si="20"/>
        <v>1541771.0146374172</v>
      </c>
      <c r="O29" s="1271">
        <f t="shared" si="20"/>
        <v>1608170.9651624197</v>
      </c>
      <c r="P29" s="1271">
        <f t="shared" si="20"/>
        <v>1674067.5136918263</v>
      </c>
      <c r="Q29" s="1271">
        <f t="shared" si="20"/>
        <v>1739452.6940150729</v>
      </c>
      <c r="R29" s="1271">
        <f t="shared" si="20"/>
        <v>1804331.8504344719</v>
      </c>
      <c r="S29" s="1271">
        <f t="shared" si="20"/>
        <v>1868731.3571759004</v>
      </c>
      <c r="T29" s="1271">
        <f t="shared" si="20"/>
        <v>1932646.6478421893</v>
      </c>
      <c r="U29" s="1271">
        <f t="shared" si="20"/>
        <v>1996077.1034733148</v>
      </c>
    </row>
    <row r="30" spans="2:23" s="1269" customFormat="1">
      <c r="F30" s="1274"/>
      <c r="G30" s="1275"/>
      <c r="W30" s="1522"/>
    </row>
    <row r="31" spans="2:23" s="1269" customFormat="1">
      <c r="B31" s="1269" t="s">
        <v>649</v>
      </c>
      <c r="E31" s="1271">
        <f>E25*E32</f>
        <v>6849</v>
      </c>
      <c r="F31" s="1271">
        <f t="shared" ref="F31:U31" si="21">F25*F32</f>
        <v>6648.3</v>
      </c>
      <c r="G31" s="1271">
        <f t="shared" si="21"/>
        <v>6874.2</v>
      </c>
      <c r="H31" s="1271">
        <f t="shared" si="21"/>
        <v>7107.775768241504</v>
      </c>
      <c r="I31" s="1271">
        <f t="shared" si="21"/>
        <v>7112.6663518678924</v>
      </c>
      <c r="J31" s="1271">
        <f t="shared" si="21"/>
        <v>7117.5603005143639</v>
      </c>
      <c r="K31" s="1271">
        <f t="shared" si="21"/>
        <v>7122.4576164962573</v>
      </c>
      <c r="L31" s="1271">
        <f t="shared" si="21"/>
        <v>7127.3583021305049</v>
      </c>
      <c r="M31" s="1271">
        <f t="shared" si="21"/>
        <v>7132.2623597356342</v>
      </c>
      <c r="N31" s="1271">
        <f t="shared" si="21"/>
        <v>7137.1697916317662</v>
      </c>
      <c r="O31" s="1271">
        <f t="shared" si="21"/>
        <v>7142.0806001406199</v>
      </c>
      <c r="P31" s="1271">
        <f t="shared" si="21"/>
        <v>7146.9947875855105</v>
      </c>
      <c r="Q31" s="1271">
        <f t="shared" si="21"/>
        <v>7151.9123562913528</v>
      </c>
      <c r="R31" s="1271">
        <f t="shared" si="21"/>
        <v>7156.8333085846598</v>
      </c>
      <c r="S31" s="1271">
        <f t="shared" si="21"/>
        <v>7161.7576467935469</v>
      </c>
      <c r="T31" s="1271">
        <f t="shared" si="21"/>
        <v>7166.6853732477293</v>
      </c>
      <c r="U31" s="1271">
        <f t="shared" si="21"/>
        <v>7171.6164902785295</v>
      </c>
    </row>
    <row r="32" spans="2:23" s="1277" customFormat="1" hidden="1" outlineLevel="1">
      <c r="B32" s="1272" t="s">
        <v>650</v>
      </c>
      <c r="C32" s="1272"/>
      <c r="D32" s="1272"/>
      <c r="E32" s="1276">
        <v>0.09</v>
      </c>
      <c r="F32" s="1276">
        <f>E32</f>
        <v>0.09</v>
      </c>
      <c r="G32" s="1276">
        <f t="shared" ref="G32:U32" si="22">F32</f>
        <v>0.09</v>
      </c>
      <c r="H32" s="1276">
        <f t="shared" si="22"/>
        <v>0.09</v>
      </c>
      <c r="I32" s="1276">
        <f t="shared" si="22"/>
        <v>0.09</v>
      </c>
      <c r="J32" s="1276">
        <f t="shared" si="22"/>
        <v>0.09</v>
      </c>
      <c r="K32" s="1276">
        <f t="shared" si="22"/>
        <v>0.09</v>
      </c>
      <c r="L32" s="1276">
        <f t="shared" si="22"/>
        <v>0.09</v>
      </c>
      <c r="M32" s="1276">
        <f t="shared" si="22"/>
        <v>0.09</v>
      </c>
      <c r="N32" s="1276">
        <f t="shared" si="22"/>
        <v>0.09</v>
      </c>
      <c r="O32" s="1276">
        <f t="shared" si="22"/>
        <v>0.09</v>
      </c>
      <c r="P32" s="1276">
        <f t="shared" si="22"/>
        <v>0.09</v>
      </c>
      <c r="Q32" s="1276">
        <f t="shared" si="22"/>
        <v>0.09</v>
      </c>
      <c r="R32" s="1276">
        <f t="shared" si="22"/>
        <v>0.09</v>
      </c>
      <c r="S32" s="1276">
        <f t="shared" si="22"/>
        <v>0.09</v>
      </c>
      <c r="T32" s="1276">
        <f t="shared" si="22"/>
        <v>0.09</v>
      </c>
      <c r="U32" s="1276">
        <f t="shared" si="22"/>
        <v>0.09</v>
      </c>
    </row>
    <row r="33" spans="2:23" s="1269" customFormat="1" collapsed="1">
      <c r="B33" s="1269" t="s">
        <v>651</v>
      </c>
      <c r="E33" s="1271">
        <f>E25*E34</f>
        <v>3044</v>
      </c>
      <c r="F33" s="1271">
        <f t="shared" ref="F33:U33" si="23">F25*F34</f>
        <v>2954.8</v>
      </c>
      <c r="G33" s="1271">
        <f t="shared" si="23"/>
        <v>3055.2000000000003</v>
      </c>
      <c r="H33" s="1271">
        <f t="shared" si="23"/>
        <v>3159.0114525517797</v>
      </c>
      <c r="I33" s="1271">
        <f t="shared" si="23"/>
        <v>3161.1850452746189</v>
      </c>
      <c r="J33" s="1271">
        <f t="shared" si="23"/>
        <v>3163.3601335619396</v>
      </c>
      <c r="K33" s="1271">
        <f t="shared" si="23"/>
        <v>3165.5367184427814</v>
      </c>
      <c r="L33" s="1271">
        <f t="shared" si="23"/>
        <v>3167.714800946891</v>
      </c>
      <c r="M33" s="1271">
        <f t="shared" si="23"/>
        <v>3169.8943821047264</v>
      </c>
      <c r="N33" s="1271">
        <f t="shared" si="23"/>
        <v>3172.0754629474518</v>
      </c>
      <c r="O33" s="1271">
        <f t="shared" si="23"/>
        <v>3174.2580445069425</v>
      </c>
      <c r="P33" s="1271">
        <f t="shared" si="23"/>
        <v>3176.4421278157824</v>
      </c>
      <c r="Q33" s="1271">
        <f t="shared" si="23"/>
        <v>3178.6277139072681</v>
      </c>
      <c r="R33" s="1271">
        <f t="shared" si="23"/>
        <v>3180.8148038154045</v>
      </c>
      <c r="S33" s="1271">
        <f t="shared" si="23"/>
        <v>3183.0033985749096</v>
      </c>
      <c r="T33" s="1271">
        <f t="shared" si="23"/>
        <v>3185.1934992212132</v>
      </c>
      <c r="U33" s="1271">
        <f t="shared" si="23"/>
        <v>3187.3851067904575</v>
      </c>
    </row>
    <row r="34" spans="2:23" s="1277" customFormat="1" hidden="1" outlineLevel="1">
      <c r="B34" s="1272" t="s">
        <v>650</v>
      </c>
      <c r="C34" s="1272"/>
      <c r="D34" s="1272"/>
      <c r="E34" s="1276">
        <v>0.04</v>
      </c>
      <c r="F34" s="1276">
        <f>E34</f>
        <v>0.04</v>
      </c>
      <c r="G34" s="1276">
        <f t="shared" ref="G34:U34" si="24">F34</f>
        <v>0.04</v>
      </c>
      <c r="H34" s="1276">
        <f t="shared" si="24"/>
        <v>0.04</v>
      </c>
      <c r="I34" s="1276">
        <f t="shared" si="24"/>
        <v>0.04</v>
      </c>
      <c r="J34" s="1276">
        <f t="shared" si="24"/>
        <v>0.04</v>
      </c>
      <c r="K34" s="1276">
        <f t="shared" si="24"/>
        <v>0.04</v>
      </c>
      <c r="L34" s="1276">
        <f t="shared" si="24"/>
        <v>0.04</v>
      </c>
      <c r="M34" s="1276">
        <f t="shared" si="24"/>
        <v>0.04</v>
      </c>
      <c r="N34" s="1276">
        <f t="shared" si="24"/>
        <v>0.04</v>
      </c>
      <c r="O34" s="1276">
        <f t="shared" si="24"/>
        <v>0.04</v>
      </c>
      <c r="P34" s="1276">
        <f t="shared" si="24"/>
        <v>0.04</v>
      </c>
      <c r="Q34" s="1276">
        <f t="shared" si="24"/>
        <v>0.04</v>
      </c>
      <c r="R34" s="1276">
        <f t="shared" si="24"/>
        <v>0.04</v>
      </c>
      <c r="S34" s="1276">
        <f t="shared" si="24"/>
        <v>0.04</v>
      </c>
      <c r="T34" s="1276">
        <f t="shared" si="24"/>
        <v>0.04</v>
      </c>
      <c r="U34" s="1276">
        <f t="shared" si="24"/>
        <v>0.04</v>
      </c>
    </row>
    <row r="35" spans="2:23" s="1269" customFormat="1" collapsed="1"/>
    <row r="36" spans="2:23" s="1269" customFormat="1">
      <c r="B36" s="1524" t="s">
        <v>805</v>
      </c>
      <c r="C36" s="1271">
        <f t="shared" ref="C36:H36" si="25">C37*(C33+C31)</f>
        <v>0</v>
      </c>
      <c r="D36" s="1271">
        <f t="shared" si="25"/>
        <v>0</v>
      </c>
      <c r="E36" s="1271">
        <f t="shared" si="25"/>
        <v>9893</v>
      </c>
      <c r="F36" s="1271">
        <f t="shared" si="25"/>
        <v>9603.1</v>
      </c>
      <c r="G36" s="1271">
        <f t="shared" si="25"/>
        <v>9929.4</v>
      </c>
      <c r="H36" s="1271">
        <f t="shared" si="25"/>
        <v>10266.787220793283</v>
      </c>
      <c r="I36" s="1271">
        <f>I37*(I33+I31)</f>
        <v>10273.851397142511</v>
      </c>
      <c r="J36" s="1271">
        <f t="shared" ref="J36:U36" si="26">J37*(J33+J31)</f>
        <v>10280.920434076303</v>
      </c>
      <c r="K36" s="1271">
        <f t="shared" si="26"/>
        <v>10287.994334939038</v>
      </c>
      <c r="L36" s="1271">
        <f t="shared" si="26"/>
        <v>10295.073103077397</v>
      </c>
      <c r="M36" s="1271">
        <f t="shared" si="26"/>
        <v>10302.156741840361</v>
      </c>
      <c r="N36" s="1271">
        <f t="shared" si="26"/>
        <v>10309.245254579218</v>
      </c>
      <c r="O36" s="1271">
        <f t="shared" si="26"/>
        <v>10316.338644647563</v>
      </c>
      <c r="P36" s="1271">
        <f t="shared" si="26"/>
        <v>10323.436915401293</v>
      </c>
      <c r="Q36" s="1271">
        <f t="shared" si="26"/>
        <v>10330.540070198622</v>
      </c>
      <c r="R36" s="1271">
        <f t="shared" si="26"/>
        <v>10337.648112400064</v>
      </c>
      <c r="S36" s="1271">
        <f t="shared" si="26"/>
        <v>10344.761045368457</v>
      </c>
      <c r="T36" s="1271">
        <f t="shared" si="26"/>
        <v>10351.878872468942</v>
      </c>
      <c r="U36" s="1271">
        <f t="shared" si="26"/>
        <v>10359.001597068987</v>
      </c>
    </row>
    <row r="37" spans="2:23" s="1269" customFormat="1">
      <c r="B37" s="1272" t="s">
        <v>652</v>
      </c>
      <c r="C37" s="1276"/>
      <c r="D37" s="1276"/>
      <c r="E37" s="1276">
        <v>1</v>
      </c>
      <c r="F37" s="1276">
        <v>1</v>
      </c>
      <c r="G37" s="1276">
        <v>1</v>
      </c>
      <c r="H37" s="1276">
        <f>G37</f>
        <v>1</v>
      </c>
      <c r="I37" s="1276">
        <f t="shared" ref="I37:U37" si="27">H37</f>
        <v>1</v>
      </c>
      <c r="J37" s="1276">
        <f t="shared" si="27"/>
        <v>1</v>
      </c>
      <c r="K37" s="1276">
        <f t="shared" si="27"/>
        <v>1</v>
      </c>
      <c r="L37" s="1276">
        <f t="shared" si="27"/>
        <v>1</v>
      </c>
      <c r="M37" s="1276">
        <f t="shared" si="27"/>
        <v>1</v>
      </c>
      <c r="N37" s="1276">
        <f t="shared" si="27"/>
        <v>1</v>
      </c>
      <c r="O37" s="1276">
        <f t="shared" si="27"/>
        <v>1</v>
      </c>
      <c r="P37" s="1276">
        <f t="shared" si="27"/>
        <v>1</v>
      </c>
      <c r="Q37" s="1276">
        <f t="shared" si="27"/>
        <v>1</v>
      </c>
      <c r="R37" s="1276">
        <f t="shared" si="27"/>
        <v>1</v>
      </c>
      <c r="S37" s="1276">
        <f t="shared" si="27"/>
        <v>1</v>
      </c>
      <c r="T37" s="1276">
        <f t="shared" si="27"/>
        <v>1</v>
      </c>
      <c r="U37" s="1276">
        <f t="shared" si="27"/>
        <v>1</v>
      </c>
    </row>
    <row r="38" spans="2:23" s="1269" customFormat="1"/>
    <row r="39" spans="2:23" s="1269" customFormat="1">
      <c r="B39" s="1269" t="s">
        <v>653</v>
      </c>
      <c r="C39" s="1271">
        <f t="shared" ref="C39:I39" si="28">C36*C40</f>
        <v>0</v>
      </c>
      <c r="D39" s="1271">
        <f t="shared" si="28"/>
        <v>0</v>
      </c>
      <c r="E39" s="1271">
        <f t="shared" si="28"/>
        <v>7914.4000000000005</v>
      </c>
      <c r="F39" s="1271">
        <f t="shared" si="28"/>
        <v>7682.4800000000005</v>
      </c>
      <c r="G39" s="1271">
        <f t="shared" si="28"/>
        <v>7943.52</v>
      </c>
      <c r="H39" s="1271">
        <f t="shared" si="28"/>
        <v>8213.4297766346263</v>
      </c>
      <c r="I39" s="1271">
        <f t="shared" si="28"/>
        <v>8219.0811177140095</v>
      </c>
      <c r="J39" s="1271">
        <f t="shared" ref="J39:U39" si="29">J36*J40</f>
        <v>8224.7363472610432</v>
      </c>
      <c r="K39" s="1271">
        <f t="shared" si="29"/>
        <v>8230.3954679512299</v>
      </c>
      <c r="L39" s="1271">
        <f t="shared" si="29"/>
        <v>8236.0584824619182</v>
      </c>
      <c r="M39" s="1271">
        <f t="shared" si="29"/>
        <v>8241.7253934722885</v>
      </c>
      <c r="N39" s="1271">
        <f t="shared" si="29"/>
        <v>8247.3962036633748</v>
      </c>
      <c r="O39" s="1271">
        <f t="shared" si="29"/>
        <v>8253.0709157180518</v>
      </c>
      <c r="P39" s="1271">
        <f t="shared" si="29"/>
        <v>8258.7495323210351</v>
      </c>
      <c r="Q39" s="1271">
        <f t="shared" si="29"/>
        <v>8264.4320561588975</v>
      </c>
      <c r="R39" s="1271">
        <f t="shared" si="29"/>
        <v>8270.1184899200507</v>
      </c>
      <c r="S39" s="1271">
        <f t="shared" si="29"/>
        <v>8275.8088362947656</v>
      </c>
      <c r="T39" s="1271">
        <f t="shared" si="29"/>
        <v>8281.5030979751537</v>
      </c>
      <c r="U39" s="1271">
        <f t="shared" si="29"/>
        <v>8287.201277655191</v>
      </c>
      <c r="W39" s="1271"/>
    </row>
    <row r="40" spans="2:23" s="1269" customFormat="1">
      <c r="B40" s="1272" t="s">
        <v>654</v>
      </c>
      <c r="C40" s="1276"/>
      <c r="D40" s="1276"/>
      <c r="E40" s="1276">
        <v>0.8</v>
      </c>
      <c r="F40" s="1276">
        <v>0.8</v>
      </c>
      <c r="G40" s="1276">
        <v>0.8</v>
      </c>
      <c r="H40" s="1276">
        <v>0.8</v>
      </c>
      <c r="I40" s="1276">
        <v>0.8</v>
      </c>
      <c r="J40" s="1276">
        <f>I40</f>
        <v>0.8</v>
      </c>
      <c r="K40" s="1276">
        <f t="shared" ref="K40:U40" si="30">J40</f>
        <v>0.8</v>
      </c>
      <c r="L40" s="1276">
        <f t="shared" si="30"/>
        <v>0.8</v>
      </c>
      <c r="M40" s="1276">
        <f t="shared" si="30"/>
        <v>0.8</v>
      </c>
      <c r="N40" s="1276">
        <f t="shared" si="30"/>
        <v>0.8</v>
      </c>
      <c r="O40" s="1276">
        <f t="shared" si="30"/>
        <v>0.8</v>
      </c>
      <c r="P40" s="1276">
        <f t="shared" si="30"/>
        <v>0.8</v>
      </c>
      <c r="Q40" s="1276">
        <f t="shared" si="30"/>
        <v>0.8</v>
      </c>
      <c r="R40" s="1276">
        <f t="shared" si="30"/>
        <v>0.8</v>
      </c>
      <c r="S40" s="1276">
        <f t="shared" si="30"/>
        <v>0.8</v>
      </c>
      <c r="T40" s="1276">
        <f t="shared" si="30"/>
        <v>0.8</v>
      </c>
      <c r="U40" s="1276">
        <f t="shared" si="30"/>
        <v>0.8</v>
      </c>
    </row>
    <row r="41" spans="2:23" s="1269" customFormat="1">
      <c r="J41" s="1274"/>
      <c r="K41" s="1274"/>
      <c r="L41" s="1274"/>
      <c r="M41" s="1274"/>
      <c r="N41" s="1274"/>
      <c r="O41" s="1274"/>
      <c r="P41" s="1274"/>
      <c r="Q41" s="1274"/>
      <c r="R41" s="1274"/>
      <c r="S41" s="1274"/>
      <c r="T41" s="1274"/>
      <c r="U41" s="1274"/>
    </row>
    <row r="42" spans="2:23" s="1269" customFormat="1">
      <c r="B42" s="1269" t="s">
        <v>655</v>
      </c>
      <c r="I42" s="1271">
        <f>I39*I43</f>
        <v>0</v>
      </c>
      <c r="J42" s="1271">
        <f t="shared" ref="J42:U42" si="31">J39*J43</f>
        <v>575.7315443082731</v>
      </c>
      <c r="K42" s="1271">
        <f t="shared" si="31"/>
        <v>1234.5593201926845</v>
      </c>
      <c r="L42" s="1271">
        <f t="shared" si="31"/>
        <v>2059.0146206154795</v>
      </c>
      <c r="M42" s="1271">
        <f t="shared" si="31"/>
        <v>2472.5176180416865</v>
      </c>
      <c r="N42" s="1271">
        <f t="shared" si="31"/>
        <v>2886.5886712821812</v>
      </c>
      <c r="O42" s="1271">
        <f t="shared" si="31"/>
        <v>3301.228366287221</v>
      </c>
      <c r="P42" s="1271">
        <f>P39*Q43</f>
        <v>3964.1997755140965</v>
      </c>
      <c r="Q42" s="1271">
        <f>Q39*R43</f>
        <v>4132.2160280794487</v>
      </c>
      <c r="R42" s="1271">
        <f>R39*S43</f>
        <v>4300.4616147584265</v>
      </c>
      <c r="S42" s="1271">
        <f>S39*T43</f>
        <v>4468.9367715991739</v>
      </c>
      <c r="T42" s="1271">
        <f>T39*U43</f>
        <v>4554.8267038863351</v>
      </c>
      <c r="U42" s="1271">
        <f t="shared" si="31"/>
        <v>4557.9607027103557</v>
      </c>
      <c r="W42" s="1523"/>
    </row>
    <row r="43" spans="2:23" s="1269" customFormat="1">
      <c r="B43" s="1272" t="s">
        <v>656</v>
      </c>
      <c r="C43" s="1272"/>
      <c r="D43" s="1272"/>
      <c r="E43" s="1272"/>
      <c r="F43" s="1272"/>
      <c r="I43" s="1276"/>
      <c r="J43" s="1276">
        <v>7.0000000000000007E-2</v>
      </c>
      <c r="K43" s="1276">
        <v>0.15</v>
      </c>
      <c r="L43" s="1276">
        <v>0.25</v>
      </c>
      <c r="M43" s="1276">
        <v>0.3</v>
      </c>
      <c r="N43" s="1276">
        <v>0.35</v>
      </c>
      <c r="O43" s="1276">
        <v>0.4</v>
      </c>
      <c r="P43" s="1276">
        <v>0.45</v>
      </c>
      <c r="Q43" s="1276">
        <v>0.48</v>
      </c>
      <c r="R43" s="1276">
        <v>0.5</v>
      </c>
      <c r="S43" s="1276">
        <v>0.52</v>
      </c>
      <c r="T43" s="1276">
        <v>0.54</v>
      </c>
      <c r="U43" s="1276">
        <v>0.55000000000000004</v>
      </c>
    </row>
    <row r="44" spans="2:23" s="1269" customFormat="1">
      <c r="B44" s="1272"/>
      <c r="C44" s="1272"/>
      <c r="D44" s="1272"/>
      <c r="E44" s="1272"/>
      <c r="F44" s="1272"/>
      <c r="I44" s="1276"/>
      <c r="J44" s="1276"/>
      <c r="K44" s="1276"/>
      <c r="L44" s="1276"/>
      <c r="M44" s="1276"/>
      <c r="N44" s="1276"/>
      <c r="O44" s="1276"/>
      <c r="P44" s="1276"/>
      <c r="Q44" s="1276"/>
      <c r="R44" s="1276"/>
      <c r="S44" s="1276"/>
      <c r="T44" s="1276"/>
      <c r="U44" s="1276"/>
    </row>
    <row r="45" spans="2:23" s="1269" customFormat="1">
      <c r="B45" s="1269" t="s">
        <v>657</v>
      </c>
      <c r="I45" s="1278"/>
      <c r="J45" s="1278">
        <v>3</v>
      </c>
      <c r="K45" s="1278">
        <v>10</v>
      </c>
      <c r="L45" s="1278">
        <v>12</v>
      </c>
      <c r="M45" s="1279">
        <v>14</v>
      </c>
      <c r="N45" s="1279">
        <f t="shared" ref="N45:U45" si="32">M45</f>
        <v>14</v>
      </c>
      <c r="O45" s="1279">
        <f t="shared" si="32"/>
        <v>14</v>
      </c>
      <c r="P45" s="1279">
        <f t="shared" si="32"/>
        <v>14</v>
      </c>
      <c r="Q45" s="1279">
        <f t="shared" si="32"/>
        <v>14</v>
      </c>
      <c r="R45" s="1279">
        <f t="shared" si="32"/>
        <v>14</v>
      </c>
      <c r="S45" s="1279">
        <f t="shared" si="32"/>
        <v>14</v>
      </c>
      <c r="T45" s="1279">
        <f t="shared" si="32"/>
        <v>14</v>
      </c>
      <c r="U45" s="1279">
        <f t="shared" si="32"/>
        <v>14</v>
      </c>
    </row>
    <row r="46" spans="2:23" s="1269" customFormat="1">
      <c r="B46" s="1269" t="s">
        <v>658</v>
      </c>
      <c r="I46" s="1271"/>
      <c r="J46" s="1271">
        <f t="shared" ref="J46:U46" si="33">J42*J45</f>
        <v>1727.1946329248194</v>
      </c>
      <c r="K46" s="1271">
        <f t="shared" si="33"/>
        <v>12345.593201926844</v>
      </c>
      <c r="L46" s="1271">
        <f t="shared" si="33"/>
        <v>24708.175447385755</v>
      </c>
      <c r="M46" s="1271">
        <f t="shared" si="33"/>
        <v>34615.246652583613</v>
      </c>
      <c r="N46" s="1271">
        <f t="shared" si="33"/>
        <v>40412.241397950536</v>
      </c>
      <c r="O46" s="1271">
        <f t="shared" si="33"/>
        <v>46217.197128021093</v>
      </c>
      <c r="P46" s="1271">
        <f t="shared" si="33"/>
        <v>55498.796857197347</v>
      </c>
      <c r="Q46" s="1271">
        <f t="shared" si="33"/>
        <v>57851.024393112282</v>
      </c>
      <c r="R46" s="1271">
        <f t="shared" si="33"/>
        <v>60206.46260661797</v>
      </c>
      <c r="S46" s="1271">
        <f t="shared" si="33"/>
        <v>62565.114802388431</v>
      </c>
      <c r="T46" s="1271">
        <f t="shared" si="33"/>
        <v>63767.573854408693</v>
      </c>
      <c r="U46" s="1271">
        <f t="shared" si="33"/>
        <v>63811.44983794498</v>
      </c>
    </row>
    <row r="47" spans="2:23" s="1269" customFormat="1">
      <c r="B47" s="1269" t="s">
        <v>659</v>
      </c>
      <c r="I47" s="1280"/>
      <c r="J47" s="1280">
        <v>10000</v>
      </c>
      <c r="K47" s="1280">
        <f t="shared" ref="K47:U47" si="34">J47*(1+K48)</f>
        <v>10200</v>
      </c>
      <c r="L47" s="1280">
        <f t="shared" si="34"/>
        <v>10404</v>
      </c>
      <c r="M47" s="1280">
        <f t="shared" si="34"/>
        <v>10612.08</v>
      </c>
      <c r="N47" s="1280">
        <f t="shared" si="34"/>
        <v>10824.321599999999</v>
      </c>
      <c r="O47" s="1280">
        <f t="shared" si="34"/>
        <v>11040.808031999999</v>
      </c>
      <c r="P47" s="1280">
        <f t="shared" si="34"/>
        <v>11261.62419264</v>
      </c>
      <c r="Q47" s="1280">
        <f t="shared" si="34"/>
        <v>11486.8566764928</v>
      </c>
      <c r="R47" s="1280">
        <f t="shared" si="34"/>
        <v>11716.593810022656</v>
      </c>
      <c r="S47" s="1280">
        <f t="shared" si="34"/>
        <v>11950.925686223109</v>
      </c>
      <c r="T47" s="1280">
        <f t="shared" si="34"/>
        <v>12189.944199947571</v>
      </c>
      <c r="U47" s="1280">
        <f t="shared" si="34"/>
        <v>12433.743083946523</v>
      </c>
    </row>
    <row r="48" spans="2:23" s="1269" customFormat="1" hidden="1" outlineLevel="1">
      <c r="B48" s="1272" t="s">
        <v>660</v>
      </c>
      <c r="I48" s="1281"/>
      <c r="J48" s="1282">
        <v>0</v>
      </c>
      <c r="K48" s="1282">
        <v>0.02</v>
      </c>
      <c r="L48" s="1282">
        <f t="shared" ref="L48:U48" si="35">K48</f>
        <v>0.02</v>
      </c>
      <c r="M48" s="1282">
        <f t="shared" si="35"/>
        <v>0.02</v>
      </c>
      <c r="N48" s="1282">
        <f t="shared" si="35"/>
        <v>0.02</v>
      </c>
      <c r="O48" s="1282">
        <f t="shared" si="35"/>
        <v>0.02</v>
      </c>
      <c r="P48" s="1282">
        <f t="shared" si="35"/>
        <v>0.02</v>
      </c>
      <c r="Q48" s="1282">
        <f t="shared" si="35"/>
        <v>0.02</v>
      </c>
      <c r="R48" s="1282">
        <f t="shared" si="35"/>
        <v>0.02</v>
      </c>
      <c r="S48" s="1282">
        <f t="shared" si="35"/>
        <v>0.02</v>
      </c>
      <c r="T48" s="1282">
        <f t="shared" si="35"/>
        <v>0.02</v>
      </c>
      <c r="U48" s="1282">
        <f t="shared" si="35"/>
        <v>0.02</v>
      </c>
    </row>
    <row r="49" spans="2:21" s="1269" customFormat="1" collapsed="1">
      <c r="B49" s="1272"/>
      <c r="I49" s="1281"/>
      <c r="J49" s="1282"/>
      <c r="K49" s="1282"/>
      <c r="L49" s="1282"/>
      <c r="M49" s="1282"/>
      <c r="N49" s="1282"/>
      <c r="O49" s="1282"/>
      <c r="P49" s="1282"/>
      <c r="Q49" s="1282"/>
      <c r="R49" s="1282"/>
      <c r="S49" s="1282"/>
      <c r="T49" s="1282"/>
      <c r="U49" s="1282"/>
    </row>
    <row r="50" spans="2:21" s="1269" customFormat="1">
      <c r="B50" s="1247" t="s">
        <v>661</v>
      </c>
      <c r="C50" s="1247"/>
      <c r="D50" s="1247"/>
      <c r="E50" s="1247"/>
      <c r="F50" s="1247"/>
      <c r="G50" s="1248"/>
      <c r="H50" s="1248"/>
      <c r="I50" s="1248">
        <f t="shared" ref="I50:T50" si="36">I42*I45*I47/1000000</f>
        <v>0</v>
      </c>
      <c r="J50" s="1248">
        <f t="shared" si="36"/>
        <v>17.271946329248195</v>
      </c>
      <c r="K50" s="1248">
        <f t="shared" si="36"/>
        <v>125.92505065965381</v>
      </c>
      <c r="L50" s="1248">
        <f t="shared" si="36"/>
        <v>257.0638573546014</v>
      </c>
      <c r="M50" s="1248">
        <f t="shared" si="36"/>
        <v>367.33976669694948</v>
      </c>
      <c r="N50" s="1248">
        <f t="shared" si="36"/>
        <v>437.43509746825015</v>
      </c>
      <c r="O50" s="1248">
        <f t="shared" si="36"/>
        <v>510.27520126758259</v>
      </c>
      <c r="P50" s="1248">
        <f t="shared" si="36"/>
        <v>625.00659334942634</v>
      </c>
      <c r="Q50" s="1248">
        <f t="shared" si="36"/>
        <v>664.5264257919697</v>
      </c>
      <c r="R50" s="1248">
        <f t="shared" si="36"/>
        <v>705.41466710006057</v>
      </c>
      <c r="S50" s="1248">
        <f t="shared" si="36"/>
        <v>747.71103755336151</v>
      </c>
      <c r="T50" s="1248">
        <f t="shared" si="36"/>
        <v>777.32316705127766</v>
      </c>
      <c r="U50" s="1248">
        <f>U42*U45*U47/1000000</f>
        <v>793.41517309914889</v>
      </c>
    </row>
    <row r="51" spans="2:21" s="1269" customFormat="1">
      <c r="B51" s="1272" t="s">
        <v>662</v>
      </c>
      <c r="I51" s="1283"/>
      <c r="J51" s="1283"/>
      <c r="K51" s="1283">
        <f t="shared" ref="K51:U51" si="37">K50/J50-1</f>
        <v>6.2907273019030399</v>
      </c>
      <c r="L51" s="1283">
        <f t="shared" si="37"/>
        <v>1.0414036445328527</v>
      </c>
      <c r="M51" s="1283">
        <f t="shared" si="37"/>
        <v>0.42898255117299611</v>
      </c>
      <c r="N51" s="1283">
        <f t="shared" si="37"/>
        <v>0.19081879264416357</v>
      </c>
      <c r="O51" s="1283">
        <f t="shared" si="37"/>
        <v>0.16651636830448724</v>
      </c>
      <c r="P51" s="1283">
        <f t="shared" si="37"/>
        <v>0.22484218671971057</v>
      </c>
      <c r="Q51" s="1283">
        <f t="shared" si="37"/>
        <v>6.3231064860860942E-2</v>
      </c>
      <c r="R51" s="1283">
        <f t="shared" si="37"/>
        <v>6.1529895157082848E-2</v>
      </c>
      <c r="S51" s="1283">
        <f t="shared" si="37"/>
        <v>5.9959584661288812E-2</v>
      </c>
      <c r="T51" s="1283">
        <f t="shared" si="37"/>
        <v>3.960370786395262E-2</v>
      </c>
      <c r="U51" s="1283">
        <f t="shared" si="37"/>
        <v>2.0701822266426362E-2</v>
      </c>
    </row>
    <row r="52" spans="2:21" s="1269" customFormat="1">
      <c r="B52" s="1272"/>
      <c r="I52" s="1283"/>
      <c r="J52" s="1283"/>
      <c r="K52" s="1283"/>
      <c r="L52" s="1283"/>
      <c r="M52" s="1283"/>
      <c r="N52" s="1283"/>
      <c r="O52" s="1283"/>
      <c r="P52" s="1283"/>
      <c r="Q52" s="1283"/>
      <c r="R52" s="1283"/>
      <c r="S52" s="1283"/>
      <c r="T52" s="1283"/>
      <c r="U52" s="1283"/>
    </row>
    <row r="53" spans="2:21" s="1269" customFormat="1"/>
    <row r="54" spans="2:21" s="1269" customFormat="1">
      <c r="B54" s="1267" t="s">
        <v>637</v>
      </c>
      <c r="C54" s="1268" t="s">
        <v>580</v>
      </c>
      <c r="D54" s="1268" t="s">
        <v>372</v>
      </c>
      <c r="E54" s="1268" t="s">
        <v>302</v>
      </c>
      <c r="F54" s="1268" t="s">
        <v>301</v>
      </c>
      <c r="G54" s="1268" t="s">
        <v>300</v>
      </c>
      <c r="H54" s="1268" t="s">
        <v>312</v>
      </c>
      <c r="I54" s="1268" t="s">
        <v>313</v>
      </c>
      <c r="J54" s="1268" t="s">
        <v>323</v>
      </c>
      <c r="K54" s="1268" t="s">
        <v>324</v>
      </c>
      <c r="L54" s="1268" t="s">
        <v>325</v>
      </c>
      <c r="M54" s="1268" t="s">
        <v>392</v>
      </c>
      <c r="N54" s="1268" t="s">
        <v>393</v>
      </c>
      <c r="O54" s="1268" t="s">
        <v>394</v>
      </c>
      <c r="P54" s="1268" t="s">
        <v>395</v>
      </c>
      <c r="Q54" s="1268" t="s">
        <v>396</v>
      </c>
      <c r="R54" s="1268" t="s">
        <v>397</v>
      </c>
      <c r="S54" s="1268" t="s">
        <v>398</v>
      </c>
      <c r="T54" s="1268" t="s">
        <v>399</v>
      </c>
      <c r="U54" s="1268" t="s">
        <v>400</v>
      </c>
    </row>
    <row r="55" spans="2:21" s="1269" customFormat="1" hidden="1">
      <c r="B55" s="1269" t="s">
        <v>663</v>
      </c>
      <c r="C55" s="1270">
        <v>408808</v>
      </c>
      <c r="D55" s="1271">
        <f>C60</f>
        <v>474628</v>
      </c>
      <c r="E55" s="1271">
        <f>D60</f>
        <v>543338</v>
      </c>
      <c r="F55" s="1271">
        <f>E60</f>
        <v>608288</v>
      </c>
      <c r="G55" s="1271">
        <f>F60</f>
        <v>671448</v>
      </c>
      <c r="H55" s="1271">
        <f>G60</f>
        <v>737758</v>
      </c>
      <c r="I55" s="1271">
        <f t="shared" ref="I55:U55" si="38">H60</f>
        <v>737955.09288072819</v>
      </c>
      <c r="J55" s="1271">
        <f t="shared" si="38"/>
        <v>750794.62866693677</v>
      </c>
      <c r="K55" s="1271">
        <f t="shared" si="38"/>
        <v>767129.66373945656</v>
      </c>
      <c r="L55" s="1271">
        <f t="shared" si="38"/>
        <v>781260.04980221204</v>
      </c>
      <c r="M55" s="1271">
        <f t="shared" si="38"/>
        <v>789242.31940617599</v>
      </c>
      <c r="N55" s="1271">
        <f t="shared" si="38"/>
        <v>788480.17694496398</v>
      </c>
      <c r="O55" s="1271">
        <f t="shared" si="38"/>
        <v>790863.49526332971</v>
      </c>
      <c r="P55" s="1271">
        <f t="shared" si="38"/>
        <v>793384.66950612934</v>
      </c>
      <c r="Q55" s="1271">
        <f t="shared" si="38"/>
        <v>794655.60178839718</v>
      </c>
      <c r="R55" s="1271">
        <f t="shared" si="38"/>
        <v>794432.15775880171</v>
      </c>
      <c r="S55" s="1271">
        <f t="shared" si="38"/>
        <v>793366.9642263772</v>
      </c>
      <c r="T55" s="1271">
        <f t="shared" si="38"/>
        <v>792831.59498506773</v>
      </c>
      <c r="U55" s="1271">
        <f t="shared" si="38"/>
        <v>792134.72100716026</v>
      </c>
    </row>
    <row r="56" spans="2:21" s="1269" customFormat="1">
      <c r="B56" s="1269" t="s">
        <v>664</v>
      </c>
      <c r="C56" s="1270">
        <v>226160</v>
      </c>
      <c r="D56" s="1270">
        <v>228190</v>
      </c>
      <c r="E56" s="1270">
        <v>224210</v>
      </c>
      <c r="F56" s="1270">
        <v>221200</v>
      </c>
      <c r="G56" s="1270">
        <v>224390</v>
      </c>
      <c r="H56" s="1271">
        <f>G56*(1+H57)</f>
        <v>223970.9945652301</v>
      </c>
      <c r="I56" s="1271">
        <f t="shared" ref="I56:U56" si="39">H56*(1+I57)</f>
        <v>223552.77154302032</v>
      </c>
      <c r="J56" s="1271">
        <f t="shared" si="39"/>
        <v>223135.32947236477</v>
      </c>
      <c r="K56" s="1271">
        <f t="shared" si="39"/>
        <v>222718.66689498568</v>
      </c>
      <c r="L56" s="1271">
        <f t="shared" si="39"/>
        <v>222302.78235532838</v>
      </c>
      <c r="M56" s="1271">
        <f t="shared" si="39"/>
        <v>221887.6744005561</v>
      </c>
      <c r="N56" s="1271">
        <f t="shared" si="39"/>
        <v>221473.34158054503</v>
      </c>
      <c r="O56" s="1271">
        <f t="shared" si="39"/>
        <v>221059.78244787914</v>
      </c>
      <c r="P56" s="1271">
        <f t="shared" si="39"/>
        <v>220646.99555784522</v>
      </c>
      <c r="Q56" s="1271">
        <f t="shared" si="39"/>
        <v>220234.97946842774</v>
      </c>
      <c r="R56" s="1271">
        <f t="shared" si="39"/>
        <v>219823.73274030391</v>
      </c>
      <c r="S56" s="1271">
        <f t="shared" si="39"/>
        <v>219413.25393683856</v>
      </c>
      <c r="T56" s="1271">
        <f t="shared" si="39"/>
        <v>219003.54162407917</v>
      </c>
      <c r="U56" s="1271">
        <f t="shared" si="39"/>
        <v>218594.59437075086</v>
      </c>
    </row>
    <row r="57" spans="2:21" s="1269" customFormat="1">
      <c r="B57" s="1272" t="s">
        <v>645</v>
      </c>
      <c r="C57" s="1272"/>
      <c r="D57" s="1273">
        <f>D56/C56-1</f>
        <v>8.9759462327556605E-3</v>
      </c>
      <c r="E57" s="1273">
        <f>E56/D56-1</f>
        <v>-1.7441605679477612E-2</v>
      </c>
      <c r="F57" s="1273">
        <f>F56/E56-1</f>
        <v>-1.3424914142990962E-2</v>
      </c>
      <c r="G57" s="1273">
        <f>G56/F56-1</f>
        <v>1.4421338155515384E-2</v>
      </c>
      <c r="H57" s="1273">
        <f>AVERAGE(D57:G57)</f>
        <v>-1.8673088585493824E-3</v>
      </c>
      <c r="I57" s="1273">
        <f>H57</f>
        <v>-1.8673088585493824E-3</v>
      </c>
      <c r="J57" s="1273">
        <f t="shared" ref="J57:U57" si="40">I57</f>
        <v>-1.8673088585493824E-3</v>
      </c>
      <c r="K57" s="1273">
        <f t="shared" si="40"/>
        <v>-1.8673088585493824E-3</v>
      </c>
      <c r="L57" s="1273">
        <f t="shared" si="40"/>
        <v>-1.8673088585493824E-3</v>
      </c>
      <c r="M57" s="1273">
        <f t="shared" si="40"/>
        <v>-1.8673088585493824E-3</v>
      </c>
      <c r="N57" s="1273">
        <f t="shared" si="40"/>
        <v>-1.8673088585493824E-3</v>
      </c>
      <c r="O57" s="1273">
        <f t="shared" si="40"/>
        <v>-1.8673088585493824E-3</v>
      </c>
      <c r="P57" s="1273">
        <f t="shared" si="40"/>
        <v>-1.8673088585493824E-3</v>
      </c>
      <c r="Q57" s="1273">
        <f t="shared" si="40"/>
        <v>-1.8673088585493824E-3</v>
      </c>
      <c r="R57" s="1273">
        <f t="shared" si="40"/>
        <v>-1.8673088585493824E-3</v>
      </c>
      <c r="S57" s="1273">
        <f t="shared" si="40"/>
        <v>-1.8673088585493824E-3</v>
      </c>
      <c r="T57" s="1273">
        <f t="shared" si="40"/>
        <v>-1.8673088585493824E-3</v>
      </c>
      <c r="U57" s="1273">
        <f t="shared" si="40"/>
        <v>-1.8673088585493824E-3</v>
      </c>
    </row>
    <row r="58" spans="2:21" s="1269" customFormat="1" hidden="1">
      <c r="B58" s="1269" t="s">
        <v>646</v>
      </c>
      <c r="C58" s="1270">
        <v>160340</v>
      </c>
      <c r="D58" s="1270">
        <v>159480</v>
      </c>
      <c r="E58" s="1270">
        <v>159260</v>
      </c>
      <c r="F58" s="1270">
        <v>158040</v>
      </c>
      <c r="G58" s="1270">
        <v>158080</v>
      </c>
      <c r="H58" s="1270">
        <f>H59*H55</f>
        <v>223773.90168450185</v>
      </c>
      <c r="I58" s="1270">
        <f t="shared" ref="I58:U58" si="41">I59*I55</f>
        <v>210713.23575681177</v>
      </c>
      <c r="J58" s="1270">
        <f t="shared" si="41"/>
        <v>206800.29439984501</v>
      </c>
      <c r="K58" s="1270">
        <f t="shared" si="41"/>
        <v>208588.28083223026</v>
      </c>
      <c r="L58" s="1270">
        <f t="shared" si="41"/>
        <v>214320.51275136435</v>
      </c>
      <c r="M58" s="1270">
        <f t="shared" si="41"/>
        <v>222649.81686176817</v>
      </c>
      <c r="N58" s="1270">
        <f t="shared" si="41"/>
        <v>219090.0232621794</v>
      </c>
      <c r="O58" s="1270">
        <f t="shared" si="41"/>
        <v>218538.60820507951</v>
      </c>
      <c r="P58" s="1270">
        <f t="shared" si="41"/>
        <v>219376.06327557744</v>
      </c>
      <c r="Q58" s="1270">
        <f t="shared" si="41"/>
        <v>220458.42349802324</v>
      </c>
      <c r="R58" s="1270">
        <f t="shared" si="41"/>
        <v>220888.92627272854</v>
      </c>
      <c r="S58" s="1270">
        <f t="shared" si="41"/>
        <v>219948.62317814803</v>
      </c>
      <c r="T58" s="1270">
        <f t="shared" si="41"/>
        <v>219700.41560198655</v>
      </c>
      <c r="U58" s="1270">
        <f t="shared" si="41"/>
        <v>219630.79005781969</v>
      </c>
    </row>
    <row r="59" spans="2:21" s="1269" customFormat="1" hidden="1">
      <c r="B59" s="1272" t="s">
        <v>647</v>
      </c>
      <c r="C59" s="1273">
        <f>C58/C55</f>
        <v>0.39221345961918552</v>
      </c>
      <c r="D59" s="1273">
        <f>D58/D55</f>
        <v>0.33601051771071239</v>
      </c>
      <c r="E59" s="1273">
        <f>E58/E55</f>
        <v>0.29311404687321702</v>
      </c>
      <c r="F59" s="1273">
        <f>F58/F55</f>
        <v>0.25981114209058864</v>
      </c>
      <c r="G59" s="1273">
        <f>G58/G55</f>
        <v>0.23543148538680583</v>
      </c>
      <c r="H59" s="1273">
        <f>AVERAGE(C59:G59)</f>
        <v>0.30331613033610189</v>
      </c>
      <c r="I59" s="1273">
        <f t="shared" ref="I59:U59" si="42">AVERAGE(D59:H59)</f>
        <v>0.28553666447948511</v>
      </c>
      <c r="J59" s="1273">
        <f t="shared" si="42"/>
        <v>0.27544189383323969</v>
      </c>
      <c r="K59" s="1273">
        <f t="shared" si="42"/>
        <v>0.27190746322524423</v>
      </c>
      <c r="L59" s="1273">
        <f t="shared" si="42"/>
        <v>0.27432672745217535</v>
      </c>
      <c r="M59" s="1273">
        <f t="shared" si="42"/>
        <v>0.28210577586524926</v>
      </c>
      <c r="N59" s="1273">
        <f t="shared" si="42"/>
        <v>0.27786370497107871</v>
      </c>
      <c r="O59" s="1273">
        <f t="shared" si="42"/>
        <v>0.27632911306939745</v>
      </c>
      <c r="P59" s="1273">
        <f t="shared" si="42"/>
        <v>0.27650655691662901</v>
      </c>
      <c r="Q59" s="1273">
        <f t="shared" si="42"/>
        <v>0.27742637565490597</v>
      </c>
      <c r="R59" s="1273">
        <f t="shared" si="42"/>
        <v>0.2780463052954521</v>
      </c>
      <c r="S59" s="1273">
        <f t="shared" si="42"/>
        <v>0.27723441118149267</v>
      </c>
      <c r="T59" s="1273">
        <f t="shared" si="42"/>
        <v>0.2771085524235754</v>
      </c>
      <c r="U59" s="1273">
        <f t="shared" si="42"/>
        <v>0.277264440294411</v>
      </c>
    </row>
    <row r="60" spans="2:21" s="1269" customFormat="1" hidden="1">
      <c r="B60" s="1269" t="s">
        <v>665</v>
      </c>
      <c r="C60" s="1271">
        <f t="shared" ref="C60:U60" si="43">C55+C56-C58</f>
        <v>474628</v>
      </c>
      <c r="D60" s="1271">
        <f t="shared" si="43"/>
        <v>543338</v>
      </c>
      <c r="E60" s="1271">
        <f t="shared" si="43"/>
        <v>608288</v>
      </c>
      <c r="F60" s="1271">
        <f t="shared" si="43"/>
        <v>671448</v>
      </c>
      <c r="G60" s="1271">
        <f t="shared" si="43"/>
        <v>737758</v>
      </c>
      <c r="H60" s="1271">
        <f t="shared" si="43"/>
        <v>737955.09288072819</v>
      </c>
      <c r="I60" s="1271">
        <f t="shared" si="43"/>
        <v>750794.62866693677</v>
      </c>
      <c r="J60" s="1271">
        <f t="shared" si="43"/>
        <v>767129.66373945656</v>
      </c>
      <c r="K60" s="1271">
        <f t="shared" si="43"/>
        <v>781260.04980221204</v>
      </c>
      <c r="L60" s="1271">
        <f t="shared" si="43"/>
        <v>789242.31940617599</v>
      </c>
      <c r="M60" s="1271">
        <f t="shared" si="43"/>
        <v>788480.17694496398</v>
      </c>
      <c r="N60" s="1271">
        <f t="shared" si="43"/>
        <v>790863.49526332971</v>
      </c>
      <c r="O60" s="1271">
        <f t="shared" si="43"/>
        <v>793384.66950612934</v>
      </c>
      <c r="P60" s="1271">
        <f t="shared" si="43"/>
        <v>794655.60178839718</v>
      </c>
      <c r="Q60" s="1271">
        <f t="shared" si="43"/>
        <v>794432.15775880171</v>
      </c>
      <c r="R60" s="1271">
        <f t="shared" si="43"/>
        <v>793366.9642263772</v>
      </c>
      <c r="S60" s="1271">
        <f t="shared" si="43"/>
        <v>792831.59498506773</v>
      </c>
      <c r="T60" s="1271">
        <f t="shared" si="43"/>
        <v>792134.72100716026</v>
      </c>
      <c r="U60" s="1271">
        <f t="shared" si="43"/>
        <v>791098.5253200914</v>
      </c>
    </row>
    <row r="61" spans="2:21" s="1269" customFormat="1">
      <c r="F61" s="1274"/>
      <c r="G61" s="1275"/>
    </row>
    <row r="62" spans="2:21" s="1269" customFormat="1">
      <c r="B62" s="1269" t="s">
        <v>666</v>
      </c>
      <c r="C62" s="1271"/>
      <c r="D62" s="1271"/>
      <c r="E62" s="1271">
        <f>E56*E63</f>
        <v>195062.7</v>
      </c>
      <c r="F62" s="1271">
        <f t="shared" ref="F62:U62" si="44">F56*F63</f>
        <v>192444</v>
      </c>
      <c r="G62" s="1271">
        <f t="shared" si="44"/>
        <v>195219.3</v>
      </c>
      <c r="H62" s="1271">
        <f t="shared" si="44"/>
        <v>194854.76527175019</v>
      </c>
      <c r="I62" s="1271">
        <f t="shared" si="44"/>
        <v>194490.91124242768</v>
      </c>
      <c r="J62" s="1271">
        <f t="shared" si="44"/>
        <v>194127.73664095736</v>
      </c>
      <c r="K62" s="1271">
        <f t="shared" si="44"/>
        <v>193765.24019863753</v>
      </c>
      <c r="L62" s="1271">
        <f t="shared" si="44"/>
        <v>193403.42064913569</v>
      </c>
      <c r="M62" s="1271">
        <f t="shared" si="44"/>
        <v>193042.27672848382</v>
      </c>
      <c r="N62" s="1271">
        <f t="shared" si="44"/>
        <v>192681.80717507418</v>
      </c>
      <c r="O62" s="1271">
        <f t="shared" si="44"/>
        <v>192322.01072965487</v>
      </c>
      <c r="P62" s="1271">
        <f t="shared" si="44"/>
        <v>191962.88613532533</v>
      </c>
      <c r="Q62" s="1271">
        <f t="shared" si="44"/>
        <v>191604.43213753213</v>
      </c>
      <c r="R62" s="1271">
        <f t="shared" si="44"/>
        <v>191246.64748406439</v>
      </c>
      <c r="S62" s="1271">
        <f t="shared" si="44"/>
        <v>190889.53092504953</v>
      </c>
      <c r="T62" s="1271">
        <f t="shared" si="44"/>
        <v>190533.08121294886</v>
      </c>
      <c r="U62" s="1271">
        <f t="shared" si="44"/>
        <v>190177.29710255325</v>
      </c>
    </row>
    <row r="63" spans="2:21" s="1269" customFormat="1">
      <c r="B63" s="1272" t="s">
        <v>667</v>
      </c>
      <c r="C63" s="1284"/>
      <c r="D63" s="1284"/>
      <c r="E63" s="1284">
        <v>0.87</v>
      </c>
      <c r="F63" s="1284">
        <f>E63</f>
        <v>0.87</v>
      </c>
      <c r="G63" s="1284">
        <f t="shared" ref="G63:U63" si="45">F63</f>
        <v>0.87</v>
      </c>
      <c r="H63" s="1284">
        <f t="shared" si="45"/>
        <v>0.87</v>
      </c>
      <c r="I63" s="1284">
        <f t="shared" si="45"/>
        <v>0.87</v>
      </c>
      <c r="J63" s="1284">
        <f t="shared" si="45"/>
        <v>0.87</v>
      </c>
      <c r="K63" s="1284">
        <f t="shared" si="45"/>
        <v>0.87</v>
      </c>
      <c r="L63" s="1284">
        <f t="shared" si="45"/>
        <v>0.87</v>
      </c>
      <c r="M63" s="1284">
        <f t="shared" si="45"/>
        <v>0.87</v>
      </c>
      <c r="N63" s="1284">
        <f t="shared" si="45"/>
        <v>0.87</v>
      </c>
      <c r="O63" s="1284">
        <f t="shared" si="45"/>
        <v>0.87</v>
      </c>
      <c r="P63" s="1284">
        <f t="shared" si="45"/>
        <v>0.87</v>
      </c>
      <c r="Q63" s="1284">
        <f t="shared" si="45"/>
        <v>0.87</v>
      </c>
      <c r="R63" s="1284">
        <f t="shared" si="45"/>
        <v>0.87</v>
      </c>
      <c r="S63" s="1284">
        <f t="shared" si="45"/>
        <v>0.87</v>
      </c>
      <c r="T63" s="1284">
        <f t="shared" si="45"/>
        <v>0.87</v>
      </c>
      <c r="U63" s="1284">
        <f t="shared" si="45"/>
        <v>0.87</v>
      </c>
    </row>
    <row r="64" spans="2:21" s="1269" customFormat="1">
      <c r="B64" s="1272"/>
      <c r="F64" s="1274"/>
      <c r="G64" s="1275"/>
    </row>
    <row r="65" spans="2:22" s="1269" customFormat="1">
      <c r="B65" s="1269" t="s">
        <v>649</v>
      </c>
      <c r="E65" s="1271">
        <f>E62*E66</f>
        <v>42913.794000000002</v>
      </c>
      <c r="F65" s="1271">
        <f>F62*F66</f>
        <v>42337.68</v>
      </c>
      <c r="G65" s="1271">
        <f t="shared" ref="G65:U65" si="46">G62*G66</f>
        <v>42948.245999999999</v>
      </c>
      <c r="H65" s="1271">
        <f t="shared" si="46"/>
        <v>42868.04835978504</v>
      </c>
      <c r="I65" s="1271">
        <f t="shared" si="46"/>
        <v>42788.00047333409</v>
      </c>
      <c r="J65" s="1271">
        <f t="shared" si="46"/>
        <v>42708.102061010621</v>
      </c>
      <c r="K65" s="1271">
        <f t="shared" si="46"/>
        <v>42628.352843700261</v>
      </c>
      <c r="L65" s="1271">
        <f t="shared" si="46"/>
        <v>42548.752542809852</v>
      </c>
      <c r="M65" s="1271">
        <f t="shared" si="46"/>
        <v>42469.300880266441</v>
      </c>
      <c r="N65" s="1271">
        <f t="shared" si="46"/>
        <v>42389.997578516319</v>
      </c>
      <c r="O65" s="1271">
        <f t="shared" si="46"/>
        <v>42310.842360524068</v>
      </c>
      <c r="P65" s="1271">
        <f t="shared" si="46"/>
        <v>42231.834949771575</v>
      </c>
      <c r="Q65" s="1271">
        <f t="shared" si="46"/>
        <v>42152.975070257067</v>
      </c>
      <c r="R65" s="1271">
        <f t="shared" si="46"/>
        <v>42074.262446494169</v>
      </c>
      <c r="S65" s="1271">
        <f t="shared" si="46"/>
        <v>41995.696803510895</v>
      </c>
      <c r="T65" s="1271">
        <f t="shared" si="46"/>
        <v>41917.277866848752</v>
      </c>
      <c r="U65" s="1271">
        <f t="shared" si="46"/>
        <v>41839.005362561715</v>
      </c>
    </row>
    <row r="66" spans="2:22" s="1269" customFormat="1" outlineLevel="1">
      <c r="B66" s="1272" t="s">
        <v>650</v>
      </c>
      <c r="C66" s="1229"/>
      <c r="D66" s="1272"/>
      <c r="E66" s="1284">
        <v>0.22</v>
      </c>
      <c r="F66" s="1276">
        <f>E66</f>
        <v>0.22</v>
      </c>
      <c r="G66" s="1276">
        <f t="shared" ref="G66:U66" si="47">F66</f>
        <v>0.22</v>
      </c>
      <c r="H66" s="1276">
        <f t="shared" si="47"/>
        <v>0.22</v>
      </c>
      <c r="I66" s="1276">
        <f t="shared" si="47"/>
        <v>0.22</v>
      </c>
      <c r="J66" s="1276">
        <f t="shared" si="47"/>
        <v>0.22</v>
      </c>
      <c r="K66" s="1276">
        <f t="shared" si="47"/>
        <v>0.22</v>
      </c>
      <c r="L66" s="1276">
        <f t="shared" si="47"/>
        <v>0.22</v>
      </c>
      <c r="M66" s="1276">
        <f t="shared" si="47"/>
        <v>0.22</v>
      </c>
      <c r="N66" s="1276">
        <f t="shared" si="47"/>
        <v>0.22</v>
      </c>
      <c r="O66" s="1276">
        <f t="shared" si="47"/>
        <v>0.22</v>
      </c>
      <c r="P66" s="1276">
        <f t="shared" si="47"/>
        <v>0.22</v>
      </c>
      <c r="Q66" s="1276">
        <f t="shared" si="47"/>
        <v>0.22</v>
      </c>
      <c r="R66" s="1276">
        <f t="shared" si="47"/>
        <v>0.22</v>
      </c>
      <c r="S66" s="1276">
        <f t="shared" si="47"/>
        <v>0.22</v>
      </c>
      <c r="T66" s="1276">
        <f t="shared" si="47"/>
        <v>0.22</v>
      </c>
      <c r="U66" s="1276">
        <f t="shared" si="47"/>
        <v>0.22</v>
      </c>
    </row>
    <row r="67" spans="2:22" s="1269" customFormat="1">
      <c r="B67" s="1269" t="s">
        <v>651</v>
      </c>
      <c r="E67" s="1271">
        <f>E62*E68</f>
        <v>111185.739</v>
      </c>
      <c r="F67" s="1271">
        <f>F62*F68</f>
        <v>109693.07999999999</v>
      </c>
      <c r="G67" s="1271">
        <f t="shared" ref="G67:U67" si="48">G62*G68</f>
        <v>111275.00099999999</v>
      </c>
      <c r="H67" s="1271">
        <f t="shared" si="48"/>
        <v>111067.2162048976</v>
      </c>
      <c r="I67" s="1271">
        <f t="shared" si="48"/>
        <v>110859.81940818377</v>
      </c>
      <c r="J67" s="1271">
        <f t="shared" si="48"/>
        <v>110652.80988534569</v>
      </c>
      <c r="K67" s="1271">
        <f t="shared" si="48"/>
        <v>110446.18691322338</v>
      </c>
      <c r="L67" s="1271">
        <f t="shared" si="48"/>
        <v>110239.94977000733</v>
      </c>
      <c r="M67" s="1271">
        <f t="shared" si="48"/>
        <v>110034.09773523577</v>
      </c>
      <c r="N67" s="1271">
        <f t="shared" si="48"/>
        <v>109828.63008979228</v>
      </c>
      <c r="O67" s="1271">
        <f t="shared" si="48"/>
        <v>109623.54611590327</v>
      </c>
      <c r="P67" s="1271">
        <f t="shared" si="48"/>
        <v>109418.84509713543</v>
      </c>
      <c r="Q67" s="1271">
        <f t="shared" si="48"/>
        <v>109214.5263183933</v>
      </c>
      <c r="R67" s="1271">
        <f t="shared" si="48"/>
        <v>109010.58906591669</v>
      </c>
      <c r="S67" s="1271">
        <f t="shared" si="48"/>
        <v>108807.03262727823</v>
      </c>
      <c r="T67" s="1271">
        <f t="shared" si="48"/>
        <v>108603.85629138084</v>
      </c>
      <c r="U67" s="1271">
        <f t="shared" si="48"/>
        <v>108401.05934845534</v>
      </c>
    </row>
    <row r="68" spans="2:22" s="1269" customFormat="1" outlineLevel="1">
      <c r="B68" s="1272" t="s">
        <v>650</v>
      </c>
      <c r="C68" s="1272"/>
      <c r="D68" s="1272"/>
      <c r="E68" s="1276">
        <v>0.56999999999999995</v>
      </c>
      <c r="F68" s="1276">
        <f>E68</f>
        <v>0.56999999999999995</v>
      </c>
      <c r="G68" s="1276">
        <f t="shared" ref="G68:U68" si="49">F68</f>
        <v>0.56999999999999995</v>
      </c>
      <c r="H68" s="1276">
        <f t="shared" si="49"/>
        <v>0.56999999999999995</v>
      </c>
      <c r="I68" s="1276">
        <f t="shared" si="49"/>
        <v>0.56999999999999995</v>
      </c>
      <c r="J68" s="1276">
        <f t="shared" si="49"/>
        <v>0.56999999999999995</v>
      </c>
      <c r="K68" s="1276">
        <f t="shared" si="49"/>
        <v>0.56999999999999995</v>
      </c>
      <c r="L68" s="1276">
        <f t="shared" si="49"/>
        <v>0.56999999999999995</v>
      </c>
      <c r="M68" s="1276">
        <f t="shared" si="49"/>
        <v>0.56999999999999995</v>
      </c>
      <c r="N68" s="1276">
        <f t="shared" si="49"/>
        <v>0.56999999999999995</v>
      </c>
      <c r="O68" s="1276">
        <f t="shared" si="49"/>
        <v>0.56999999999999995</v>
      </c>
      <c r="P68" s="1276">
        <f t="shared" si="49"/>
        <v>0.56999999999999995</v>
      </c>
      <c r="Q68" s="1276">
        <f t="shared" si="49"/>
        <v>0.56999999999999995</v>
      </c>
      <c r="R68" s="1276">
        <f t="shared" si="49"/>
        <v>0.56999999999999995</v>
      </c>
      <c r="S68" s="1276">
        <f t="shared" si="49"/>
        <v>0.56999999999999995</v>
      </c>
      <c r="T68" s="1276">
        <f t="shared" si="49"/>
        <v>0.56999999999999995</v>
      </c>
      <c r="U68" s="1276">
        <f t="shared" si="49"/>
        <v>0.56999999999999995</v>
      </c>
    </row>
    <row r="69" spans="2:22" s="1269" customFormat="1"/>
    <row r="70" spans="2:22" s="1269" customFormat="1">
      <c r="B70" s="1544" t="s">
        <v>841</v>
      </c>
      <c r="E70" s="1271">
        <f>E71*(E67+E65)</f>
        <v>87836.733810000005</v>
      </c>
      <c r="F70" s="1271">
        <f t="shared" ref="F70:U70" si="50">F71*(F67+F65)</f>
        <v>86657.533200000005</v>
      </c>
      <c r="G70" s="1271">
        <f t="shared" si="50"/>
        <v>38555.811749999993</v>
      </c>
      <c r="H70" s="1271">
        <f t="shared" si="50"/>
        <v>38483.816141170661</v>
      </c>
      <c r="I70" s="1271">
        <f t="shared" si="50"/>
        <v>38411.954970379462</v>
      </c>
      <c r="J70" s="1271">
        <f t="shared" si="50"/>
        <v>38340.227986589074</v>
      </c>
      <c r="K70" s="1271">
        <f t="shared" si="50"/>
        <v>38268.634939230913</v>
      </c>
      <c r="L70" s="1271">
        <f t="shared" si="50"/>
        <v>38197.175578204296</v>
      </c>
      <c r="M70" s="1271">
        <f t="shared" si="50"/>
        <v>38125.849653875557</v>
      </c>
      <c r="N70" s="1271">
        <f t="shared" si="50"/>
        <v>38054.656917077147</v>
      </c>
      <c r="O70" s="1271">
        <f t="shared" si="50"/>
        <v>37983.597119106838</v>
      </c>
      <c r="P70" s="1271">
        <f t="shared" si="50"/>
        <v>37912.670011726754</v>
      </c>
      <c r="Q70" s="1271">
        <f t="shared" si="50"/>
        <v>37841.87534716259</v>
      </c>
      <c r="R70" s="1271">
        <f t="shared" si="50"/>
        <v>37771.212878102713</v>
      </c>
      <c r="S70" s="1271">
        <f t="shared" si="50"/>
        <v>37700.682357697282</v>
      </c>
      <c r="T70" s="1271">
        <f t="shared" si="50"/>
        <v>37630.2835395574</v>
      </c>
      <c r="U70" s="1271">
        <f t="shared" si="50"/>
        <v>37560.016177754267</v>
      </c>
    </row>
    <row r="71" spans="2:22" s="1269" customFormat="1">
      <c r="B71" s="1272" t="s">
        <v>650</v>
      </c>
      <c r="E71" s="1276">
        <f>0.06+0.18+0.33</f>
        <v>0.57000000000000006</v>
      </c>
      <c r="F71" s="1276">
        <f>E71</f>
        <v>0.57000000000000006</v>
      </c>
      <c r="G71" s="1276">
        <v>0.25</v>
      </c>
      <c r="H71" s="1276">
        <f t="shared" ref="H71:U71" si="51">G71</f>
        <v>0.25</v>
      </c>
      <c r="I71" s="1276">
        <f t="shared" si="51"/>
        <v>0.25</v>
      </c>
      <c r="J71" s="1276">
        <f t="shared" si="51"/>
        <v>0.25</v>
      </c>
      <c r="K71" s="1276">
        <f t="shared" si="51"/>
        <v>0.25</v>
      </c>
      <c r="L71" s="1276">
        <f t="shared" si="51"/>
        <v>0.25</v>
      </c>
      <c r="M71" s="1276">
        <f t="shared" si="51"/>
        <v>0.25</v>
      </c>
      <c r="N71" s="1276">
        <f t="shared" si="51"/>
        <v>0.25</v>
      </c>
      <c r="O71" s="1276">
        <f t="shared" si="51"/>
        <v>0.25</v>
      </c>
      <c r="P71" s="1276">
        <f t="shared" si="51"/>
        <v>0.25</v>
      </c>
      <c r="Q71" s="1276">
        <f t="shared" si="51"/>
        <v>0.25</v>
      </c>
      <c r="R71" s="1276">
        <f t="shared" si="51"/>
        <v>0.25</v>
      </c>
      <c r="S71" s="1276">
        <f t="shared" si="51"/>
        <v>0.25</v>
      </c>
      <c r="T71" s="1276">
        <f t="shared" si="51"/>
        <v>0.25</v>
      </c>
      <c r="U71" s="1276">
        <f t="shared" si="51"/>
        <v>0.25</v>
      </c>
      <c r="V71" s="1271"/>
    </row>
    <row r="72" spans="2:22" s="1269" customFormat="1">
      <c r="I72" s="1276"/>
    </row>
    <row r="73" spans="2:22" s="1269" customFormat="1">
      <c r="B73" s="1544" t="s">
        <v>842</v>
      </c>
      <c r="E73" s="1271">
        <f>E74*(E70+E68)</f>
        <v>50067.263171700011</v>
      </c>
      <c r="F73" s="1271">
        <f t="shared" ref="F73" si="52">F74*(F70+F68)</f>
        <v>49395.118824000012</v>
      </c>
      <c r="G73" s="1271">
        <f>G74*(G67+G65)</f>
        <v>115667.43524999998</v>
      </c>
      <c r="H73" s="1271">
        <f t="shared" ref="H73:U73" si="53">H74*(H67+H65)</f>
        <v>115451.44842351199</v>
      </c>
      <c r="I73" s="1271">
        <f t="shared" si="53"/>
        <v>115235.86491113839</v>
      </c>
      <c r="J73" s="1271">
        <f t="shared" si="53"/>
        <v>115020.68395976722</v>
      </c>
      <c r="K73" s="1271">
        <f t="shared" si="53"/>
        <v>114805.90481769273</v>
      </c>
      <c r="L73" s="1271">
        <f t="shared" si="53"/>
        <v>114591.52673461288</v>
      </c>
      <c r="M73" s="1271">
        <f t="shared" si="53"/>
        <v>114377.54896162667</v>
      </c>
      <c r="N73" s="1271">
        <f t="shared" si="53"/>
        <v>114163.97075123145</v>
      </c>
      <c r="O73" s="1271">
        <f t="shared" si="53"/>
        <v>113950.79135732052</v>
      </c>
      <c r="P73" s="1271">
        <f t="shared" si="53"/>
        <v>113738.01003518025</v>
      </c>
      <c r="Q73" s="1271">
        <f t="shared" si="53"/>
        <v>113525.62604148776</v>
      </c>
      <c r="R73" s="1271">
        <f t="shared" si="53"/>
        <v>113313.63863430814</v>
      </c>
      <c r="S73" s="1271">
        <f t="shared" si="53"/>
        <v>113102.04707309185</v>
      </c>
      <c r="T73" s="1271">
        <f t="shared" si="53"/>
        <v>112890.85061867221</v>
      </c>
      <c r="U73" s="1271">
        <f t="shared" si="53"/>
        <v>112680.0485332628</v>
      </c>
    </row>
    <row r="74" spans="2:22" s="1269" customFormat="1">
      <c r="B74" s="1272" t="s">
        <v>650</v>
      </c>
      <c r="E74" s="1276">
        <f>0.06+0.18+0.33</f>
        <v>0.57000000000000006</v>
      </c>
      <c r="F74" s="1276">
        <f>E74</f>
        <v>0.57000000000000006</v>
      </c>
      <c r="G74" s="1276">
        <v>0.75</v>
      </c>
      <c r="H74" s="1276">
        <f t="shared" ref="H74" si="54">G74</f>
        <v>0.75</v>
      </c>
      <c r="I74" s="1276">
        <f t="shared" ref="I74" si="55">H74</f>
        <v>0.75</v>
      </c>
      <c r="J74" s="1276">
        <f t="shared" ref="J74" si="56">I74</f>
        <v>0.75</v>
      </c>
      <c r="K74" s="1276">
        <f t="shared" ref="K74" si="57">J74</f>
        <v>0.75</v>
      </c>
      <c r="L74" s="1276">
        <f t="shared" ref="L74" si="58">K74</f>
        <v>0.75</v>
      </c>
      <c r="M74" s="1276">
        <f t="shared" ref="M74" si="59">L74</f>
        <v>0.75</v>
      </c>
      <c r="N74" s="1276">
        <f t="shared" ref="N74" si="60">M74</f>
        <v>0.75</v>
      </c>
      <c r="O74" s="1276">
        <f t="shared" ref="O74" si="61">N74</f>
        <v>0.75</v>
      </c>
      <c r="P74" s="1276">
        <f t="shared" ref="P74" si="62">O74</f>
        <v>0.75</v>
      </c>
      <c r="Q74" s="1276">
        <f t="shared" ref="Q74" si="63">P74</f>
        <v>0.75</v>
      </c>
      <c r="R74" s="1276">
        <f t="shared" ref="R74" si="64">Q74</f>
        <v>0.75</v>
      </c>
      <c r="S74" s="1276">
        <f t="shared" ref="S74" si="65">R74</f>
        <v>0.75</v>
      </c>
      <c r="T74" s="1276">
        <f t="shared" ref="T74" si="66">S74</f>
        <v>0.75</v>
      </c>
      <c r="U74" s="1276">
        <f t="shared" ref="U74" si="67">T74</f>
        <v>0.75</v>
      </c>
      <c r="V74" s="1271"/>
    </row>
    <row r="75" spans="2:22" s="1269" customFormat="1">
      <c r="I75" s="1276"/>
    </row>
    <row r="76" spans="2:22" s="1269" customFormat="1">
      <c r="B76" s="1544" t="s">
        <v>843</v>
      </c>
      <c r="I76" s="1271"/>
      <c r="J76" s="1271"/>
      <c r="K76" s="1271">
        <f t="shared" ref="K76:U76" si="68">K70*K77</f>
        <v>1148.0590481769273</v>
      </c>
      <c r="L76" s="1271">
        <f t="shared" si="68"/>
        <v>3437.7458020383865</v>
      </c>
      <c r="M76" s="1271">
        <f t="shared" si="68"/>
        <v>5718.8774480813336</v>
      </c>
      <c r="N76" s="1271">
        <f t="shared" si="68"/>
        <v>7610.93138341543</v>
      </c>
      <c r="O76" s="1271">
        <f t="shared" si="68"/>
        <v>8736.2273373945736</v>
      </c>
      <c r="P76" s="1271">
        <f t="shared" si="68"/>
        <v>9857.2942030489558</v>
      </c>
      <c r="Q76" s="1271">
        <f t="shared" si="68"/>
        <v>10595.725097205526</v>
      </c>
      <c r="R76" s="1271">
        <f t="shared" si="68"/>
        <v>10953.651734649786</v>
      </c>
      <c r="S76" s="1271">
        <f t="shared" si="68"/>
        <v>11310.204707309184</v>
      </c>
      <c r="T76" s="1271">
        <f t="shared" si="68"/>
        <v>11289.085061867219</v>
      </c>
      <c r="U76" s="1271">
        <f t="shared" si="68"/>
        <v>1878.0008088877134</v>
      </c>
    </row>
    <row r="77" spans="2:22" s="1269" customFormat="1">
      <c r="B77" s="1272" t="s">
        <v>656</v>
      </c>
      <c r="C77" s="1272"/>
      <c r="D77" s="1272"/>
      <c r="E77" s="1272"/>
      <c r="F77" s="1272"/>
      <c r="I77" s="1276"/>
      <c r="J77" s="1276"/>
      <c r="K77" s="1276">
        <v>0.03</v>
      </c>
      <c r="L77" s="1276">
        <v>0.09</v>
      </c>
      <c r="M77" s="1276">
        <v>0.15</v>
      </c>
      <c r="N77" s="1276">
        <v>0.2</v>
      </c>
      <c r="O77" s="1276">
        <v>0.23</v>
      </c>
      <c r="P77" s="1276">
        <v>0.26</v>
      </c>
      <c r="Q77" s="1276">
        <v>0.28000000000000003</v>
      </c>
      <c r="R77" s="1276">
        <v>0.28999999999999998</v>
      </c>
      <c r="S77" s="1276">
        <v>0.3</v>
      </c>
      <c r="T77" s="1276">
        <v>0.3</v>
      </c>
      <c r="U77" s="1276">
        <v>0.05</v>
      </c>
    </row>
    <row r="78" spans="2:22" s="1269" customFormat="1">
      <c r="J78" s="1285"/>
      <c r="K78" s="1285"/>
      <c r="L78" s="1285"/>
      <c r="M78" s="1285"/>
      <c r="N78" s="1285"/>
      <c r="O78" s="1285"/>
      <c r="P78" s="1285"/>
      <c r="Q78" s="1285"/>
      <c r="R78" s="1285"/>
      <c r="S78" s="1285"/>
      <c r="T78" s="1285"/>
      <c r="U78" s="1285"/>
    </row>
    <row r="79" spans="2:22" s="1269" customFormat="1">
      <c r="B79" s="1544" t="s">
        <v>844</v>
      </c>
      <c r="I79" s="1271"/>
      <c r="J79" s="1271"/>
      <c r="K79" s="1271">
        <f t="shared" ref="K79:U79" si="69">K73*K80</f>
        <v>3444.1771445307818</v>
      </c>
      <c r="L79" s="1271">
        <f t="shared" si="69"/>
        <v>6875.491604076773</v>
      </c>
      <c r="M79" s="1271">
        <f t="shared" si="69"/>
        <v>10293.979406546399</v>
      </c>
      <c r="N79" s="1271">
        <f t="shared" si="69"/>
        <v>13699.676490147773</v>
      </c>
      <c r="O79" s="1271">
        <f t="shared" si="69"/>
        <v>15953.110790024873</v>
      </c>
      <c r="P79" s="1271">
        <f t="shared" si="69"/>
        <v>16492.011455101136</v>
      </c>
      <c r="Q79" s="1271">
        <f t="shared" si="69"/>
        <v>16461.215776015724</v>
      </c>
      <c r="R79" s="1271">
        <f t="shared" si="69"/>
        <v>16997.045795146219</v>
      </c>
      <c r="S79" s="1271">
        <f t="shared" si="69"/>
        <v>16965.307060963776</v>
      </c>
      <c r="T79" s="1271">
        <f t="shared" si="69"/>
        <v>16933.627592800829</v>
      </c>
      <c r="U79" s="1271">
        <f t="shared" si="69"/>
        <v>5634.0024266631408</v>
      </c>
    </row>
    <row r="80" spans="2:22" s="1269" customFormat="1">
      <c r="B80" s="1272" t="s">
        <v>656</v>
      </c>
      <c r="C80" s="1272"/>
      <c r="D80" s="1272"/>
      <c r="E80" s="1272"/>
      <c r="F80" s="1272"/>
      <c r="I80" s="1276"/>
      <c r="J80" s="1276"/>
      <c r="K80" s="1276">
        <v>0.03</v>
      </c>
      <c r="L80" s="1276">
        <v>0.06</v>
      </c>
      <c r="M80" s="1276">
        <v>0.09</v>
      </c>
      <c r="N80" s="1276">
        <v>0.12</v>
      </c>
      <c r="O80" s="1276">
        <v>0.14000000000000001</v>
      </c>
      <c r="P80" s="1276">
        <v>0.14499999999999999</v>
      </c>
      <c r="Q80" s="1276">
        <v>0.14499999999999999</v>
      </c>
      <c r="R80" s="1276">
        <v>0.15</v>
      </c>
      <c r="S80" s="1276">
        <v>0.15</v>
      </c>
      <c r="T80" s="1276">
        <v>0.15</v>
      </c>
      <c r="U80" s="1276">
        <v>0.05</v>
      </c>
    </row>
    <row r="81" spans="2:21" s="1269" customFormat="1">
      <c r="J81" s="1285"/>
      <c r="K81" s="1285"/>
      <c r="L81" s="1285"/>
      <c r="M81" s="1285"/>
      <c r="N81" s="1285"/>
      <c r="O81" s="1285"/>
      <c r="P81" s="1285"/>
      <c r="Q81" s="1285"/>
      <c r="R81" s="1285"/>
      <c r="S81" s="1285"/>
      <c r="T81" s="1285"/>
      <c r="U81" s="1285"/>
    </row>
    <row r="82" spans="2:21" s="1269" customFormat="1">
      <c r="B82" s="1544" t="s">
        <v>845</v>
      </c>
      <c r="J82" s="1285"/>
      <c r="K82" s="1271">
        <f>K76+K79</f>
        <v>4592.2361927077091</v>
      </c>
      <c r="L82" s="1271">
        <f t="shared" ref="L82:U82" si="70">L76+L79</f>
        <v>10313.23740611516</v>
      </c>
      <c r="M82" s="1271">
        <f t="shared" si="70"/>
        <v>16012.856854627733</v>
      </c>
      <c r="N82" s="1271">
        <f t="shared" si="70"/>
        <v>21310.607873563204</v>
      </c>
      <c r="O82" s="1271">
        <f t="shared" si="70"/>
        <v>24689.338127419447</v>
      </c>
      <c r="P82" s="1271">
        <f t="shared" si="70"/>
        <v>26349.305658150093</v>
      </c>
      <c r="Q82" s="1271">
        <f t="shared" si="70"/>
        <v>27056.940873221251</v>
      </c>
      <c r="R82" s="1271">
        <f t="shared" si="70"/>
        <v>27950.697529796005</v>
      </c>
      <c r="S82" s="1271">
        <f t="shared" si="70"/>
        <v>28275.511768272961</v>
      </c>
      <c r="T82" s="1271">
        <f t="shared" si="70"/>
        <v>28222.712654668048</v>
      </c>
      <c r="U82" s="1271">
        <f t="shared" si="70"/>
        <v>7512.0032355508538</v>
      </c>
    </row>
    <row r="83" spans="2:21" s="1269" customFormat="1">
      <c r="J83" s="1285"/>
      <c r="K83" s="1285"/>
      <c r="L83" s="1285"/>
      <c r="M83" s="1285"/>
      <c r="N83" s="1285"/>
      <c r="O83" s="1285"/>
      <c r="P83" s="1285"/>
      <c r="Q83" s="1285"/>
      <c r="R83" s="1285"/>
      <c r="S83" s="1285"/>
      <c r="T83" s="1285"/>
      <c r="U83" s="1285"/>
    </row>
    <row r="84" spans="2:21" s="1269" customFormat="1">
      <c r="B84" s="1269" t="s">
        <v>657</v>
      </c>
      <c r="I84" s="1278"/>
      <c r="J84" s="1278"/>
      <c r="K84" s="1278">
        <v>6</v>
      </c>
      <c r="L84" s="1278">
        <v>10</v>
      </c>
      <c r="M84" s="1278">
        <v>12</v>
      </c>
      <c r="N84" s="1278">
        <f t="shared" ref="N84:U84" si="71">M84</f>
        <v>12</v>
      </c>
      <c r="O84" s="1278">
        <f t="shared" si="71"/>
        <v>12</v>
      </c>
      <c r="P84" s="1278">
        <f t="shared" si="71"/>
        <v>12</v>
      </c>
      <c r="Q84" s="1278">
        <f t="shared" si="71"/>
        <v>12</v>
      </c>
      <c r="R84" s="1278">
        <f t="shared" si="71"/>
        <v>12</v>
      </c>
      <c r="S84" s="1278">
        <f t="shared" si="71"/>
        <v>12</v>
      </c>
      <c r="T84" s="1278">
        <f t="shared" si="71"/>
        <v>12</v>
      </c>
      <c r="U84" s="1278">
        <f t="shared" si="71"/>
        <v>12</v>
      </c>
    </row>
    <row r="85" spans="2:21" s="1269" customFormat="1">
      <c r="B85" s="1269" t="s">
        <v>658</v>
      </c>
      <c r="I85" s="1271"/>
      <c r="J85" s="1271"/>
      <c r="K85" s="1271">
        <f>K82*K84</f>
        <v>27553.417156246254</v>
      </c>
      <c r="L85" s="1271">
        <f t="shared" ref="L85:U85" si="72">L82*L84</f>
        <v>103132.37406115161</v>
      </c>
      <c r="M85" s="1271">
        <f t="shared" si="72"/>
        <v>192154.2822555328</v>
      </c>
      <c r="N85" s="1271">
        <f t="shared" si="72"/>
        <v>255727.29448275844</v>
      </c>
      <c r="O85" s="1271">
        <f t="shared" si="72"/>
        <v>296272.05752903339</v>
      </c>
      <c r="P85" s="1271">
        <f t="shared" si="72"/>
        <v>316191.66789780115</v>
      </c>
      <c r="Q85" s="1271">
        <f t="shared" si="72"/>
        <v>324683.29047865502</v>
      </c>
      <c r="R85" s="1271">
        <f t="shared" si="72"/>
        <v>335408.37035755208</v>
      </c>
      <c r="S85" s="1271">
        <f t="shared" si="72"/>
        <v>339306.14121927554</v>
      </c>
      <c r="T85" s="1271">
        <f t="shared" si="72"/>
        <v>338672.55185601657</v>
      </c>
      <c r="U85" s="1271">
        <f t="shared" si="72"/>
        <v>90144.038826610253</v>
      </c>
    </row>
    <row r="86" spans="2:21" s="1269" customFormat="1">
      <c r="B86" s="1269" t="s">
        <v>659</v>
      </c>
      <c r="I86" s="1280"/>
      <c r="J86" s="1280"/>
      <c r="K86" s="1280">
        <f t="shared" ref="K86:U86" si="73">K47</f>
        <v>10200</v>
      </c>
      <c r="L86" s="1280">
        <f t="shared" si="73"/>
        <v>10404</v>
      </c>
      <c r="M86" s="1280">
        <f t="shared" si="73"/>
        <v>10612.08</v>
      </c>
      <c r="N86" s="1280">
        <f t="shared" si="73"/>
        <v>10824.321599999999</v>
      </c>
      <c r="O86" s="1280">
        <f t="shared" si="73"/>
        <v>11040.808031999999</v>
      </c>
      <c r="P86" s="1280">
        <f t="shared" si="73"/>
        <v>11261.62419264</v>
      </c>
      <c r="Q86" s="1280">
        <f t="shared" si="73"/>
        <v>11486.8566764928</v>
      </c>
      <c r="R86" s="1280">
        <f t="shared" si="73"/>
        <v>11716.593810022656</v>
      </c>
      <c r="S86" s="1280">
        <f t="shared" si="73"/>
        <v>11950.925686223109</v>
      </c>
      <c r="T86" s="1280">
        <f t="shared" si="73"/>
        <v>12189.944199947571</v>
      </c>
      <c r="U86" s="1280">
        <f t="shared" si="73"/>
        <v>12433.743083946523</v>
      </c>
    </row>
    <row r="87" spans="2:21" s="1269" customFormat="1">
      <c r="I87" s="1281"/>
      <c r="J87" s="1282"/>
      <c r="K87" s="1282"/>
      <c r="L87" s="1282"/>
      <c r="M87" s="1282"/>
      <c r="N87" s="1282"/>
      <c r="O87" s="1282"/>
      <c r="P87" s="1282"/>
      <c r="Q87" s="1282"/>
      <c r="R87" s="1282"/>
      <c r="S87" s="1282"/>
      <c r="T87" s="1282"/>
      <c r="U87" s="1282"/>
    </row>
    <row r="88" spans="2:21" s="1269" customFormat="1">
      <c r="B88" s="1247" t="s">
        <v>846</v>
      </c>
      <c r="C88" s="1247"/>
      <c r="D88" s="1247"/>
      <c r="E88" s="1247"/>
      <c r="F88" s="1247"/>
      <c r="G88" s="1248"/>
      <c r="H88" s="1248"/>
      <c r="I88" s="1248"/>
      <c r="J88" s="1248"/>
      <c r="K88" s="1248">
        <f>K76*K84*K86/1000000</f>
        <v>70.261213748427949</v>
      </c>
      <c r="L88" s="1248">
        <f t="shared" ref="L88:U88" si="74">L76*L84*L86/1000000</f>
        <v>357.6630732440737</v>
      </c>
      <c r="M88" s="1248">
        <f t="shared" si="74"/>
        <v>728.27021987081946</v>
      </c>
      <c r="N88" s="1248">
        <f t="shared" si="74"/>
        <v>988.59802763545815</v>
      </c>
      <c r="O88" s="1248">
        <f t="shared" si="74"/>
        <v>1157.4601074730076</v>
      </c>
      <c r="P88" s="1248">
        <f t="shared" si="74"/>
        <v>1332.1097144523137</v>
      </c>
      <c r="Q88" s="1248">
        <f t="shared" si="74"/>
        <v>1460.5389069014116</v>
      </c>
      <c r="R88" s="1248">
        <f t="shared" si="74"/>
        <v>1540.0738573360993</v>
      </c>
      <c r="S88" s="1248">
        <f t="shared" si="74"/>
        <v>1622.0089914362741</v>
      </c>
      <c r="T88" s="1248">
        <f t="shared" si="74"/>
        <v>1651.3598036714768</v>
      </c>
      <c r="U88" s="1248">
        <f t="shared" si="74"/>
        <v>280.20695482984303</v>
      </c>
    </row>
    <row r="89" spans="2:21" s="1269" customFormat="1">
      <c r="B89" s="1251"/>
      <c r="C89" s="1251"/>
      <c r="D89" s="1251"/>
      <c r="E89" s="1251"/>
      <c r="F89" s="1251"/>
      <c r="G89" s="1252"/>
      <c r="H89" s="1252"/>
      <c r="I89" s="1252"/>
      <c r="J89" s="1252"/>
      <c r="K89" s="1252"/>
      <c r="L89" s="1252"/>
      <c r="M89" s="1252"/>
      <c r="N89" s="1252"/>
      <c r="O89" s="1252"/>
      <c r="P89" s="1252"/>
      <c r="Q89" s="1252"/>
      <c r="R89" s="1252"/>
      <c r="S89" s="1252"/>
      <c r="T89" s="1252"/>
      <c r="U89" s="1252"/>
    </row>
    <row r="90" spans="2:21" s="1269" customFormat="1">
      <c r="B90" s="1247" t="s">
        <v>847</v>
      </c>
      <c r="C90" s="1247"/>
      <c r="D90" s="1247"/>
      <c r="E90" s="1247"/>
      <c r="F90" s="1247"/>
      <c r="G90" s="1248"/>
      <c r="H90" s="1248"/>
      <c r="I90" s="1248"/>
      <c r="J90" s="1248"/>
      <c r="K90" s="1248">
        <f>K79*K84*K86/1000000</f>
        <v>210.78364124528383</v>
      </c>
      <c r="L90" s="1248">
        <f t="shared" ref="L90:U90" si="75">L79*L84*L86/1000000</f>
        <v>715.3261464881474</v>
      </c>
      <c r="M90" s="1248">
        <f t="shared" si="75"/>
        <v>1310.8863957674748</v>
      </c>
      <c r="N90" s="1248">
        <f t="shared" si="75"/>
        <v>1779.4764497438246</v>
      </c>
      <c r="O90" s="1248">
        <f t="shared" si="75"/>
        <v>2113.6228049507095</v>
      </c>
      <c r="P90" s="1248">
        <f t="shared" si="75"/>
        <v>2228.7220222567553</v>
      </c>
      <c r="Q90" s="1248">
        <f t="shared" si="75"/>
        <v>2269.0515160789778</v>
      </c>
      <c r="R90" s="1248">
        <f t="shared" si="75"/>
        <v>2389.7697786249819</v>
      </c>
      <c r="S90" s="1248">
        <f t="shared" si="75"/>
        <v>2433.013487154411</v>
      </c>
      <c r="T90" s="1248">
        <f t="shared" si="75"/>
        <v>2477.0397055072153</v>
      </c>
      <c r="U90" s="1248">
        <f t="shared" si="75"/>
        <v>840.62086448952903</v>
      </c>
    </row>
    <row r="91" spans="2:21" s="1269" customFormat="1">
      <c r="B91" s="1251"/>
      <c r="C91" s="1251"/>
      <c r="D91" s="1251"/>
      <c r="E91" s="1251"/>
      <c r="F91" s="1251"/>
      <c r="G91" s="1252"/>
      <c r="H91" s="1252"/>
      <c r="I91" s="1252"/>
      <c r="J91" s="1252"/>
      <c r="K91" s="1252"/>
      <c r="L91" s="1252"/>
      <c r="M91" s="1252"/>
      <c r="N91" s="1252"/>
      <c r="O91" s="1252"/>
      <c r="P91" s="1252"/>
      <c r="Q91" s="1252"/>
      <c r="R91" s="1252"/>
      <c r="S91" s="1252"/>
      <c r="T91" s="1252"/>
      <c r="U91" s="1252"/>
    </row>
    <row r="92" spans="2:21" s="1269" customFormat="1">
      <c r="B92" s="1247" t="s">
        <v>848</v>
      </c>
      <c r="C92" s="1247"/>
      <c r="D92" s="1247"/>
      <c r="E92" s="1247"/>
      <c r="F92" s="1247"/>
      <c r="G92" s="1248"/>
      <c r="H92" s="1248"/>
      <c r="I92" s="1248"/>
      <c r="J92" s="1248"/>
      <c r="K92" s="1248">
        <f>K88+K90</f>
        <v>281.04485499371179</v>
      </c>
      <c r="L92" s="1248">
        <f t="shared" ref="L92:U92" si="76">L88+L90</f>
        <v>1072.989219732221</v>
      </c>
      <c r="M92" s="1248">
        <f t="shared" si="76"/>
        <v>2039.1566156382942</v>
      </c>
      <c r="N92" s="1248">
        <f t="shared" si="76"/>
        <v>2768.0744773792826</v>
      </c>
      <c r="O92" s="1248">
        <f t="shared" si="76"/>
        <v>3271.0829124237171</v>
      </c>
      <c r="P92" s="1248">
        <f t="shared" si="76"/>
        <v>3560.831736709069</v>
      </c>
      <c r="Q92" s="1248">
        <f t="shared" si="76"/>
        <v>3729.5904229803891</v>
      </c>
      <c r="R92" s="1248">
        <f t="shared" si="76"/>
        <v>3929.8436359610814</v>
      </c>
      <c r="S92" s="1248">
        <f t="shared" si="76"/>
        <v>4055.0224785906848</v>
      </c>
      <c r="T92" s="1248">
        <f t="shared" si="76"/>
        <v>4128.3995091786919</v>
      </c>
      <c r="U92" s="1248">
        <f t="shared" si="76"/>
        <v>1120.8278193193721</v>
      </c>
    </row>
    <row r="93" spans="2:21" s="1269" customFormat="1">
      <c r="B93" s="1272" t="s">
        <v>662</v>
      </c>
      <c r="I93" s="1283"/>
      <c r="J93" s="1283"/>
      <c r="K93" s="1283"/>
      <c r="L93" s="1283">
        <f>L92/K92-1</f>
        <v>2.8178575436160487</v>
      </c>
      <c r="M93" s="1283">
        <f t="shared" ref="M93:U93" si="77">M92/L92-1</f>
        <v>0.90044464393332224</v>
      </c>
      <c r="N93" s="1283">
        <f t="shared" si="77"/>
        <v>0.35746045995237274</v>
      </c>
      <c r="O93" s="1283">
        <f t="shared" si="77"/>
        <v>0.18171781111925345</v>
      </c>
      <c r="P93" s="1283">
        <f t="shared" si="77"/>
        <v>8.8578868846421743E-2</v>
      </c>
      <c r="Q93" s="1283">
        <f t="shared" si="77"/>
        <v>4.7393052733035734E-2</v>
      </c>
      <c r="R93" s="1283">
        <f t="shared" si="77"/>
        <v>5.3693084298695126E-2</v>
      </c>
      <c r="S93" s="1283">
        <f t="shared" si="77"/>
        <v>3.1853390166499462E-2</v>
      </c>
      <c r="T93" s="1283">
        <f t="shared" si="77"/>
        <v>1.809534496427978E-2</v>
      </c>
      <c r="U93" s="1283">
        <f t="shared" si="77"/>
        <v>-0.72850790800952536</v>
      </c>
    </row>
    <row r="94" spans="2:21" s="1269" customFormat="1"/>
    <row r="95" spans="2:21" s="1269" customFormat="1"/>
    <row r="96" spans="2:21" s="1269" customFormat="1">
      <c r="B96" s="1267" t="s">
        <v>668</v>
      </c>
      <c r="C96" s="1268" t="s">
        <v>580</v>
      </c>
      <c r="D96" s="1268" t="s">
        <v>372</v>
      </c>
      <c r="E96" s="1268" t="s">
        <v>302</v>
      </c>
      <c r="F96" s="1268" t="s">
        <v>301</v>
      </c>
      <c r="G96" s="1268" t="s">
        <v>300</v>
      </c>
      <c r="H96" s="1268" t="s">
        <v>312</v>
      </c>
      <c r="I96" s="1268" t="s">
        <v>313</v>
      </c>
      <c r="J96" s="1268" t="s">
        <v>323</v>
      </c>
      <c r="K96" s="1268" t="s">
        <v>324</v>
      </c>
      <c r="L96" s="1268" t="s">
        <v>325</v>
      </c>
      <c r="M96" s="1268" t="s">
        <v>392</v>
      </c>
      <c r="N96" s="1268" t="s">
        <v>393</v>
      </c>
      <c r="O96" s="1268" t="s">
        <v>394</v>
      </c>
      <c r="P96" s="1268" t="s">
        <v>395</v>
      </c>
      <c r="Q96" s="1268" t="s">
        <v>396</v>
      </c>
      <c r="R96" s="1268" t="s">
        <v>397</v>
      </c>
      <c r="S96" s="1268" t="s">
        <v>398</v>
      </c>
      <c r="T96" s="1268" t="s">
        <v>399</v>
      </c>
      <c r="U96" s="1268" t="s">
        <v>400</v>
      </c>
    </row>
    <row r="97" spans="2:256" s="1269" customFormat="1" hidden="1">
      <c r="B97" s="1269" t="s">
        <v>669</v>
      </c>
      <c r="C97" s="1270">
        <v>375925</v>
      </c>
      <c r="D97" s="1271">
        <f>C102</f>
        <v>427125</v>
      </c>
      <c r="E97" s="1271">
        <f>D102</f>
        <v>478595</v>
      </c>
      <c r="F97" s="1271">
        <f>E102</f>
        <v>528655</v>
      </c>
      <c r="G97" s="1271">
        <f>F102</f>
        <v>576135</v>
      </c>
      <c r="H97" s="1271">
        <f>G102</f>
        <v>624595</v>
      </c>
      <c r="I97" s="1271">
        <f t="shared" ref="I97:U97" si="78">H102</f>
        <v>668260.14651888108</v>
      </c>
      <c r="J97" s="1271">
        <f t="shared" si="78"/>
        <v>710140.43485759059</v>
      </c>
      <c r="K97" s="1271">
        <f t="shared" si="78"/>
        <v>750292.68940009747</v>
      </c>
      <c r="L97" s="1271">
        <f t="shared" si="78"/>
        <v>788772.01744281501</v>
      </c>
      <c r="M97" s="1271">
        <f t="shared" si="78"/>
        <v>825631.86040664732</v>
      </c>
      <c r="N97" s="1271">
        <f t="shared" si="78"/>
        <v>860924.04352684016</v>
      </c>
      <c r="O97" s="1271">
        <f t="shared" si="78"/>
        <v>894698.82406583836</v>
      </c>
      <c r="P97" s="1271">
        <f t="shared" si="78"/>
        <v>927004.93809301371</v>
      </c>
      <c r="Q97" s="1271">
        <f t="shared" si="78"/>
        <v>957889.64587382274</v>
      </c>
      <c r="R97" s="1271">
        <f t="shared" si="78"/>
        <v>987398.77590968995</v>
      </c>
      <c r="S97" s="1271">
        <f t="shared" si="78"/>
        <v>1015576.7676686877</v>
      </c>
      <c r="T97" s="1271">
        <f t="shared" si="78"/>
        <v>1042466.7130458928</v>
      </c>
      <c r="U97" s="1271">
        <f t="shared" si="78"/>
        <v>1068110.3965911453</v>
      </c>
    </row>
    <row r="98" spans="2:256" s="1269" customFormat="1">
      <c r="B98" s="1269" t="s">
        <v>670</v>
      </c>
      <c r="C98" s="1270">
        <v>64770</v>
      </c>
      <c r="D98" s="1270">
        <v>65150</v>
      </c>
      <c r="E98" s="1270">
        <v>63920</v>
      </c>
      <c r="F98" s="1270">
        <v>61560</v>
      </c>
      <c r="G98" s="1270">
        <v>62700</v>
      </c>
      <c r="H98" s="1271">
        <f>G98*(1+H99)</f>
        <v>62207.566300285594</v>
      </c>
      <c r="I98" s="1271">
        <f>H98*(1+I99)</f>
        <v>61719.000079815443</v>
      </c>
      <c r="J98" s="1271">
        <f t="shared" ref="J98:U98" si="79">I98*(1+J99)</f>
        <v>61234.270964153926</v>
      </c>
      <c r="K98" s="1271">
        <f t="shared" si="79"/>
        <v>60753.348817420396</v>
      </c>
      <c r="L98" s="1271">
        <f t="shared" si="79"/>
        <v>60276.203740415578</v>
      </c>
      <c r="M98" s="1271">
        <f t="shared" si="79"/>
        <v>59802.806068762759</v>
      </c>
      <c r="N98" s="1271">
        <f t="shared" si="79"/>
        <v>59333.126371063496</v>
      </c>
      <c r="O98" s="1271">
        <f t="shared" si="79"/>
        <v>58867.135447067885</v>
      </c>
      <c r="P98" s="1271">
        <f t="shared" si="79"/>
        <v>58404.804325859135</v>
      </c>
      <c r="Q98" s="1271">
        <f t="shared" si="79"/>
        <v>57946.104264052461</v>
      </c>
      <c r="R98" s="1271">
        <f t="shared" si="79"/>
        <v>57491.00674400806</v>
      </c>
      <c r="S98" s="1271">
        <f t="shared" si="79"/>
        <v>57039.483472058178</v>
      </c>
      <c r="T98" s="1271">
        <f t="shared" si="79"/>
        <v>56591.506376748068</v>
      </c>
      <c r="U98" s="1271">
        <f t="shared" si="79"/>
        <v>56147.047607090761</v>
      </c>
    </row>
    <row r="99" spans="2:256" s="1269" customFormat="1">
      <c r="B99" s="1272" t="s">
        <v>645</v>
      </c>
      <c r="C99" s="1272"/>
      <c r="D99" s="1273">
        <f>D98/C98-1</f>
        <v>5.8669136946116751E-3</v>
      </c>
      <c r="E99" s="1273">
        <f>E98/D98-1</f>
        <v>-1.8879508825786595E-2</v>
      </c>
      <c r="F99" s="1273">
        <f>F98/E98-1</f>
        <v>-3.6921151439299082E-2</v>
      </c>
      <c r="G99" s="1273">
        <f>G98/F98-1</f>
        <v>1.8518518518518601E-2</v>
      </c>
      <c r="H99" s="1273">
        <f>AVERAGE(D99:G99)</f>
        <v>-7.8538070129888504E-3</v>
      </c>
      <c r="I99" s="1273">
        <f>H99</f>
        <v>-7.8538070129888504E-3</v>
      </c>
      <c r="J99" s="1273">
        <f t="shared" ref="J99:U99" si="80">I99</f>
        <v>-7.8538070129888504E-3</v>
      </c>
      <c r="K99" s="1273">
        <f t="shared" si="80"/>
        <v>-7.8538070129888504E-3</v>
      </c>
      <c r="L99" s="1273">
        <f t="shared" si="80"/>
        <v>-7.8538070129888504E-3</v>
      </c>
      <c r="M99" s="1273">
        <f t="shared" si="80"/>
        <v>-7.8538070129888504E-3</v>
      </c>
      <c r="N99" s="1273">
        <f t="shared" si="80"/>
        <v>-7.8538070129888504E-3</v>
      </c>
      <c r="O99" s="1273">
        <f t="shared" si="80"/>
        <v>-7.8538070129888504E-3</v>
      </c>
      <c r="P99" s="1273">
        <f t="shared" si="80"/>
        <v>-7.8538070129888504E-3</v>
      </c>
      <c r="Q99" s="1273">
        <f t="shared" si="80"/>
        <v>-7.8538070129888504E-3</v>
      </c>
      <c r="R99" s="1273">
        <f t="shared" si="80"/>
        <v>-7.8538070129888504E-3</v>
      </c>
      <c r="S99" s="1273">
        <f t="shared" si="80"/>
        <v>-7.8538070129888504E-3</v>
      </c>
      <c r="T99" s="1273">
        <f t="shared" si="80"/>
        <v>-7.8538070129888504E-3</v>
      </c>
      <c r="U99" s="1273">
        <f t="shared" si="80"/>
        <v>-7.8538070129888504E-3</v>
      </c>
    </row>
    <row r="100" spans="2:256" s="1269" customFormat="1" hidden="1">
      <c r="B100" s="1269" t="s">
        <v>646</v>
      </c>
      <c r="C100" s="1270">
        <v>13570</v>
      </c>
      <c r="D100" s="1270">
        <v>13680</v>
      </c>
      <c r="E100" s="1270">
        <v>13860</v>
      </c>
      <c r="F100" s="1270">
        <v>14080</v>
      </c>
      <c r="G100" s="1270">
        <v>14240</v>
      </c>
      <c r="H100" s="1270">
        <f>H97*H101</f>
        <v>18542.419781404544</v>
      </c>
      <c r="I100" s="1270">
        <f>I97*I101</f>
        <v>19838.711741105835</v>
      </c>
      <c r="J100" s="1270">
        <f t="shared" ref="J100:U100" si="81">J97*J101</f>
        <v>21082.016421647008</v>
      </c>
      <c r="K100" s="1270">
        <f t="shared" si="81"/>
        <v>22274.020774702938</v>
      </c>
      <c r="L100" s="1270">
        <f t="shared" si="81"/>
        <v>23416.36077658326</v>
      </c>
      <c r="M100" s="1270">
        <f t="shared" si="81"/>
        <v>24510.622948569955</v>
      </c>
      <c r="N100" s="1270">
        <f t="shared" si="81"/>
        <v>25558.345832065366</v>
      </c>
      <c r="O100" s="1270">
        <f t="shared" si="81"/>
        <v>26561.021419892546</v>
      </c>
      <c r="P100" s="1270">
        <f t="shared" si="81"/>
        <v>27520.096545050139</v>
      </c>
      <c r="Q100" s="1270">
        <f t="shared" si="81"/>
        <v>28436.974228185245</v>
      </c>
      <c r="R100" s="1270">
        <f t="shared" si="81"/>
        <v>29313.014985010232</v>
      </c>
      <c r="S100" s="1270">
        <f t="shared" si="81"/>
        <v>30149.53809485308</v>
      </c>
      <c r="T100" s="1270">
        <f t="shared" si="81"/>
        <v>30947.822831495505</v>
      </c>
      <c r="U100" s="1270">
        <f t="shared" si="81"/>
        <v>31709.109657418812</v>
      </c>
    </row>
    <row r="101" spans="2:256" s="1269" customFormat="1" hidden="1">
      <c r="B101" s="1272" t="s">
        <v>647</v>
      </c>
      <c r="C101" s="1273">
        <f>C100/C97</f>
        <v>3.6097625856221317E-2</v>
      </c>
      <c r="D101" s="1273">
        <f>D100/D97</f>
        <v>3.2028094820017561E-2</v>
      </c>
      <c r="E101" s="1273">
        <f>E100/E97</f>
        <v>2.8959767653234991E-2</v>
      </c>
      <c r="F101" s="1273">
        <f>F100/F97</f>
        <v>2.6633626845485241E-2</v>
      </c>
      <c r="G101" s="1273">
        <f>G100/G97</f>
        <v>2.4716429309102901E-2</v>
      </c>
      <c r="H101" s="1273">
        <f>AVERAGE(C101:G101)</f>
        <v>2.9687108896812402E-2</v>
      </c>
      <c r="I101" s="1273">
        <f>H101</f>
        <v>2.9687108896812402E-2</v>
      </c>
      <c r="J101" s="1273">
        <f t="shared" ref="J101:U101" si="82">I101</f>
        <v>2.9687108896812402E-2</v>
      </c>
      <c r="K101" s="1273">
        <f t="shared" si="82"/>
        <v>2.9687108896812402E-2</v>
      </c>
      <c r="L101" s="1273">
        <f t="shared" si="82"/>
        <v>2.9687108896812402E-2</v>
      </c>
      <c r="M101" s="1273">
        <f t="shared" si="82"/>
        <v>2.9687108896812402E-2</v>
      </c>
      <c r="N101" s="1273">
        <f t="shared" si="82"/>
        <v>2.9687108896812402E-2</v>
      </c>
      <c r="O101" s="1273">
        <f t="shared" si="82"/>
        <v>2.9687108896812402E-2</v>
      </c>
      <c r="P101" s="1273">
        <f t="shared" si="82"/>
        <v>2.9687108896812402E-2</v>
      </c>
      <c r="Q101" s="1273">
        <f t="shared" si="82"/>
        <v>2.9687108896812402E-2</v>
      </c>
      <c r="R101" s="1273">
        <f t="shared" si="82"/>
        <v>2.9687108896812402E-2</v>
      </c>
      <c r="S101" s="1273">
        <f t="shared" si="82"/>
        <v>2.9687108896812402E-2</v>
      </c>
      <c r="T101" s="1273">
        <f t="shared" si="82"/>
        <v>2.9687108896812402E-2</v>
      </c>
      <c r="U101" s="1273">
        <f t="shared" si="82"/>
        <v>2.9687108896812402E-2</v>
      </c>
    </row>
    <row r="102" spans="2:256" s="1269" customFormat="1" hidden="1" collapsed="1">
      <c r="B102" s="1269" t="s">
        <v>671</v>
      </c>
      <c r="C102" s="1271">
        <f>C97+C98-C100</f>
        <v>427125</v>
      </c>
      <c r="D102" s="1271">
        <f t="shared" ref="D102:U102" si="83">D97+D98-D100</f>
        <v>478595</v>
      </c>
      <c r="E102" s="1271">
        <f t="shared" si="83"/>
        <v>528655</v>
      </c>
      <c r="F102" s="1271">
        <f t="shared" si="83"/>
        <v>576135</v>
      </c>
      <c r="G102" s="1271">
        <f t="shared" si="83"/>
        <v>624595</v>
      </c>
      <c r="H102" s="1271">
        <f t="shared" si="83"/>
        <v>668260.14651888108</v>
      </c>
      <c r="I102" s="1271">
        <f t="shared" si="83"/>
        <v>710140.43485759059</v>
      </c>
      <c r="J102" s="1271">
        <f t="shared" si="83"/>
        <v>750292.68940009747</v>
      </c>
      <c r="K102" s="1271">
        <f t="shared" si="83"/>
        <v>788772.01744281501</v>
      </c>
      <c r="L102" s="1271">
        <f t="shared" si="83"/>
        <v>825631.86040664732</v>
      </c>
      <c r="M102" s="1271">
        <f t="shared" si="83"/>
        <v>860924.04352684016</v>
      </c>
      <c r="N102" s="1271">
        <f t="shared" si="83"/>
        <v>894698.82406583836</v>
      </c>
      <c r="O102" s="1271">
        <f t="shared" si="83"/>
        <v>927004.93809301371</v>
      </c>
      <c r="P102" s="1271">
        <f t="shared" si="83"/>
        <v>957889.64587382274</v>
      </c>
      <c r="Q102" s="1271">
        <f t="shared" si="83"/>
        <v>987398.77590968995</v>
      </c>
      <c r="R102" s="1271">
        <f t="shared" si="83"/>
        <v>1015576.7676686877</v>
      </c>
      <c r="S102" s="1271">
        <f t="shared" si="83"/>
        <v>1042466.7130458928</v>
      </c>
      <c r="T102" s="1271">
        <f t="shared" si="83"/>
        <v>1068110.3965911453</v>
      </c>
      <c r="U102" s="1271">
        <f t="shared" si="83"/>
        <v>1092548.3345408172</v>
      </c>
    </row>
    <row r="103" spans="2:256" s="1269" customFormat="1">
      <c r="F103" s="1274"/>
      <c r="G103" s="1275"/>
    </row>
    <row r="104" spans="2:256" s="1269" customFormat="1">
      <c r="B104" s="1269" t="s">
        <v>672</v>
      </c>
      <c r="C104" s="1271">
        <f>C98*C105</f>
        <v>59588.4</v>
      </c>
      <c r="D104" s="1271">
        <f t="shared" ref="D104:U104" si="84">D98*D105</f>
        <v>59938</v>
      </c>
      <c r="E104" s="1271">
        <f t="shared" si="84"/>
        <v>58806.400000000001</v>
      </c>
      <c r="F104" s="1271">
        <f t="shared" si="84"/>
        <v>56635.200000000004</v>
      </c>
      <c r="G104" s="1271">
        <f t="shared" si="84"/>
        <v>57684</v>
      </c>
      <c r="H104" s="1271">
        <f t="shared" si="84"/>
        <v>57230.960996262751</v>
      </c>
      <c r="I104" s="1271">
        <f t="shared" si="84"/>
        <v>56781.480073430212</v>
      </c>
      <c r="J104" s="1271">
        <f t="shared" si="84"/>
        <v>56335.529287021614</v>
      </c>
      <c r="K104" s="1271">
        <f t="shared" si="84"/>
        <v>55893.080912026766</v>
      </c>
      <c r="L104" s="1271">
        <f t="shared" si="84"/>
        <v>55454.107441182336</v>
      </c>
      <c r="M104" s="1271">
        <f t="shared" si="84"/>
        <v>55018.581583261737</v>
      </c>
      <c r="N104" s="1271">
        <f t="shared" si="84"/>
        <v>54586.476261378419</v>
      </c>
      <c r="O104" s="1271">
        <f t="shared" si="84"/>
        <v>54157.76461130246</v>
      </c>
      <c r="P104" s="1271">
        <f t="shared" si="84"/>
        <v>53732.419979790408</v>
      </c>
      <c r="Q104" s="1271">
        <f t="shared" si="84"/>
        <v>53310.415922928267</v>
      </c>
      <c r="R104" s="1271">
        <f t="shared" si="84"/>
        <v>52891.726204487415</v>
      </c>
      <c r="S104" s="1271">
        <f t="shared" si="84"/>
        <v>52476.324794293527</v>
      </c>
      <c r="T104" s="1271">
        <f t="shared" si="84"/>
        <v>52064.185866608226</v>
      </c>
      <c r="U104" s="1271">
        <f t="shared" si="84"/>
        <v>51655.283798523502</v>
      </c>
    </row>
    <row r="105" spans="2:256" s="1269" customFormat="1">
      <c r="B105" s="1272" t="s">
        <v>673</v>
      </c>
      <c r="C105" s="1284">
        <v>0.92</v>
      </c>
      <c r="D105" s="1284">
        <f>C105</f>
        <v>0.92</v>
      </c>
      <c r="E105" s="1284">
        <f t="shared" ref="E105:U105" si="85">D105</f>
        <v>0.92</v>
      </c>
      <c r="F105" s="1284">
        <f t="shared" si="85"/>
        <v>0.92</v>
      </c>
      <c r="G105" s="1284">
        <f t="shared" si="85"/>
        <v>0.92</v>
      </c>
      <c r="H105" s="1284">
        <f t="shared" si="85"/>
        <v>0.92</v>
      </c>
      <c r="I105" s="1284">
        <f t="shared" si="85"/>
        <v>0.92</v>
      </c>
      <c r="J105" s="1284">
        <f t="shared" si="85"/>
        <v>0.92</v>
      </c>
      <c r="K105" s="1284">
        <f t="shared" si="85"/>
        <v>0.92</v>
      </c>
      <c r="L105" s="1284">
        <f t="shared" si="85"/>
        <v>0.92</v>
      </c>
      <c r="M105" s="1284">
        <f t="shared" si="85"/>
        <v>0.92</v>
      </c>
      <c r="N105" s="1284">
        <f t="shared" si="85"/>
        <v>0.92</v>
      </c>
      <c r="O105" s="1284">
        <f t="shared" si="85"/>
        <v>0.92</v>
      </c>
      <c r="P105" s="1284">
        <f t="shared" si="85"/>
        <v>0.92</v>
      </c>
      <c r="Q105" s="1284">
        <f t="shared" si="85"/>
        <v>0.92</v>
      </c>
      <c r="R105" s="1284">
        <f t="shared" si="85"/>
        <v>0.92</v>
      </c>
      <c r="S105" s="1284">
        <f t="shared" si="85"/>
        <v>0.92</v>
      </c>
      <c r="T105" s="1284">
        <f t="shared" si="85"/>
        <v>0.92</v>
      </c>
      <c r="U105" s="1284">
        <f t="shared" si="85"/>
        <v>0.92</v>
      </c>
    </row>
    <row r="106" spans="2:256" s="1269" customFormat="1">
      <c r="B106" s="1272"/>
      <c r="F106" s="1274"/>
      <c r="G106" s="1275"/>
    </row>
    <row r="107" spans="2:256" s="1269" customFormat="1">
      <c r="B107" s="1269" t="s">
        <v>649</v>
      </c>
      <c r="C107" s="1271">
        <f>C104*C108</f>
        <v>9534.1440000000002</v>
      </c>
      <c r="D107" s="1271">
        <f>D104*D108</f>
        <v>9590.08</v>
      </c>
      <c r="E107" s="1271">
        <f t="shared" ref="E107:U107" si="86">E104*E108</f>
        <v>9409.0240000000013</v>
      </c>
      <c r="F107" s="1271">
        <f t="shared" si="86"/>
        <v>9061.6320000000014</v>
      </c>
      <c r="G107" s="1271">
        <f t="shared" si="86"/>
        <v>9229.44</v>
      </c>
      <c r="H107" s="1271">
        <f t="shared" si="86"/>
        <v>9156.9537594020403</v>
      </c>
      <c r="I107" s="1271">
        <f t="shared" si="86"/>
        <v>9085.0368117488342</v>
      </c>
      <c r="J107" s="1271">
        <f t="shared" si="86"/>
        <v>9013.6846859234593</v>
      </c>
      <c r="K107" s="1271">
        <f t="shared" si="86"/>
        <v>8942.8929459242827</v>
      </c>
      <c r="L107" s="1271">
        <f t="shared" si="86"/>
        <v>8872.6571905891742</v>
      </c>
      <c r="M107" s="1271">
        <f t="shared" si="86"/>
        <v>8802.973053321879</v>
      </c>
      <c r="N107" s="1271">
        <f t="shared" si="86"/>
        <v>8733.836201820548</v>
      </c>
      <c r="O107" s="1271">
        <f t="shared" si="86"/>
        <v>8665.2423378083931</v>
      </c>
      <c r="P107" s="1271">
        <f t="shared" si="86"/>
        <v>8597.1871967664647</v>
      </c>
      <c r="Q107" s="1271">
        <f t="shared" si="86"/>
        <v>8529.666547668523</v>
      </c>
      <c r="R107" s="1271">
        <f t="shared" si="86"/>
        <v>8462.6761927179869</v>
      </c>
      <c r="S107" s="1271">
        <f t="shared" si="86"/>
        <v>8396.2119670869652</v>
      </c>
      <c r="T107" s="1271">
        <f t="shared" si="86"/>
        <v>8330.2697386573163</v>
      </c>
      <c r="U107" s="1271">
        <f t="shared" si="86"/>
        <v>8264.8454077637598</v>
      </c>
    </row>
    <row r="108" spans="2:256" s="1269" customFormat="1" hidden="1" outlineLevel="1">
      <c r="B108" s="1272" t="s">
        <v>650</v>
      </c>
      <c r="C108" s="1284">
        <v>0.16</v>
      </c>
      <c r="D108" s="1284">
        <f>C108</f>
        <v>0.16</v>
      </c>
      <c r="E108" s="1284">
        <f t="shared" ref="E108:U108" si="87">D108</f>
        <v>0.16</v>
      </c>
      <c r="F108" s="1284">
        <f t="shared" si="87"/>
        <v>0.16</v>
      </c>
      <c r="G108" s="1284">
        <f t="shared" si="87"/>
        <v>0.16</v>
      </c>
      <c r="H108" s="1284">
        <f t="shared" si="87"/>
        <v>0.16</v>
      </c>
      <c r="I108" s="1284">
        <f t="shared" si="87"/>
        <v>0.16</v>
      </c>
      <c r="J108" s="1284">
        <f t="shared" si="87"/>
        <v>0.16</v>
      </c>
      <c r="K108" s="1284">
        <f t="shared" si="87"/>
        <v>0.16</v>
      </c>
      <c r="L108" s="1284">
        <f t="shared" si="87"/>
        <v>0.16</v>
      </c>
      <c r="M108" s="1284">
        <f t="shared" si="87"/>
        <v>0.16</v>
      </c>
      <c r="N108" s="1284">
        <f t="shared" si="87"/>
        <v>0.16</v>
      </c>
      <c r="O108" s="1284">
        <f t="shared" si="87"/>
        <v>0.16</v>
      </c>
      <c r="P108" s="1284">
        <f t="shared" si="87"/>
        <v>0.16</v>
      </c>
      <c r="Q108" s="1284">
        <f t="shared" si="87"/>
        <v>0.16</v>
      </c>
      <c r="R108" s="1284">
        <f t="shared" si="87"/>
        <v>0.16</v>
      </c>
      <c r="S108" s="1284">
        <f t="shared" si="87"/>
        <v>0.16</v>
      </c>
      <c r="T108" s="1284">
        <f t="shared" si="87"/>
        <v>0.16</v>
      </c>
      <c r="U108" s="1284">
        <f t="shared" si="87"/>
        <v>0.16</v>
      </c>
    </row>
    <row r="109" spans="2:256" s="1269" customFormat="1" collapsed="1">
      <c r="B109" s="1269" t="s">
        <v>651</v>
      </c>
      <c r="C109" s="1271">
        <f>C104*C110</f>
        <v>9534.1440000000002</v>
      </c>
      <c r="D109" s="1271">
        <f>D104*D110</f>
        <v>9590.08</v>
      </c>
      <c r="E109" s="1271">
        <f t="shared" ref="E109:U109" si="88">E104*E110</f>
        <v>9409.0240000000013</v>
      </c>
      <c r="F109" s="1271">
        <f t="shared" si="88"/>
        <v>9061.6320000000014</v>
      </c>
      <c r="G109" s="1271">
        <f t="shared" si="88"/>
        <v>9229.44</v>
      </c>
      <c r="H109" s="1271">
        <f t="shared" si="88"/>
        <v>9156.9537594020403</v>
      </c>
      <c r="I109" s="1271">
        <f t="shared" si="88"/>
        <v>9085.0368117488342</v>
      </c>
      <c r="J109" s="1271">
        <f t="shared" si="88"/>
        <v>9013.6846859234593</v>
      </c>
      <c r="K109" s="1271">
        <f t="shared" si="88"/>
        <v>8942.8929459242827</v>
      </c>
      <c r="L109" s="1271">
        <f t="shared" si="88"/>
        <v>8872.6571905891742</v>
      </c>
      <c r="M109" s="1271">
        <f t="shared" si="88"/>
        <v>8802.973053321879</v>
      </c>
      <c r="N109" s="1271">
        <f t="shared" si="88"/>
        <v>8733.836201820548</v>
      </c>
      <c r="O109" s="1271">
        <f t="shared" si="88"/>
        <v>8665.2423378083931</v>
      </c>
      <c r="P109" s="1271">
        <f t="shared" si="88"/>
        <v>8597.1871967664647</v>
      </c>
      <c r="Q109" s="1271">
        <f t="shared" si="88"/>
        <v>8529.666547668523</v>
      </c>
      <c r="R109" s="1271">
        <f t="shared" si="88"/>
        <v>8462.6761927179869</v>
      </c>
      <c r="S109" s="1271">
        <f t="shared" si="88"/>
        <v>8396.2119670869652</v>
      </c>
      <c r="T109" s="1271">
        <f t="shared" si="88"/>
        <v>8330.2697386573163</v>
      </c>
      <c r="U109" s="1271">
        <f t="shared" si="88"/>
        <v>8264.8454077637598</v>
      </c>
    </row>
    <row r="110" spans="2:256" s="1269" customFormat="1" hidden="1" outlineLevel="1">
      <c r="B110" s="1272" t="s">
        <v>650</v>
      </c>
      <c r="C110" s="1284">
        <v>0.16</v>
      </c>
      <c r="D110" s="1284">
        <f>C110</f>
        <v>0.16</v>
      </c>
      <c r="E110" s="1284">
        <f t="shared" ref="E110:U110" si="89">D110</f>
        <v>0.16</v>
      </c>
      <c r="F110" s="1284">
        <f t="shared" si="89"/>
        <v>0.16</v>
      </c>
      <c r="G110" s="1284">
        <f t="shared" si="89"/>
        <v>0.16</v>
      </c>
      <c r="H110" s="1284">
        <f t="shared" si="89"/>
        <v>0.16</v>
      </c>
      <c r="I110" s="1284">
        <f t="shared" si="89"/>
        <v>0.16</v>
      </c>
      <c r="J110" s="1284">
        <f t="shared" si="89"/>
        <v>0.16</v>
      </c>
      <c r="K110" s="1284">
        <f t="shared" si="89"/>
        <v>0.16</v>
      </c>
      <c r="L110" s="1284">
        <f t="shared" si="89"/>
        <v>0.16</v>
      </c>
      <c r="M110" s="1284">
        <f t="shared" si="89"/>
        <v>0.16</v>
      </c>
      <c r="N110" s="1284">
        <f t="shared" si="89"/>
        <v>0.16</v>
      </c>
      <c r="O110" s="1284">
        <f t="shared" si="89"/>
        <v>0.16</v>
      </c>
      <c r="P110" s="1284">
        <f t="shared" si="89"/>
        <v>0.16</v>
      </c>
      <c r="Q110" s="1284">
        <f t="shared" si="89"/>
        <v>0.16</v>
      </c>
      <c r="R110" s="1284">
        <f t="shared" si="89"/>
        <v>0.16</v>
      </c>
      <c r="S110" s="1284">
        <f t="shared" si="89"/>
        <v>0.16</v>
      </c>
      <c r="T110" s="1284">
        <f t="shared" si="89"/>
        <v>0.16</v>
      </c>
      <c r="U110" s="1284">
        <f t="shared" si="89"/>
        <v>0.16</v>
      </c>
    </row>
    <row r="111" spans="2:256" s="1269" customFormat="1" collapsed="1"/>
    <row r="112" spans="2:256" s="1269" customFormat="1">
      <c r="B112" s="1531" t="s">
        <v>828</v>
      </c>
      <c r="C112" s="1271" t="e">
        <f>(C107+C109)*#REF!</f>
        <v>#REF!</v>
      </c>
      <c r="D112" s="1271" t="e">
        <f>(D107+D109)*#REF!</f>
        <v>#REF!</v>
      </c>
      <c r="E112" s="1271" t="e">
        <f>(E107+E109)*#REF!</f>
        <v>#REF!</v>
      </c>
      <c r="F112" s="1271" t="e">
        <f>(F107+F109)*#REF!</f>
        <v>#REF!</v>
      </c>
      <c r="G112" s="1271">
        <f>G107+G109</f>
        <v>18458.88</v>
      </c>
      <c r="H112" s="1271">
        <f t="shared" ref="H112:U112" si="90">H107+H109</f>
        <v>18313.907518804081</v>
      </c>
      <c r="I112" s="1271">
        <f t="shared" si="90"/>
        <v>18170.073623497668</v>
      </c>
      <c r="J112" s="1271">
        <f t="shared" si="90"/>
        <v>18027.369371846919</v>
      </c>
      <c r="K112" s="1271">
        <f t="shared" si="90"/>
        <v>17885.785891848565</v>
      </c>
      <c r="L112" s="1271">
        <f t="shared" si="90"/>
        <v>17745.314381178348</v>
      </c>
      <c r="M112" s="1271">
        <f t="shared" si="90"/>
        <v>17605.946106643758</v>
      </c>
      <c r="N112" s="1271">
        <f t="shared" si="90"/>
        <v>17467.672403641096</v>
      </c>
      <c r="O112" s="1271">
        <f t="shared" si="90"/>
        <v>17330.484675616786</v>
      </c>
      <c r="P112" s="1271">
        <f t="shared" si="90"/>
        <v>17194.374393532929</v>
      </c>
      <c r="Q112" s="1271">
        <f t="shared" si="90"/>
        <v>17059.333095337046</v>
      </c>
      <c r="R112" s="1271">
        <f t="shared" si="90"/>
        <v>16925.352385435974</v>
      </c>
      <c r="S112" s="1271">
        <f t="shared" si="90"/>
        <v>16792.42393417393</v>
      </c>
      <c r="T112" s="1271">
        <f t="shared" si="90"/>
        <v>16660.539477314633</v>
      </c>
      <c r="U112" s="1271">
        <f t="shared" si="90"/>
        <v>16529.69081552752</v>
      </c>
      <c r="IV112" s="1271"/>
    </row>
    <row r="113" spans="2:21" s="1269" customFormat="1">
      <c r="I113" s="1276"/>
    </row>
    <row r="114" spans="2:21" s="1269" customFormat="1">
      <c r="B114" s="1269" t="s">
        <v>655</v>
      </c>
      <c r="I114" s="1271"/>
      <c r="J114" s="1271"/>
      <c r="K114" s="1271">
        <f t="shared" ref="K114:U114" si="91">K112*K115</f>
        <v>536.573576755457</v>
      </c>
      <c r="L114" s="1271">
        <f t="shared" si="91"/>
        <v>1419.6251504942679</v>
      </c>
      <c r="M114" s="1271">
        <f t="shared" si="91"/>
        <v>2112.713532797251</v>
      </c>
      <c r="N114" s="1271">
        <f t="shared" si="91"/>
        <v>2794.8275845825756</v>
      </c>
      <c r="O114" s="1271">
        <f t="shared" si="91"/>
        <v>3466.0969351233575</v>
      </c>
      <c r="P114" s="1271">
        <f t="shared" si="91"/>
        <v>4126.6498544479027</v>
      </c>
      <c r="Q114" s="1271">
        <f t="shared" si="91"/>
        <v>4776.6132666943731</v>
      </c>
      <c r="R114" s="1271">
        <f t="shared" si="91"/>
        <v>4908.3521917764319</v>
      </c>
      <c r="S114" s="1271">
        <f t="shared" si="91"/>
        <v>5037.7271802521791</v>
      </c>
      <c r="T114" s="1271">
        <f t="shared" si="91"/>
        <v>4998.1618431943898</v>
      </c>
      <c r="U114" s="1271">
        <f t="shared" si="91"/>
        <v>826.48454077637598</v>
      </c>
    </row>
    <row r="115" spans="2:21" s="1269" customFormat="1">
      <c r="B115" s="1272" t="s">
        <v>656</v>
      </c>
      <c r="C115" s="1272"/>
      <c r="D115" s="1272"/>
      <c r="E115" s="1272"/>
      <c r="F115" s="1272"/>
      <c r="I115" s="1276"/>
      <c r="J115" s="1276"/>
      <c r="K115" s="1276">
        <v>0.03</v>
      </c>
      <c r="L115" s="1276">
        <v>0.08</v>
      </c>
      <c r="M115" s="1276">
        <v>0.12</v>
      </c>
      <c r="N115" s="1276">
        <v>0.16</v>
      </c>
      <c r="O115" s="1276">
        <v>0.2</v>
      </c>
      <c r="P115" s="1276">
        <v>0.24</v>
      </c>
      <c r="Q115" s="1276">
        <v>0.28000000000000003</v>
      </c>
      <c r="R115" s="1276">
        <v>0.28999999999999998</v>
      </c>
      <c r="S115" s="1276">
        <v>0.3</v>
      </c>
      <c r="T115" s="1276">
        <v>0.3</v>
      </c>
      <c r="U115" s="1276">
        <v>0.05</v>
      </c>
    </row>
    <row r="116" spans="2:21" s="1269" customFormat="1">
      <c r="J116" s="1285"/>
      <c r="K116" s="1285"/>
      <c r="L116" s="1285"/>
      <c r="M116" s="1285"/>
      <c r="N116" s="1285"/>
      <c r="O116" s="1285"/>
      <c r="P116" s="1285"/>
      <c r="Q116" s="1285"/>
      <c r="R116" s="1285"/>
      <c r="S116" s="1285"/>
      <c r="T116" s="1285"/>
      <c r="U116" s="1285"/>
    </row>
    <row r="117" spans="2:21" s="1269" customFormat="1">
      <c r="B117" s="1269" t="s">
        <v>657</v>
      </c>
      <c r="I117" s="1278"/>
      <c r="J117" s="1278"/>
      <c r="K117" s="1278">
        <v>5</v>
      </c>
      <c r="L117" s="1278">
        <v>10</v>
      </c>
      <c r="M117" s="1278">
        <v>12</v>
      </c>
      <c r="N117" s="1278">
        <f t="shared" ref="N117:U117" si="92">M117</f>
        <v>12</v>
      </c>
      <c r="O117" s="1278">
        <f t="shared" si="92"/>
        <v>12</v>
      </c>
      <c r="P117" s="1278">
        <f t="shared" si="92"/>
        <v>12</v>
      </c>
      <c r="Q117" s="1278">
        <f t="shared" si="92"/>
        <v>12</v>
      </c>
      <c r="R117" s="1278">
        <f t="shared" si="92"/>
        <v>12</v>
      </c>
      <c r="S117" s="1278">
        <f t="shared" si="92"/>
        <v>12</v>
      </c>
      <c r="T117" s="1278">
        <f t="shared" si="92"/>
        <v>12</v>
      </c>
      <c r="U117" s="1278">
        <f t="shared" si="92"/>
        <v>12</v>
      </c>
    </row>
    <row r="118" spans="2:21" s="1269" customFormat="1">
      <c r="B118" s="1269" t="s">
        <v>658</v>
      </c>
      <c r="I118" s="1271"/>
      <c r="J118" s="1271"/>
      <c r="K118" s="1271">
        <f t="shared" ref="K118:U118" si="93">K114*K117</f>
        <v>2682.867883777285</v>
      </c>
      <c r="L118" s="1271">
        <f t="shared" si="93"/>
        <v>14196.25150494268</v>
      </c>
      <c r="M118" s="1271">
        <f t="shared" si="93"/>
        <v>25352.562393567012</v>
      </c>
      <c r="N118" s="1271">
        <f t="shared" si="93"/>
        <v>33537.931014990907</v>
      </c>
      <c r="O118" s="1271">
        <f t="shared" si="93"/>
        <v>41593.163221480288</v>
      </c>
      <c r="P118" s="1271">
        <f t="shared" si="93"/>
        <v>49519.798253374829</v>
      </c>
      <c r="Q118" s="1271">
        <f t="shared" si="93"/>
        <v>57319.359200332474</v>
      </c>
      <c r="R118" s="1271">
        <f t="shared" si="93"/>
        <v>58900.226301317183</v>
      </c>
      <c r="S118" s="1271">
        <f t="shared" si="93"/>
        <v>60452.726163026149</v>
      </c>
      <c r="T118" s="1271">
        <f t="shared" si="93"/>
        <v>59977.942118332678</v>
      </c>
      <c r="U118" s="1271">
        <f t="shared" si="93"/>
        <v>9917.8144893165118</v>
      </c>
    </row>
    <row r="119" spans="2:21" s="1269" customFormat="1">
      <c r="B119" s="1269" t="s">
        <v>659</v>
      </c>
      <c r="I119" s="1280"/>
      <c r="J119" s="1280"/>
      <c r="K119" s="1280">
        <f t="shared" ref="K119:U119" si="94">K47</f>
        <v>10200</v>
      </c>
      <c r="L119" s="1280">
        <f t="shared" si="94"/>
        <v>10404</v>
      </c>
      <c r="M119" s="1280">
        <f t="shared" si="94"/>
        <v>10612.08</v>
      </c>
      <c r="N119" s="1280">
        <f t="shared" si="94"/>
        <v>10824.321599999999</v>
      </c>
      <c r="O119" s="1280">
        <f t="shared" si="94"/>
        <v>11040.808031999999</v>
      </c>
      <c r="P119" s="1280">
        <f t="shared" si="94"/>
        <v>11261.62419264</v>
      </c>
      <c r="Q119" s="1280">
        <f t="shared" si="94"/>
        <v>11486.8566764928</v>
      </c>
      <c r="R119" s="1280">
        <f t="shared" si="94"/>
        <v>11716.593810022656</v>
      </c>
      <c r="S119" s="1280">
        <f t="shared" si="94"/>
        <v>11950.925686223109</v>
      </c>
      <c r="T119" s="1280">
        <f t="shared" si="94"/>
        <v>12189.944199947571</v>
      </c>
      <c r="U119" s="1280">
        <f t="shared" si="94"/>
        <v>12433.743083946523</v>
      </c>
    </row>
    <row r="120" spans="2:21" s="1269" customFormat="1">
      <c r="I120" s="1281"/>
      <c r="J120" s="1282"/>
      <c r="K120" s="1282"/>
      <c r="L120" s="1282"/>
      <c r="M120" s="1282"/>
      <c r="N120" s="1282"/>
      <c r="O120" s="1282"/>
      <c r="P120" s="1282"/>
      <c r="Q120" s="1282"/>
      <c r="R120" s="1282"/>
      <c r="S120" s="1282"/>
      <c r="T120" s="1282"/>
      <c r="U120" s="1282"/>
    </row>
    <row r="121" spans="2:21" s="1269" customFormat="1">
      <c r="B121" s="1247" t="s">
        <v>674</v>
      </c>
      <c r="C121" s="1247"/>
      <c r="D121" s="1247"/>
      <c r="E121" s="1247"/>
      <c r="F121" s="1247"/>
      <c r="G121" s="1248"/>
      <c r="H121" s="1248"/>
      <c r="I121" s="1248"/>
      <c r="J121" s="1248"/>
      <c r="K121" s="1248">
        <f t="shared" ref="K121:U121" si="95">K114*K117*K119/1000000</f>
        <v>27.365252414528307</v>
      </c>
      <c r="L121" s="1248">
        <f t="shared" si="95"/>
        <v>147.69780065742364</v>
      </c>
      <c r="M121" s="1248">
        <f t="shared" si="95"/>
        <v>269.04342032552461</v>
      </c>
      <c r="N121" s="1248">
        <f t="shared" si="95"/>
        <v>363.02535110487599</v>
      </c>
      <c r="O121" s="1248">
        <f t="shared" si="95"/>
        <v>459.22213057200651</v>
      </c>
      <c r="P121" s="1248">
        <f t="shared" si="95"/>
        <v>557.67335802485798</v>
      </c>
      <c r="Q121" s="1248">
        <f t="shared" si="95"/>
        <v>658.41926392262803</v>
      </c>
      <c r="R121" s="1248">
        <f t="shared" si="95"/>
        <v>690.11002689094653</v>
      </c>
      <c r="S121" s="1248">
        <f t="shared" si="95"/>
        <v>722.46603790392101</v>
      </c>
      <c r="T121" s="1248">
        <f t="shared" si="95"/>
        <v>731.12776765016054</v>
      </c>
      <c r="U121" s="1248">
        <f t="shared" si="95"/>
        <v>123.3155573144038</v>
      </c>
    </row>
    <row r="122" spans="2:21" s="1269" customFormat="1">
      <c r="B122" s="1272" t="s">
        <v>662</v>
      </c>
      <c r="I122" s="1283"/>
      <c r="J122" s="1283"/>
      <c r="K122" s="1283"/>
      <c r="L122" s="1283">
        <f t="shared" ref="L122:U122" si="96">L121/K121-1</f>
        <v>4.3972752898493406</v>
      </c>
      <c r="M122" s="1283">
        <f t="shared" si="96"/>
        <v>0.82158041032415219</v>
      </c>
      <c r="N122" s="1283">
        <f t="shared" si="96"/>
        <v>0.34931882246233537</v>
      </c>
      <c r="O122" s="1283">
        <f t="shared" si="96"/>
        <v>0.26498639605843888</v>
      </c>
      <c r="P122" s="1283">
        <f t="shared" si="96"/>
        <v>0.21438694021610138</v>
      </c>
      <c r="Q122" s="1283">
        <f t="shared" si="96"/>
        <v>0.1806539696545435</v>
      </c>
      <c r="R122" s="1283">
        <f t="shared" si="96"/>
        <v>4.8131585305563718E-2</v>
      </c>
      <c r="S122" s="1283">
        <f t="shared" si="96"/>
        <v>4.6885293289743002E-2</v>
      </c>
      <c r="T122" s="1283">
        <f t="shared" si="96"/>
        <v>1.1989116846751191E-2</v>
      </c>
      <c r="U122" s="1283">
        <f t="shared" si="96"/>
        <v>-0.83133514719220813</v>
      </c>
    </row>
    <row r="125" spans="2:21" s="1269" customFormat="1">
      <c r="B125" s="1267" t="s">
        <v>809</v>
      </c>
      <c r="C125" s="1268" t="s">
        <v>580</v>
      </c>
      <c r="D125" s="1268" t="s">
        <v>372</v>
      </c>
      <c r="E125" s="1268" t="s">
        <v>302</v>
      </c>
      <c r="F125" s="1268" t="s">
        <v>301</v>
      </c>
      <c r="G125" s="1268" t="s">
        <v>300</v>
      </c>
      <c r="H125" s="1268" t="s">
        <v>312</v>
      </c>
      <c r="I125" s="1268" t="s">
        <v>313</v>
      </c>
      <c r="J125" s="1268" t="s">
        <v>323</v>
      </c>
      <c r="K125" s="1268" t="s">
        <v>324</v>
      </c>
      <c r="L125" s="1268" t="s">
        <v>325</v>
      </c>
      <c r="M125" s="1268" t="s">
        <v>392</v>
      </c>
      <c r="N125" s="1268" t="s">
        <v>393</v>
      </c>
      <c r="O125" s="1268" t="s">
        <v>394</v>
      </c>
      <c r="P125" s="1268" t="s">
        <v>395</v>
      </c>
      <c r="Q125" s="1268" t="s">
        <v>396</v>
      </c>
      <c r="R125" s="1268" t="s">
        <v>397</v>
      </c>
      <c r="S125" s="1268" t="s">
        <v>398</v>
      </c>
      <c r="T125" s="1268" t="s">
        <v>399</v>
      </c>
      <c r="U125" s="1268" t="s">
        <v>400</v>
      </c>
    </row>
    <row r="126" spans="2:21" s="1269" customFormat="1" hidden="1">
      <c r="B126" s="1269" t="s">
        <v>669</v>
      </c>
      <c r="C126" s="1270">
        <v>375925</v>
      </c>
      <c r="D126" s="1271">
        <f>C131</f>
        <v>409355</v>
      </c>
      <c r="E126" s="1271">
        <f>D131</f>
        <v>443145</v>
      </c>
      <c r="F126" s="1271">
        <f>E131</f>
        <v>477229.7</v>
      </c>
      <c r="G126" s="1271">
        <f>F131</f>
        <v>511573.84700000007</v>
      </c>
      <c r="H126" s="1271">
        <f>G131</f>
        <v>546242.23547000007</v>
      </c>
      <c r="I126" s="1271">
        <f t="shared" ref="I126" si="97">H131</f>
        <v>578364.05668832222</v>
      </c>
      <c r="J126" s="1271">
        <f t="shared" ref="J126" si="98">I131</f>
        <v>609963.9564925459</v>
      </c>
      <c r="K126" s="1271">
        <f t="shared" ref="K126" si="99">J131</f>
        <v>641063.38110209978</v>
      </c>
      <c r="L126" s="1271">
        <f t="shared" ref="L126" si="100">K131</f>
        <v>671683.14786812488</v>
      </c>
      <c r="M126" s="1271">
        <f t="shared" ref="M126" si="101">L131</f>
        <v>701843.46565626108</v>
      </c>
      <c r="N126" s="1271">
        <f t="shared" ref="N126" si="102">M131</f>
        <v>731563.95458974084</v>
      </c>
      <c r="O126" s="1271">
        <f t="shared" ref="O126" si="103">N131</f>
        <v>760863.66517306876</v>
      </c>
      <c r="P126" s="1271">
        <f t="shared" ref="P126" si="104">O131</f>
        <v>789761.09681592928</v>
      </c>
      <c r="Q126" s="1271">
        <f t="shared" ref="Q126" si="105">P131</f>
        <v>818274.21577633929</v>
      </c>
      <c r="R126" s="1271">
        <f t="shared" ref="R126" si="106">Q131</f>
        <v>846420.47254146449</v>
      </c>
      <c r="S126" s="1271">
        <f t="shared" ref="S126" si="107">R131</f>
        <v>874216.81866393622</v>
      </c>
      <c r="T126" s="1271">
        <f t="shared" ref="T126" si="108">S131</f>
        <v>901679.72307093965</v>
      </c>
      <c r="U126" s="1271">
        <f t="shared" ref="U126" si="109">T131</f>
        <v>928825.18786280218</v>
      </c>
    </row>
    <row r="127" spans="2:21" s="1269" customFormat="1">
      <c r="B127" s="1528" t="s">
        <v>810</v>
      </c>
      <c r="C127" s="1270">
        <v>47000</v>
      </c>
      <c r="D127" s="1270">
        <f>C127*(1+D128)</f>
        <v>47470</v>
      </c>
      <c r="E127" s="1270">
        <f t="shared" ref="E127:U127" si="110">D127*(1+E128)</f>
        <v>47944.7</v>
      </c>
      <c r="F127" s="1270">
        <f t="shared" si="110"/>
        <v>48424.146999999997</v>
      </c>
      <c r="G127" s="1270">
        <f t="shared" si="110"/>
        <v>48908.388469999998</v>
      </c>
      <c r="H127" s="1270">
        <f t="shared" si="110"/>
        <v>49397.472354699996</v>
      </c>
      <c r="I127" s="1270">
        <f t="shared" si="110"/>
        <v>49891.447078246994</v>
      </c>
      <c r="J127" s="1270">
        <f t="shared" si="110"/>
        <v>50390.361549029461</v>
      </c>
      <c r="K127" s="1270">
        <f t="shared" si="110"/>
        <v>50894.265164519755</v>
      </c>
      <c r="L127" s="1270">
        <f t="shared" si="110"/>
        <v>51403.207816164955</v>
      </c>
      <c r="M127" s="1270">
        <f t="shared" si="110"/>
        <v>51917.239894326602</v>
      </c>
      <c r="N127" s="1270">
        <f t="shared" si="110"/>
        <v>52436.412293269866</v>
      </c>
      <c r="O127" s="1270">
        <f t="shared" si="110"/>
        <v>52960.776416202563</v>
      </c>
      <c r="P127" s="1270">
        <f t="shared" si="110"/>
        <v>53490.384180364592</v>
      </c>
      <c r="Q127" s="1270">
        <f t="shared" si="110"/>
        <v>54025.288022168235</v>
      </c>
      <c r="R127" s="1270">
        <f t="shared" si="110"/>
        <v>54565.540902389919</v>
      </c>
      <c r="S127" s="1270">
        <f t="shared" si="110"/>
        <v>55111.19631141382</v>
      </c>
      <c r="T127" s="1270">
        <f t="shared" si="110"/>
        <v>55662.308274527961</v>
      </c>
      <c r="U127" s="1270">
        <f t="shared" si="110"/>
        <v>56218.931357273243</v>
      </c>
    </row>
    <row r="128" spans="2:21" s="1269" customFormat="1">
      <c r="B128" s="1272" t="s">
        <v>645</v>
      </c>
      <c r="C128" s="1272"/>
      <c r="D128" s="1273">
        <v>0.01</v>
      </c>
      <c r="E128" s="1273">
        <v>0.01</v>
      </c>
      <c r="F128" s="1273">
        <f>E128</f>
        <v>0.01</v>
      </c>
      <c r="G128" s="1273">
        <f t="shared" ref="G128:U128" si="111">F128</f>
        <v>0.01</v>
      </c>
      <c r="H128" s="1273">
        <f t="shared" si="111"/>
        <v>0.01</v>
      </c>
      <c r="I128" s="1273">
        <f t="shared" si="111"/>
        <v>0.01</v>
      </c>
      <c r="J128" s="1273">
        <f t="shared" si="111"/>
        <v>0.01</v>
      </c>
      <c r="K128" s="1273">
        <f t="shared" si="111"/>
        <v>0.01</v>
      </c>
      <c r="L128" s="1273">
        <f t="shared" si="111"/>
        <v>0.01</v>
      </c>
      <c r="M128" s="1273">
        <f t="shared" si="111"/>
        <v>0.01</v>
      </c>
      <c r="N128" s="1273">
        <f t="shared" si="111"/>
        <v>0.01</v>
      </c>
      <c r="O128" s="1273">
        <f t="shared" si="111"/>
        <v>0.01</v>
      </c>
      <c r="P128" s="1273">
        <f t="shared" si="111"/>
        <v>0.01</v>
      </c>
      <c r="Q128" s="1273">
        <f t="shared" si="111"/>
        <v>0.01</v>
      </c>
      <c r="R128" s="1273">
        <f t="shared" si="111"/>
        <v>0.01</v>
      </c>
      <c r="S128" s="1273">
        <f t="shared" si="111"/>
        <v>0.01</v>
      </c>
      <c r="T128" s="1273">
        <f t="shared" si="111"/>
        <v>0.01</v>
      </c>
      <c r="U128" s="1273">
        <f t="shared" si="111"/>
        <v>0.01</v>
      </c>
    </row>
    <row r="129" spans="2:256" s="1269" customFormat="1" hidden="1">
      <c r="B129" s="1269" t="s">
        <v>646</v>
      </c>
      <c r="C129" s="1270">
        <v>13570</v>
      </c>
      <c r="D129" s="1270">
        <v>13680</v>
      </c>
      <c r="E129" s="1270">
        <v>13860</v>
      </c>
      <c r="F129" s="1270">
        <v>14080</v>
      </c>
      <c r="G129" s="1270">
        <v>14240</v>
      </c>
      <c r="H129" s="1270">
        <f>H126*H130</f>
        <v>17275.651136377775</v>
      </c>
      <c r="I129" s="1270">
        <f>I126*I130</f>
        <v>18291.547274023302</v>
      </c>
      <c r="J129" s="1270">
        <f t="shared" ref="J129:U129" si="112">J126*J130</f>
        <v>19290.936939475567</v>
      </c>
      <c r="K129" s="1270">
        <f t="shared" si="112"/>
        <v>20274.498398494678</v>
      </c>
      <c r="L129" s="1270">
        <f t="shared" si="112"/>
        <v>21242.890028028705</v>
      </c>
      <c r="M129" s="1270">
        <f t="shared" si="112"/>
        <v>22196.750960846937</v>
      </c>
      <c r="N129" s="1270">
        <f t="shared" si="112"/>
        <v>23136.701709941972</v>
      </c>
      <c r="O129" s="1270">
        <f t="shared" si="112"/>
        <v>24063.344773342014</v>
      </c>
      <c r="P129" s="1270">
        <f t="shared" si="112"/>
        <v>24977.26521995457</v>
      </c>
      <c r="Q129" s="1270">
        <f t="shared" si="112"/>
        <v>25879.031257042952</v>
      </c>
      <c r="R129" s="1270">
        <f t="shared" si="112"/>
        <v>26769.194779918183</v>
      </c>
      <c r="S129" s="1270">
        <f t="shared" si="112"/>
        <v>27648.291904410311</v>
      </c>
      <c r="T129" s="1270">
        <f t="shared" si="112"/>
        <v>28516.843482665448</v>
      </c>
      <c r="U129" s="1270">
        <f t="shared" si="112"/>
        <v>29375.355602797539</v>
      </c>
    </row>
    <row r="130" spans="2:256" s="1269" customFormat="1" hidden="1">
      <c r="B130" s="1272" t="s">
        <v>647</v>
      </c>
      <c r="C130" s="1273">
        <f>C129/C126</f>
        <v>3.6097625856221317E-2</v>
      </c>
      <c r="D130" s="1273">
        <f>D129/D126</f>
        <v>3.3418426549083315E-2</v>
      </c>
      <c r="E130" s="1273">
        <f>E129/E126</f>
        <v>3.1276444504620381E-2</v>
      </c>
      <c r="F130" s="1273">
        <f>F129/F126</f>
        <v>2.9503612201839072E-2</v>
      </c>
      <c r="G130" s="1273">
        <f>G129/G126</f>
        <v>2.7835668464107389E-2</v>
      </c>
      <c r="H130" s="1273">
        <f>AVERAGE(C130:G130)</f>
        <v>3.1626355515174301E-2</v>
      </c>
      <c r="I130" s="1273">
        <f>H130</f>
        <v>3.1626355515174301E-2</v>
      </c>
      <c r="J130" s="1273">
        <f t="shared" ref="J130" si="113">I130</f>
        <v>3.1626355515174301E-2</v>
      </c>
      <c r="K130" s="1273">
        <f t="shared" ref="K130" si="114">J130</f>
        <v>3.1626355515174301E-2</v>
      </c>
      <c r="L130" s="1273">
        <f t="shared" ref="L130" si="115">K130</f>
        <v>3.1626355515174301E-2</v>
      </c>
      <c r="M130" s="1273">
        <f t="shared" ref="M130" si="116">L130</f>
        <v>3.1626355515174301E-2</v>
      </c>
      <c r="N130" s="1273">
        <f t="shared" ref="N130" si="117">M130</f>
        <v>3.1626355515174301E-2</v>
      </c>
      <c r="O130" s="1273">
        <f t="shared" ref="O130" si="118">N130</f>
        <v>3.1626355515174301E-2</v>
      </c>
      <c r="P130" s="1273">
        <f t="shared" ref="P130" si="119">O130</f>
        <v>3.1626355515174301E-2</v>
      </c>
      <c r="Q130" s="1273">
        <f t="shared" ref="Q130" si="120">P130</f>
        <v>3.1626355515174301E-2</v>
      </c>
      <c r="R130" s="1273">
        <f t="shared" ref="R130" si="121">Q130</f>
        <v>3.1626355515174301E-2</v>
      </c>
      <c r="S130" s="1273">
        <f t="shared" ref="S130" si="122">R130</f>
        <v>3.1626355515174301E-2</v>
      </c>
      <c r="T130" s="1273">
        <f t="shared" ref="T130" si="123">S130</f>
        <v>3.1626355515174301E-2</v>
      </c>
      <c r="U130" s="1273">
        <f t="shared" ref="U130" si="124">T130</f>
        <v>3.1626355515174301E-2</v>
      </c>
    </row>
    <row r="131" spans="2:256" s="1269" customFormat="1" hidden="1" collapsed="1">
      <c r="B131" s="1269" t="s">
        <v>671</v>
      </c>
      <c r="C131" s="1271">
        <f>C126+C127-C129</f>
        <v>409355</v>
      </c>
      <c r="D131" s="1271">
        <f t="shared" ref="D131:U131" si="125">D126+D127-D129</f>
        <v>443145</v>
      </c>
      <c r="E131" s="1271">
        <f t="shared" si="125"/>
        <v>477229.7</v>
      </c>
      <c r="F131" s="1271">
        <f t="shared" si="125"/>
        <v>511573.84700000007</v>
      </c>
      <c r="G131" s="1271">
        <f t="shared" si="125"/>
        <v>546242.23547000007</v>
      </c>
      <c r="H131" s="1271">
        <f t="shared" si="125"/>
        <v>578364.05668832222</v>
      </c>
      <c r="I131" s="1271">
        <f t="shared" si="125"/>
        <v>609963.9564925459</v>
      </c>
      <c r="J131" s="1271">
        <f t="shared" si="125"/>
        <v>641063.38110209978</v>
      </c>
      <c r="K131" s="1271">
        <f t="shared" si="125"/>
        <v>671683.14786812488</v>
      </c>
      <c r="L131" s="1271">
        <f t="shared" si="125"/>
        <v>701843.46565626108</v>
      </c>
      <c r="M131" s="1271">
        <f t="shared" si="125"/>
        <v>731563.95458974084</v>
      </c>
      <c r="N131" s="1271">
        <f t="shared" si="125"/>
        <v>760863.66517306876</v>
      </c>
      <c r="O131" s="1271">
        <f t="shared" si="125"/>
        <v>789761.09681592928</v>
      </c>
      <c r="P131" s="1271">
        <f t="shared" si="125"/>
        <v>818274.21577633929</v>
      </c>
      <c r="Q131" s="1271">
        <f t="shared" si="125"/>
        <v>846420.47254146449</v>
      </c>
      <c r="R131" s="1271">
        <f t="shared" si="125"/>
        <v>874216.81866393622</v>
      </c>
      <c r="S131" s="1271">
        <f t="shared" si="125"/>
        <v>901679.72307093965</v>
      </c>
      <c r="T131" s="1271">
        <f t="shared" si="125"/>
        <v>928825.18786280218</v>
      </c>
      <c r="U131" s="1271">
        <f t="shared" si="125"/>
        <v>955668.76361727784</v>
      </c>
    </row>
    <row r="132" spans="2:256" s="1269" customFormat="1">
      <c r="F132" s="1274"/>
      <c r="G132" s="1275"/>
    </row>
    <row r="133" spans="2:256" s="1269" customFormat="1">
      <c r="B133" s="1528" t="s">
        <v>824</v>
      </c>
      <c r="C133" s="1271">
        <f>C127*C134</f>
        <v>22090</v>
      </c>
      <c r="D133" s="1271">
        <f>D127*D134</f>
        <v>22310.899999999998</v>
      </c>
      <c r="E133" s="1271">
        <f t="shared" ref="E133:U133" si="126">E127*E134</f>
        <v>22534.008999999998</v>
      </c>
      <c r="F133" s="1271">
        <f t="shared" si="126"/>
        <v>22759.349089999996</v>
      </c>
      <c r="G133" s="1271">
        <f t="shared" si="126"/>
        <v>22986.942580899999</v>
      </c>
      <c r="H133" s="1271">
        <f t="shared" si="126"/>
        <v>23216.812006708995</v>
      </c>
      <c r="I133" s="1271">
        <f t="shared" si="126"/>
        <v>23448.980126776085</v>
      </c>
      <c r="J133" s="1271">
        <f t="shared" si="126"/>
        <v>23683.469928043847</v>
      </c>
      <c r="K133" s="1271">
        <f t="shared" si="126"/>
        <v>23920.304627324284</v>
      </c>
      <c r="L133" s="1271">
        <f t="shared" si="126"/>
        <v>24159.507673597527</v>
      </c>
      <c r="M133" s="1271">
        <f t="shared" si="126"/>
        <v>24401.102750333503</v>
      </c>
      <c r="N133" s="1271">
        <f t="shared" si="126"/>
        <v>24645.113777836836</v>
      </c>
      <c r="O133" s="1271">
        <f t="shared" si="126"/>
        <v>24891.564915615203</v>
      </c>
      <c r="P133" s="1271">
        <f t="shared" si="126"/>
        <v>25140.480564771358</v>
      </c>
      <c r="Q133" s="1271">
        <f t="shared" si="126"/>
        <v>25391.88537041907</v>
      </c>
      <c r="R133" s="1271">
        <f t="shared" si="126"/>
        <v>25645.804224123262</v>
      </c>
      <c r="S133" s="1271">
        <f t="shared" si="126"/>
        <v>25902.262266364494</v>
      </c>
      <c r="T133" s="1271">
        <f t="shared" si="126"/>
        <v>26161.284889028138</v>
      </c>
      <c r="U133" s="1271">
        <f t="shared" si="126"/>
        <v>26422.897737918422</v>
      </c>
    </row>
    <row r="134" spans="2:256" s="1269" customFormat="1">
      <c r="B134" s="1272" t="s">
        <v>650</v>
      </c>
      <c r="C134" s="1284">
        <v>0.47</v>
      </c>
      <c r="D134" s="1284">
        <f>C134</f>
        <v>0.47</v>
      </c>
      <c r="E134" s="1284">
        <f t="shared" ref="E134" si="127">D134</f>
        <v>0.47</v>
      </c>
      <c r="F134" s="1284">
        <f t="shared" ref="F134" si="128">E134</f>
        <v>0.47</v>
      </c>
      <c r="G134" s="1284">
        <f t="shared" ref="G134" si="129">F134</f>
        <v>0.47</v>
      </c>
      <c r="H134" s="1284">
        <f t="shared" ref="H134" si="130">G134</f>
        <v>0.47</v>
      </c>
      <c r="I134" s="1284">
        <f t="shared" ref="I134" si="131">H134</f>
        <v>0.47</v>
      </c>
      <c r="J134" s="1284">
        <f t="shared" ref="J134" si="132">I134</f>
        <v>0.47</v>
      </c>
      <c r="K134" s="1284">
        <f t="shared" ref="K134" si="133">J134</f>
        <v>0.47</v>
      </c>
      <c r="L134" s="1284">
        <f t="shared" ref="L134" si="134">K134</f>
        <v>0.47</v>
      </c>
      <c r="M134" s="1284">
        <f t="shared" ref="M134" si="135">L134</f>
        <v>0.47</v>
      </c>
      <c r="N134" s="1284">
        <f t="shared" ref="N134" si="136">M134</f>
        <v>0.47</v>
      </c>
      <c r="O134" s="1284">
        <f t="shared" ref="O134" si="137">N134</f>
        <v>0.47</v>
      </c>
      <c r="P134" s="1284">
        <f t="shared" ref="P134" si="138">O134</f>
        <v>0.47</v>
      </c>
      <c r="Q134" s="1284">
        <f t="shared" ref="Q134" si="139">P134</f>
        <v>0.47</v>
      </c>
      <c r="R134" s="1284">
        <f t="shared" ref="R134" si="140">Q134</f>
        <v>0.47</v>
      </c>
      <c r="S134" s="1284">
        <f t="shared" ref="S134" si="141">R134</f>
        <v>0.47</v>
      </c>
      <c r="T134" s="1284">
        <f t="shared" ref="T134" si="142">S134</f>
        <v>0.47</v>
      </c>
      <c r="U134" s="1284">
        <f t="shared" ref="U134" si="143">T134</f>
        <v>0.47</v>
      </c>
    </row>
    <row r="135" spans="2:256" s="1269" customFormat="1">
      <c r="B135" s="1528" t="s">
        <v>825</v>
      </c>
      <c r="C135" s="1271">
        <f t="shared" ref="C135:U135" si="144">C127*C136</f>
        <v>8460</v>
      </c>
      <c r="D135" s="1271">
        <f t="shared" si="144"/>
        <v>8544.6</v>
      </c>
      <c r="E135" s="1271">
        <f t="shared" si="144"/>
        <v>8630.0459999999985</v>
      </c>
      <c r="F135" s="1271">
        <f t="shared" si="144"/>
        <v>8716.3464599999988</v>
      </c>
      <c r="G135" s="1271">
        <f t="shared" si="144"/>
        <v>8803.5099245999991</v>
      </c>
      <c r="H135" s="1271">
        <f t="shared" si="144"/>
        <v>8891.545023845998</v>
      </c>
      <c r="I135" s="1271">
        <f t="shared" si="144"/>
        <v>8980.4604740844588</v>
      </c>
      <c r="J135" s="1271">
        <f t="shared" si="144"/>
        <v>9070.2650788253031</v>
      </c>
      <c r="K135" s="1271">
        <f t="shared" si="144"/>
        <v>9160.967729613556</v>
      </c>
      <c r="L135" s="1271">
        <f t="shared" si="144"/>
        <v>9252.5774069096915</v>
      </c>
      <c r="M135" s="1271">
        <f t="shared" si="144"/>
        <v>9345.1031809787873</v>
      </c>
      <c r="N135" s="1271">
        <f t="shared" si="144"/>
        <v>9438.5542127885765</v>
      </c>
      <c r="O135" s="1271">
        <f t="shared" si="144"/>
        <v>9532.9397549164605</v>
      </c>
      <c r="P135" s="1271">
        <f t="shared" si="144"/>
        <v>9628.2691524656257</v>
      </c>
      <c r="Q135" s="1271">
        <f t="shared" si="144"/>
        <v>9724.5518439902826</v>
      </c>
      <c r="R135" s="1271">
        <f t="shared" si="144"/>
        <v>9821.7973624301849</v>
      </c>
      <c r="S135" s="1271">
        <f t="shared" si="144"/>
        <v>9920.0153360544864</v>
      </c>
      <c r="T135" s="1271">
        <f t="shared" si="144"/>
        <v>10019.215489415032</v>
      </c>
      <c r="U135" s="1271">
        <f t="shared" si="144"/>
        <v>10119.407644309184</v>
      </c>
    </row>
    <row r="136" spans="2:256" s="1269" customFormat="1">
      <c r="B136" s="1272" t="s">
        <v>650</v>
      </c>
      <c r="C136" s="1284">
        <v>0.18</v>
      </c>
      <c r="D136" s="1284">
        <f>C136</f>
        <v>0.18</v>
      </c>
      <c r="E136" s="1284">
        <f t="shared" ref="E136" si="145">D136</f>
        <v>0.18</v>
      </c>
      <c r="F136" s="1284">
        <f t="shared" ref="F136" si="146">E136</f>
        <v>0.18</v>
      </c>
      <c r="G136" s="1284">
        <f t="shared" ref="G136" si="147">F136</f>
        <v>0.18</v>
      </c>
      <c r="H136" s="1284">
        <f t="shared" ref="H136" si="148">G136</f>
        <v>0.18</v>
      </c>
      <c r="I136" s="1284">
        <f t="shared" ref="I136" si="149">H136</f>
        <v>0.18</v>
      </c>
      <c r="J136" s="1284">
        <f t="shared" ref="J136" si="150">I136</f>
        <v>0.18</v>
      </c>
      <c r="K136" s="1284">
        <f t="shared" ref="K136" si="151">J136</f>
        <v>0.18</v>
      </c>
      <c r="L136" s="1284">
        <f t="shared" ref="L136" si="152">K136</f>
        <v>0.18</v>
      </c>
      <c r="M136" s="1284">
        <f t="shared" ref="M136" si="153">L136</f>
        <v>0.18</v>
      </c>
      <c r="N136" s="1284">
        <f t="shared" ref="N136" si="154">M136</f>
        <v>0.18</v>
      </c>
      <c r="O136" s="1284">
        <f t="shared" ref="O136" si="155">N136</f>
        <v>0.18</v>
      </c>
      <c r="P136" s="1284">
        <f t="shared" ref="P136" si="156">O136</f>
        <v>0.18</v>
      </c>
      <c r="Q136" s="1284">
        <f t="shared" ref="Q136" si="157">P136</f>
        <v>0.18</v>
      </c>
      <c r="R136" s="1284">
        <f t="shared" ref="R136" si="158">Q136</f>
        <v>0.18</v>
      </c>
      <c r="S136" s="1284">
        <f t="shared" ref="S136" si="159">R136</f>
        <v>0.18</v>
      </c>
      <c r="T136" s="1284">
        <f t="shared" ref="T136" si="160">S136</f>
        <v>0.18</v>
      </c>
      <c r="U136" s="1284">
        <f t="shared" ref="U136" si="161">T136</f>
        <v>0.18</v>
      </c>
    </row>
    <row r="137" spans="2:256" s="1269" customFormat="1">
      <c r="B137" s="1272"/>
      <c r="C137" s="1284"/>
      <c r="D137" s="1284"/>
      <c r="E137" s="1284"/>
      <c r="F137" s="1284"/>
      <c r="G137" s="1284"/>
      <c r="H137" s="1284"/>
      <c r="I137" s="1284"/>
      <c r="J137" s="1284"/>
      <c r="K137" s="1284"/>
      <c r="L137" s="1284"/>
      <c r="M137" s="1284"/>
      <c r="N137" s="1284"/>
      <c r="O137" s="1284"/>
      <c r="P137" s="1284"/>
      <c r="Q137" s="1284"/>
      <c r="R137" s="1284"/>
      <c r="S137" s="1284"/>
      <c r="T137" s="1284"/>
      <c r="U137" s="1284"/>
    </row>
    <row r="138" spans="2:256" s="1269" customFormat="1">
      <c r="B138" s="1528" t="s">
        <v>826</v>
      </c>
      <c r="C138" s="1271">
        <f>C133*C139</f>
        <v>11045</v>
      </c>
      <c r="D138" s="1271">
        <f t="shared" ref="D138:U138" si="162">D133*D139</f>
        <v>11155.449999999999</v>
      </c>
      <c r="E138" s="1271">
        <f t="shared" si="162"/>
        <v>11267.004499999999</v>
      </c>
      <c r="F138" s="1271">
        <f t="shared" si="162"/>
        <v>11379.674544999998</v>
      </c>
      <c r="G138" s="1271">
        <f t="shared" si="162"/>
        <v>11493.471290449999</v>
      </c>
      <c r="H138" s="1271">
        <f t="shared" si="162"/>
        <v>11608.406003354497</v>
      </c>
      <c r="I138" s="1271">
        <f t="shared" si="162"/>
        <v>11724.490063388042</v>
      </c>
      <c r="J138" s="1271">
        <f t="shared" si="162"/>
        <v>11841.734964021924</v>
      </c>
      <c r="K138" s="1271">
        <f t="shared" si="162"/>
        <v>11960.152313662142</v>
      </c>
      <c r="L138" s="1271">
        <f t="shared" si="162"/>
        <v>12079.753836798764</v>
      </c>
      <c r="M138" s="1271">
        <f t="shared" si="162"/>
        <v>12200.551375166751</v>
      </c>
      <c r="N138" s="1271">
        <f t="shared" si="162"/>
        <v>12322.556888918418</v>
      </c>
      <c r="O138" s="1271">
        <f t="shared" si="162"/>
        <v>12445.782457807602</v>
      </c>
      <c r="P138" s="1271">
        <f t="shared" si="162"/>
        <v>12570.240282385679</v>
      </c>
      <c r="Q138" s="1271">
        <f t="shared" si="162"/>
        <v>12695.942685209535</v>
      </c>
      <c r="R138" s="1271">
        <f t="shared" si="162"/>
        <v>12822.902112061631</v>
      </c>
      <c r="S138" s="1271">
        <f t="shared" si="162"/>
        <v>12951.131133182247</v>
      </c>
      <c r="T138" s="1271">
        <f t="shared" si="162"/>
        <v>13080.642444514069</v>
      </c>
      <c r="U138" s="1271">
        <f t="shared" si="162"/>
        <v>13211.448868959211</v>
      </c>
    </row>
    <row r="139" spans="2:256" s="1269" customFormat="1">
      <c r="B139" s="1272" t="s">
        <v>650</v>
      </c>
      <c r="C139" s="1284">
        <v>0.5</v>
      </c>
      <c r="D139" s="1284">
        <f>C139</f>
        <v>0.5</v>
      </c>
      <c r="E139" s="1284">
        <f t="shared" ref="E139" si="163">D139</f>
        <v>0.5</v>
      </c>
      <c r="F139" s="1284">
        <f t="shared" ref="F139" si="164">E139</f>
        <v>0.5</v>
      </c>
      <c r="G139" s="1284">
        <f t="shared" ref="G139" si="165">F139</f>
        <v>0.5</v>
      </c>
      <c r="H139" s="1284">
        <f t="shared" ref="H139" si="166">G139</f>
        <v>0.5</v>
      </c>
      <c r="I139" s="1284">
        <f t="shared" ref="I139" si="167">H139</f>
        <v>0.5</v>
      </c>
      <c r="J139" s="1284">
        <f t="shared" ref="J139" si="168">I139</f>
        <v>0.5</v>
      </c>
      <c r="K139" s="1284">
        <f t="shared" ref="K139" si="169">J139</f>
        <v>0.5</v>
      </c>
      <c r="L139" s="1284">
        <f t="shared" ref="L139" si="170">K139</f>
        <v>0.5</v>
      </c>
      <c r="M139" s="1284">
        <f t="shared" ref="M139" si="171">L139</f>
        <v>0.5</v>
      </c>
      <c r="N139" s="1284">
        <f t="shared" ref="N139" si="172">M139</f>
        <v>0.5</v>
      </c>
      <c r="O139" s="1284">
        <f t="shared" ref="O139" si="173">N139</f>
        <v>0.5</v>
      </c>
      <c r="P139" s="1284">
        <f t="shared" ref="P139" si="174">O139</f>
        <v>0.5</v>
      </c>
      <c r="Q139" s="1284">
        <f t="shared" ref="Q139" si="175">P139</f>
        <v>0.5</v>
      </c>
      <c r="R139" s="1284">
        <f t="shared" ref="R139" si="176">Q139</f>
        <v>0.5</v>
      </c>
      <c r="S139" s="1284">
        <f t="shared" ref="S139" si="177">R139</f>
        <v>0.5</v>
      </c>
      <c r="T139" s="1284">
        <f t="shared" ref="T139" si="178">S139</f>
        <v>0.5</v>
      </c>
      <c r="U139" s="1284">
        <f t="shared" ref="U139" si="179">T139</f>
        <v>0.5</v>
      </c>
    </row>
    <row r="140" spans="2:256" s="1269" customFormat="1">
      <c r="B140" s="1528" t="s">
        <v>827</v>
      </c>
      <c r="C140" s="1271">
        <f>C135*C141</f>
        <v>6768</v>
      </c>
      <c r="D140" s="1271">
        <f t="shared" ref="D140:U140" si="180">D135*D141</f>
        <v>6835.68</v>
      </c>
      <c r="E140" s="1271">
        <f t="shared" si="180"/>
        <v>6904.0367999999989</v>
      </c>
      <c r="F140" s="1271">
        <f t="shared" si="180"/>
        <v>6973.0771679999998</v>
      </c>
      <c r="G140" s="1271">
        <f t="shared" si="180"/>
        <v>7042.8079396799994</v>
      </c>
      <c r="H140" s="1271">
        <f t="shared" si="180"/>
        <v>7113.2360190767986</v>
      </c>
      <c r="I140" s="1271">
        <f t="shared" si="180"/>
        <v>7184.3683792675674</v>
      </c>
      <c r="J140" s="1271">
        <f t="shared" si="180"/>
        <v>7256.2120630602431</v>
      </c>
      <c r="K140" s="1271">
        <f t="shared" si="180"/>
        <v>7328.7741836908453</v>
      </c>
      <c r="L140" s="1271">
        <f t="shared" si="180"/>
        <v>7402.0619255277534</v>
      </c>
      <c r="M140" s="1271">
        <f t="shared" si="180"/>
        <v>7476.0825447830302</v>
      </c>
      <c r="N140" s="1271">
        <f t="shared" si="180"/>
        <v>7550.8433702308612</v>
      </c>
      <c r="O140" s="1271">
        <f t="shared" si="180"/>
        <v>7626.3518039331684</v>
      </c>
      <c r="P140" s="1271">
        <f t="shared" si="180"/>
        <v>7702.6153219725011</v>
      </c>
      <c r="Q140" s="1271">
        <f t="shared" si="180"/>
        <v>7779.6414751922266</v>
      </c>
      <c r="R140" s="1271">
        <f t="shared" si="180"/>
        <v>7857.4378899441481</v>
      </c>
      <c r="S140" s="1271">
        <f t="shared" si="180"/>
        <v>7936.0122688435895</v>
      </c>
      <c r="T140" s="1271">
        <f t="shared" si="180"/>
        <v>8015.3723915320261</v>
      </c>
      <c r="U140" s="1271">
        <f t="shared" si="180"/>
        <v>8095.5261154473474</v>
      </c>
    </row>
    <row r="141" spans="2:256" s="1269" customFormat="1">
      <c r="B141" s="1272" t="s">
        <v>650</v>
      </c>
      <c r="C141" s="1284">
        <v>0.8</v>
      </c>
      <c r="D141" s="1284">
        <f>C141</f>
        <v>0.8</v>
      </c>
      <c r="E141" s="1284">
        <f t="shared" ref="E141:U141" si="181">D141</f>
        <v>0.8</v>
      </c>
      <c r="F141" s="1284">
        <f t="shared" si="181"/>
        <v>0.8</v>
      </c>
      <c r="G141" s="1284">
        <f t="shared" si="181"/>
        <v>0.8</v>
      </c>
      <c r="H141" s="1284">
        <f t="shared" si="181"/>
        <v>0.8</v>
      </c>
      <c r="I141" s="1284">
        <f t="shared" si="181"/>
        <v>0.8</v>
      </c>
      <c r="J141" s="1284">
        <f t="shared" si="181"/>
        <v>0.8</v>
      </c>
      <c r="K141" s="1284">
        <f t="shared" si="181"/>
        <v>0.8</v>
      </c>
      <c r="L141" s="1284">
        <f t="shared" si="181"/>
        <v>0.8</v>
      </c>
      <c r="M141" s="1284">
        <f t="shared" si="181"/>
        <v>0.8</v>
      </c>
      <c r="N141" s="1284">
        <f t="shared" si="181"/>
        <v>0.8</v>
      </c>
      <c r="O141" s="1284">
        <f t="shared" si="181"/>
        <v>0.8</v>
      </c>
      <c r="P141" s="1284">
        <f t="shared" si="181"/>
        <v>0.8</v>
      </c>
      <c r="Q141" s="1284">
        <f t="shared" si="181"/>
        <v>0.8</v>
      </c>
      <c r="R141" s="1284">
        <f t="shared" si="181"/>
        <v>0.8</v>
      </c>
      <c r="S141" s="1284">
        <f t="shared" si="181"/>
        <v>0.8</v>
      </c>
      <c r="T141" s="1284">
        <f t="shared" si="181"/>
        <v>0.8</v>
      </c>
      <c r="U141" s="1284">
        <f t="shared" si="181"/>
        <v>0.8</v>
      </c>
    </row>
    <row r="142" spans="2:256" s="1269" customFormat="1"/>
    <row r="143" spans="2:256" s="1269" customFormat="1">
      <c r="B143" s="1528" t="s">
        <v>828</v>
      </c>
      <c r="C143" s="1271">
        <f>C138+C140</f>
        <v>17813</v>
      </c>
      <c r="D143" s="1271">
        <f t="shared" ref="D143:U143" si="182">D138+D140</f>
        <v>17991.129999999997</v>
      </c>
      <c r="E143" s="1271">
        <f t="shared" si="182"/>
        <v>18171.041299999997</v>
      </c>
      <c r="F143" s="1271">
        <f t="shared" si="182"/>
        <v>18352.751712999998</v>
      </c>
      <c r="G143" s="1271">
        <f t="shared" si="182"/>
        <v>18536.27923013</v>
      </c>
      <c r="H143" s="1271">
        <f t="shared" si="182"/>
        <v>18721.642022431297</v>
      </c>
      <c r="I143" s="1271">
        <f t="shared" si="182"/>
        <v>18908.858442655612</v>
      </c>
      <c r="J143" s="1271">
        <f t="shared" si="182"/>
        <v>19097.947027082166</v>
      </c>
      <c r="K143" s="1271">
        <f t="shared" si="182"/>
        <v>19288.926497352986</v>
      </c>
      <c r="L143" s="1271">
        <f t="shared" si="182"/>
        <v>19481.815762326518</v>
      </c>
      <c r="M143" s="1271">
        <f t="shared" si="182"/>
        <v>19676.633919949782</v>
      </c>
      <c r="N143" s="1271">
        <f t="shared" si="182"/>
        <v>19873.400259149279</v>
      </c>
      <c r="O143" s="1271">
        <f t="shared" si="182"/>
        <v>20072.134261740772</v>
      </c>
      <c r="P143" s="1271">
        <f t="shared" si="182"/>
        <v>20272.855604358181</v>
      </c>
      <c r="Q143" s="1271">
        <f t="shared" si="182"/>
        <v>20475.584160401762</v>
      </c>
      <c r="R143" s="1271">
        <f t="shared" si="182"/>
        <v>20680.340002005778</v>
      </c>
      <c r="S143" s="1271">
        <f t="shared" si="182"/>
        <v>20887.143402025838</v>
      </c>
      <c r="T143" s="1271">
        <f t="shared" si="182"/>
        <v>21096.014836046095</v>
      </c>
      <c r="U143" s="1271">
        <f t="shared" si="182"/>
        <v>21306.974984406559</v>
      </c>
      <c r="IV143" s="1271"/>
    </row>
    <row r="144" spans="2:256" s="1269" customFormat="1">
      <c r="I144" s="1276"/>
    </row>
    <row r="145" spans="2:21" s="1269" customFormat="1">
      <c r="B145" s="1269" t="s">
        <v>655</v>
      </c>
      <c r="I145" s="1271"/>
      <c r="J145" s="1271">
        <f t="shared" ref="J145:U145" si="183">J143*J146</f>
        <v>0</v>
      </c>
      <c r="K145" s="1271">
        <f t="shared" si="183"/>
        <v>578.66779492058959</v>
      </c>
      <c r="L145" s="1271">
        <f t="shared" si="183"/>
        <v>1558.5452609861215</v>
      </c>
      <c r="M145" s="1271">
        <f t="shared" si="183"/>
        <v>2361.1960703939735</v>
      </c>
      <c r="N145" s="1271">
        <f t="shared" si="183"/>
        <v>3179.7440414638845</v>
      </c>
      <c r="O145" s="1271">
        <f t="shared" si="183"/>
        <v>4014.4268523481546</v>
      </c>
      <c r="P145" s="1271">
        <f t="shared" si="183"/>
        <v>4865.4853450459632</v>
      </c>
      <c r="Q145" s="1271">
        <f t="shared" si="183"/>
        <v>5733.1635649124937</v>
      </c>
      <c r="R145" s="1271">
        <f t="shared" si="183"/>
        <v>5997.2986005816756</v>
      </c>
      <c r="S145" s="1271">
        <f t="shared" si="183"/>
        <v>6266.1430206077512</v>
      </c>
      <c r="T145" s="1271">
        <f t="shared" si="183"/>
        <v>6328.8044508138282</v>
      </c>
      <c r="U145" s="1271">
        <f t="shared" si="183"/>
        <v>1065.348749220328</v>
      </c>
    </row>
    <row r="146" spans="2:21" s="1269" customFormat="1">
      <c r="B146" s="1272" t="s">
        <v>656</v>
      </c>
      <c r="C146" s="1272"/>
      <c r="D146" s="1272"/>
      <c r="E146" s="1272"/>
      <c r="F146" s="1272"/>
      <c r="I146" s="1276"/>
      <c r="J146" s="1276"/>
      <c r="K146" s="1276">
        <v>0.03</v>
      </c>
      <c r="L146" s="1276">
        <v>0.08</v>
      </c>
      <c r="M146" s="1276">
        <v>0.12</v>
      </c>
      <c r="N146" s="1276">
        <v>0.16</v>
      </c>
      <c r="O146" s="1276">
        <v>0.2</v>
      </c>
      <c r="P146" s="1276">
        <v>0.24</v>
      </c>
      <c r="Q146" s="1276">
        <v>0.28000000000000003</v>
      </c>
      <c r="R146" s="1276">
        <v>0.28999999999999998</v>
      </c>
      <c r="S146" s="1276">
        <v>0.3</v>
      </c>
      <c r="T146" s="1276">
        <v>0.3</v>
      </c>
      <c r="U146" s="1276">
        <v>0.05</v>
      </c>
    </row>
    <row r="147" spans="2:21" s="1269" customFormat="1">
      <c r="J147" s="1285"/>
      <c r="K147" s="1285"/>
      <c r="L147" s="1285"/>
      <c r="M147" s="1285"/>
      <c r="N147" s="1285"/>
      <c r="O147" s="1285"/>
      <c r="P147" s="1285"/>
      <c r="Q147" s="1285"/>
      <c r="R147" s="1285"/>
      <c r="S147" s="1285"/>
      <c r="T147" s="1285"/>
      <c r="U147" s="1285"/>
    </row>
    <row r="148" spans="2:21" s="1269" customFormat="1">
      <c r="B148" s="1269" t="s">
        <v>657</v>
      </c>
      <c r="I148" s="1278"/>
      <c r="J148" s="1278"/>
      <c r="K148" s="1278">
        <v>5</v>
      </c>
      <c r="L148" s="1278">
        <v>10</v>
      </c>
      <c r="M148" s="1278">
        <v>12</v>
      </c>
      <c r="N148" s="1279">
        <v>14</v>
      </c>
      <c r="O148" s="1279">
        <v>14</v>
      </c>
      <c r="P148" s="1279">
        <f t="shared" ref="P148" si="184">O148</f>
        <v>14</v>
      </c>
      <c r="Q148" s="1279">
        <f t="shared" ref="Q148" si="185">P148</f>
        <v>14</v>
      </c>
      <c r="R148" s="1278">
        <f t="shared" ref="R148" si="186">Q148</f>
        <v>14</v>
      </c>
      <c r="S148" s="1278">
        <f t="shared" ref="S148" si="187">R148</f>
        <v>14</v>
      </c>
      <c r="T148" s="1278">
        <f t="shared" ref="T148" si="188">S148</f>
        <v>14</v>
      </c>
      <c r="U148" s="1278">
        <f t="shared" ref="U148" si="189">T148</f>
        <v>14</v>
      </c>
    </row>
    <row r="149" spans="2:21" s="1269" customFormat="1">
      <c r="B149" s="1269" t="s">
        <v>658</v>
      </c>
      <c r="I149" s="1271"/>
      <c r="J149" s="1271"/>
      <c r="K149" s="1271">
        <f t="shared" ref="K149:U149" si="190">K145*K148</f>
        <v>2893.3389746029479</v>
      </c>
      <c r="L149" s="1271">
        <f t="shared" si="190"/>
        <v>15585.452609861215</v>
      </c>
      <c r="M149" s="1271">
        <f t="shared" si="190"/>
        <v>28334.352844727684</v>
      </c>
      <c r="N149" s="1271">
        <f t="shared" si="190"/>
        <v>44516.416580494384</v>
      </c>
      <c r="O149" s="1271">
        <f t="shared" si="190"/>
        <v>56201.975932874164</v>
      </c>
      <c r="P149" s="1271">
        <f t="shared" si="190"/>
        <v>68116.794830643485</v>
      </c>
      <c r="Q149" s="1271">
        <f t="shared" si="190"/>
        <v>80264.28990877491</v>
      </c>
      <c r="R149" s="1271">
        <f t="shared" si="190"/>
        <v>83962.180408143453</v>
      </c>
      <c r="S149" s="1271">
        <f t="shared" si="190"/>
        <v>87726.00228850852</v>
      </c>
      <c r="T149" s="1271">
        <f t="shared" si="190"/>
        <v>88603.262311393599</v>
      </c>
      <c r="U149" s="1271">
        <f t="shared" si="190"/>
        <v>14914.882489084594</v>
      </c>
    </row>
    <row r="150" spans="2:21" s="1269" customFormat="1">
      <c r="B150" s="1269" t="s">
        <v>659</v>
      </c>
      <c r="I150" s="1280"/>
      <c r="J150" s="1280"/>
      <c r="K150" s="1280">
        <f t="shared" ref="K150:U150" si="191">K47</f>
        <v>10200</v>
      </c>
      <c r="L150" s="1280">
        <f t="shared" si="191"/>
        <v>10404</v>
      </c>
      <c r="M150" s="1280">
        <f t="shared" si="191"/>
        <v>10612.08</v>
      </c>
      <c r="N150" s="1280">
        <f t="shared" si="191"/>
        <v>10824.321599999999</v>
      </c>
      <c r="O150" s="1280">
        <f t="shared" si="191"/>
        <v>11040.808031999999</v>
      </c>
      <c r="P150" s="1280">
        <f t="shared" si="191"/>
        <v>11261.62419264</v>
      </c>
      <c r="Q150" s="1280">
        <f t="shared" si="191"/>
        <v>11486.8566764928</v>
      </c>
      <c r="R150" s="1280">
        <f t="shared" si="191"/>
        <v>11716.593810022656</v>
      </c>
      <c r="S150" s="1280">
        <f t="shared" si="191"/>
        <v>11950.925686223109</v>
      </c>
      <c r="T150" s="1280">
        <f t="shared" si="191"/>
        <v>12189.944199947571</v>
      </c>
      <c r="U150" s="1280">
        <f t="shared" si="191"/>
        <v>12433.743083946523</v>
      </c>
    </row>
    <row r="151" spans="2:21" s="1269" customFormat="1">
      <c r="I151" s="1281"/>
      <c r="J151" s="1282"/>
      <c r="K151" s="1282"/>
      <c r="L151" s="1282"/>
      <c r="M151" s="1282"/>
      <c r="N151" s="1282"/>
      <c r="O151" s="1282"/>
      <c r="P151" s="1282"/>
      <c r="Q151" s="1282"/>
      <c r="R151" s="1282"/>
      <c r="S151" s="1282"/>
      <c r="T151" s="1282"/>
      <c r="U151" s="1282"/>
    </row>
    <row r="152" spans="2:21" s="1269" customFormat="1">
      <c r="B152" s="1247" t="s">
        <v>811</v>
      </c>
      <c r="C152" s="1247"/>
      <c r="D152" s="1247"/>
      <c r="E152" s="1247"/>
      <c r="F152" s="1247"/>
      <c r="G152" s="1248"/>
      <c r="H152" s="1248"/>
      <c r="I152" s="1248"/>
      <c r="J152" s="1248"/>
      <c r="K152" s="1248">
        <f t="shared" ref="K152:U152" si="192">K145*K148*K150/1000000</f>
        <v>29.512057540950067</v>
      </c>
      <c r="L152" s="1248">
        <f t="shared" si="192"/>
        <v>162.15104895299606</v>
      </c>
      <c r="M152" s="1248">
        <f t="shared" si="192"/>
        <v>300.68641913647775</v>
      </c>
      <c r="N152" s="1248">
        <f t="shared" si="192"/>
        <v>481.86000954684346</v>
      </c>
      <c r="O152" s="1248">
        <f t="shared" si="192"/>
        <v>620.51522729394765</v>
      </c>
      <c r="P152" s="1248">
        <f t="shared" si="192"/>
        <v>767.10574458987003</v>
      </c>
      <c r="Q152" s="1248">
        <f t="shared" si="192"/>
        <v>921.98439442256472</v>
      </c>
      <c r="R152" s="1248">
        <f t="shared" si="192"/>
        <v>983.75076324605902</v>
      </c>
      <c r="S152" s="1248">
        <f t="shared" si="192"/>
        <v>1048.4069340994038</v>
      </c>
      <c r="T152" s="1248">
        <f t="shared" si="192"/>
        <v>1080.0688235092057</v>
      </c>
      <c r="U152" s="1248">
        <f t="shared" si="192"/>
        <v>185.44781699653069</v>
      </c>
    </row>
    <row r="153" spans="2:21" s="1269" customFormat="1">
      <c r="B153" s="1272" t="s">
        <v>662</v>
      </c>
      <c r="I153" s="1283"/>
      <c r="J153" s="1283"/>
      <c r="K153" s="1283"/>
      <c r="L153" s="1283">
        <f t="shared" ref="L153" si="193">L152/K152-1</f>
        <v>4.4944000000000006</v>
      </c>
      <c r="M153" s="1283">
        <f t="shared" ref="M153" si="194">M152/L152-1</f>
        <v>0.85435999999999979</v>
      </c>
      <c r="N153" s="1283">
        <f t="shared" ref="N153" si="195">N152/M152-1</f>
        <v>0.60253333333333337</v>
      </c>
      <c r="O153" s="1283">
        <f t="shared" ref="O153" si="196">O152/N152-1</f>
        <v>0.28774999999999995</v>
      </c>
      <c r="P153" s="1283">
        <f t="shared" ref="P153" si="197">P152/O152-1</f>
        <v>0.23624000000000023</v>
      </c>
      <c r="Q153" s="1283">
        <f t="shared" ref="Q153" si="198">Q152/P152-1</f>
        <v>0.20189999999999997</v>
      </c>
      <c r="R153" s="1283">
        <f t="shared" ref="R153" si="199">R152/Q152-1</f>
        <v>6.6992857142856854E-2</v>
      </c>
      <c r="S153" s="1283">
        <f t="shared" ref="S153" si="200">S152/R152-1</f>
        <v>6.572413793103471E-2</v>
      </c>
      <c r="T153" s="1283">
        <f t="shared" ref="T153" si="201">T152/S152-1</f>
        <v>3.0200000000000005E-2</v>
      </c>
      <c r="U153" s="1283">
        <f t="shared" ref="U153" si="202">U152/T152-1</f>
        <v>-0.82829999999999993</v>
      </c>
    </row>
    <row r="156" spans="2:21" s="1269" customFormat="1">
      <c r="B156" s="1267" t="s">
        <v>812</v>
      </c>
      <c r="C156" s="1268" t="s">
        <v>580</v>
      </c>
      <c r="D156" s="1268" t="s">
        <v>372</v>
      </c>
      <c r="E156" s="1268" t="s">
        <v>302</v>
      </c>
      <c r="F156" s="1268" t="s">
        <v>301</v>
      </c>
      <c r="G156" s="1268" t="s">
        <v>300</v>
      </c>
      <c r="H156" s="1268" t="s">
        <v>312</v>
      </c>
      <c r="I156" s="1268" t="s">
        <v>313</v>
      </c>
      <c r="J156" s="1268" t="s">
        <v>323</v>
      </c>
      <c r="K156" s="1268" t="s">
        <v>324</v>
      </c>
      <c r="L156" s="1268" t="s">
        <v>325</v>
      </c>
      <c r="M156" s="1268" t="s">
        <v>392</v>
      </c>
      <c r="N156" s="1268" t="s">
        <v>393</v>
      </c>
      <c r="O156" s="1268" t="s">
        <v>394</v>
      </c>
      <c r="P156" s="1268" t="s">
        <v>395</v>
      </c>
      <c r="Q156" s="1268" t="s">
        <v>396</v>
      </c>
      <c r="R156" s="1268" t="s">
        <v>397</v>
      </c>
      <c r="S156" s="1268" t="s">
        <v>398</v>
      </c>
      <c r="T156" s="1268" t="s">
        <v>399</v>
      </c>
      <c r="U156" s="1268" t="s">
        <v>400</v>
      </c>
    </row>
    <row r="157" spans="2:21" s="1269" customFormat="1" hidden="1">
      <c r="B157" s="1269" t="s">
        <v>669</v>
      </c>
      <c r="C157" s="1270">
        <v>375925</v>
      </c>
      <c r="D157" s="1271">
        <f>C162</f>
        <v>437644</v>
      </c>
      <c r="E157" s="1271">
        <f>D162</f>
        <v>500758.78</v>
      </c>
      <c r="F157" s="1271">
        <f>E162</f>
        <v>565229.45559999999</v>
      </c>
      <c r="G157" s="1271">
        <f>F162</f>
        <v>631046.74471200001</v>
      </c>
      <c r="H157" s="1271">
        <f>G162</f>
        <v>698301.97960624006</v>
      </c>
      <c r="I157" s="1271">
        <f t="shared" ref="I157" si="203">H162</f>
        <v>761524.14060362137</v>
      </c>
      <c r="J157" s="1271">
        <f t="shared" ref="J157" si="204">I162</f>
        <v>824606.84857173485</v>
      </c>
      <c r="K157" s="1271">
        <f t="shared" ref="K157" si="205">J162</f>
        <v>887587.3282517792</v>
      </c>
      <c r="L157" s="1271">
        <f t="shared" ref="L157" si="206">K162</f>
        <v>950502.4084077985</v>
      </c>
      <c r="M157" s="1271">
        <f t="shared" ref="M157" si="207">L162</f>
        <v>1013388.5464128313</v>
      </c>
      <c r="N157" s="1271">
        <f t="shared" ref="N157" si="208">M162</f>
        <v>1076281.8524003071</v>
      </c>
      <c r="O157" s="1271">
        <f t="shared" ref="O157" si="209">N162</f>
        <v>1139218.1129984006</v>
      </c>
      <c r="P157" s="1271">
        <f t="shared" ref="P157" si="210">O162</f>
        <v>1202232.8146646575</v>
      </c>
      <c r="Q157" s="1271">
        <f t="shared" ref="Q157" si="211">P162</f>
        <v>1265361.1666378188</v>
      </c>
      <c r="R157" s="1271">
        <f t="shared" ref="R157" si="212">Q162</f>
        <v>1328638.1235234011</v>
      </c>
      <c r="S157" s="1271">
        <f t="shared" ref="S157" si="213">R162</f>
        <v>1392098.4075292293</v>
      </c>
      <c r="T157" s="1271">
        <f t="shared" ref="T157" si="214">S162</f>
        <v>1455776.5303667723</v>
      </c>
      <c r="U157" s="1271">
        <f t="shared" ref="U157" si="215">T162</f>
        <v>1519706.8148337984</v>
      </c>
    </row>
    <row r="158" spans="2:21" s="1269" customFormat="1">
      <c r="B158" s="1528" t="s">
        <v>813</v>
      </c>
      <c r="C158" s="1270">
        <v>75289</v>
      </c>
      <c r="D158" s="1270">
        <f>C158*(1+D159)</f>
        <v>76794.78</v>
      </c>
      <c r="E158" s="1270">
        <f t="shared" ref="E158" si="216">D158*(1+E159)</f>
        <v>78330.675600000002</v>
      </c>
      <c r="F158" s="1270">
        <f t="shared" ref="F158" si="217">E158*(1+F159)</f>
        <v>79897.289111999999</v>
      </c>
      <c r="G158" s="1270">
        <f t="shared" ref="G158" si="218">F158*(1+G159)</f>
        <v>81495.234894239999</v>
      </c>
      <c r="H158" s="1270">
        <f t="shared" ref="H158" si="219">G158*(1+H159)</f>
        <v>83125.139592124804</v>
      </c>
      <c r="I158" s="1270">
        <f t="shared" ref="I158" si="220">H158*(1+I159)</f>
        <v>84787.642383967308</v>
      </c>
      <c r="J158" s="1270">
        <f t="shared" ref="J158" si="221">I158*(1+J159)</f>
        <v>86483.39523164666</v>
      </c>
      <c r="K158" s="1270">
        <f t="shared" ref="K158" si="222">J158*(1+K159)</f>
        <v>88213.063136279598</v>
      </c>
      <c r="L158" s="1270">
        <f t="shared" ref="L158" si="223">K158*(1+L159)</f>
        <v>89977.324399005185</v>
      </c>
      <c r="M158" s="1270">
        <f t="shared" ref="M158" si="224">L158*(1+M159)</f>
        <v>91776.870886985285</v>
      </c>
      <c r="N158" s="1270">
        <f t="shared" ref="N158" si="225">M158*(1+N159)</f>
        <v>93612.408304724988</v>
      </c>
      <c r="O158" s="1270">
        <f t="shared" ref="O158" si="226">N158*(1+O159)</f>
        <v>95484.656470819493</v>
      </c>
      <c r="P158" s="1270">
        <f t="shared" ref="P158" si="227">O158*(1+P159)</f>
        <v>97394.349600235888</v>
      </c>
      <c r="Q158" s="1270">
        <f t="shared" ref="Q158" si="228">P158*(1+Q159)</f>
        <v>99342.236592240602</v>
      </c>
      <c r="R158" s="1270">
        <f t="shared" ref="R158" si="229">Q158*(1+R159)</f>
        <v>101329.08132408542</v>
      </c>
      <c r="S158" s="1270">
        <f t="shared" ref="S158" si="230">R158*(1+S159)</f>
        <v>103355.66295056713</v>
      </c>
      <c r="T158" s="1270">
        <f t="shared" ref="T158" si="231">S158*(1+T159)</f>
        <v>105422.77620957847</v>
      </c>
      <c r="U158" s="1270">
        <f t="shared" ref="U158" si="232">T158*(1+U159)</f>
        <v>107531.23173377004</v>
      </c>
    </row>
    <row r="159" spans="2:21" s="1269" customFormat="1">
      <c r="B159" s="1272" t="s">
        <v>645</v>
      </c>
      <c r="C159" s="1272"/>
      <c r="D159" s="1273">
        <v>0.02</v>
      </c>
      <c r="E159" s="1273">
        <v>0.02</v>
      </c>
      <c r="F159" s="1273">
        <v>0.02</v>
      </c>
      <c r="G159" s="1273">
        <f t="shared" ref="G159:U159" si="233">F159</f>
        <v>0.02</v>
      </c>
      <c r="H159" s="1273">
        <f t="shared" si="233"/>
        <v>0.02</v>
      </c>
      <c r="I159" s="1273">
        <f t="shared" si="233"/>
        <v>0.02</v>
      </c>
      <c r="J159" s="1273">
        <f t="shared" si="233"/>
        <v>0.02</v>
      </c>
      <c r="K159" s="1273">
        <f t="shared" si="233"/>
        <v>0.02</v>
      </c>
      <c r="L159" s="1273">
        <f t="shared" si="233"/>
        <v>0.02</v>
      </c>
      <c r="M159" s="1273">
        <f t="shared" si="233"/>
        <v>0.02</v>
      </c>
      <c r="N159" s="1273">
        <f t="shared" si="233"/>
        <v>0.02</v>
      </c>
      <c r="O159" s="1273">
        <f t="shared" si="233"/>
        <v>0.02</v>
      </c>
      <c r="P159" s="1273">
        <f t="shared" si="233"/>
        <v>0.02</v>
      </c>
      <c r="Q159" s="1273">
        <f t="shared" si="233"/>
        <v>0.02</v>
      </c>
      <c r="R159" s="1273">
        <f t="shared" si="233"/>
        <v>0.02</v>
      </c>
      <c r="S159" s="1273">
        <f t="shared" si="233"/>
        <v>0.02</v>
      </c>
      <c r="T159" s="1273">
        <f t="shared" si="233"/>
        <v>0.02</v>
      </c>
      <c r="U159" s="1273">
        <f t="shared" si="233"/>
        <v>0.02</v>
      </c>
    </row>
    <row r="160" spans="2:21" s="1269" customFormat="1" hidden="1">
      <c r="B160" s="1269" t="s">
        <v>646</v>
      </c>
      <c r="C160" s="1270">
        <v>13570</v>
      </c>
      <c r="D160" s="1270">
        <v>13680</v>
      </c>
      <c r="E160" s="1270">
        <v>13860</v>
      </c>
      <c r="F160" s="1270">
        <v>14080</v>
      </c>
      <c r="G160" s="1270">
        <v>14240</v>
      </c>
      <c r="H160" s="1270">
        <f>H157*H161</f>
        <v>19902.978594743516</v>
      </c>
      <c r="I160" s="1270">
        <f>I157*I161</f>
        <v>21704.934415853815</v>
      </c>
      <c r="J160" s="1270">
        <f t="shared" ref="J160:U160" si="234">J157*J161</f>
        <v>23502.915551602266</v>
      </c>
      <c r="K160" s="1270">
        <f t="shared" si="234"/>
        <v>25297.982980260316</v>
      </c>
      <c r="L160" s="1270">
        <f t="shared" si="234"/>
        <v>27091.186393972413</v>
      </c>
      <c r="M160" s="1270">
        <f t="shared" si="234"/>
        <v>28883.564899509547</v>
      </c>
      <c r="N160" s="1270">
        <f t="shared" si="234"/>
        <v>30676.14770663152</v>
      </c>
      <c r="O160" s="1270">
        <f t="shared" si="234"/>
        <v>32469.954804562683</v>
      </c>
      <c r="P160" s="1270">
        <f t="shared" si="234"/>
        <v>34265.997627074612</v>
      </c>
      <c r="Q160" s="1270">
        <f t="shared" si="234"/>
        <v>36065.279706658221</v>
      </c>
      <c r="R160" s="1270">
        <f t="shared" si="234"/>
        <v>37868.797318257151</v>
      </c>
      <c r="S160" s="1270">
        <f t="shared" si="234"/>
        <v>39677.540113024188</v>
      </c>
      <c r="T160" s="1270">
        <f t="shared" si="234"/>
        <v>41492.491742552316</v>
      </c>
      <c r="U160" s="1270">
        <f t="shared" si="234"/>
        <v>43314.630474022866</v>
      </c>
    </row>
    <row r="161" spans="2:256" s="1269" customFormat="1" hidden="1">
      <c r="B161" s="1272" t="s">
        <v>647</v>
      </c>
      <c r="C161" s="1273">
        <f>C160/C157</f>
        <v>3.6097625856221317E-2</v>
      </c>
      <c r="D161" s="1273">
        <f>D160/D157</f>
        <v>3.1258282987999375E-2</v>
      </c>
      <c r="E161" s="1273">
        <f>E160/E157</f>
        <v>2.7677996978904693E-2</v>
      </c>
      <c r="F161" s="1273">
        <f>F160/F157</f>
        <v>2.4910237533629344E-2</v>
      </c>
      <c r="G161" s="1273">
        <f>G160/G157</f>
        <v>2.2565681733290481E-2</v>
      </c>
      <c r="H161" s="1273">
        <f>AVERAGE(C161:G161)</f>
        <v>2.8501965018009039E-2</v>
      </c>
      <c r="I161" s="1273">
        <f>H161</f>
        <v>2.8501965018009039E-2</v>
      </c>
      <c r="J161" s="1273">
        <f t="shared" ref="J161" si="235">I161</f>
        <v>2.8501965018009039E-2</v>
      </c>
      <c r="K161" s="1273">
        <f t="shared" ref="K161" si="236">J161</f>
        <v>2.8501965018009039E-2</v>
      </c>
      <c r="L161" s="1273">
        <f t="shared" ref="L161" si="237">K161</f>
        <v>2.8501965018009039E-2</v>
      </c>
      <c r="M161" s="1273">
        <f t="shared" ref="M161" si="238">L161</f>
        <v>2.8501965018009039E-2</v>
      </c>
      <c r="N161" s="1273">
        <f t="shared" ref="N161" si="239">M161</f>
        <v>2.8501965018009039E-2</v>
      </c>
      <c r="O161" s="1273">
        <f t="shared" ref="O161" si="240">N161</f>
        <v>2.8501965018009039E-2</v>
      </c>
      <c r="P161" s="1273">
        <f t="shared" ref="P161" si="241">O161</f>
        <v>2.8501965018009039E-2</v>
      </c>
      <c r="Q161" s="1273">
        <f t="shared" ref="Q161" si="242">P161</f>
        <v>2.8501965018009039E-2</v>
      </c>
      <c r="R161" s="1273">
        <f t="shared" ref="R161" si="243">Q161</f>
        <v>2.8501965018009039E-2</v>
      </c>
      <c r="S161" s="1273">
        <f t="shared" ref="S161" si="244">R161</f>
        <v>2.8501965018009039E-2</v>
      </c>
      <c r="T161" s="1273">
        <f t="shared" ref="T161" si="245">S161</f>
        <v>2.8501965018009039E-2</v>
      </c>
      <c r="U161" s="1273">
        <f t="shared" ref="U161" si="246">T161</f>
        <v>2.8501965018009039E-2</v>
      </c>
    </row>
    <row r="162" spans="2:256" s="1269" customFormat="1" hidden="1" collapsed="1">
      <c r="B162" s="1269" t="s">
        <v>671</v>
      </c>
      <c r="C162" s="1271">
        <f>C157+C158-C160</f>
        <v>437644</v>
      </c>
      <c r="D162" s="1271">
        <f t="shared" ref="D162:U162" si="247">D157+D158-D160</f>
        <v>500758.78</v>
      </c>
      <c r="E162" s="1271">
        <f t="shared" si="247"/>
        <v>565229.45559999999</v>
      </c>
      <c r="F162" s="1271">
        <f t="shared" si="247"/>
        <v>631046.74471200001</v>
      </c>
      <c r="G162" s="1271">
        <f t="shared" si="247"/>
        <v>698301.97960624006</v>
      </c>
      <c r="H162" s="1271">
        <f t="shared" si="247"/>
        <v>761524.14060362137</v>
      </c>
      <c r="I162" s="1271">
        <f t="shared" si="247"/>
        <v>824606.84857173485</v>
      </c>
      <c r="J162" s="1271">
        <f t="shared" si="247"/>
        <v>887587.3282517792</v>
      </c>
      <c r="K162" s="1271">
        <f t="shared" si="247"/>
        <v>950502.4084077985</v>
      </c>
      <c r="L162" s="1271">
        <f t="shared" si="247"/>
        <v>1013388.5464128313</v>
      </c>
      <c r="M162" s="1271">
        <f t="shared" si="247"/>
        <v>1076281.8524003071</v>
      </c>
      <c r="N162" s="1271">
        <f t="shared" si="247"/>
        <v>1139218.1129984006</v>
      </c>
      <c r="O162" s="1271">
        <f t="shared" si="247"/>
        <v>1202232.8146646575</v>
      </c>
      <c r="P162" s="1271">
        <f t="shared" si="247"/>
        <v>1265361.1666378188</v>
      </c>
      <c r="Q162" s="1271">
        <f t="shared" si="247"/>
        <v>1328638.1235234011</v>
      </c>
      <c r="R162" s="1271">
        <f t="shared" si="247"/>
        <v>1392098.4075292293</v>
      </c>
      <c r="S162" s="1271">
        <f t="shared" si="247"/>
        <v>1455776.5303667723</v>
      </c>
      <c r="T162" s="1271">
        <f t="shared" si="247"/>
        <v>1519706.8148337984</v>
      </c>
      <c r="U162" s="1271">
        <f t="shared" si="247"/>
        <v>1583923.4160935457</v>
      </c>
    </row>
    <row r="163" spans="2:256" s="1269" customFormat="1">
      <c r="F163" s="1274"/>
      <c r="G163" s="1275"/>
    </row>
    <row r="164" spans="2:256" s="1269" customFormat="1">
      <c r="B164" s="1528" t="s">
        <v>829</v>
      </c>
      <c r="C164" s="1271">
        <f>C158*C165</f>
        <v>25598.260000000002</v>
      </c>
      <c r="D164" s="1271">
        <f t="shared" ref="D164:U164" si="248">D158*D165</f>
        <v>26110.225200000001</v>
      </c>
      <c r="E164" s="1271">
        <f t="shared" si="248"/>
        <v>26632.429704000002</v>
      </c>
      <c r="F164" s="1271">
        <f t="shared" si="248"/>
        <v>27165.078298080003</v>
      </c>
      <c r="G164" s="1271">
        <f t="shared" si="248"/>
        <v>27708.379864041603</v>
      </c>
      <c r="H164" s="1271">
        <f t="shared" si="248"/>
        <v>28262.547461322436</v>
      </c>
      <c r="I164" s="1271">
        <f t="shared" si="248"/>
        <v>28827.798410548887</v>
      </c>
      <c r="J164" s="1271">
        <f t="shared" si="248"/>
        <v>29404.354378759868</v>
      </c>
      <c r="K164" s="1271">
        <f t="shared" si="248"/>
        <v>29992.441466335065</v>
      </c>
      <c r="L164" s="1271">
        <f t="shared" si="248"/>
        <v>30592.290295661765</v>
      </c>
      <c r="M164" s="1271">
        <f t="shared" si="248"/>
        <v>31204.136101575001</v>
      </c>
      <c r="N164" s="1271">
        <f t="shared" si="248"/>
        <v>31828.218823606498</v>
      </c>
      <c r="O164" s="1271">
        <f t="shared" si="248"/>
        <v>32464.783200078629</v>
      </c>
      <c r="P164" s="1271">
        <f t="shared" si="248"/>
        <v>33114.078864080206</v>
      </c>
      <c r="Q164" s="1271">
        <f t="shared" si="248"/>
        <v>33776.360441361809</v>
      </c>
      <c r="R164" s="1271">
        <f t="shared" si="248"/>
        <v>34451.887650189048</v>
      </c>
      <c r="S164" s="1271">
        <f t="shared" si="248"/>
        <v>35140.925403192829</v>
      </c>
      <c r="T164" s="1271">
        <f t="shared" si="248"/>
        <v>35843.743911256686</v>
      </c>
      <c r="U164" s="1271">
        <f t="shared" si="248"/>
        <v>36560.618789481814</v>
      </c>
    </row>
    <row r="165" spans="2:256" s="1269" customFormat="1">
      <c r="C165" s="1284">
        <v>0.34</v>
      </c>
      <c r="D165" s="1284">
        <f>C165</f>
        <v>0.34</v>
      </c>
      <c r="E165" s="1284">
        <f t="shared" ref="E165" si="249">D165</f>
        <v>0.34</v>
      </c>
      <c r="F165" s="1284">
        <f t="shared" ref="F165" si="250">E165</f>
        <v>0.34</v>
      </c>
      <c r="G165" s="1284">
        <f t="shared" ref="G165" si="251">F165</f>
        <v>0.34</v>
      </c>
      <c r="H165" s="1284">
        <f t="shared" ref="H165" si="252">G165</f>
        <v>0.34</v>
      </c>
      <c r="I165" s="1284">
        <f t="shared" ref="I165" si="253">H165</f>
        <v>0.34</v>
      </c>
      <c r="J165" s="1284">
        <f t="shared" ref="J165" si="254">I165</f>
        <v>0.34</v>
      </c>
      <c r="K165" s="1284">
        <f t="shared" ref="K165" si="255">J165</f>
        <v>0.34</v>
      </c>
      <c r="L165" s="1284">
        <f t="shared" ref="L165" si="256">K165</f>
        <v>0.34</v>
      </c>
      <c r="M165" s="1284">
        <f t="shared" ref="M165" si="257">L165</f>
        <v>0.34</v>
      </c>
      <c r="N165" s="1284">
        <f t="shared" ref="N165" si="258">M165</f>
        <v>0.34</v>
      </c>
      <c r="O165" s="1284">
        <f t="shared" ref="O165" si="259">N165</f>
        <v>0.34</v>
      </c>
      <c r="P165" s="1284">
        <f t="shared" ref="P165" si="260">O165</f>
        <v>0.34</v>
      </c>
      <c r="Q165" s="1284">
        <f t="shared" ref="Q165" si="261">P165</f>
        <v>0.34</v>
      </c>
      <c r="R165" s="1284">
        <f t="shared" ref="R165" si="262">Q165</f>
        <v>0.34</v>
      </c>
      <c r="S165" s="1284">
        <f t="shared" ref="S165" si="263">R165</f>
        <v>0.34</v>
      </c>
      <c r="T165" s="1284">
        <f t="shared" ref="T165" si="264">S165</f>
        <v>0.34</v>
      </c>
      <c r="U165" s="1284">
        <f t="shared" ref="U165" si="265">T165</f>
        <v>0.34</v>
      </c>
    </row>
    <row r="166" spans="2:256" s="1269" customFormat="1">
      <c r="B166" s="1528" t="s">
        <v>824</v>
      </c>
      <c r="C166" s="1271">
        <f>C158*C167</f>
        <v>5270.2300000000005</v>
      </c>
      <c r="D166" s="1271">
        <f t="shared" ref="D166:U166" si="266">D158*D167</f>
        <v>5375.6346000000003</v>
      </c>
      <c r="E166" s="1271">
        <f t="shared" si="266"/>
        <v>5483.1472920000006</v>
      </c>
      <c r="F166" s="1271">
        <f t="shared" si="266"/>
        <v>5592.8102378400008</v>
      </c>
      <c r="G166" s="1271">
        <f t="shared" si="266"/>
        <v>5704.6664425968002</v>
      </c>
      <c r="H166" s="1271">
        <f t="shared" si="266"/>
        <v>5818.7597714487365</v>
      </c>
      <c r="I166" s="1271">
        <f t="shared" si="266"/>
        <v>5935.134966877712</v>
      </c>
      <c r="J166" s="1271">
        <f t="shared" si="266"/>
        <v>6053.8376662152668</v>
      </c>
      <c r="K166" s="1271">
        <f t="shared" si="266"/>
        <v>6174.914419539572</v>
      </c>
      <c r="L166" s="1271">
        <f t="shared" si="266"/>
        <v>6298.4127079303635</v>
      </c>
      <c r="M166" s="1271">
        <f t="shared" si="266"/>
        <v>6424.3809620889706</v>
      </c>
      <c r="N166" s="1271">
        <f t="shared" si="266"/>
        <v>6552.8685813307502</v>
      </c>
      <c r="O166" s="1271">
        <f t="shared" si="266"/>
        <v>6683.9259529573656</v>
      </c>
      <c r="P166" s="1271">
        <f t="shared" si="266"/>
        <v>6817.6044720165128</v>
      </c>
      <c r="Q166" s="1271">
        <f t="shared" si="266"/>
        <v>6953.9565614568428</v>
      </c>
      <c r="R166" s="1271">
        <f t="shared" si="266"/>
        <v>7093.0356926859804</v>
      </c>
      <c r="S166" s="1271">
        <f t="shared" si="266"/>
        <v>7234.8964065396995</v>
      </c>
      <c r="T166" s="1271">
        <f t="shared" si="266"/>
        <v>7379.5943346704935</v>
      </c>
      <c r="U166" s="1271">
        <f t="shared" si="266"/>
        <v>7527.1862213639033</v>
      </c>
    </row>
    <row r="167" spans="2:256" s="1269" customFormat="1">
      <c r="C167" s="1284">
        <v>7.0000000000000007E-2</v>
      </c>
      <c r="D167" s="1284">
        <f>C167</f>
        <v>7.0000000000000007E-2</v>
      </c>
      <c r="E167" s="1284">
        <f t="shared" ref="E167" si="267">D167</f>
        <v>7.0000000000000007E-2</v>
      </c>
      <c r="F167" s="1284">
        <f t="shared" ref="F167" si="268">E167</f>
        <v>7.0000000000000007E-2</v>
      </c>
      <c r="G167" s="1284">
        <f t="shared" ref="G167" si="269">F167</f>
        <v>7.0000000000000007E-2</v>
      </c>
      <c r="H167" s="1284">
        <f t="shared" ref="H167" si="270">G167</f>
        <v>7.0000000000000007E-2</v>
      </c>
      <c r="I167" s="1284">
        <f t="shared" ref="I167" si="271">H167</f>
        <v>7.0000000000000007E-2</v>
      </c>
      <c r="J167" s="1284">
        <f t="shared" ref="J167" si="272">I167</f>
        <v>7.0000000000000007E-2</v>
      </c>
      <c r="K167" s="1284">
        <f t="shared" ref="K167" si="273">J167</f>
        <v>7.0000000000000007E-2</v>
      </c>
      <c r="L167" s="1284">
        <f t="shared" ref="L167" si="274">K167</f>
        <v>7.0000000000000007E-2</v>
      </c>
      <c r="M167" s="1284">
        <f t="shared" ref="M167" si="275">L167</f>
        <v>7.0000000000000007E-2</v>
      </c>
      <c r="N167" s="1284">
        <f t="shared" ref="N167" si="276">M167</f>
        <v>7.0000000000000007E-2</v>
      </c>
      <c r="O167" s="1284">
        <f t="shared" ref="O167" si="277">N167</f>
        <v>7.0000000000000007E-2</v>
      </c>
      <c r="P167" s="1284">
        <f t="shared" ref="P167" si="278">O167</f>
        <v>7.0000000000000007E-2</v>
      </c>
      <c r="Q167" s="1284">
        <f t="shared" ref="Q167" si="279">P167</f>
        <v>7.0000000000000007E-2</v>
      </c>
      <c r="R167" s="1284">
        <f t="shared" ref="R167" si="280">Q167</f>
        <v>7.0000000000000007E-2</v>
      </c>
      <c r="S167" s="1284">
        <f t="shared" ref="S167" si="281">R167</f>
        <v>7.0000000000000007E-2</v>
      </c>
      <c r="T167" s="1284">
        <f t="shared" ref="T167" si="282">S167</f>
        <v>7.0000000000000007E-2</v>
      </c>
      <c r="U167" s="1284">
        <f t="shared" ref="U167" si="283">T167</f>
        <v>7.0000000000000007E-2</v>
      </c>
    </row>
    <row r="168" spans="2:256" s="1269" customFormat="1">
      <c r="B168" s="1528" t="s">
        <v>815</v>
      </c>
      <c r="C168" s="1271">
        <f t="shared" ref="C168:U168" si="284">C158*C169</f>
        <v>3011.56</v>
      </c>
      <c r="D168" s="1271">
        <f t="shared" si="284"/>
        <v>3071.7912000000001</v>
      </c>
      <c r="E168" s="1271">
        <f t="shared" si="284"/>
        <v>3133.2270240000003</v>
      </c>
      <c r="F168" s="1271">
        <f t="shared" si="284"/>
        <v>3195.8915644799999</v>
      </c>
      <c r="G168" s="1271">
        <f t="shared" si="284"/>
        <v>3259.8093957696001</v>
      </c>
      <c r="H168" s="1271">
        <f t="shared" si="284"/>
        <v>3325.0055836849924</v>
      </c>
      <c r="I168" s="1271">
        <f t="shared" si="284"/>
        <v>3391.5056953586923</v>
      </c>
      <c r="J168" s="1271">
        <f t="shared" si="284"/>
        <v>3459.3358092658664</v>
      </c>
      <c r="K168" s="1271">
        <f t="shared" si="284"/>
        <v>3528.5225254511838</v>
      </c>
      <c r="L168" s="1271">
        <f t="shared" si="284"/>
        <v>3599.0929759602077</v>
      </c>
      <c r="M168" s="1271">
        <f t="shared" si="284"/>
        <v>3671.0748354794114</v>
      </c>
      <c r="N168" s="1271">
        <f t="shared" si="284"/>
        <v>3744.4963321889995</v>
      </c>
      <c r="O168" s="1271">
        <f t="shared" si="284"/>
        <v>3819.3862588327797</v>
      </c>
      <c r="P168" s="1271">
        <f t="shared" si="284"/>
        <v>3895.7739840094355</v>
      </c>
      <c r="Q168" s="1271">
        <f t="shared" si="284"/>
        <v>3973.6894636896241</v>
      </c>
      <c r="R168" s="1271">
        <f t="shared" si="284"/>
        <v>4053.1632529634167</v>
      </c>
      <c r="S168" s="1271">
        <f t="shared" si="284"/>
        <v>4134.226518022685</v>
      </c>
      <c r="T168" s="1271">
        <f t="shared" si="284"/>
        <v>4216.9110483831391</v>
      </c>
      <c r="U168" s="1271">
        <f t="shared" si="284"/>
        <v>4301.2492693508011</v>
      </c>
    </row>
    <row r="169" spans="2:256" s="1269" customFormat="1">
      <c r="B169" s="1272" t="s">
        <v>650</v>
      </c>
      <c r="C169" s="1284">
        <v>0.04</v>
      </c>
      <c r="D169" s="1284">
        <f>C169</f>
        <v>0.04</v>
      </c>
      <c r="E169" s="1284">
        <f t="shared" ref="E169" si="285">D169</f>
        <v>0.04</v>
      </c>
      <c r="F169" s="1284">
        <f t="shared" ref="F169" si="286">E169</f>
        <v>0.04</v>
      </c>
      <c r="G169" s="1284">
        <f t="shared" ref="G169" si="287">F169</f>
        <v>0.04</v>
      </c>
      <c r="H169" s="1284">
        <f t="shared" ref="H169" si="288">G169</f>
        <v>0.04</v>
      </c>
      <c r="I169" s="1284">
        <f t="shared" ref="I169" si="289">H169</f>
        <v>0.04</v>
      </c>
      <c r="J169" s="1284">
        <f t="shared" ref="J169" si="290">I169</f>
        <v>0.04</v>
      </c>
      <c r="K169" s="1284">
        <f t="shared" ref="K169" si="291">J169</f>
        <v>0.04</v>
      </c>
      <c r="L169" s="1284">
        <f t="shared" ref="L169" si="292">K169</f>
        <v>0.04</v>
      </c>
      <c r="M169" s="1284">
        <f t="shared" ref="M169" si="293">L169</f>
        <v>0.04</v>
      </c>
      <c r="N169" s="1284">
        <f t="shared" ref="N169" si="294">M169</f>
        <v>0.04</v>
      </c>
      <c r="O169" s="1284">
        <f t="shared" ref="O169" si="295">N169</f>
        <v>0.04</v>
      </c>
      <c r="P169" s="1284">
        <f t="shared" ref="P169" si="296">O169</f>
        <v>0.04</v>
      </c>
      <c r="Q169" s="1284">
        <f t="shared" ref="Q169" si="297">P169</f>
        <v>0.04</v>
      </c>
      <c r="R169" s="1284">
        <f t="shared" ref="R169" si="298">Q169</f>
        <v>0.04</v>
      </c>
      <c r="S169" s="1284">
        <f t="shared" ref="S169" si="299">R169</f>
        <v>0.04</v>
      </c>
      <c r="T169" s="1284">
        <f t="shared" ref="T169" si="300">S169</f>
        <v>0.04</v>
      </c>
      <c r="U169" s="1284">
        <f t="shared" ref="U169" si="301">T169</f>
        <v>0.04</v>
      </c>
    </row>
    <row r="170" spans="2:256" s="1269" customFormat="1">
      <c r="B170" s="1272"/>
      <c r="C170" s="1284"/>
      <c r="D170" s="1284"/>
      <c r="E170" s="1284"/>
      <c r="F170" s="1284"/>
      <c r="G170" s="1284"/>
      <c r="H170" s="1284"/>
      <c r="I170" s="1284"/>
      <c r="J170" s="1284"/>
      <c r="K170" s="1284"/>
      <c r="L170" s="1284"/>
      <c r="M170" s="1284"/>
      <c r="N170" s="1284"/>
      <c r="O170" s="1284"/>
      <c r="P170" s="1284"/>
      <c r="Q170" s="1284"/>
      <c r="R170" s="1284"/>
      <c r="S170" s="1284"/>
      <c r="T170" s="1284"/>
      <c r="U170" s="1284"/>
    </row>
    <row r="171" spans="2:256" s="1269" customFormat="1">
      <c r="B171" s="1528" t="s">
        <v>828</v>
      </c>
      <c r="C171" s="1271">
        <f>C164+C166+C168</f>
        <v>33880.050000000003</v>
      </c>
      <c r="D171" s="1271">
        <f t="shared" ref="D171:U171" si="302">D164+D166+D168</f>
        <v>34557.651000000005</v>
      </c>
      <c r="E171" s="1271">
        <f t="shared" si="302"/>
        <v>35248.804020000003</v>
      </c>
      <c r="F171" s="1271">
        <f t="shared" si="302"/>
        <v>35953.780100400007</v>
      </c>
      <c r="G171" s="1271">
        <f t="shared" si="302"/>
        <v>36672.855702408007</v>
      </c>
      <c r="H171" s="1271">
        <f t="shared" si="302"/>
        <v>37406.312816456164</v>
      </c>
      <c r="I171" s="1271">
        <f t="shared" si="302"/>
        <v>38154.439072785288</v>
      </c>
      <c r="J171" s="1271">
        <f t="shared" si="302"/>
        <v>38917.527854241001</v>
      </c>
      <c r="K171" s="1271">
        <f t="shared" si="302"/>
        <v>39695.878411325823</v>
      </c>
      <c r="L171" s="1271">
        <f t="shared" si="302"/>
        <v>40489.795979552335</v>
      </c>
      <c r="M171" s="1271">
        <f t="shared" si="302"/>
        <v>41299.591899143386</v>
      </c>
      <c r="N171" s="1271">
        <f t="shared" si="302"/>
        <v>42125.583737126253</v>
      </c>
      <c r="O171" s="1271">
        <f t="shared" si="302"/>
        <v>42968.095411868781</v>
      </c>
      <c r="P171" s="1271">
        <f t="shared" si="302"/>
        <v>43827.457320106158</v>
      </c>
      <c r="Q171" s="1271">
        <f t="shared" si="302"/>
        <v>44704.006466508275</v>
      </c>
      <c r="R171" s="1271">
        <f t="shared" si="302"/>
        <v>45598.086595838446</v>
      </c>
      <c r="S171" s="1271">
        <f t="shared" si="302"/>
        <v>46510.048327755212</v>
      </c>
      <c r="T171" s="1271">
        <f t="shared" si="302"/>
        <v>47440.249294310321</v>
      </c>
      <c r="U171" s="1271">
        <f t="shared" si="302"/>
        <v>48389.05428019652</v>
      </c>
      <c r="IV171" s="1271"/>
    </row>
    <row r="172" spans="2:256" s="1269" customFormat="1">
      <c r="I172" s="1276"/>
    </row>
    <row r="173" spans="2:256" s="1269" customFormat="1">
      <c r="B173" s="1269" t="s">
        <v>655</v>
      </c>
      <c r="I173" s="1271"/>
      <c r="J173" s="1271"/>
      <c r="K173" s="1271">
        <f t="shared" ref="K173:U173" si="303">K171*K174</f>
        <v>1190.8763523397747</v>
      </c>
      <c r="L173" s="1271">
        <f t="shared" si="303"/>
        <v>2024.4897989776168</v>
      </c>
      <c r="M173" s="1271">
        <f t="shared" si="303"/>
        <v>3303.9673519314711</v>
      </c>
      <c r="N173" s="1271">
        <f t="shared" si="303"/>
        <v>4212.5583737126253</v>
      </c>
      <c r="O173" s="1271">
        <f t="shared" si="303"/>
        <v>5156.1714494242533</v>
      </c>
      <c r="P173" s="1271">
        <f t="shared" si="303"/>
        <v>6135.8440248148627</v>
      </c>
      <c r="Q173" s="1271">
        <f t="shared" si="303"/>
        <v>6705.6009699762408</v>
      </c>
      <c r="R173" s="1271">
        <f t="shared" si="303"/>
        <v>7295.6938553341515</v>
      </c>
      <c r="S173" s="1271">
        <f t="shared" si="303"/>
        <v>7906.7082157183868</v>
      </c>
      <c r="T173" s="1271">
        <f t="shared" si="303"/>
        <v>8539.244872975858</v>
      </c>
      <c r="U173" s="1271">
        <f t="shared" si="303"/>
        <v>2419.4527140098262</v>
      </c>
    </row>
    <row r="174" spans="2:256" s="1269" customFormat="1">
      <c r="B174" s="1272" t="s">
        <v>656</v>
      </c>
      <c r="C174" s="1272"/>
      <c r="D174" s="1272"/>
      <c r="E174" s="1272"/>
      <c r="F174" s="1272"/>
      <c r="I174" s="1276"/>
      <c r="J174" s="1276"/>
      <c r="K174" s="1276">
        <v>0.03</v>
      </c>
      <c r="L174" s="1276">
        <v>0.05</v>
      </c>
      <c r="M174" s="1276">
        <v>0.08</v>
      </c>
      <c r="N174" s="1276">
        <v>0.1</v>
      </c>
      <c r="O174" s="1276">
        <v>0.12</v>
      </c>
      <c r="P174" s="1276">
        <v>0.14000000000000001</v>
      </c>
      <c r="Q174" s="1276">
        <v>0.15</v>
      </c>
      <c r="R174" s="1276">
        <v>0.16</v>
      </c>
      <c r="S174" s="1276">
        <v>0.17</v>
      </c>
      <c r="T174" s="1276">
        <v>0.18</v>
      </c>
      <c r="U174" s="1276">
        <v>0.05</v>
      </c>
    </row>
    <row r="175" spans="2:256" s="1269" customFormat="1">
      <c r="J175" s="1285"/>
      <c r="K175" s="1285"/>
      <c r="L175" s="1285"/>
      <c r="M175" s="1285"/>
      <c r="N175" s="1285"/>
      <c r="O175" s="1285"/>
      <c r="P175" s="1285"/>
      <c r="Q175" s="1285"/>
      <c r="R175" s="1285"/>
      <c r="S175" s="1285"/>
      <c r="T175" s="1285"/>
      <c r="U175" s="1285"/>
    </row>
    <row r="176" spans="2:256" s="1269" customFormat="1">
      <c r="B176" s="1269" t="s">
        <v>657</v>
      </c>
      <c r="I176" s="1278"/>
      <c r="J176" s="1278"/>
      <c r="K176" s="1278">
        <v>5</v>
      </c>
      <c r="L176" s="1278">
        <v>10</v>
      </c>
      <c r="M176" s="1278">
        <f>L176</f>
        <v>10</v>
      </c>
      <c r="N176" s="1278">
        <f t="shared" ref="N176:U176" si="304">M176</f>
        <v>10</v>
      </c>
      <c r="O176" s="1278">
        <f t="shared" si="304"/>
        <v>10</v>
      </c>
      <c r="P176" s="1278">
        <f t="shared" si="304"/>
        <v>10</v>
      </c>
      <c r="Q176" s="1278">
        <f t="shared" si="304"/>
        <v>10</v>
      </c>
      <c r="R176" s="1278">
        <f t="shared" si="304"/>
        <v>10</v>
      </c>
      <c r="S176" s="1278">
        <f t="shared" si="304"/>
        <v>10</v>
      </c>
      <c r="T176" s="1278">
        <f t="shared" si="304"/>
        <v>10</v>
      </c>
      <c r="U176" s="1278">
        <f t="shared" si="304"/>
        <v>10</v>
      </c>
    </row>
    <row r="177" spans="2:21" s="1269" customFormat="1">
      <c r="B177" s="1269" t="s">
        <v>658</v>
      </c>
      <c r="I177" s="1271"/>
      <c r="J177" s="1271"/>
      <c r="K177" s="1271">
        <f t="shared" ref="K177:U177" si="305">K173*K176</f>
        <v>5954.3817616988736</v>
      </c>
      <c r="L177" s="1271">
        <f t="shared" si="305"/>
        <v>20244.897989776167</v>
      </c>
      <c r="M177" s="1271">
        <f t="shared" si="305"/>
        <v>33039.673519314711</v>
      </c>
      <c r="N177" s="1271">
        <f t="shared" si="305"/>
        <v>42125.583737126253</v>
      </c>
      <c r="O177" s="1271">
        <f t="shared" si="305"/>
        <v>51561.714494242537</v>
      </c>
      <c r="P177" s="1271">
        <f t="shared" si="305"/>
        <v>61358.440248148625</v>
      </c>
      <c r="Q177" s="1271">
        <f t="shared" si="305"/>
        <v>67056.009699762406</v>
      </c>
      <c r="R177" s="1271">
        <f t="shared" si="305"/>
        <v>72956.938553341519</v>
      </c>
      <c r="S177" s="1271">
        <f t="shared" si="305"/>
        <v>79067.082157183875</v>
      </c>
      <c r="T177" s="1271">
        <f t="shared" si="305"/>
        <v>85392.448729758587</v>
      </c>
      <c r="U177" s="1271">
        <f t="shared" si="305"/>
        <v>24194.52714009826</v>
      </c>
    </row>
    <row r="178" spans="2:21" s="1269" customFormat="1">
      <c r="B178" s="1269" t="s">
        <v>659</v>
      </c>
      <c r="I178" s="1280"/>
      <c r="J178" s="1280"/>
      <c r="K178" s="1280">
        <f t="shared" ref="K178:U178" si="306">K47</f>
        <v>10200</v>
      </c>
      <c r="L178" s="1280">
        <f t="shared" si="306"/>
        <v>10404</v>
      </c>
      <c r="M178" s="1280">
        <f t="shared" si="306"/>
        <v>10612.08</v>
      </c>
      <c r="N178" s="1280">
        <f t="shared" si="306"/>
        <v>10824.321599999999</v>
      </c>
      <c r="O178" s="1280">
        <f t="shared" si="306"/>
        <v>11040.808031999999</v>
      </c>
      <c r="P178" s="1280">
        <f t="shared" si="306"/>
        <v>11261.62419264</v>
      </c>
      <c r="Q178" s="1280">
        <f t="shared" si="306"/>
        <v>11486.8566764928</v>
      </c>
      <c r="R178" s="1280">
        <f t="shared" si="306"/>
        <v>11716.593810022656</v>
      </c>
      <c r="S178" s="1280">
        <f t="shared" si="306"/>
        <v>11950.925686223109</v>
      </c>
      <c r="T178" s="1280">
        <f t="shared" si="306"/>
        <v>12189.944199947571</v>
      </c>
      <c r="U178" s="1280">
        <f t="shared" si="306"/>
        <v>12433.743083946523</v>
      </c>
    </row>
    <row r="179" spans="2:21" s="1269" customFormat="1">
      <c r="I179" s="1281"/>
      <c r="J179" s="1282"/>
      <c r="K179" s="1282"/>
      <c r="L179" s="1282"/>
      <c r="M179" s="1282"/>
      <c r="N179" s="1282"/>
      <c r="O179" s="1282"/>
      <c r="P179" s="1282"/>
      <c r="Q179" s="1282"/>
      <c r="R179" s="1282"/>
      <c r="S179" s="1282"/>
      <c r="T179" s="1282"/>
      <c r="U179" s="1282"/>
    </row>
    <row r="180" spans="2:21" s="1269" customFormat="1">
      <c r="B180" s="1247" t="s">
        <v>814</v>
      </c>
      <c r="C180" s="1247"/>
      <c r="D180" s="1247"/>
      <c r="E180" s="1247"/>
      <c r="F180" s="1247"/>
      <c r="G180" s="1248"/>
      <c r="H180" s="1248"/>
      <c r="I180" s="1248"/>
      <c r="J180" s="1248"/>
      <c r="K180" s="1248">
        <f t="shared" ref="K180:U180" si="307">K173*K176*K178/1000000</f>
        <v>60.734693969328511</v>
      </c>
      <c r="L180" s="1248">
        <f t="shared" si="307"/>
        <v>210.62791868563124</v>
      </c>
      <c r="M180" s="1248">
        <f t="shared" si="307"/>
        <v>350.61965856084925</v>
      </c>
      <c r="N180" s="1248">
        <f t="shared" si="307"/>
        <v>455.98086595838441</v>
      </c>
      <c r="O180" s="1248">
        <f t="shared" si="307"/>
        <v>569.28299153172372</v>
      </c>
      <c r="P180" s="1248">
        <f t="shared" si="307"/>
        <v>690.99569512120638</v>
      </c>
      <c r="Q180" s="1248">
        <f t="shared" si="307"/>
        <v>770.26277271868173</v>
      </c>
      <c r="R180" s="1248">
        <f t="shared" si="307"/>
        <v>854.80681465228452</v>
      </c>
      <c r="S180" s="1248">
        <f t="shared" si="307"/>
        <v>944.92482308700153</v>
      </c>
      <c r="T180" s="1248">
        <f t="shared" si="307"/>
        <v>1040.9291851126409</v>
      </c>
      <c r="U180" s="1248">
        <f t="shared" si="307"/>
        <v>300.82853449755316</v>
      </c>
    </row>
    <row r="181" spans="2:21" s="1269" customFormat="1">
      <c r="B181" s="1272" t="s">
        <v>662</v>
      </c>
      <c r="I181" s="1283"/>
      <c r="J181" s="1283"/>
      <c r="K181" s="1283"/>
      <c r="L181" s="1283">
        <f t="shared" ref="L181" si="308">L180/K180-1</f>
        <v>2.4679999999999995</v>
      </c>
      <c r="M181" s="1283">
        <f t="shared" ref="M181" si="309">M180/L180-1</f>
        <v>0.66464000000000034</v>
      </c>
      <c r="N181" s="1283">
        <f t="shared" ref="N181" si="310">N180/M180-1</f>
        <v>0.30049999999999999</v>
      </c>
      <c r="O181" s="1283">
        <f t="shared" ref="O181" si="311">O180/N180-1</f>
        <v>0.24847999999999981</v>
      </c>
      <c r="P181" s="1283">
        <f t="shared" ref="P181" si="312">P180/O180-1</f>
        <v>0.21380000000000021</v>
      </c>
      <c r="Q181" s="1283">
        <f t="shared" ref="Q181" si="313">Q180/P180-1</f>
        <v>0.11471428571428555</v>
      </c>
      <c r="R181" s="1283">
        <f t="shared" ref="R181" si="314">R180/Q180-1</f>
        <v>0.1097600000000003</v>
      </c>
      <c r="S181" s="1283">
        <f t="shared" ref="S181" si="315">S180/R180-1</f>
        <v>0.10542499999999988</v>
      </c>
      <c r="T181" s="1283">
        <f t="shared" ref="T181" si="316">T180/S180-1</f>
        <v>0.10159999999999991</v>
      </c>
      <c r="U181" s="1283">
        <f t="shared" ref="U181" si="317">U180/T180-1</f>
        <v>-0.71100000000000008</v>
      </c>
    </row>
  </sheetData>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U15"/>
  <sheetViews>
    <sheetView showGridLines="0" zoomScale="90" zoomScaleNormal="90" workbookViewId="0"/>
  </sheetViews>
  <sheetFormatPr defaultRowHeight="12.75" outlineLevelCol="1"/>
  <cols>
    <col min="1" max="1" width="4.85546875" style="1150" customWidth="1"/>
    <col min="2" max="2" width="35.140625" style="1150" customWidth="1"/>
    <col min="3" max="6" width="9.140625" style="1150" hidden="1" customWidth="1" outlineLevel="1"/>
    <col min="7" max="7" width="11.140625" style="1150" bestFit="1" customWidth="1" collapsed="1"/>
    <col min="8" max="16384" width="9.140625" style="1150"/>
  </cols>
  <sheetData>
    <row r="2" spans="2:21" s="1168" customFormat="1" ht="18.75">
      <c r="B2" s="1165" t="s">
        <v>579</v>
      </c>
      <c r="C2" s="1165"/>
      <c r="D2" s="1165"/>
      <c r="E2" s="1165"/>
      <c r="F2" s="1165"/>
      <c r="G2" s="1166"/>
      <c r="H2" s="1166"/>
      <c r="I2" s="1166"/>
      <c r="J2" s="1166"/>
      <c r="K2" s="1167"/>
      <c r="L2" s="1166"/>
      <c r="M2" s="1166"/>
      <c r="N2" s="1166"/>
      <c r="O2" s="1166"/>
      <c r="P2" s="1166"/>
      <c r="Q2" s="1166"/>
      <c r="R2" s="1166"/>
      <c r="S2" s="1166"/>
      <c r="T2" s="1166"/>
      <c r="U2" s="1166"/>
    </row>
    <row r="3" spans="2:21" s="1168" customFormat="1" ht="11.25" customHeight="1" thickBot="1">
      <c r="B3" s="1165"/>
      <c r="C3" s="1165"/>
      <c r="D3" s="1165"/>
      <c r="E3" s="1165"/>
      <c r="F3" s="1165"/>
      <c r="G3" s="1166"/>
      <c r="H3" s="1166"/>
      <c r="I3" s="1166"/>
      <c r="J3" s="1166"/>
      <c r="K3" s="1166"/>
      <c r="L3" s="1166"/>
      <c r="M3" s="1166"/>
      <c r="N3" s="1166"/>
      <c r="O3" s="1166"/>
      <c r="P3" s="1166"/>
      <c r="Q3" s="1166"/>
      <c r="R3" s="1166"/>
      <c r="S3" s="1166"/>
      <c r="T3" s="1166"/>
      <c r="U3" s="1166"/>
    </row>
    <row r="4" spans="2:21" s="1168" customFormat="1" ht="13.5" thickBot="1">
      <c r="B4" s="1169"/>
      <c r="C4" s="1170" t="s">
        <v>580</v>
      </c>
      <c r="D4" s="1170" t="s">
        <v>372</v>
      </c>
      <c r="E4" s="1170" t="s">
        <v>302</v>
      </c>
      <c r="F4" s="1170" t="s">
        <v>301</v>
      </c>
      <c r="G4" s="1170" t="s">
        <v>300</v>
      </c>
      <c r="H4" s="1170" t="s">
        <v>312</v>
      </c>
      <c r="I4" s="1170" t="s">
        <v>313</v>
      </c>
      <c r="J4" s="1170" t="s">
        <v>323</v>
      </c>
      <c r="K4" s="1170" t="s">
        <v>324</v>
      </c>
      <c r="L4" s="1170" t="s">
        <v>325</v>
      </c>
      <c r="M4" s="1170" t="s">
        <v>392</v>
      </c>
      <c r="N4" s="1170" t="s">
        <v>393</v>
      </c>
      <c r="O4" s="1170" t="s">
        <v>394</v>
      </c>
      <c r="P4" s="1170" t="s">
        <v>395</v>
      </c>
      <c r="Q4" s="1170" t="s">
        <v>396</v>
      </c>
      <c r="R4" s="1170" t="s">
        <v>397</v>
      </c>
      <c r="S4" s="1170" t="s">
        <v>398</v>
      </c>
      <c r="T4" s="1170" t="s">
        <v>399</v>
      </c>
      <c r="U4" s="1171" t="s">
        <v>400</v>
      </c>
    </row>
    <row r="5" spans="2:21" s="1168" customFormat="1" ht="15">
      <c r="B5" s="1172" t="s">
        <v>581</v>
      </c>
      <c r="C5" s="1173"/>
      <c r="D5" s="1173"/>
      <c r="E5" s="1173"/>
      <c r="F5" s="1173"/>
      <c r="G5" s="1174"/>
      <c r="H5" s="1174"/>
      <c r="I5" s="1174"/>
      <c r="J5" s="1174"/>
      <c r="K5" s="1174"/>
      <c r="L5" s="1174"/>
      <c r="M5" s="1174"/>
      <c r="N5" s="1174"/>
      <c r="O5" s="1174"/>
      <c r="P5" s="1174"/>
      <c r="Q5" s="1174"/>
      <c r="R5" s="1174"/>
      <c r="S5" s="1174"/>
      <c r="T5" s="1174"/>
      <c r="U5" s="1175"/>
    </row>
    <row r="6" spans="2:21" s="1168" customFormat="1" ht="15">
      <c r="B6" s="1176" t="s">
        <v>582</v>
      </c>
      <c r="C6" s="1177"/>
      <c r="D6" s="1177"/>
      <c r="E6" s="1177"/>
      <c r="F6" s="1177"/>
      <c r="G6" s="1178">
        <f>'RA - US'!O6/1000000</f>
        <v>0</v>
      </c>
      <c r="H6" s="1178">
        <f>'RA - US'!P6/1000000</f>
        <v>0</v>
      </c>
      <c r="I6" s="1178">
        <f>'RA - US'!Q6/1000000</f>
        <v>0</v>
      </c>
      <c r="J6" s="1178">
        <f>'RA - US'!R6/1000000</f>
        <v>156.28664282645258</v>
      </c>
      <c r="K6" s="1178">
        <f>'RA - US'!S6/1000000</f>
        <v>414.29349763833704</v>
      </c>
      <c r="L6" s="1178">
        <f>'RA - US'!T6/1000000</f>
        <v>651.69538032447099</v>
      </c>
      <c r="M6" s="1178">
        <f>'RA - US'!U6/1000000</f>
        <v>1005.7187739547599</v>
      </c>
      <c r="N6" s="1178">
        <f>'RA - US'!V6/1000000</f>
        <v>1307.5071607188954</v>
      </c>
      <c r="O6" s="1178">
        <f>'RA - US'!W6/1000000</f>
        <v>1409.3457129007829</v>
      </c>
      <c r="P6" s="1178">
        <f>'RA - US'!X6/1000000</f>
        <v>1382.2140906819823</v>
      </c>
      <c r="Q6" s="1178">
        <f>'RA - US'!Y6/1000000</f>
        <v>1404.5817080292197</v>
      </c>
      <c r="R6" s="1178">
        <f>'RA - US'!Z6/1000000</f>
        <v>1370.3755774875538</v>
      </c>
      <c r="S6" s="1178">
        <f>'RA - US'!AA6/1000000</f>
        <v>1360.7936457537269</v>
      </c>
      <c r="T6" s="1178">
        <f>'RA - US'!AB6/1000000</f>
        <v>1188.7872952517148</v>
      </c>
      <c r="U6" s="1179">
        <f>'RA - US'!AC6/1000000</f>
        <v>271.93520455081557</v>
      </c>
    </row>
    <row r="7" spans="2:21" s="1168" customFormat="1" ht="15">
      <c r="B7" s="1180" t="s">
        <v>583</v>
      </c>
      <c r="C7" s="1181"/>
      <c r="D7" s="1181"/>
      <c r="E7" s="1181"/>
      <c r="F7" s="1181"/>
      <c r="G7" s="1182">
        <f>'RA - EU'!D19/1000000</f>
        <v>0</v>
      </c>
      <c r="H7" s="1182">
        <f>'RA - EU'!E19/1000000</f>
        <v>46.333374175091777</v>
      </c>
      <c r="I7" s="1182">
        <f>'RA - EU'!F19/1000000</f>
        <v>121.4130746173619</v>
      </c>
      <c r="J7" s="1182">
        <f>'RA - EU'!G19/1000000</f>
        <v>235.52664452869951</v>
      </c>
      <c r="K7" s="1182">
        <f>'RA - EU'!H19/1000000</f>
        <v>296.87450295397178</v>
      </c>
      <c r="L7" s="1182">
        <f>'RA - EU'!I19/1000000</f>
        <v>322.75655132198204</v>
      </c>
      <c r="M7" s="1182">
        <f>'RA - EU'!J19/1000000</f>
        <v>362.07167587010798</v>
      </c>
      <c r="N7" s="1182">
        <f>'RA - EU'!K19/1000000</f>
        <v>390.00625714037989</v>
      </c>
      <c r="O7" s="1182">
        <f>'RA - EU'!L19/1000000</f>
        <v>406.03661650015698</v>
      </c>
      <c r="P7" s="1182">
        <f>'RA - EU'!M19/1000000</f>
        <v>409.85796099908299</v>
      </c>
      <c r="Q7" s="1182">
        <f>'RA - EU'!N19/1000000</f>
        <v>407.51060213135514</v>
      </c>
      <c r="R7" s="1182">
        <f>'RA - EU'!O19/1000000</f>
        <v>377.33630330142319</v>
      </c>
      <c r="S7" s="1182">
        <f>'RA - EU'!P19/1000000</f>
        <v>354.31763809427815</v>
      </c>
      <c r="T7" s="1182">
        <f>'RA - EU'!Q19/1000000</f>
        <v>330.91704111400259</v>
      </c>
      <c r="U7" s="1183">
        <f>'RA - EU'!R19/1000000</f>
        <v>63.98970855868513</v>
      </c>
    </row>
    <row r="8" spans="2:21" s="1168" customFormat="1" ht="15.75" thickBot="1">
      <c r="B8" s="1185" t="s">
        <v>584</v>
      </c>
      <c r="C8" s="1186"/>
      <c r="D8" s="1186"/>
      <c r="E8" s="1186"/>
      <c r="F8" s="1186"/>
      <c r="G8" s="1187">
        <f t="shared" ref="G8:U8" si="0">SUM(G6:G7)</f>
        <v>0</v>
      </c>
      <c r="H8" s="1187">
        <f t="shared" si="0"/>
        <v>46.333374175091777</v>
      </c>
      <c r="I8" s="1187">
        <f t="shared" si="0"/>
        <v>121.4130746173619</v>
      </c>
      <c r="J8" s="1187">
        <f t="shared" si="0"/>
        <v>391.81328735515206</v>
      </c>
      <c r="K8" s="1187">
        <f t="shared" si="0"/>
        <v>711.16800059230877</v>
      </c>
      <c r="L8" s="1187">
        <f t="shared" si="0"/>
        <v>974.45193164645298</v>
      </c>
      <c r="M8" s="1187">
        <f t="shared" si="0"/>
        <v>1367.7904498248679</v>
      </c>
      <c r="N8" s="1187">
        <f t="shared" si="0"/>
        <v>1697.5134178592753</v>
      </c>
      <c r="O8" s="1187">
        <f t="shared" si="0"/>
        <v>1815.3823294009399</v>
      </c>
      <c r="P8" s="1187">
        <f t="shared" si="0"/>
        <v>1792.0720516810652</v>
      </c>
      <c r="Q8" s="1187">
        <f t="shared" si="0"/>
        <v>1812.0923101605749</v>
      </c>
      <c r="R8" s="1187">
        <f t="shared" si="0"/>
        <v>1747.7118807889769</v>
      </c>
      <c r="S8" s="1187">
        <f t="shared" si="0"/>
        <v>1715.1112838480051</v>
      </c>
      <c r="T8" s="1187">
        <f t="shared" si="0"/>
        <v>1519.7043363657174</v>
      </c>
      <c r="U8" s="1188">
        <f t="shared" si="0"/>
        <v>335.92491310950072</v>
      </c>
    </row>
    <row r="10" spans="2:21" ht="13.5" thickBot="1"/>
    <row r="11" spans="2:21" ht="13.5" thickBot="1">
      <c r="B11" s="1169"/>
      <c r="C11" s="1170" t="s">
        <v>580</v>
      </c>
      <c r="D11" s="1170" t="s">
        <v>372</v>
      </c>
      <c r="E11" s="1170" t="s">
        <v>302</v>
      </c>
      <c r="F11" s="1170" t="s">
        <v>301</v>
      </c>
      <c r="G11" s="1170" t="s">
        <v>300</v>
      </c>
      <c r="H11" s="1170" t="s">
        <v>312</v>
      </c>
      <c r="I11" s="1170" t="s">
        <v>313</v>
      </c>
      <c r="J11" s="1170" t="s">
        <v>323</v>
      </c>
      <c r="K11" s="1170" t="s">
        <v>324</v>
      </c>
      <c r="L11" s="1170" t="s">
        <v>325</v>
      </c>
      <c r="M11" s="1170" t="s">
        <v>392</v>
      </c>
      <c r="N11" s="1170" t="s">
        <v>393</v>
      </c>
      <c r="O11" s="1170" t="s">
        <v>394</v>
      </c>
      <c r="P11" s="1170" t="s">
        <v>395</v>
      </c>
      <c r="Q11" s="1170" t="s">
        <v>396</v>
      </c>
      <c r="R11" s="1170" t="s">
        <v>397</v>
      </c>
      <c r="S11" s="1170" t="s">
        <v>398</v>
      </c>
      <c r="T11" s="1170" t="s">
        <v>399</v>
      </c>
      <c r="U11" s="1171" t="s">
        <v>400</v>
      </c>
    </row>
    <row r="12" spans="2:21" ht="15">
      <c r="B12" s="1172" t="s">
        <v>581</v>
      </c>
      <c r="C12" s="1173"/>
      <c r="D12" s="1173"/>
      <c r="E12" s="1173"/>
      <c r="F12" s="1173"/>
      <c r="G12" s="1174"/>
      <c r="H12" s="1174"/>
      <c r="I12" s="1174"/>
      <c r="J12" s="1174"/>
      <c r="K12" s="1174"/>
      <c r="L12" s="1174"/>
      <c r="M12" s="1174"/>
      <c r="N12" s="1174"/>
      <c r="O12" s="1174"/>
      <c r="P12" s="1174"/>
      <c r="Q12" s="1174"/>
      <c r="R12" s="1174"/>
      <c r="S12" s="1174"/>
      <c r="T12" s="1174"/>
      <c r="U12" s="1175"/>
    </row>
    <row r="13" spans="2:21" ht="15">
      <c r="B13" s="1176" t="s">
        <v>864</v>
      </c>
      <c r="C13" s="1547"/>
      <c r="D13" s="1547"/>
      <c r="E13" s="1547"/>
      <c r="F13" s="1547"/>
      <c r="G13" s="1178"/>
      <c r="H13" s="1178">
        <f>'Bari Royalties'!E11/1000000</f>
        <v>0</v>
      </c>
      <c r="I13" s="1178">
        <f>'Bari Royalties'!F11/1000000</f>
        <v>0</v>
      </c>
      <c r="J13" s="1178">
        <f>'Bari Royalties'!G11/1000000</f>
        <v>31.257328565290518</v>
      </c>
      <c r="K13" s="1178">
        <f>'Bari Royalties'!H11/1000000</f>
        <v>85.319033217648325</v>
      </c>
      <c r="L13" s="1178">
        <f>'Bari Royalties'!I11/1000000</f>
        <v>136.68516912497134</v>
      </c>
      <c r="M13" s="1178">
        <f>'Bari Royalties'!J11/1000000</f>
        <v>219.31389054057294</v>
      </c>
      <c r="N13" s="1178">
        <f>'Bari Royalties'!K11/1000000</f>
        <v>293.73695189708872</v>
      </c>
      <c r="O13" s="1178">
        <f>'Bari Royalties'!L11/1000000</f>
        <v>319.84975652704276</v>
      </c>
      <c r="P13" s="1178">
        <f>'Bari Royalties'!M11/1000000</f>
        <v>313.09803463760664</v>
      </c>
      <c r="Q13" s="1178">
        <f>'Bari Royalties'!N11/1000000</f>
        <v>318.68428524824009</v>
      </c>
      <c r="R13" s="1178">
        <f>'Bari Royalties'!O11/1000000</f>
        <v>309.25183238180426</v>
      </c>
      <c r="S13" s="1178">
        <f>'Bari Royalties'!P11/1000000</f>
        <v>306.20149594604777</v>
      </c>
      <c r="T13" s="1178">
        <f>'Bari Royalties'!Q11/1000000</f>
        <v>262.14975290282734</v>
      </c>
      <c r="U13" s="1179">
        <f>'Bari Royalties'!R11/1000000</f>
        <v>54.387040910163122</v>
      </c>
    </row>
    <row r="14" spans="2:21" ht="15">
      <c r="B14" s="1549" t="s">
        <v>865</v>
      </c>
      <c r="C14" s="1548"/>
      <c r="D14" s="1548"/>
      <c r="E14" s="1548"/>
      <c r="F14" s="1548"/>
      <c r="G14" s="1182"/>
      <c r="H14" s="1182">
        <f>'Bari Royalties'!E12/1000000</f>
        <v>9.266674835018355</v>
      </c>
      <c r="I14" s="1182">
        <f>'Bari Royalties'!F12/1000000</f>
        <v>24.282614923472384</v>
      </c>
      <c r="J14" s="1182">
        <f>'Bari Royalties'!G12/1000000</f>
        <v>47.105328905739903</v>
      </c>
      <c r="K14" s="1182">
        <f>'Bari Royalties'!H12/1000000</f>
        <v>61.137926912659594</v>
      </c>
      <c r="L14" s="1182">
        <f>'Bari Royalties'!I12/1000000</f>
        <v>67.694255837248335</v>
      </c>
      <c r="M14" s="1182">
        <f>'Bari Royalties'!J12/1000000</f>
        <v>78.955817417395309</v>
      </c>
      <c r="N14" s="1182">
        <f>'Bari Royalties'!K12/1000000</f>
        <v>87.616536746322865</v>
      </c>
      <c r="O14" s="1182">
        <f>'Bari Royalties'!L12/1000000</f>
        <v>92.149649117201577</v>
      </c>
      <c r="P14" s="1182">
        <f>'Bari Royalties'!M12/1000000</f>
        <v>92.840698799470346</v>
      </c>
      <c r="Q14" s="1182">
        <f>'Bari Royalties'!N12/1000000</f>
        <v>92.459715393509342</v>
      </c>
      <c r="R14" s="1182">
        <f>'Bari Royalties'!O12/1000000</f>
        <v>85.153256623329753</v>
      </c>
      <c r="S14" s="1182">
        <f>'Bari Royalties'!P12/1000000</f>
        <v>79.72743785443356</v>
      </c>
      <c r="T14" s="1182">
        <f>'Bari Royalties'!Q12/1000000</f>
        <v>72.973374552259202</v>
      </c>
      <c r="U14" s="1183">
        <f>'Bari Royalties'!R12/1000000</f>
        <v>12.797941711737028</v>
      </c>
    </row>
    <row r="15" spans="2:21" s="1168" customFormat="1" ht="15.75" thickBot="1">
      <c r="B15" s="1185" t="s">
        <v>719</v>
      </c>
      <c r="C15" s="1186"/>
      <c r="D15" s="1186"/>
      <c r="E15" s="1186"/>
      <c r="F15" s="1186"/>
      <c r="G15" s="1187">
        <v>0</v>
      </c>
      <c r="H15" s="1187">
        <f>'Bari Royalties'!E3/1000000</f>
        <v>9.266674835018355</v>
      </c>
      <c r="I15" s="1187">
        <f>'Bari Royalties'!F3/1000000</f>
        <v>24.282614923472384</v>
      </c>
      <c r="J15" s="1187">
        <f>'Bari Royalties'!G3/1000000</f>
        <v>78.362657471030431</v>
      </c>
      <c r="K15" s="1187">
        <f>'Bari Royalties'!H3/1000000</f>
        <v>146.45696013030792</v>
      </c>
      <c r="L15" s="1187">
        <f>'Bari Royalties'!I3/1000000</f>
        <v>204.37942496221964</v>
      </c>
      <c r="M15" s="1187">
        <f>'Bari Royalties'!J3/1000000</f>
        <v>298.26970795796825</v>
      </c>
      <c r="N15" s="1187">
        <f>'Bari Royalties'!K3/1000000</f>
        <v>381.35348864341159</v>
      </c>
      <c r="O15" s="1187">
        <f>'Bari Royalties'!L3/1000000</f>
        <v>411.99940564424435</v>
      </c>
      <c r="P15" s="1187">
        <f>'Bari Royalties'!M3/1000000</f>
        <v>405.93873343707696</v>
      </c>
      <c r="Q15" s="1187">
        <f>'Bari Royalties'!N3/1000000</f>
        <v>411.14400064174953</v>
      </c>
      <c r="R15" s="1187">
        <f>'Bari Royalties'!O3/1000000</f>
        <v>394.40508900513407</v>
      </c>
      <c r="S15" s="1187">
        <f>'Bari Royalties'!P3/1000000</f>
        <v>385.92893380048133</v>
      </c>
      <c r="T15" s="1187">
        <f>'Bari Royalties'!Q3/1000000</f>
        <v>335.12312745508655</v>
      </c>
      <c r="U15" s="1188">
        <f>'Bari Royalties'!R3/1000000</f>
        <v>67.184982621900147</v>
      </c>
    </row>
  </sheetData>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R74"/>
  <sheetViews>
    <sheetView showGridLines="0" zoomScale="85" zoomScaleNormal="85" workbookViewId="0"/>
  </sheetViews>
  <sheetFormatPr defaultColWidth="8.85546875" defaultRowHeight="12.75" outlineLevelRow="1" outlineLevelCol="1"/>
  <cols>
    <col min="1" max="1" width="2.7109375" style="979" customWidth="1"/>
    <col min="2" max="2" width="34.85546875" style="979" bestFit="1" customWidth="1"/>
    <col min="3" max="4" width="16.42578125" style="979" hidden="1" customWidth="1" outlineLevel="1"/>
    <col min="5" max="5" width="16.42578125" style="979" bestFit="1" customWidth="1" collapsed="1"/>
    <col min="6" max="9" width="16.42578125" style="979" bestFit="1" customWidth="1"/>
    <col min="10" max="12" width="15.7109375" style="979" bestFit="1" customWidth="1"/>
    <col min="13" max="13" width="16.42578125" style="979" bestFit="1" customWidth="1"/>
    <col min="14" max="15" width="15.7109375" style="979" bestFit="1" customWidth="1"/>
    <col min="16" max="18" width="16.42578125" style="979" bestFit="1" customWidth="1"/>
    <col min="19" max="16384" width="8.85546875" style="979"/>
  </cols>
  <sheetData>
    <row r="1" spans="2:18" ht="13.5" thickBot="1"/>
    <row r="2" spans="2:18" ht="18.75">
      <c r="B2" s="1189" t="s">
        <v>585</v>
      </c>
      <c r="C2" s="1190">
        <v>2015</v>
      </c>
      <c r="D2" s="1190">
        <f t="shared" ref="D2:R2" si="0">C2+1</f>
        <v>2016</v>
      </c>
      <c r="E2" s="1190">
        <f t="shared" si="0"/>
        <v>2017</v>
      </c>
      <c r="F2" s="1190">
        <f t="shared" si="0"/>
        <v>2018</v>
      </c>
      <c r="G2" s="1190">
        <f t="shared" si="0"/>
        <v>2019</v>
      </c>
      <c r="H2" s="1190">
        <f t="shared" si="0"/>
        <v>2020</v>
      </c>
      <c r="I2" s="1190">
        <f t="shared" si="0"/>
        <v>2021</v>
      </c>
      <c r="J2" s="1190">
        <f t="shared" si="0"/>
        <v>2022</v>
      </c>
      <c r="K2" s="1190">
        <f t="shared" si="0"/>
        <v>2023</v>
      </c>
      <c r="L2" s="1190">
        <f t="shared" si="0"/>
        <v>2024</v>
      </c>
      <c r="M2" s="1190">
        <f t="shared" si="0"/>
        <v>2025</v>
      </c>
      <c r="N2" s="1190">
        <f t="shared" si="0"/>
        <v>2026</v>
      </c>
      <c r="O2" s="1190">
        <f t="shared" si="0"/>
        <v>2027</v>
      </c>
      <c r="P2" s="1190">
        <f t="shared" si="0"/>
        <v>2028</v>
      </c>
      <c r="Q2" s="1190">
        <f t="shared" si="0"/>
        <v>2029</v>
      </c>
      <c r="R2" s="1191">
        <f t="shared" si="0"/>
        <v>2030</v>
      </c>
    </row>
    <row r="3" spans="2:18" ht="15">
      <c r="B3" s="1192" t="s">
        <v>586</v>
      </c>
      <c r="C3" s="1193">
        <f>SUM(C4:C10)</f>
        <v>0</v>
      </c>
      <c r="D3" s="1193">
        <f>SUM(D4:D10)</f>
        <v>0</v>
      </c>
      <c r="E3" s="1193">
        <f>SUM(E4:E10)</f>
        <v>9266674.8350183554</v>
      </c>
      <c r="F3" s="1193">
        <f t="shared" ref="F3:R3" si="1">SUM(F4:F10)</f>
        <v>24282614.923472382</v>
      </c>
      <c r="G3" s="1193">
        <f t="shared" si="1"/>
        <v>78362657.471030429</v>
      </c>
      <c r="H3" s="1193">
        <f t="shared" si="1"/>
        <v>146456960.13030791</v>
      </c>
      <c r="I3" s="1193">
        <f t="shared" si="1"/>
        <v>204379424.96221966</v>
      </c>
      <c r="J3" s="1193">
        <f t="shared" si="1"/>
        <v>298269707.95796824</v>
      </c>
      <c r="K3" s="1193">
        <f t="shared" si="1"/>
        <v>381353488.64341158</v>
      </c>
      <c r="L3" s="1193">
        <f t="shared" si="1"/>
        <v>411999405.64424437</v>
      </c>
      <c r="M3" s="1193">
        <f t="shared" si="1"/>
        <v>405938733.43707699</v>
      </c>
      <c r="N3" s="1193">
        <f t="shared" si="1"/>
        <v>411144000.6417495</v>
      </c>
      <c r="O3" s="1193">
        <f t="shared" si="1"/>
        <v>394405089.00513405</v>
      </c>
      <c r="P3" s="1193">
        <f t="shared" si="1"/>
        <v>385928933.80048132</v>
      </c>
      <c r="Q3" s="1193">
        <f t="shared" si="1"/>
        <v>335123127.45508653</v>
      </c>
      <c r="R3" s="1194">
        <f t="shared" si="1"/>
        <v>67184982.621900141</v>
      </c>
    </row>
    <row r="4" spans="2:18" ht="15" hidden="1" outlineLevel="1">
      <c r="B4" s="1195" t="s">
        <v>587</v>
      </c>
      <c r="C4" s="1196">
        <f t="shared" ref="C4:R4" si="2">IF(C$18&lt;$F$27,C$18*$H$27,$I$27)</f>
        <v>0</v>
      </c>
      <c r="D4" s="1196">
        <f t="shared" si="2"/>
        <v>0</v>
      </c>
      <c r="E4" s="1196">
        <f t="shared" si="2"/>
        <v>9266674.8350183554</v>
      </c>
      <c r="F4" s="1196">
        <f t="shared" si="2"/>
        <v>24282614.923472382</v>
      </c>
      <c r="G4" s="1196">
        <f t="shared" si="2"/>
        <v>78362657.471030429</v>
      </c>
      <c r="H4" s="1196">
        <f t="shared" si="2"/>
        <v>100000000</v>
      </c>
      <c r="I4" s="1196">
        <f t="shared" si="2"/>
        <v>100000000</v>
      </c>
      <c r="J4" s="1196">
        <f t="shared" si="2"/>
        <v>100000000</v>
      </c>
      <c r="K4" s="1196">
        <f t="shared" si="2"/>
        <v>100000000</v>
      </c>
      <c r="L4" s="1196">
        <f t="shared" si="2"/>
        <v>100000000</v>
      </c>
      <c r="M4" s="1196">
        <f t="shared" si="2"/>
        <v>100000000</v>
      </c>
      <c r="N4" s="1196">
        <f t="shared" si="2"/>
        <v>100000000</v>
      </c>
      <c r="O4" s="1196">
        <f t="shared" si="2"/>
        <v>100000000</v>
      </c>
      <c r="P4" s="1196">
        <f t="shared" si="2"/>
        <v>100000000</v>
      </c>
      <c r="Q4" s="1196">
        <f t="shared" si="2"/>
        <v>100000000</v>
      </c>
      <c r="R4" s="1197">
        <f t="shared" si="2"/>
        <v>67184982.621900141</v>
      </c>
    </row>
    <row r="5" spans="2:18" ht="15" hidden="1" outlineLevel="1">
      <c r="B5" s="1195" t="s">
        <v>588</v>
      </c>
      <c r="C5" s="1196">
        <f t="shared" ref="C5:R5" si="3">IF(C$18-$F$27&gt;0,MIN((C$18-$F$27)*$H$28,$I$28),0)</f>
        <v>0</v>
      </c>
      <c r="D5" s="1196">
        <f t="shared" si="3"/>
        <v>0</v>
      </c>
      <c r="E5" s="1196">
        <f t="shared" si="3"/>
        <v>0</v>
      </c>
      <c r="F5" s="1196">
        <f t="shared" si="3"/>
        <v>0</v>
      </c>
      <c r="G5" s="1196">
        <f t="shared" si="3"/>
        <v>0</v>
      </c>
      <c r="H5" s="1196">
        <f t="shared" si="3"/>
        <v>46456960.130307928</v>
      </c>
      <c r="I5" s="1196">
        <f t="shared" si="3"/>
        <v>104379424.96221967</v>
      </c>
      <c r="J5" s="1196">
        <f t="shared" si="3"/>
        <v>110000000</v>
      </c>
      <c r="K5" s="1196">
        <f t="shared" si="3"/>
        <v>110000000</v>
      </c>
      <c r="L5" s="1196">
        <f t="shared" si="3"/>
        <v>110000000</v>
      </c>
      <c r="M5" s="1196">
        <f t="shared" si="3"/>
        <v>110000000</v>
      </c>
      <c r="N5" s="1196">
        <f t="shared" si="3"/>
        <v>110000000</v>
      </c>
      <c r="O5" s="1196">
        <f t="shared" si="3"/>
        <v>110000000</v>
      </c>
      <c r="P5" s="1196">
        <f t="shared" si="3"/>
        <v>110000000</v>
      </c>
      <c r="Q5" s="1196">
        <f t="shared" si="3"/>
        <v>110000000</v>
      </c>
      <c r="R5" s="1197">
        <f t="shared" si="3"/>
        <v>0</v>
      </c>
    </row>
    <row r="6" spans="2:18" ht="15" hidden="1" outlineLevel="1">
      <c r="B6" s="1195" t="s">
        <v>589</v>
      </c>
      <c r="C6" s="1196">
        <f t="shared" ref="C6:R6" si="4">IF(C$18-$F$28&gt;0,MIN((C$18-$F$28)*$H$29,$I$29),0)</f>
        <v>0</v>
      </c>
      <c r="D6" s="1196">
        <f t="shared" si="4"/>
        <v>0</v>
      </c>
      <c r="E6" s="1196">
        <f t="shared" si="4"/>
        <v>0</v>
      </c>
      <c r="F6" s="1196">
        <f t="shared" si="4"/>
        <v>0</v>
      </c>
      <c r="G6" s="1196">
        <f t="shared" si="4"/>
        <v>0</v>
      </c>
      <c r="H6" s="1196">
        <f t="shared" si="4"/>
        <v>0</v>
      </c>
      <c r="I6" s="1196">
        <f t="shared" si="4"/>
        <v>0</v>
      </c>
      <c r="J6" s="1196">
        <f t="shared" si="4"/>
        <v>88269707.95796825</v>
      </c>
      <c r="K6" s="1196">
        <f t="shared" si="4"/>
        <v>120000000</v>
      </c>
      <c r="L6" s="1196">
        <f t="shared" si="4"/>
        <v>120000000</v>
      </c>
      <c r="M6" s="1196">
        <f t="shared" si="4"/>
        <v>120000000</v>
      </c>
      <c r="N6" s="1196">
        <f t="shared" si="4"/>
        <v>120000000</v>
      </c>
      <c r="O6" s="1196">
        <f t="shared" si="4"/>
        <v>120000000</v>
      </c>
      <c r="P6" s="1196">
        <f t="shared" si="4"/>
        <v>120000000</v>
      </c>
      <c r="Q6" s="1196">
        <f t="shared" si="4"/>
        <v>120000000</v>
      </c>
      <c r="R6" s="1197">
        <f t="shared" si="4"/>
        <v>0</v>
      </c>
    </row>
    <row r="7" spans="2:18" ht="15" hidden="1" outlineLevel="1">
      <c r="B7" s="1195" t="s">
        <v>590</v>
      </c>
      <c r="C7" s="1196">
        <f t="shared" ref="C7:R7" si="5">IF(C$18-$F$29&gt;0,MIN((C$18-$F$29)*$H$30,$I$30),0)</f>
        <v>0</v>
      </c>
      <c r="D7" s="1196">
        <f t="shared" si="5"/>
        <v>0</v>
      </c>
      <c r="E7" s="1196">
        <f t="shared" si="5"/>
        <v>0</v>
      </c>
      <c r="F7" s="1196">
        <f t="shared" si="5"/>
        <v>0</v>
      </c>
      <c r="G7" s="1196">
        <f t="shared" si="5"/>
        <v>0</v>
      </c>
      <c r="H7" s="1196">
        <f t="shared" si="5"/>
        <v>0</v>
      </c>
      <c r="I7" s="1196">
        <f t="shared" si="5"/>
        <v>0</v>
      </c>
      <c r="J7" s="1196">
        <f t="shared" si="5"/>
        <v>0</v>
      </c>
      <c r="K7" s="1196">
        <f t="shared" si="5"/>
        <v>51353488.643411592</v>
      </c>
      <c r="L7" s="1196">
        <f t="shared" si="5"/>
        <v>81999405.644244388</v>
      </c>
      <c r="M7" s="1196">
        <f t="shared" si="5"/>
        <v>75938733.437076986</v>
      </c>
      <c r="N7" s="1196">
        <f t="shared" si="5"/>
        <v>81144000.641749486</v>
      </c>
      <c r="O7" s="1196">
        <f t="shared" si="5"/>
        <v>64405089.005134061</v>
      </c>
      <c r="P7" s="1196">
        <f t="shared" si="5"/>
        <v>55928933.800481319</v>
      </c>
      <c r="Q7" s="1196">
        <f t="shared" si="5"/>
        <v>5123127.4550865274</v>
      </c>
      <c r="R7" s="1197">
        <f t="shared" si="5"/>
        <v>0</v>
      </c>
    </row>
    <row r="8" spans="2:18" ht="15" hidden="1" outlineLevel="1">
      <c r="B8" s="1195" t="s">
        <v>591</v>
      </c>
      <c r="C8" s="1196">
        <f t="shared" ref="C8:R8" si="6">IF(C$18-$F$30&gt;0,MIN((C$18-$F$30)*$H$31,$I$31),0)</f>
        <v>0</v>
      </c>
      <c r="D8" s="1196">
        <f t="shared" si="6"/>
        <v>0</v>
      </c>
      <c r="E8" s="1196">
        <f t="shared" si="6"/>
        <v>0</v>
      </c>
      <c r="F8" s="1196">
        <f t="shared" si="6"/>
        <v>0</v>
      </c>
      <c r="G8" s="1196">
        <f t="shared" si="6"/>
        <v>0</v>
      </c>
      <c r="H8" s="1196">
        <f t="shared" si="6"/>
        <v>0</v>
      </c>
      <c r="I8" s="1196">
        <f t="shared" si="6"/>
        <v>0</v>
      </c>
      <c r="J8" s="1196">
        <f t="shared" si="6"/>
        <v>0</v>
      </c>
      <c r="K8" s="1196">
        <f t="shared" si="6"/>
        <v>0</v>
      </c>
      <c r="L8" s="1196">
        <f t="shared" si="6"/>
        <v>0</v>
      </c>
      <c r="M8" s="1196">
        <f t="shared" si="6"/>
        <v>0</v>
      </c>
      <c r="N8" s="1196">
        <f t="shared" si="6"/>
        <v>0</v>
      </c>
      <c r="O8" s="1196">
        <f t="shared" si="6"/>
        <v>0</v>
      </c>
      <c r="P8" s="1196">
        <f t="shared" si="6"/>
        <v>0</v>
      </c>
      <c r="Q8" s="1196">
        <f t="shared" si="6"/>
        <v>0</v>
      </c>
      <c r="R8" s="1197">
        <f t="shared" si="6"/>
        <v>0</v>
      </c>
    </row>
    <row r="9" spans="2:18" ht="15" hidden="1" outlineLevel="1">
      <c r="B9" s="1195" t="s">
        <v>592</v>
      </c>
      <c r="C9" s="1196">
        <f t="shared" ref="C9:R9" si="7">IF(C$18-$F$31&gt;0,MIN((C$18-$F$31)*$H$32,$I$32),0)</f>
        <v>0</v>
      </c>
      <c r="D9" s="1196">
        <f t="shared" si="7"/>
        <v>0</v>
      </c>
      <c r="E9" s="1196">
        <f t="shared" si="7"/>
        <v>0</v>
      </c>
      <c r="F9" s="1196">
        <f t="shared" si="7"/>
        <v>0</v>
      </c>
      <c r="G9" s="1196">
        <f t="shared" si="7"/>
        <v>0</v>
      </c>
      <c r="H9" s="1196">
        <f t="shared" si="7"/>
        <v>0</v>
      </c>
      <c r="I9" s="1196">
        <f t="shared" si="7"/>
        <v>0</v>
      </c>
      <c r="J9" s="1196">
        <f t="shared" si="7"/>
        <v>0</v>
      </c>
      <c r="K9" s="1196">
        <f t="shared" si="7"/>
        <v>0</v>
      </c>
      <c r="L9" s="1196">
        <f t="shared" si="7"/>
        <v>0</v>
      </c>
      <c r="M9" s="1196">
        <f t="shared" si="7"/>
        <v>0</v>
      </c>
      <c r="N9" s="1196">
        <f t="shared" si="7"/>
        <v>0</v>
      </c>
      <c r="O9" s="1196">
        <f t="shared" si="7"/>
        <v>0</v>
      </c>
      <c r="P9" s="1196">
        <f t="shared" si="7"/>
        <v>0</v>
      </c>
      <c r="Q9" s="1196">
        <f t="shared" si="7"/>
        <v>0</v>
      </c>
      <c r="R9" s="1197">
        <f t="shared" si="7"/>
        <v>0</v>
      </c>
    </row>
    <row r="10" spans="2:18" ht="15" hidden="1" outlineLevel="1">
      <c r="B10" s="1195" t="s">
        <v>593</v>
      </c>
      <c r="C10" s="1196">
        <f t="shared" ref="C10:R10" si="8">IF(C$18&gt;$F$32,(C$18-$F$32)*$H$33,0)</f>
        <v>0</v>
      </c>
      <c r="D10" s="1196">
        <f t="shared" si="8"/>
        <v>0</v>
      </c>
      <c r="E10" s="1196">
        <f t="shared" si="8"/>
        <v>0</v>
      </c>
      <c r="F10" s="1196">
        <f t="shared" si="8"/>
        <v>0</v>
      </c>
      <c r="G10" s="1196">
        <f t="shared" si="8"/>
        <v>0</v>
      </c>
      <c r="H10" s="1196">
        <f t="shared" si="8"/>
        <v>0</v>
      </c>
      <c r="I10" s="1196">
        <f t="shared" si="8"/>
        <v>0</v>
      </c>
      <c r="J10" s="1196">
        <f t="shared" si="8"/>
        <v>0</v>
      </c>
      <c r="K10" s="1196">
        <f t="shared" si="8"/>
        <v>0</v>
      </c>
      <c r="L10" s="1196">
        <f t="shared" si="8"/>
        <v>0</v>
      </c>
      <c r="M10" s="1196">
        <f t="shared" si="8"/>
        <v>0</v>
      </c>
      <c r="N10" s="1196">
        <f t="shared" si="8"/>
        <v>0</v>
      </c>
      <c r="O10" s="1196">
        <f t="shared" si="8"/>
        <v>0</v>
      </c>
      <c r="P10" s="1196">
        <f t="shared" si="8"/>
        <v>0</v>
      </c>
      <c r="Q10" s="1196">
        <f t="shared" si="8"/>
        <v>0</v>
      </c>
      <c r="R10" s="1197">
        <f t="shared" si="8"/>
        <v>0</v>
      </c>
    </row>
    <row r="11" spans="2:18" ht="15" collapsed="1">
      <c r="B11" s="1198" t="s">
        <v>594</v>
      </c>
      <c r="C11" s="1196" t="str">
        <f t="shared" ref="C11:R11" si="9">IF(ISERROR((C19/C18)*C3),"",(C19/C18)*C3)</f>
        <v/>
      </c>
      <c r="D11" s="1196" t="str">
        <f t="shared" si="9"/>
        <v/>
      </c>
      <c r="E11" s="1196">
        <f t="shared" si="9"/>
        <v>0</v>
      </c>
      <c r="F11" s="1196">
        <f t="shared" si="9"/>
        <v>0</v>
      </c>
      <c r="G11" s="1196">
        <f t="shared" si="9"/>
        <v>31257328.565290518</v>
      </c>
      <c r="H11" s="1196">
        <f t="shared" si="9"/>
        <v>85319033.217648327</v>
      </c>
      <c r="I11" s="1196">
        <f t="shared" si="9"/>
        <v>136685169.12497133</v>
      </c>
      <c r="J11" s="1196">
        <f t="shared" si="9"/>
        <v>219313890.54057294</v>
      </c>
      <c r="K11" s="1196">
        <f t="shared" si="9"/>
        <v>293736951.89708871</v>
      </c>
      <c r="L11" s="1196">
        <f t="shared" si="9"/>
        <v>319849756.52704275</v>
      </c>
      <c r="M11" s="1196">
        <f t="shared" si="9"/>
        <v>313098034.63760662</v>
      </c>
      <c r="N11" s="1196">
        <f t="shared" si="9"/>
        <v>318684285.24824011</v>
      </c>
      <c r="O11" s="1196">
        <f t="shared" si="9"/>
        <v>309251832.38180429</v>
      </c>
      <c r="P11" s="1196">
        <f t="shared" si="9"/>
        <v>306201495.94604778</v>
      </c>
      <c r="Q11" s="1196">
        <f t="shared" si="9"/>
        <v>262149752.90282732</v>
      </c>
      <c r="R11" s="1197">
        <f t="shared" si="9"/>
        <v>54387040.910163119</v>
      </c>
    </row>
    <row r="12" spans="2:18" ht="15">
      <c r="B12" s="1199" t="s">
        <v>595</v>
      </c>
      <c r="C12" s="1200" t="str">
        <f t="shared" ref="C12:R12" si="10">IF(ISERROR((C20/C18)*C3),"",(C20/C18)*C3)</f>
        <v/>
      </c>
      <c r="D12" s="1200" t="str">
        <f t="shared" si="10"/>
        <v/>
      </c>
      <c r="E12" s="1200">
        <f t="shared" si="10"/>
        <v>9266674.8350183554</v>
      </c>
      <c r="F12" s="1200">
        <f t="shared" si="10"/>
        <v>24282614.923472382</v>
      </c>
      <c r="G12" s="1200">
        <f t="shared" si="10"/>
        <v>47105328.905739903</v>
      </c>
      <c r="H12" s="1200">
        <f t="shared" si="10"/>
        <v>61137926.912659593</v>
      </c>
      <c r="I12" s="1200">
        <f t="shared" si="10"/>
        <v>67694255.83724834</v>
      </c>
      <c r="J12" s="1200">
        <f t="shared" si="10"/>
        <v>78955817.417395309</v>
      </c>
      <c r="K12" s="1200">
        <f t="shared" si="10"/>
        <v>87616536.74632287</v>
      </c>
      <c r="L12" s="1200">
        <f t="shared" si="10"/>
        <v>92149649.117201582</v>
      </c>
      <c r="M12" s="1200">
        <f t="shared" si="10"/>
        <v>92840698.79947035</v>
      </c>
      <c r="N12" s="1200">
        <f t="shared" si="10"/>
        <v>92459715.393509343</v>
      </c>
      <c r="O12" s="1200">
        <f t="shared" si="10"/>
        <v>85153256.623329759</v>
      </c>
      <c r="P12" s="1200">
        <f t="shared" si="10"/>
        <v>79727437.854433566</v>
      </c>
      <c r="Q12" s="1200">
        <f t="shared" si="10"/>
        <v>72973374.552259207</v>
      </c>
      <c r="R12" s="1201">
        <f t="shared" si="10"/>
        <v>12797941.711737027</v>
      </c>
    </row>
    <row r="13" spans="2:18" collapsed="1">
      <c r="B13" s="1202" t="s">
        <v>596</v>
      </c>
      <c r="C13" s="1203"/>
      <c r="D13" s="1204"/>
      <c r="E13" s="1204">
        <f t="shared" ref="E13:R13" si="11">E3/E18</f>
        <v>0.2</v>
      </c>
      <c r="F13" s="1204">
        <f t="shared" si="11"/>
        <v>0.2</v>
      </c>
      <c r="G13" s="1204">
        <f t="shared" si="11"/>
        <v>0.2</v>
      </c>
      <c r="H13" s="1204">
        <f t="shared" si="11"/>
        <v>0.20593862492171844</v>
      </c>
      <c r="I13" s="1204">
        <f t="shared" si="11"/>
        <v>0.20973782115336997</v>
      </c>
      <c r="J13" s="1204">
        <f t="shared" si="11"/>
        <v>0.21806681571446765</v>
      </c>
      <c r="K13" s="1204">
        <f t="shared" si="11"/>
        <v>0.22465418218863584</v>
      </c>
      <c r="L13" s="1204">
        <f t="shared" si="11"/>
        <v>0.22694911092375813</v>
      </c>
      <c r="M13" s="1204">
        <f t="shared" si="11"/>
        <v>0.22651920331902023</v>
      </c>
      <c r="N13" s="1204">
        <f t="shared" si="11"/>
        <v>0.22688910401331419</v>
      </c>
      <c r="O13" s="1204">
        <f t="shared" si="11"/>
        <v>0.22566939856647655</v>
      </c>
      <c r="P13" s="1204">
        <f t="shared" si="11"/>
        <v>0.22501684726521964</v>
      </c>
      <c r="Q13" s="1204">
        <f t="shared" si="11"/>
        <v>0.22051863605029487</v>
      </c>
      <c r="R13" s="1204">
        <f t="shared" si="11"/>
        <v>0.2</v>
      </c>
    </row>
    <row r="14" spans="2:18">
      <c r="C14" s="1203"/>
      <c r="D14" s="1203"/>
      <c r="E14" s="1204"/>
      <c r="F14" s="1204"/>
      <c r="G14" s="1204"/>
      <c r="H14" s="1204"/>
      <c r="I14" s="1204"/>
      <c r="J14" s="1204"/>
      <c r="K14" s="1204"/>
      <c r="L14" s="1204"/>
      <c r="M14" s="1204"/>
      <c r="N14" s="1204"/>
      <c r="O14" s="1204"/>
      <c r="P14" s="1204"/>
      <c r="Q14" s="1204"/>
      <c r="R14" s="1204"/>
    </row>
    <row r="15" spans="2:18">
      <c r="C15" s="1205"/>
      <c r="D15" s="1205"/>
      <c r="E15" s="1205"/>
      <c r="F15" s="1205"/>
      <c r="G15" s="1205"/>
      <c r="H15" s="1205"/>
      <c r="I15" s="1206"/>
      <c r="J15" s="1206"/>
      <c r="K15" s="1205"/>
      <c r="L15" s="1205"/>
      <c r="M15" s="1205"/>
      <c r="N15" s="1205"/>
      <c r="O15" s="1205"/>
      <c r="P15" s="1205"/>
      <c r="Q15" s="1205"/>
      <c r="R15" s="1205"/>
    </row>
    <row r="16" spans="2:18">
      <c r="C16" s="1205"/>
      <c r="D16" s="1205"/>
      <c r="E16" s="1205"/>
      <c r="F16" s="1205"/>
      <c r="G16" s="1206"/>
      <c r="H16" s="1206"/>
      <c r="I16" s="1206"/>
      <c r="J16" s="1206"/>
      <c r="K16" s="1206"/>
      <c r="L16" s="1206"/>
      <c r="M16" s="1206"/>
      <c r="N16" s="1206"/>
      <c r="O16" s="1206"/>
      <c r="P16" s="1206"/>
      <c r="Q16" s="1206"/>
      <c r="R16" s="1206"/>
    </row>
    <row r="17" spans="2:18" ht="15">
      <c r="B17" s="1207" t="s">
        <v>597</v>
      </c>
      <c r="C17" s="1205"/>
      <c r="D17" s="1205"/>
      <c r="E17" s="1205"/>
      <c r="F17" s="1205"/>
      <c r="G17" s="1205"/>
      <c r="H17" s="1205"/>
      <c r="I17" s="1205"/>
      <c r="J17" s="1205"/>
      <c r="K17" s="1205"/>
      <c r="L17" s="1205"/>
      <c r="M17" s="1206"/>
      <c r="N17" s="1205"/>
      <c r="O17" s="1205"/>
      <c r="P17" s="1205"/>
      <c r="Q17" s="1205"/>
      <c r="R17" s="1205"/>
    </row>
    <row r="18" spans="2:18" ht="15">
      <c r="B18" s="1192" t="s">
        <v>416</v>
      </c>
      <c r="C18" s="1208">
        <f t="shared" ref="C18:R18" si="12">SUM(C19:C20)</f>
        <v>0</v>
      </c>
      <c r="D18" s="1208">
        <f t="shared" si="12"/>
        <v>0</v>
      </c>
      <c r="E18" s="1208">
        <f t="shared" si="12"/>
        <v>46333374.175091773</v>
      </c>
      <c r="F18" s="1208">
        <f t="shared" si="12"/>
        <v>121413074.6173619</v>
      </c>
      <c r="G18" s="1208">
        <f t="shared" si="12"/>
        <v>391813287.35515213</v>
      </c>
      <c r="H18" s="1208">
        <f t="shared" si="12"/>
        <v>711168000.59230876</v>
      </c>
      <c r="I18" s="1208">
        <f t="shared" si="12"/>
        <v>974451931.64645302</v>
      </c>
      <c r="J18" s="1208">
        <f t="shared" si="12"/>
        <v>1367790449.8248677</v>
      </c>
      <c r="K18" s="1208">
        <f t="shared" si="12"/>
        <v>1697513417.8592753</v>
      </c>
      <c r="L18" s="1208">
        <f t="shared" si="12"/>
        <v>1815382329.4009399</v>
      </c>
      <c r="M18" s="1208">
        <f t="shared" si="12"/>
        <v>1792072051.6810653</v>
      </c>
      <c r="N18" s="1208">
        <f t="shared" si="12"/>
        <v>1812092310.1605749</v>
      </c>
      <c r="O18" s="1208">
        <f t="shared" si="12"/>
        <v>1747711880.7889771</v>
      </c>
      <c r="P18" s="1208">
        <f t="shared" si="12"/>
        <v>1715111283.8480051</v>
      </c>
      <c r="Q18" s="1208">
        <f t="shared" si="12"/>
        <v>1519704336.3657174</v>
      </c>
      <c r="R18" s="1209">
        <f t="shared" si="12"/>
        <v>335924913.10950071</v>
      </c>
    </row>
    <row r="19" spans="2:18" ht="15">
      <c r="B19" s="1210" t="s">
        <v>49</v>
      </c>
      <c r="C19" s="1211">
        <f>'RA - US'!N6</f>
        <v>0</v>
      </c>
      <c r="D19" s="1211">
        <f>'RA - US'!O6</f>
        <v>0</v>
      </c>
      <c r="E19" s="1211">
        <f>'RA - US'!P6</f>
        <v>0</v>
      </c>
      <c r="F19" s="1211">
        <f>'RA - US'!Q6</f>
        <v>0</v>
      </c>
      <c r="G19" s="1211">
        <f>'RA - US'!R6</f>
        <v>156286642.82645258</v>
      </c>
      <c r="H19" s="1211">
        <f>'RA - US'!S6</f>
        <v>414293497.63833702</v>
      </c>
      <c r="I19" s="1211">
        <f>'RA - US'!T6</f>
        <v>651695380.324471</v>
      </c>
      <c r="J19" s="1211">
        <f>'RA - US'!U6</f>
        <v>1005718773.9547598</v>
      </c>
      <c r="K19" s="1211">
        <f>'RA - US'!V6</f>
        <v>1307507160.7188954</v>
      </c>
      <c r="L19" s="1211">
        <f>'RA - US'!W6</f>
        <v>1409345712.9007828</v>
      </c>
      <c r="M19" s="1211">
        <f>'RA - US'!X6</f>
        <v>1382214090.6819823</v>
      </c>
      <c r="N19" s="1211">
        <f>'RA - US'!Y6</f>
        <v>1404581708.0292196</v>
      </c>
      <c r="O19" s="1211">
        <f>'RA - US'!Z6</f>
        <v>1370375577.4875538</v>
      </c>
      <c r="P19" s="1211">
        <f>'RA - US'!AA6</f>
        <v>1360793645.753727</v>
      </c>
      <c r="Q19" s="1211">
        <f>'RA - US'!AB6</f>
        <v>1188787295.2517147</v>
      </c>
      <c r="R19" s="1211">
        <f>'RA - US'!AC6</f>
        <v>271935204.55081558</v>
      </c>
    </row>
    <row r="20" spans="2:18" ht="15">
      <c r="B20" s="1210" t="s">
        <v>598</v>
      </c>
      <c r="C20" s="1211">
        <f>'RA - EU'!C19</f>
        <v>0</v>
      </c>
      <c r="D20" s="1211">
        <f>'RA - EU'!D19</f>
        <v>0</v>
      </c>
      <c r="E20" s="1211">
        <f>'RA - EU'!E19</f>
        <v>46333374.175091773</v>
      </c>
      <c r="F20" s="1211">
        <f>'RA - EU'!F19</f>
        <v>121413074.6173619</v>
      </c>
      <c r="G20" s="1211">
        <f>'RA - EU'!G19</f>
        <v>235526644.52869952</v>
      </c>
      <c r="H20" s="1211">
        <f>'RA - EU'!H19</f>
        <v>296874502.9539718</v>
      </c>
      <c r="I20" s="1211">
        <f>'RA - EU'!I19</f>
        <v>322756551.32198203</v>
      </c>
      <c r="J20" s="1211">
        <f>'RA - EU'!J19</f>
        <v>362071675.87010801</v>
      </c>
      <c r="K20" s="1211">
        <f>'RA - EU'!K19</f>
        <v>390006257.14037991</v>
      </c>
      <c r="L20" s="1211">
        <f>'RA - EU'!L19</f>
        <v>406036616.500157</v>
      </c>
      <c r="M20" s="1211">
        <f>'RA - EU'!M19</f>
        <v>409857960.99908298</v>
      </c>
      <c r="N20" s="1211">
        <f>'RA - EU'!N19</f>
        <v>407510602.13135517</v>
      </c>
      <c r="O20" s="1211">
        <f>'RA - EU'!O19</f>
        <v>377336303.30142319</v>
      </c>
      <c r="P20" s="1211">
        <f>'RA - EU'!P19</f>
        <v>354317638.09427816</v>
      </c>
      <c r="Q20" s="1211">
        <f>'RA - EU'!Q19</f>
        <v>330917041.11400259</v>
      </c>
      <c r="R20" s="1211">
        <f>'RA - EU'!R19</f>
        <v>63989708.558685131</v>
      </c>
    </row>
    <row r="25" spans="2:18" ht="15">
      <c r="E25" s="1561" t="s">
        <v>599</v>
      </c>
      <c r="F25" s="1561"/>
      <c r="G25" s="1561"/>
      <c r="H25" s="1561"/>
    </row>
    <row r="26" spans="2:18" ht="15">
      <c r="E26" s="1212" t="s">
        <v>600</v>
      </c>
      <c r="F26" s="1212" t="s">
        <v>601</v>
      </c>
      <c r="G26" s="1212" t="s">
        <v>602</v>
      </c>
      <c r="H26" s="1212" t="s">
        <v>603</v>
      </c>
    </row>
    <row r="27" spans="2:18" ht="15">
      <c r="E27" s="1213">
        <v>0</v>
      </c>
      <c r="F27" s="1213">
        <v>500000000</v>
      </c>
      <c r="G27" s="1213">
        <f>E28-E27-1</f>
        <v>500000000</v>
      </c>
      <c r="H27" s="1214">
        <v>0.2</v>
      </c>
      <c r="I27" s="1215">
        <f>F27*H27</f>
        <v>100000000</v>
      </c>
    </row>
    <row r="28" spans="2:18" ht="15">
      <c r="E28" s="1213">
        <f t="shared" ref="E28:E33" si="13">F27+1</f>
        <v>500000001</v>
      </c>
      <c r="F28" s="1213">
        <v>1000000000</v>
      </c>
      <c r="G28" s="1213">
        <f>E29-E28</f>
        <v>500000000</v>
      </c>
      <c r="H28" s="1214">
        <v>0.22</v>
      </c>
      <c r="I28" s="1215">
        <f>G28*H28</f>
        <v>110000000</v>
      </c>
    </row>
    <row r="29" spans="2:18" ht="15">
      <c r="E29" s="1213">
        <f t="shared" si="13"/>
        <v>1000000001</v>
      </c>
      <c r="F29" s="1213">
        <f>F28+500000000</f>
        <v>1500000000</v>
      </c>
      <c r="G29" s="1213">
        <f>E30-E29</f>
        <v>500000000</v>
      </c>
      <c r="H29" s="1214">
        <v>0.24</v>
      </c>
      <c r="I29" s="1215">
        <f>G29*H29</f>
        <v>120000000</v>
      </c>
    </row>
    <row r="30" spans="2:18" ht="15">
      <c r="E30" s="1213">
        <f t="shared" si="13"/>
        <v>1500000001</v>
      </c>
      <c r="F30" s="1213">
        <f>F29+500000000</f>
        <v>2000000000</v>
      </c>
      <c r="G30" s="1213">
        <f>E31-E30</f>
        <v>500000000</v>
      </c>
      <c r="H30" s="1214">
        <v>0.26</v>
      </c>
      <c r="I30" s="1215">
        <f>G30*H30</f>
        <v>130000000</v>
      </c>
    </row>
    <row r="31" spans="2:18" ht="15">
      <c r="E31" s="1213">
        <f t="shared" si="13"/>
        <v>2000000001</v>
      </c>
      <c r="F31" s="1213">
        <f>F30+500000000</f>
        <v>2500000000</v>
      </c>
      <c r="G31" s="1213">
        <f>E32-E31</f>
        <v>500000000</v>
      </c>
      <c r="H31" s="1214">
        <v>0.28000000000000003</v>
      </c>
      <c r="I31" s="1215">
        <f>G31*H31</f>
        <v>140000000</v>
      </c>
    </row>
    <row r="32" spans="2:18" ht="15">
      <c r="E32" s="1213">
        <f t="shared" si="13"/>
        <v>2500000001</v>
      </c>
      <c r="F32" s="1213">
        <f>F31+500000000</f>
        <v>3000000000</v>
      </c>
      <c r="G32" s="1213">
        <f>E33-E32</f>
        <v>500000000</v>
      </c>
      <c r="H32" s="1214">
        <v>0.28999999999999998</v>
      </c>
      <c r="I32" s="1215">
        <f>G32*H32</f>
        <v>145000000</v>
      </c>
    </row>
    <row r="33" spans="5:8" ht="15">
      <c r="E33" s="1213">
        <f t="shared" si="13"/>
        <v>3000000001</v>
      </c>
      <c r="F33" s="1213"/>
      <c r="G33" s="1213"/>
      <c r="H33" s="1214">
        <v>0.28999999999999998</v>
      </c>
    </row>
    <row r="34" spans="5:8">
      <c r="E34" s="1216" t="s">
        <v>604</v>
      </c>
    </row>
    <row r="59" spans="2:2">
      <c r="B59" s="1202" t="s">
        <v>605</v>
      </c>
    </row>
    <row r="60" spans="2:2" ht="15">
      <c r="B60" s="1184" t="s">
        <v>606</v>
      </c>
    </row>
    <row r="71" spans="1:1" ht="13.5">
      <c r="A71" s="1217"/>
    </row>
    <row r="72" spans="1:1" ht="13.5">
      <c r="A72" s="1217"/>
    </row>
    <row r="73" spans="1:1" ht="13.5">
      <c r="A73" s="1217"/>
    </row>
    <row r="74" spans="1:1" ht="13.5">
      <c r="A74" s="1217"/>
    </row>
  </sheetData>
  <mergeCells count="1">
    <mergeCell ref="E25:H25"/>
  </mergeCells>
  <pageMargins left="0.7" right="0.7" top="0.75" bottom="0.75" header="0.3" footer="0.3"/>
  <pageSetup orientation="portrait" horizontalDpi="90" verticalDpi="9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G431"/>
  <sheetViews>
    <sheetView showGridLines="0" showZeros="0" workbookViewId="0"/>
  </sheetViews>
  <sheetFormatPr defaultColWidth="11.42578125" defaultRowHeight="11.25" outlineLevelRow="1" outlineLevelCol="1"/>
  <cols>
    <col min="1" max="1" width="1.140625" style="914" customWidth="1"/>
    <col min="2" max="2" width="14.5703125" style="914" customWidth="1"/>
    <col min="3" max="3" width="42.7109375" style="914" customWidth="1"/>
    <col min="4" max="13" width="13.42578125" style="914" hidden="1" customWidth="1" outlineLevel="1"/>
    <col min="14" max="14" width="14.42578125" style="914" hidden="1" customWidth="1" outlineLevel="1"/>
    <col min="15" max="15" width="14.42578125" style="914" bestFit="1" customWidth="1" collapsed="1"/>
    <col min="16" max="24" width="14.42578125" style="914" bestFit="1" customWidth="1"/>
    <col min="25" max="28" width="14.42578125" style="914" customWidth="1"/>
    <col min="29" max="29" width="15.42578125" style="914" bestFit="1" customWidth="1"/>
    <col min="30" max="30" width="12.42578125" style="914" customWidth="1"/>
    <col min="31" max="31" width="29.85546875" style="914" customWidth="1"/>
    <col min="32" max="32" width="9.28515625" style="914" bestFit="1" customWidth="1"/>
    <col min="33" max="16384" width="11.42578125" style="914"/>
  </cols>
  <sheetData>
    <row r="1" spans="2:30" ht="6" customHeight="1"/>
    <row r="2" spans="2:30" ht="12.75" thickBot="1">
      <c r="B2" s="915" t="s">
        <v>479</v>
      </c>
      <c r="C2" s="916"/>
      <c r="D2" s="917">
        <v>2005</v>
      </c>
      <c r="E2" s="918">
        <v>2006</v>
      </c>
      <c r="F2" s="917">
        <v>2007</v>
      </c>
      <c r="G2" s="917">
        <v>2008</v>
      </c>
      <c r="H2" s="918">
        <v>2009</v>
      </c>
      <c r="I2" s="918">
        <v>2010</v>
      </c>
      <c r="J2" s="918">
        <v>2011</v>
      </c>
      <c r="K2" s="918">
        <v>2012</v>
      </c>
      <c r="L2" s="918">
        <v>2013</v>
      </c>
      <c r="M2" s="918">
        <v>2014</v>
      </c>
      <c r="N2" s="918">
        <v>2015</v>
      </c>
      <c r="O2" s="918">
        <f>N2+1</f>
        <v>2016</v>
      </c>
      <c r="P2" s="918">
        <f t="shared" ref="P2:AC2" si="0">O2+1</f>
        <v>2017</v>
      </c>
      <c r="Q2" s="918">
        <f t="shared" si="0"/>
        <v>2018</v>
      </c>
      <c r="R2" s="918">
        <f t="shared" si="0"/>
        <v>2019</v>
      </c>
      <c r="S2" s="918">
        <f t="shared" si="0"/>
        <v>2020</v>
      </c>
      <c r="T2" s="918">
        <f t="shared" si="0"/>
        <v>2021</v>
      </c>
      <c r="U2" s="918">
        <f t="shared" si="0"/>
        <v>2022</v>
      </c>
      <c r="V2" s="918">
        <f t="shared" si="0"/>
        <v>2023</v>
      </c>
      <c r="W2" s="918">
        <f t="shared" si="0"/>
        <v>2024</v>
      </c>
      <c r="X2" s="918">
        <f t="shared" si="0"/>
        <v>2025</v>
      </c>
      <c r="Y2" s="918">
        <f t="shared" si="0"/>
        <v>2026</v>
      </c>
      <c r="Z2" s="918">
        <f t="shared" si="0"/>
        <v>2027</v>
      </c>
      <c r="AA2" s="918">
        <f t="shared" si="0"/>
        <v>2028</v>
      </c>
      <c r="AB2" s="918">
        <f t="shared" si="0"/>
        <v>2029</v>
      </c>
      <c r="AC2" s="918">
        <f t="shared" si="0"/>
        <v>2030</v>
      </c>
      <c r="AD2" s="919" t="s">
        <v>480</v>
      </c>
    </row>
    <row r="3" spans="2:30" ht="12" thickTop="1">
      <c r="B3" s="920" t="s">
        <v>481</v>
      </c>
      <c r="C3" s="921"/>
      <c r="D3" s="922">
        <f>SUM(D4:D9)</f>
        <v>0</v>
      </c>
      <c r="E3" s="923">
        <f t="shared" ref="E3:X3" si="1">SUM(E4:E9)</f>
        <v>0</v>
      </c>
      <c r="F3" s="924">
        <f t="shared" si="1"/>
        <v>0</v>
      </c>
      <c r="G3" s="922">
        <f t="shared" si="1"/>
        <v>0</v>
      </c>
      <c r="H3" s="923">
        <f t="shared" si="1"/>
        <v>0</v>
      </c>
      <c r="I3" s="923">
        <f t="shared" si="1"/>
        <v>0</v>
      </c>
      <c r="J3" s="923">
        <f t="shared" si="1"/>
        <v>0</v>
      </c>
      <c r="K3" s="923">
        <f t="shared" si="1"/>
        <v>5852950.9774154974</v>
      </c>
      <c r="L3" s="923">
        <f t="shared" si="1"/>
        <v>110618139.37141469</v>
      </c>
      <c r="M3" s="923">
        <f t="shared" si="1"/>
        <v>228818933.53890789</v>
      </c>
      <c r="N3" s="923">
        <f t="shared" si="1"/>
        <v>370471974.45513523</v>
      </c>
      <c r="O3" s="923">
        <f t="shared" si="1"/>
        <v>525598841.36981034</v>
      </c>
      <c r="P3" s="923">
        <f t="shared" si="1"/>
        <v>726880085.08447838</v>
      </c>
      <c r="Q3" s="923">
        <f t="shared" si="1"/>
        <v>1006536661.1108156</v>
      </c>
      <c r="R3" s="923">
        <f t="shared" si="1"/>
        <v>1684422706.0184329</v>
      </c>
      <c r="S3" s="923">
        <f t="shared" si="1"/>
        <v>2163532709.8890934</v>
      </c>
      <c r="T3" s="923">
        <f t="shared" si="1"/>
        <v>2679192119.1117139</v>
      </c>
      <c r="U3" s="923">
        <f t="shared" si="1"/>
        <v>3389644756.6623383</v>
      </c>
      <c r="V3" s="923">
        <f t="shared" si="1"/>
        <v>3966545292.2819018</v>
      </c>
      <c r="W3" s="923">
        <f t="shared" si="1"/>
        <v>4275489856.3084354</v>
      </c>
      <c r="X3" s="923">
        <f t="shared" si="1"/>
        <v>4387182104.6039219</v>
      </c>
      <c r="Y3" s="923">
        <f>SUM(Y4:Y9)</f>
        <v>4455672307.9389057</v>
      </c>
      <c r="Z3" s="923">
        <f>SUM(Z4:Z9)</f>
        <v>4425206251.8622274</v>
      </c>
      <c r="AA3" s="923">
        <f>SUM(AA4:AA9)</f>
        <v>4345386605.7040052</v>
      </c>
      <c r="AB3" s="923">
        <f>SUM(AB4:AB9)</f>
        <v>4168740821.778399</v>
      </c>
      <c r="AC3" s="923">
        <f>SUM(AC4:AC9)</f>
        <v>3353559206.2349443</v>
      </c>
    </row>
    <row r="4" spans="2:30" hidden="1" outlineLevel="1">
      <c r="B4" s="1475" t="s">
        <v>550</v>
      </c>
      <c r="C4" s="926"/>
      <c r="D4" s="927">
        <f t="shared" ref="D4:AC4" si="2">D78+D221+D347</f>
        <v>0</v>
      </c>
      <c r="E4" s="927">
        <f t="shared" si="2"/>
        <v>0</v>
      </c>
      <c r="F4" s="927">
        <f t="shared" si="2"/>
        <v>0</v>
      </c>
      <c r="G4" s="927">
        <f t="shared" si="2"/>
        <v>0</v>
      </c>
      <c r="H4" s="927">
        <f t="shared" si="2"/>
        <v>0</v>
      </c>
      <c r="I4" s="927">
        <f t="shared" si="2"/>
        <v>0</v>
      </c>
      <c r="J4" s="927">
        <f t="shared" si="2"/>
        <v>0</v>
      </c>
      <c r="K4" s="927">
        <f t="shared" si="2"/>
        <v>5852950.9774154974</v>
      </c>
      <c r="L4" s="927">
        <f t="shared" si="2"/>
        <v>110618139.37141469</v>
      </c>
      <c r="M4" s="927">
        <f t="shared" si="2"/>
        <v>228818933.53890789</v>
      </c>
      <c r="N4" s="927">
        <f t="shared" si="2"/>
        <v>370471974.45513523</v>
      </c>
      <c r="O4" s="927">
        <f t="shared" si="2"/>
        <v>525598841.36981034</v>
      </c>
      <c r="P4" s="927">
        <f t="shared" si="2"/>
        <v>726880085.08447838</v>
      </c>
      <c r="Q4" s="927">
        <f t="shared" si="2"/>
        <v>1006536661.1108156</v>
      </c>
      <c r="R4" s="927">
        <f t="shared" si="2"/>
        <v>1215562777.5390754</v>
      </c>
      <c r="S4" s="927">
        <f t="shared" si="2"/>
        <v>920652216.97408223</v>
      </c>
      <c r="T4" s="927">
        <f t="shared" si="2"/>
        <v>724105978.13830101</v>
      </c>
      <c r="U4" s="927">
        <f t="shared" si="2"/>
        <v>372488434.79805923</v>
      </c>
      <c r="V4" s="927">
        <f t="shared" si="2"/>
        <v>44023810.125215337</v>
      </c>
      <c r="W4" s="927">
        <f t="shared" si="2"/>
        <v>47452717.606086954</v>
      </c>
      <c r="X4" s="927">
        <f t="shared" si="2"/>
        <v>10170817.444311861</v>
      </c>
      <c r="Y4" s="927">
        <f t="shared" si="2"/>
        <v>5400160.3538224529</v>
      </c>
      <c r="Z4" s="927">
        <f t="shared" si="2"/>
        <v>5618596.0536595071</v>
      </c>
      <c r="AA4" s="927">
        <f t="shared" si="2"/>
        <v>5793076.3974190177</v>
      </c>
      <c r="AB4" s="927">
        <f t="shared" si="2"/>
        <v>6003976.2386450237</v>
      </c>
      <c r="AC4" s="927">
        <f t="shared" si="2"/>
        <v>6166331.1689527342</v>
      </c>
    </row>
    <row r="5" spans="2:30" hidden="1" outlineLevel="1">
      <c r="B5" s="931" t="s">
        <v>566</v>
      </c>
      <c r="C5" s="929"/>
      <c r="D5" s="922">
        <f t="shared" ref="D5:AC5" si="3">D79+D222+D348</f>
        <v>0</v>
      </c>
      <c r="E5" s="922">
        <f t="shared" si="3"/>
        <v>0</v>
      </c>
      <c r="F5" s="922">
        <f t="shared" si="3"/>
        <v>0</v>
      </c>
      <c r="G5" s="922">
        <f t="shared" si="3"/>
        <v>0</v>
      </c>
      <c r="H5" s="922">
        <f t="shared" si="3"/>
        <v>0</v>
      </c>
      <c r="I5" s="922">
        <f t="shared" si="3"/>
        <v>0</v>
      </c>
      <c r="J5" s="922">
        <f t="shared" si="3"/>
        <v>0</v>
      </c>
      <c r="K5" s="922">
        <f t="shared" si="3"/>
        <v>0</v>
      </c>
      <c r="L5" s="922">
        <f t="shared" si="3"/>
        <v>0</v>
      </c>
      <c r="M5" s="922">
        <f t="shared" si="3"/>
        <v>0</v>
      </c>
      <c r="N5" s="922">
        <f t="shared" si="3"/>
        <v>0</v>
      </c>
      <c r="O5" s="922">
        <f t="shared" si="3"/>
        <v>0</v>
      </c>
      <c r="P5" s="922">
        <f t="shared" si="3"/>
        <v>0</v>
      </c>
      <c r="Q5" s="922">
        <f t="shared" si="3"/>
        <v>0</v>
      </c>
      <c r="R5" s="922">
        <f t="shared" si="3"/>
        <v>0</v>
      </c>
      <c r="S5" s="922">
        <f t="shared" si="3"/>
        <v>0</v>
      </c>
      <c r="T5" s="922">
        <f t="shared" si="3"/>
        <v>0</v>
      </c>
      <c r="U5" s="922">
        <f t="shared" si="3"/>
        <v>0</v>
      </c>
      <c r="V5" s="922">
        <f t="shared" si="3"/>
        <v>0</v>
      </c>
      <c r="W5" s="922">
        <f t="shared" si="3"/>
        <v>0</v>
      </c>
      <c r="X5" s="922">
        <f t="shared" si="3"/>
        <v>38140565.416169479</v>
      </c>
      <c r="Y5" s="922">
        <f t="shared" si="3"/>
        <v>81002405.307336807</v>
      </c>
      <c r="Z5" s="922">
        <f t="shared" si="3"/>
        <v>126418411.2073389</v>
      </c>
      <c r="AA5" s="922">
        <f t="shared" si="3"/>
        <v>173792291.92257053</v>
      </c>
      <c r="AB5" s="922">
        <f t="shared" si="3"/>
        <v>225149108.94918838</v>
      </c>
      <c r="AC5" s="922">
        <f t="shared" si="3"/>
        <v>231237418.83572751</v>
      </c>
    </row>
    <row r="6" spans="2:30" hidden="1" outlineLevel="1">
      <c r="B6" s="1475" t="s">
        <v>416</v>
      </c>
      <c r="C6" s="926"/>
      <c r="D6" s="927">
        <f t="shared" ref="D6:AC6" si="4">D80+D223+D349</f>
        <v>0</v>
      </c>
      <c r="E6" s="927">
        <f t="shared" si="4"/>
        <v>0</v>
      </c>
      <c r="F6" s="927">
        <f t="shared" si="4"/>
        <v>0</v>
      </c>
      <c r="G6" s="927">
        <f t="shared" si="4"/>
        <v>0</v>
      </c>
      <c r="H6" s="927">
        <f t="shared" si="4"/>
        <v>0</v>
      </c>
      <c r="I6" s="927">
        <f t="shared" si="4"/>
        <v>0</v>
      </c>
      <c r="J6" s="927">
        <f t="shared" si="4"/>
        <v>0</v>
      </c>
      <c r="K6" s="927">
        <f t="shared" si="4"/>
        <v>0</v>
      </c>
      <c r="L6" s="927">
        <f t="shared" si="4"/>
        <v>0</v>
      </c>
      <c r="M6" s="927">
        <f t="shared" si="4"/>
        <v>0</v>
      </c>
      <c r="N6" s="927">
        <f t="shared" si="4"/>
        <v>0</v>
      </c>
      <c r="O6" s="927">
        <f t="shared" si="4"/>
        <v>0</v>
      </c>
      <c r="P6" s="927">
        <f t="shared" si="4"/>
        <v>0</v>
      </c>
      <c r="Q6" s="927">
        <f t="shared" si="4"/>
        <v>0</v>
      </c>
      <c r="R6" s="927">
        <f t="shared" si="4"/>
        <v>156286642.82645258</v>
      </c>
      <c r="S6" s="927">
        <f t="shared" si="4"/>
        <v>414293497.63833702</v>
      </c>
      <c r="T6" s="927">
        <f t="shared" si="4"/>
        <v>651695380.324471</v>
      </c>
      <c r="U6" s="927">
        <f t="shared" si="4"/>
        <v>1005718773.9547598</v>
      </c>
      <c r="V6" s="927">
        <f t="shared" si="4"/>
        <v>1307507160.7188954</v>
      </c>
      <c r="W6" s="927">
        <f t="shared" si="4"/>
        <v>1409345712.9007828</v>
      </c>
      <c r="X6" s="927">
        <f t="shared" si="4"/>
        <v>1382214090.6819823</v>
      </c>
      <c r="Y6" s="927">
        <f t="shared" si="4"/>
        <v>1404581708.0292196</v>
      </c>
      <c r="Z6" s="927">
        <f t="shared" si="4"/>
        <v>1370375577.4875538</v>
      </c>
      <c r="AA6" s="927">
        <f t="shared" si="4"/>
        <v>1360793645.753727</v>
      </c>
      <c r="AB6" s="927">
        <f t="shared" si="4"/>
        <v>1188787295.2517147</v>
      </c>
      <c r="AC6" s="927">
        <f t="shared" si="4"/>
        <v>271935204.55081558</v>
      </c>
      <c r="AD6" s="930"/>
    </row>
    <row r="7" spans="2:30" hidden="1" outlineLevel="1">
      <c r="B7" s="931" t="s">
        <v>775</v>
      </c>
      <c r="C7" s="929"/>
      <c r="D7" s="922">
        <f t="shared" ref="D7:AC7" si="5">D81+D224+D350</f>
        <v>0</v>
      </c>
      <c r="E7" s="922">
        <f t="shared" si="5"/>
        <v>0</v>
      </c>
      <c r="F7" s="922">
        <f t="shared" si="5"/>
        <v>0</v>
      </c>
      <c r="G7" s="922">
        <f t="shared" si="5"/>
        <v>0</v>
      </c>
      <c r="H7" s="922">
        <f t="shared" si="5"/>
        <v>0</v>
      </c>
      <c r="I7" s="922">
        <f t="shared" si="5"/>
        <v>0</v>
      </c>
      <c r="J7" s="922">
        <f t="shared" si="5"/>
        <v>0</v>
      </c>
      <c r="K7" s="922">
        <f t="shared" si="5"/>
        <v>0</v>
      </c>
      <c r="L7" s="922">
        <f t="shared" si="5"/>
        <v>0</v>
      </c>
      <c r="M7" s="922">
        <f t="shared" si="5"/>
        <v>0</v>
      </c>
      <c r="N7" s="922">
        <f t="shared" si="5"/>
        <v>0</v>
      </c>
      <c r="O7" s="922">
        <f t="shared" si="5"/>
        <v>0</v>
      </c>
      <c r="P7" s="922">
        <f t="shared" si="5"/>
        <v>0</v>
      </c>
      <c r="Q7" s="922">
        <f t="shared" si="5"/>
        <v>0</v>
      </c>
      <c r="R7" s="922">
        <f t="shared" si="5"/>
        <v>156286642.82645258</v>
      </c>
      <c r="S7" s="922">
        <f t="shared" si="5"/>
        <v>414293497.63833702</v>
      </c>
      <c r="T7" s="922">
        <f t="shared" si="5"/>
        <v>651695380.324471</v>
      </c>
      <c r="U7" s="922">
        <f t="shared" si="5"/>
        <v>1005718773.9547598</v>
      </c>
      <c r="V7" s="922">
        <f t="shared" si="5"/>
        <v>1307507160.7188954</v>
      </c>
      <c r="W7" s="922">
        <f t="shared" si="5"/>
        <v>1409345712.9007828</v>
      </c>
      <c r="X7" s="922">
        <f t="shared" si="5"/>
        <v>1478328315.5307293</v>
      </c>
      <c r="Y7" s="922">
        <f t="shared" si="5"/>
        <v>1482344017.1242633</v>
      </c>
      <c r="Z7" s="922">
        <f t="shared" si="5"/>
        <v>1461396833.5568376</v>
      </c>
      <c r="AA7" s="922">
        <f t="shared" si="5"/>
        <v>1402503795.8151443</v>
      </c>
      <c r="AB7" s="922">
        <f t="shared" si="5"/>
        <v>1350894653.6951301</v>
      </c>
      <c r="AC7" s="922">
        <f t="shared" si="5"/>
        <v>1248682061.7129288</v>
      </c>
    </row>
    <row r="8" spans="2:30" hidden="1" outlineLevel="1">
      <c r="B8" s="1475" t="s">
        <v>774</v>
      </c>
      <c r="C8" s="926"/>
      <c r="D8" s="927">
        <f t="shared" ref="D8:AC8" si="6">D82+D225+D351</f>
        <v>0</v>
      </c>
      <c r="E8" s="927">
        <f t="shared" si="6"/>
        <v>0</v>
      </c>
      <c r="F8" s="927">
        <f t="shared" si="6"/>
        <v>0</v>
      </c>
      <c r="G8" s="927">
        <f t="shared" si="6"/>
        <v>0</v>
      </c>
      <c r="H8" s="927">
        <f t="shared" si="6"/>
        <v>0</v>
      </c>
      <c r="I8" s="927">
        <f t="shared" si="6"/>
        <v>0</v>
      </c>
      <c r="J8" s="927">
        <f t="shared" si="6"/>
        <v>0</v>
      </c>
      <c r="K8" s="927">
        <f t="shared" si="6"/>
        <v>0</v>
      </c>
      <c r="L8" s="927">
        <f t="shared" si="6"/>
        <v>0</v>
      </c>
      <c r="M8" s="927">
        <f t="shared" si="6"/>
        <v>0</v>
      </c>
      <c r="N8" s="927">
        <f t="shared" si="6"/>
        <v>0</v>
      </c>
      <c r="O8" s="927">
        <f t="shared" si="6"/>
        <v>0</v>
      </c>
      <c r="P8" s="927">
        <f t="shared" si="6"/>
        <v>0</v>
      </c>
      <c r="Q8" s="927">
        <f t="shared" si="6"/>
        <v>0</v>
      </c>
      <c r="R8" s="927">
        <f t="shared" si="6"/>
        <v>156286642.82645258</v>
      </c>
      <c r="S8" s="927">
        <f t="shared" si="6"/>
        <v>414293497.63833702</v>
      </c>
      <c r="T8" s="927">
        <f t="shared" si="6"/>
        <v>651695380.324471</v>
      </c>
      <c r="U8" s="927">
        <f t="shared" si="6"/>
        <v>1005718773.9547598</v>
      </c>
      <c r="V8" s="927">
        <f t="shared" si="6"/>
        <v>1307507160.7188954</v>
      </c>
      <c r="W8" s="927">
        <f t="shared" si="6"/>
        <v>1409345712.9007828</v>
      </c>
      <c r="X8" s="927">
        <f t="shared" si="6"/>
        <v>1478328315.5307293</v>
      </c>
      <c r="Y8" s="927">
        <f t="shared" si="6"/>
        <v>1482344017.1242633</v>
      </c>
      <c r="Z8" s="927">
        <f t="shared" si="6"/>
        <v>1461396833.5568376</v>
      </c>
      <c r="AA8" s="927">
        <f t="shared" si="6"/>
        <v>1402503795.8151443</v>
      </c>
      <c r="AB8" s="927">
        <f t="shared" si="6"/>
        <v>1350894653.6951301</v>
      </c>
      <c r="AC8" s="927">
        <f t="shared" si="6"/>
        <v>1248682061.7129288</v>
      </c>
    </row>
    <row r="9" spans="2:30" hidden="1" outlineLevel="1">
      <c r="B9" s="931" t="s">
        <v>487</v>
      </c>
      <c r="C9" s="929"/>
      <c r="D9" s="922">
        <f t="shared" ref="D9:AC9" si="7">D83+D226+D352</f>
        <v>0</v>
      </c>
      <c r="E9" s="922">
        <f t="shared" si="7"/>
        <v>0</v>
      </c>
      <c r="F9" s="922">
        <f t="shared" si="7"/>
        <v>0</v>
      </c>
      <c r="G9" s="922">
        <f t="shared" si="7"/>
        <v>0</v>
      </c>
      <c r="H9" s="922">
        <f t="shared" si="7"/>
        <v>0</v>
      </c>
      <c r="I9" s="922">
        <f t="shared" si="7"/>
        <v>0</v>
      </c>
      <c r="J9" s="922">
        <f t="shared" si="7"/>
        <v>0</v>
      </c>
      <c r="K9" s="922">
        <f t="shared" si="7"/>
        <v>0</v>
      </c>
      <c r="L9" s="922">
        <f t="shared" si="7"/>
        <v>0</v>
      </c>
      <c r="M9" s="922">
        <f t="shared" si="7"/>
        <v>0</v>
      </c>
      <c r="N9" s="922">
        <f t="shared" si="7"/>
        <v>0</v>
      </c>
      <c r="O9" s="922">
        <f t="shared" si="7"/>
        <v>0</v>
      </c>
      <c r="P9" s="922">
        <f t="shared" si="7"/>
        <v>0</v>
      </c>
      <c r="Q9" s="922">
        <f t="shared" si="7"/>
        <v>0</v>
      </c>
      <c r="R9" s="922">
        <f t="shared" si="7"/>
        <v>0</v>
      </c>
      <c r="S9" s="922">
        <f t="shared" si="7"/>
        <v>0</v>
      </c>
      <c r="T9" s="922">
        <f t="shared" si="7"/>
        <v>0</v>
      </c>
      <c r="U9" s="922">
        <f t="shared" si="7"/>
        <v>0</v>
      </c>
      <c r="V9" s="922">
        <f t="shared" si="7"/>
        <v>0</v>
      </c>
      <c r="W9" s="922">
        <f t="shared" si="7"/>
        <v>0</v>
      </c>
      <c r="X9" s="922">
        <f t="shared" si="7"/>
        <v>0</v>
      </c>
      <c r="Y9" s="922">
        <f t="shared" si="7"/>
        <v>0</v>
      </c>
      <c r="Z9" s="922">
        <f t="shared" si="7"/>
        <v>0</v>
      </c>
      <c r="AA9" s="922">
        <f t="shared" si="7"/>
        <v>0</v>
      </c>
      <c r="AB9" s="922">
        <f t="shared" si="7"/>
        <v>47011133.948590539</v>
      </c>
      <c r="AC9" s="922">
        <f t="shared" si="7"/>
        <v>346856128.25359124</v>
      </c>
    </row>
    <row r="10" spans="2:30" collapsed="1">
      <c r="B10" s="932" t="s">
        <v>488</v>
      </c>
      <c r="C10" s="926"/>
      <c r="D10" s="927">
        <f>SUM(D11:D12)</f>
        <v>3023572283.8212051</v>
      </c>
      <c r="E10" s="927">
        <f t="shared" ref="E10:X10" si="8">SUM(E11:E12)</f>
        <v>3193251279.0319085</v>
      </c>
      <c r="F10" s="927">
        <f t="shared" si="8"/>
        <v>3446211700.2942376</v>
      </c>
      <c r="G10" s="927">
        <f t="shared" si="8"/>
        <v>3751317888.9422565</v>
      </c>
      <c r="H10" s="927">
        <f t="shared" si="8"/>
        <v>4124126670.4740806</v>
      </c>
      <c r="I10" s="927">
        <f t="shared" si="8"/>
        <v>4507460771.6848736</v>
      </c>
      <c r="J10" s="927">
        <f t="shared" si="8"/>
        <v>5025839344.8390474</v>
      </c>
      <c r="K10" s="927">
        <f t="shared" si="8"/>
        <v>5778187516.8890896</v>
      </c>
      <c r="L10" s="927">
        <f t="shared" si="8"/>
        <v>6743510961.1586351</v>
      </c>
      <c r="M10" s="927">
        <f t="shared" si="8"/>
        <v>7893687746.9298105</v>
      </c>
      <c r="N10" s="927">
        <f t="shared" si="8"/>
        <v>9674300104.8309097</v>
      </c>
      <c r="O10" s="927">
        <f t="shared" si="8"/>
        <v>10365298117.613768</v>
      </c>
      <c r="P10" s="927">
        <f t="shared" si="8"/>
        <v>11160204738.699213</v>
      </c>
      <c r="Q10" s="927">
        <f t="shared" si="8"/>
        <v>12015817558.132048</v>
      </c>
      <c r="R10" s="927">
        <f t="shared" si="8"/>
        <v>12396341928.538145</v>
      </c>
      <c r="S10" s="927">
        <f t="shared" si="8"/>
        <v>12353714873.764784</v>
      </c>
      <c r="T10" s="927">
        <f t="shared" si="8"/>
        <v>12405667086.526382</v>
      </c>
      <c r="U10" s="927">
        <f t="shared" si="8"/>
        <v>12387693499.990273</v>
      </c>
      <c r="V10" s="927">
        <f t="shared" si="8"/>
        <v>11982316977.997637</v>
      </c>
      <c r="W10" s="927">
        <f t="shared" si="8"/>
        <v>12020939133.103535</v>
      </c>
      <c r="X10" s="927">
        <f t="shared" si="8"/>
        <v>11937975460.799282</v>
      </c>
      <c r="Y10" s="927">
        <f>SUM(Y11:Y12)</f>
        <v>11772539986.165205</v>
      </c>
      <c r="Z10" s="927">
        <f>SUM(Z11:Z12)</f>
        <v>11984135111.247698</v>
      </c>
      <c r="AA10" s="927">
        <f>SUM(AA11:AA12)</f>
        <v>12283181431.326317</v>
      </c>
      <c r="AB10" s="927">
        <f>SUM(AB11:AB12)</f>
        <v>12648035357.17902</v>
      </c>
      <c r="AC10" s="927">
        <f>SUM(AC11:AC12)</f>
        <v>12939344645.733795</v>
      </c>
      <c r="AD10" s="930">
        <f>(X10/O10)^(1/9)-1</f>
        <v>1.5819493648772553E-2</v>
      </c>
    </row>
    <row r="11" spans="2:30" hidden="1" outlineLevel="1">
      <c r="B11" s="931" t="s">
        <v>776</v>
      </c>
      <c r="C11" s="929"/>
      <c r="D11" s="922">
        <f t="shared" ref="D11:AC11" si="9">D85+D228+D354</f>
        <v>3023572283.8212051</v>
      </c>
      <c r="E11" s="933">
        <f t="shared" si="9"/>
        <v>3193251279.0319085</v>
      </c>
      <c r="F11" s="933">
        <f t="shared" si="9"/>
        <v>3446211700.2942376</v>
      </c>
      <c r="G11" s="933">
        <f t="shared" si="9"/>
        <v>3751317888.9422565</v>
      </c>
      <c r="H11" s="933">
        <f t="shared" si="9"/>
        <v>4124126670.4740806</v>
      </c>
      <c r="I11" s="933">
        <f t="shared" si="9"/>
        <v>4507460771.6848736</v>
      </c>
      <c r="J11" s="933">
        <f t="shared" si="9"/>
        <v>5025839344.8390474</v>
      </c>
      <c r="K11" s="933">
        <f t="shared" si="9"/>
        <v>5778187516.8890896</v>
      </c>
      <c r="L11" s="933">
        <f t="shared" si="9"/>
        <v>6743510961.1586351</v>
      </c>
      <c r="M11" s="933">
        <f t="shared" si="9"/>
        <v>7893687746.9298105</v>
      </c>
      <c r="N11" s="933">
        <f t="shared" si="9"/>
        <v>9674300104.8309097</v>
      </c>
      <c r="O11" s="933">
        <f t="shared" si="9"/>
        <v>10365298117.613768</v>
      </c>
      <c r="P11" s="933">
        <f t="shared" si="9"/>
        <v>11160204738.699213</v>
      </c>
      <c r="Q11" s="933">
        <f t="shared" si="9"/>
        <v>12015817558.132048</v>
      </c>
      <c r="R11" s="933">
        <f t="shared" si="9"/>
        <v>11514472850.348774</v>
      </c>
      <c r="S11" s="933">
        <f t="shared" si="9"/>
        <v>10139966919.765368</v>
      </c>
      <c r="T11" s="933">
        <f t="shared" si="9"/>
        <v>9373818259.5257835</v>
      </c>
      <c r="U11" s="933">
        <f t="shared" si="9"/>
        <v>8313065791.010416</v>
      </c>
      <c r="V11" s="933">
        <f t="shared" si="9"/>
        <v>6315586472.1085701</v>
      </c>
      <c r="W11" s="933">
        <f t="shared" si="9"/>
        <v>5017123527.2329731</v>
      </c>
      <c r="X11" s="933">
        <f t="shared" si="9"/>
        <v>3517896056.38798</v>
      </c>
      <c r="Y11" s="933">
        <f t="shared" si="9"/>
        <v>1843520874.3508332</v>
      </c>
      <c r="Z11" s="933">
        <f t="shared" si="9"/>
        <v>1338946481.9282496</v>
      </c>
      <c r="AA11" s="933">
        <f t="shared" si="9"/>
        <v>992709855.4308008</v>
      </c>
      <c r="AB11" s="933">
        <f t="shared" si="9"/>
        <v>823347827.09971857</v>
      </c>
      <c r="AC11" s="933">
        <f t="shared" si="9"/>
        <v>635887543.31729007</v>
      </c>
    </row>
    <row r="12" spans="2:30" hidden="1" outlineLevel="1">
      <c r="B12" s="1476" t="s">
        <v>777</v>
      </c>
      <c r="C12" s="935"/>
      <c r="D12" s="927">
        <f t="shared" ref="D12:AC12" si="10">D86+D229+D355</f>
        <v>0</v>
      </c>
      <c r="E12" s="927">
        <f t="shared" si="10"/>
        <v>0</v>
      </c>
      <c r="F12" s="927">
        <f t="shared" si="10"/>
        <v>0</v>
      </c>
      <c r="G12" s="927">
        <f t="shared" si="10"/>
        <v>0</v>
      </c>
      <c r="H12" s="927">
        <f t="shared" si="10"/>
        <v>0</v>
      </c>
      <c r="I12" s="927">
        <f t="shared" si="10"/>
        <v>0</v>
      </c>
      <c r="J12" s="927">
        <f t="shared" si="10"/>
        <v>0</v>
      </c>
      <c r="K12" s="927">
        <f t="shared" si="10"/>
        <v>0</v>
      </c>
      <c r="L12" s="927">
        <f t="shared" si="10"/>
        <v>0</v>
      </c>
      <c r="M12" s="927">
        <f t="shared" si="10"/>
        <v>0</v>
      </c>
      <c r="N12" s="927">
        <f t="shared" si="10"/>
        <v>0</v>
      </c>
      <c r="O12" s="927">
        <f t="shared" si="10"/>
        <v>0</v>
      </c>
      <c r="P12" s="927">
        <f t="shared" si="10"/>
        <v>0</v>
      </c>
      <c r="Q12" s="927">
        <f t="shared" si="10"/>
        <v>0</v>
      </c>
      <c r="R12" s="927">
        <f t="shared" si="10"/>
        <v>881869078.18937087</v>
      </c>
      <c r="S12" s="927">
        <f t="shared" si="10"/>
        <v>2213747953.9994168</v>
      </c>
      <c r="T12" s="927">
        <f t="shared" si="10"/>
        <v>3031848827.0005989</v>
      </c>
      <c r="U12" s="927">
        <f t="shared" si="10"/>
        <v>4074627708.9798555</v>
      </c>
      <c r="V12" s="927">
        <f t="shared" si="10"/>
        <v>5666730505.8890667</v>
      </c>
      <c r="W12" s="927">
        <f t="shared" si="10"/>
        <v>7003815605.8705626</v>
      </c>
      <c r="X12" s="927">
        <f t="shared" si="10"/>
        <v>8420079404.4113026</v>
      </c>
      <c r="Y12" s="927">
        <f t="shared" si="10"/>
        <v>9929019111.8143711</v>
      </c>
      <c r="Z12" s="927">
        <f t="shared" si="10"/>
        <v>10645188629.319448</v>
      </c>
      <c r="AA12" s="927">
        <f t="shared" si="10"/>
        <v>11290471575.895515</v>
      </c>
      <c r="AB12" s="927">
        <f t="shared" si="10"/>
        <v>11824687530.079302</v>
      </c>
      <c r="AC12" s="927">
        <f t="shared" si="10"/>
        <v>12303457102.416506</v>
      </c>
      <c r="AD12" s="930"/>
    </row>
    <row r="13" spans="2:30" ht="12" collapsed="1" thickBot="1">
      <c r="B13" s="936" t="s">
        <v>491</v>
      </c>
      <c r="C13" s="937"/>
      <c r="D13" s="922">
        <f t="shared" ref="D13:AC13" si="11">D87+D230+D356</f>
        <v>932154235.95172548</v>
      </c>
      <c r="E13" s="922">
        <f t="shared" si="11"/>
        <v>986642670.18436646</v>
      </c>
      <c r="F13" s="922">
        <f t="shared" si="11"/>
        <v>1067153397.2723665</v>
      </c>
      <c r="G13" s="922">
        <f t="shared" si="11"/>
        <v>1164194635.5969129</v>
      </c>
      <c r="H13" s="922">
        <f t="shared" si="11"/>
        <v>1282712363.8636994</v>
      </c>
      <c r="I13" s="922">
        <f t="shared" si="11"/>
        <v>1403481028.1142645</v>
      </c>
      <c r="J13" s="922">
        <f t="shared" si="11"/>
        <v>1566607433.7476473</v>
      </c>
      <c r="K13" s="922">
        <f t="shared" si="11"/>
        <v>1794835205.9249506</v>
      </c>
      <c r="L13" s="922">
        <f t="shared" si="11"/>
        <v>1980791730.7731829</v>
      </c>
      <c r="M13" s="922">
        <f t="shared" si="11"/>
        <v>2229275401.0629082</v>
      </c>
      <c r="N13" s="922">
        <f t="shared" si="11"/>
        <v>2646025174.0055909</v>
      </c>
      <c r="O13" s="922">
        <f t="shared" si="11"/>
        <v>2794423395.5487976</v>
      </c>
      <c r="P13" s="922">
        <f t="shared" si="11"/>
        <v>2947456217.0911736</v>
      </c>
      <c r="Q13" s="922">
        <f t="shared" si="11"/>
        <v>3033667017.5265489</v>
      </c>
      <c r="R13" s="922">
        <f t="shared" si="11"/>
        <v>2437762432.8563528</v>
      </c>
      <c r="S13" s="922">
        <f t="shared" si="11"/>
        <v>2296262781.4221072</v>
      </c>
      <c r="T13" s="922">
        <f t="shared" si="11"/>
        <v>1973601380.1453452</v>
      </c>
      <c r="U13" s="922">
        <f t="shared" si="11"/>
        <v>1451762335.3949747</v>
      </c>
      <c r="V13" s="922">
        <f t="shared" si="11"/>
        <v>1056347293.0580167</v>
      </c>
      <c r="W13" s="922">
        <f t="shared" si="11"/>
        <v>901018872.90824819</v>
      </c>
      <c r="X13" s="922">
        <f t="shared" si="11"/>
        <v>856317029.82400787</v>
      </c>
      <c r="Y13" s="922">
        <f t="shared" si="11"/>
        <v>716658758.76678002</v>
      </c>
      <c r="Z13" s="922">
        <f t="shared" si="11"/>
        <v>722482369.49245274</v>
      </c>
      <c r="AA13" s="922">
        <f t="shared" si="11"/>
        <v>691768195.37627685</v>
      </c>
      <c r="AB13" s="922">
        <f t="shared" si="11"/>
        <v>682802476.12012899</v>
      </c>
      <c r="AC13" s="922">
        <f t="shared" si="11"/>
        <v>698818008.70287859</v>
      </c>
      <c r="AD13" s="930"/>
    </row>
    <row r="14" spans="2:30" s="941" customFormat="1" ht="12" thickTop="1">
      <c r="B14" s="938" t="s">
        <v>492</v>
      </c>
      <c r="C14" s="939"/>
      <c r="D14" s="940">
        <f>D3+D10+D13</f>
        <v>3955726519.7729306</v>
      </c>
      <c r="E14" s="940">
        <f t="shared" ref="E14:X14" si="12">E3+E10+E13</f>
        <v>4179893949.2162752</v>
      </c>
      <c r="F14" s="940">
        <f t="shared" si="12"/>
        <v>4513365097.5666046</v>
      </c>
      <c r="G14" s="940">
        <f t="shared" si="12"/>
        <v>4915512524.5391693</v>
      </c>
      <c r="H14" s="940">
        <f t="shared" si="12"/>
        <v>5406839034.33778</v>
      </c>
      <c r="I14" s="940">
        <f t="shared" si="12"/>
        <v>5910941799.7991381</v>
      </c>
      <c r="J14" s="940">
        <f t="shared" si="12"/>
        <v>6592446778.5866947</v>
      </c>
      <c r="K14" s="940">
        <f t="shared" si="12"/>
        <v>7578875673.7914553</v>
      </c>
      <c r="L14" s="940">
        <f t="shared" si="12"/>
        <v>8834920831.3032341</v>
      </c>
      <c r="M14" s="940">
        <f t="shared" si="12"/>
        <v>10351782081.531628</v>
      </c>
      <c r="N14" s="940">
        <f t="shared" si="12"/>
        <v>12690797253.291636</v>
      </c>
      <c r="O14" s="940">
        <f t="shared" si="12"/>
        <v>13685320354.532375</v>
      </c>
      <c r="P14" s="940">
        <f t="shared" si="12"/>
        <v>14834541040.874865</v>
      </c>
      <c r="Q14" s="940">
        <f t="shared" si="12"/>
        <v>16056021236.769411</v>
      </c>
      <c r="R14" s="940">
        <f t="shared" si="12"/>
        <v>16518527067.41293</v>
      </c>
      <c r="S14" s="940">
        <f t="shared" si="12"/>
        <v>16813510365.075985</v>
      </c>
      <c r="T14" s="940">
        <f t="shared" si="12"/>
        <v>17058460585.783442</v>
      </c>
      <c r="U14" s="940">
        <f t="shared" si="12"/>
        <v>17229100592.047585</v>
      </c>
      <c r="V14" s="940">
        <f t="shared" si="12"/>
        <v>17005209563.337555</v>
      </c>
      <c r="W14" s="940">
        <f t="shared" si="12"/>
        <v>17197447862.320217</v>
      </c>
      <c r="X14" s="940">
        <f t="shared" si="12"/>
        <v>17181474595.227211</v>
      </c>
      <c r="Y14" s="940">
        <f>Y3+Y10+Y13</f>
        <v>16944871052.870892</v>
      </c>
      <c r="Z14" s="940">
        <f>Z3+Z10+Z13</f>
        <v>17131823732.602377</v>
      </c>
      <c r="AA14" s="940">
        <f>AA3+AA10+AA13</f>
        <v>17320336232.406601</v>
      </c>
      <c r="AB14" s="940">
        <f>AB3+AB10+AB13</f>
        <v>17499578655.077549</v>
      </c>
      <c r="AC14" s="940">
        <f>AC3+AC10+AC13</f>
        <v>16991721860.671618</v>
      </c>
      <c r="AD14" s="930">
        <f>(X14/O14)^(1/9)-1</f>
        <v>2.5600880752393307E-2</v>
      </c>
    </row>
    <row r="15" spans="2:30" s="945" customFormat="1" ht="11.25" customHeight="1">
      <c r="B15" s="942"/>
      <c r="C15" s="943" t="s">
        <v>493</v>
      </c>
      <c r="D15" s="943"/>
      <c r="E15" s="943">
        <f>E14/D14-1</f>
        <v>5.6669091840103381E-2</v>
      </c>
      <c r="F15" s="943">
        <f>F14/E14-1</f>
        <v>7.9779810780332028E-2</v>
      </c>
      <c r="G15" s="943">
        <f>G14/F14-1</f>
        <v>8.9101461609960131E-2</v>
      </c>
      <c r="H15" s="943">
        <f>H14/F14-1</f>
        <v>0.19796181285065884</v>
      </c>
      <c r="I15" s="943">
        <f t="shared" ref="I15:N15" si="13">I14/H14-1</f>
        <v>9.3234283887480229E-2</v>
      </c>
      <c r="J15" s="943">
        <f t="shared" si="13"/>
        <v>0.11529549805594685</v>
      </c>
      <c r="K15" s="943">
        <f t="shared" si="13"/>
        <v>0.14963016438886356</v>
      </c>
      <c r="L15" s="943">
        <f t="shared" si="13"/>
        <v>0.1657297482600637</v>
      </c>
      <c r="M15" s="943">
        <f t="shared" si="13"/>
        <v>0.17168928609455825</v>
      </c>
      <c r="N15" s="943">
        <f t="shared" si="13"/>
        <v>0.22595289906005567</v>
      </c>
      <c r="O15" s="943"/>
      <c r="P15" s="943"/>
      <c r="Q15" s="943"/>
      <c r="R15" s="943"/>
      <c r="S15" s="943"/>
      <c r="T15" s="943"/>
      <c r="U15" s="943"/>
      <c r="V15" s="943"/>
      <c r="W15" s="943"/>
      <c r="X15" s="943"/>
      <c r="Y15" s="944"/>
      <c r="Z15" s="944"/>
      <c r="AA15" s="944"/>
      <c r="AB15" s="944"/>
      <c r="AC15" s="944"/>
    </row>
    <row r="16" spans="2:30" ht="12" thickBot="1">
      <c r="B16" s="946"/>
      <c r="C16" s="916"/>
      <c r="D16" s="917">
        <v>2005</v>
      </c>
      <c r="E16" s="917">
        <v>2006</v>
      </c>
      <c r="F16" s="918">
        <v>2007</v>
      </c>
      <c r="G16" s="917">
        <v>2008</v>
      </c>
      <c r="H16" s="918">
        <v>2009</v>
      </c>
      <c r="I16" s="918">
        <v>2010</v>
      </c>
      <c r="J16" s="918">
        <v>2011</v>
      </c>
      <c r="K16" s="918">
        <v>2012</v>
      </c>
      <c r="L16" s="918">
        <v>2013</v>
      </c>
      <c r="M16" s="918">
        <v>2014</v>
      </c>
      <c r="N16" s="918">
        <v>2015</v>
      </c>
      <c r="O16" s="918">
        <f t="shared" ref="O16:AC16" si="14">O2</f>
        <v>2016</v>
      </c>
      <c r="P16" s="918">
        <f t="shared" si="14"/>
        <v>2017</v>
      </c>
      <c r="Q16" s="918">
        <f t="shared" si="14"/>
        <v>2018</v>
      </c>
      <c r="R16" s="918">
        <f t="shared" si="14"/>
        <v>2019</v>
      </c>
      <c r="S16" s="918">
        <f t="shared" si="14"/>
        <v>2020</v>
      </c>
      <c r="T16" s="918">
        <f t="shared" si="14"/>
        <v>2021</v>
      </c>
      <c r="U16" s="918">
        <f t="shared" si="14"/>
        <v>2022</v>
      </c>
      <c r="V16" s="918">
        <f t="shared" si="14"/>
        <v>2023</v>
      </c>
      <c r="W16" s="918">
        <f t="shared" si="14"/>
        <v>2024</v>
      </c>
      <c r="X16" s="918">
        <f t="shared" si="14"/>
        <v>2025</v>
      </c>
      <c r="Y16" s="918">
        <f t="shared" si="14"/>
        <v>2026</v>
      </c>
      <c r="Z16" s="918">
        <f t="shared" si="14"/>
        <v>2027</v>
      </c>
      <c r="AA16" s="918">
        <f t="shared" si="14"/>
        <v>2028</v>
      </c>
      <c r="AB16" s="918">
        <f t="shared" si="14"/>
        <v>2029</v>
      </c>
      <c r="AC16" s="918">
        <f t="shared" si="14"/>
        <v>2030</v>
      </c>
    </row>
    <row r="17" spans="2:30" ht="12" hidden="1" outlineLevel="1" thickTop="1">
      <c r="B17" s="947" t="s">
        <v>494</v>
      </c>
      <c r="C17" s="948"/>
      <c r="D17" s="949">
        <v>295507134</v>
      </c>
      <c r="E17" s="949">
        <v>298217215</v>
      </c>
      <c r="F17" s="949">
        <v>300912947</v>
      </c>
      <c r="G17" s="949">
        <v>303597646</v>
      </c>
      <c r="H17" s="949">
        <v>306272395</v>
      </c>
      <c r="I17" s="949">
        <v>308746000</v>
      </c>
      <c r="J17" s="949">
        <f t="shared" ref="J17:X17" si="15">I17*(1+J18)</f>
        <v>311277717.19999999</v>
      </c>
      <c r="K17" s="949">
        <f t="shared" si="15"/>
        <v>313830194.48104</v>
      </c>
      <c r="L17" s="949">
        <f t="shared" si="15"/>
        <v>316403602.0757845</v>
      </c>
      <c r="M17" s="949">
        <f t="shared" si="15"/>
        <v>318998111.6128059</v>
      </c>
      <c r="N17" s="949">
        <f t="shared" si="15"/>
        <v>321613896.1280309</v>
      </c>
      <c r="O17" s="949">
        <f t="shared" si="15"/>
        <v>324251130.07628077</v>
      </c>
      <c r="P17" s="949">
        <f t="shared" si="15"/>
        <v>326877564.22989863</v>
      </c>
      <c r="Q17" s="949">
        <f t="shared" si="15"/>
        <v>329525272.50016081</v>
      </c>
      <c r="R17" s="949">
        <f t="shared" si="15"/>
        <v>332161474.68016213</v>
      </c>
      <c r="S17" s="949">
        <f t="shared" si="15"/>
        <v>334785550.33013541</v>
      </c>
      <c r="T17" s="949">
        <f t="shared" si="15"/>
        <v>337396877.62271047</v>
      </c>
      <c r="U17" s="949">
        <f t="shared" si="15"/>
        <v>339994833.58040535</v>
      </c>
      <c r="V17" s="949">
        <f t="shared" si="15"/>
        <v>342578794.31561643</v>
      </c>
      <c r="W17" s="949">
        <f t="shared" si="15"/>
        <v>345113877.39355201</v>
      </c>
      <c r="X17" s="949">
        <f t="shared" si="15"/>
        <v>347633208.69852495</v>
      </c>
      <c r="Y17" s="949">
        <f>X17*(1+Y18)</f>
        <v>350136167.80115438</v>
      </c>
      <c r="Z17" s="949">
        <f>Y17*(1+Z18)</f>
        <v>352587120.97576243</v>
      </c>
      <c r="AA17" s="949">
        <f>Z17*(1+AA18)</f>
        <v>355019972.11049515</v>
      </c>
      <c r="AB17" s="949">
        <f>AA17*(1+AB18)</f>
        <v>357398605.92363542</v>
      </c>
      <c r="AC17" s="949">
        <f>AB17*(1+AC18)</f>
        <v>359721696.86213905</v>
      </c>
      <c r="AD17" s="930">
        <f t="shared" ref="AD17:AD30" si="16">(K17/F17)^(1/5)-1</f>
        <v>8.4416408768486217E-3</v>
      </c>
    </row>
    <row r="18" spans="2:30" hidden="1" outlineLevel="1">
      <c r="B18" s="950" t="s">
        <v>495</v>
      </c>
      <c r="C18" s="948"/>
      <c r="D18" s="951"/>
      <c r="E18" s="1420">
        <f>E17/D17-1</f>
        <v>9.1709494905121147E-3</v>
      </c>
      <c r="F18" s="952">
        <f>F17/E17-1</f>
        <v>9.0394915665750197E-3</v>
      </c>
      <c r="G18" s="952">
        <f>G17/F17-1</f>
        <v>8.9218460912550146E-3</v>
      </c>
      <c r="H18" s="952">
        <f>H17/G17-1</f>
        <v>8.8101770064448193E-3</v>
      </c>
      <c r="I18" s="952">
        <v>8.2000000000000007E-3</v>
      </c>
      <c r="J18" s="952">
        <v>8.2000000000000007E-3</v>
      </c>
      <c r="K18" s="952">
        <v>8.2000000000000007E-3</v>
      </c>
      <c r="L18" s="952">
        <v>8.2000000000000007E-3</v>
      </c>
      <c r="M18" s="952">
        <v>8.2000000000000007E-3</v>
      </c>
      <c r="N18" s="952">
        <v>8.2000000000000007E-3</v>
      </c>
      <c r="O18" s="952">
        <v>8.2000000000000007E-3</v>
      </c>
      <c r="P18" s="952">
        <v>8.0999999999999996E-3</v>
      </c>
      <c r="Q18" s="952">
        <v>8.0999999999999996E-3</v>
      </c>
      <c r="R18" s="952">
        <v>8.0000000000000002E-3</v>
      </c>
      <c r="S18" s="952">
        <v>7.9000000000000008E-3</v>
      </c>
      <c r="T18" s="952">
        <v>7.7999999999999996E-3</v>
      </c>
      <c r="U18" s="952">
        <v>7.7000000000000002E-3</v>
      </c>
      <c r="V18" s="952">
        <v>7.6E-3</v>
      </c>
      <c r="W18" s="952">
        <v>7.4000000000000003E-3</v>
      </c>
      <c r="X18" s="952">
        <v>7.3000000000000001E-3</v>
      </c>
      <c r="Y18" s="952">
        <v>7.1999999999999998E-3</v>
      </c>
      <c r="Z18" s="952">
        <v>7.0000000000000001E-3</v>
      </c>
      <c r="AA18" s="952">
        <v>6.8999999999999999E-3</v>
      </c>
      <c r="AB18" s="952">
        <v>6.7000000000000002E-3</v>
      </c>
      <c r="AC18" s="952">
        <v>6.4999999999999997E-3</v>
      </c>
      <c r="AD18" s="930"/>
    </row>
    <row r="19" spans="2:30" hidden="1" outlineLevel="1">
      <c r="B19" s="947" t="s">
        <v>496</v>
      </c>
      <c r="C19" s="948"/>
      <c r="D19" s="951">
        <f>D17*(E19/E17)</f>
        <v>71900808.173540726</v>
      </c>
      <c r="E19" s="951">
        <f>E17*(F19/F17)</f>
        <v>72560206.853627264</v>
      </c>
      <c r="F19" s="951">
        <f>F17*(G19/G17)</f>
        <v>73216114.231549561</v>
      </c>
      <c r="G19" s="951">
        <f>G17*(H19/H17)</f>
        <v>73869337.134123191</v>
      </c>
      <c r="H19" s="951">
        <f>H17*(I19/I17)</f>
        <v>74520139.069623575</v>
      </c>
      <c r="I19" s="951">
        <v>75122000</v>
      </c>
      <c r="J19" s="951">
        <v>75615000</v>
      </c>
      <c r="K19" s="951">
        <v>76218000</v>
      </c>
      <c r="L19" s="951">
        <v>76891000</v>
      </c>
      <c r="M19" s="951">
        <v>77630000</v>
      </c>
      <c r="N19" s="951">
        <v>78461000</v>
      </c>
      <c r="O19" s="951">
        <v>79329000</v>
      </c>
      <c r="P19" s="951">
        <v>80187000</v>
      </c>
      <c r="Q19" s="951">
        <v>81034000</v>
      </c>
      <c r="R19" s="951">
        <v>81762000</v>
      </c>
      <c r="S19" s="951">
        <v>82517000</v>
      </c>
      <c r="T19" s="951">
        <v>83272000</v>
      </c>
      <c r="U19" s="951">
        <v>84005000</v>
      </c>
      <c r="V19" s="951">
        <f t="shared" ref="V19:AC19" si="17">U19*(1+0.0094)</f>
        <v>84794647</v>
      </c>
      <c r="W19" s="951">
        <f t="shared" si="17"/>
        <v>85591716.681800008</v>
      </c>
      <c r="X19" s="951">
        <f t="shared" si="17"/>
        <v>86396278.81860894</v>
      </c>
      <c r="Y19" s="951">
        <f t="shared" si="17"/>
        <v>87208403.839503869</v>
      </c>
      <c r="Z19" s="951">
        <f t="shared" si="17"/>
        <v>88028162.835595205</v>
      </c>
      <c r="AA19" s="951">
        <f t="shared" si="17"/>
        <v>88855627.566249803</v>
      </c>
      <c r="AB19" s="951">
        <f t="shared" si="17"/>
        <v>89690870.465372562</v>
      </c>
      <c r="AC19" s="951">
        <f t="shared" si="17"/>
        <v>90533964.64774707</v>
      </c>
      <c r="AD19" s="930"/>
    </row>
    <row r="20" spans="2:30" hidden="1" outlineLevel="1">
      <c r="B20" s="947" t="s">
        <v>497</v>
      </c>
      <c r="C20" s="948"/>
      <c r="D20" s="951">
        <f t="shared" ref="D20:X20" si="18">D17-D19</f>
        <v>223606325.82645929</v>
      </c>
      <c r="E20" s="951">
        <f t="shared" si="18"/>
        <v>225657008.14637274</v>
      </c>
      <c r="F20" s="951">
        <f t="shared" si="18"/>
        <v>227696832.76845044</v>
      </c>
      <c r="G20" s="951">
        <f t="shared" si="18"/>
        <v>229728308.86587679</v>
      </c>
      <c r="H20" s="951">
        <f t="shared" si="18"/>
        <v>231752255.93037641</v>
      </c>
      <c r="I20" s="951">
        <f t="shared" si="18"/>
        <v>233624000</v>
      </c>
      <c r="J20" s="951">
        <f t="shared" si="18"/>
        <v>235662717.19999999</v>
      </c>
      <c r="K20" s="951">
        <f t="shared" si="18"/>
        <v>237612194.48104</v>
      </c>
      <c r="L20" s="951">
        <f t="shared" si="18"/>
        <v>239512602.0757845</v>
      </c>
      <c r="M20" s="951">
        <f t="shared" si="18"/>
        <v>241368111.6128059</v>
      </c>
      <c r="N20" s="951">
        <f t="shared" si="18"/>
        <v>243152896.1280309</v>
      </c>
      <c r="O20" s="951">
        <f t="shared" si="18"/>
        <v>244922130.07628077</v>
      </c>
      <c r="P20" s="951">
        <f t="shared" si="18"/>
        <v>246690564.22989863</v>
      </c>
      <c r="Q20" s="951">
        <f t="shared" si="18"/>
        <v>248491272.50016081</v>
      </c>
      <c r="R20" s="951">
        <f t="shared" si="18"/>
        <v>250399474.68016213</v>
      </c>
      <c r="S20" s="951">
        <f t="shared" si="18"/>
        <v>252268550.33013541</v>
      </c>
      <c r="T20" s="951">
        <f t="shared" si="18"/>
        <v>254124877.62271047</v>
      </c>
      <c r="U20" s="951">
        <f t="shared" si="18"/>
        <v>255989833.58040535</v>
      </c>
      <c r="V20" s="951">
        <f t="shared" si="18"/>
        <v>257784147.31561643</v>
      </c>
      <c r="W20" s="951">
        <f t="shared" si="18"/>
        <v>259522160.711752</v>
      </c>
      <c r="X20" s="951">
        <f t="shared" si="18"/>
        <v>261236929.87991601</v>
      </c>
      <c r="Y20" s="951">
        <f>Y17-Y19</f>
        <v>262927763.96165049</v>
      </c>
      <c r="Z20" s="951">
        <f>Z17-Z19</f>
        <v>264558958.14016724</v>
      </c>
      <c r="AA20" s="951">
        <f>AA17-AA19</f>
        <v>266164344.54424536</v>
      </c>
      <c r="AB20" s="951">
        <f>AB17-AB19</f>
        <v>267707735.45826286</v>
      </c>
      <c r="AC20" s="951">
        <f>AC17-AC19</f>
        <v>269187732.21439195</v>
      </c>
      <c r="AD20" s="930"/>
    </row>
    <row r="21" spans="2:30" hidden="1" outlineLevel="1">
      <c r="B21" s="947" t="s">
        <v>498</v>
      </c>
      <c r="C21" s="948"/>
      <c r="D21" s="953">
        <v>8.9999999999999993E-3</v>
      </c>
      <c r="E21" s="953">
        <v>8.9999999999999993E-3</v>
      </c>
      <c r="F21" s="953">
        <v>8.9999999999999993E-3</v>
      </c>
      <c r="G21" s="953">
        <v>8.9999999999999993E-3</v>
      </c>
      <c r="H21" s="953">
        <v>8.9999999999999993E-3</v>
      </c>
      <c r="I21" s="953">
        <v>8.9999999999999993E-3</v>
      </c>
      <c r="J21" s="953">
        <v>8.9999999999999993E-3</v>
      </c>
      <c r="K21" s="953">
        <v>8.9999999999999993E-3</v>
      </c>
      <c r="L21" s="953">
        <v>8.9999999999999993E-3</v>
      </c>
      <c r="M21" s="953">
        <v>9.1000000000000004E-3</v>
      </c>
      <c r="N21" s="953">
        <v>9.1000000000000004E-3</v>
      </c>
      <c r="O21" s="953">
        <v>9.1000000000000004E-3</v>
      </c>
      <c r="P21" s="953">
        <v>9.1000000000000004E-3</v>
      </c>
      <c r="Q21" s="953">
        <v>9.1000000000000004E-3</v>
      </c>
      <c r="R21" s="953">
        <v>9.1000000000000004E-3</v>
      </c>
      <c r="S21" s="953">
        <v>9.1000000000000004E-3</v>
      </c>
      <c r="T21" s="953">
        <v>9.1000000000000004E-3</v>
      </c>
      <c r="U21" s="953">
        <v>9.1000000000000004E-3</v>
      </c>
      <c r="V21" s="953">
        <v>9.1000000000000004E-3</v>
      </c>
      <c r="W21" s="953">
        <v>9.1000000000000004E-3</v>
      </c>
      <c r="X21" s="953">
        <v>9.1000000000000004E-3</v>
      </c>
      <c r="Y21" s="953">
        <f>X21</f>
        <v>9.1000000000000004E-3</v>
      </c>
      <c r="Z21" s="953">
        <f>Y21</f>
        <v>9.1000000000000004E-3</v>
      </c>
      <c r="AA21" s="953">
        <f>Z21</f>
        <v>9.1000000000000004E-3</v>
      </c>
      <c r="AB21" s="953">
        <f>AA21</f>
        <v>9.1000000000000004E-3</v>
      </c>
      <c r="AC21" s="953">
        <f>AB21</f>
        <v>9.1000000000000004E-3</v>
      </c>
      <c r="AD21" s="930">
        <f t="shared" si="16"/>
        <v>0</v>
      </c>
    </row>
    <row r="22" spans="2:30" s="957" customFormat="1" ht="12" collapsed="1" thickTop="1">
      <c r="B22" s="954" t="s">
        <v>499</v>
      </c>
      <c r="C22" s="955"/>
      <c r="D22" s="956">
        <f t="shared" ref="D22:X22" si="19">D21*D20</f>
        <v>2012456.9324381335</v>
      </c>
      <c r="E22" s="956">
        <f t="shared" si="19"/>
        <v>2030913.0733173545</v>
      </c>
      <c r="F22" s="956">
        <f t="shared" si="19"/>
        <v>2049271.4949160537</v>
      </c>
      <c r="G22" s="956">
        <f t="shared" si="19"/>
        <v>2067554.7797928909</v>
      </c>
      <c r="H22" s="956">
        <f t="shared" si="19"/>
        <v>2085770.3033733875</v>
      </c>
      <c r="I22" s="956">
        <f t="shared" si="19"/>
        <v>2102616</v>
      </c>
      <c r="J22" s="956">
        <f t="shared" si="19"/>
        <v>2120964.4547999999</v>
      </c>
      <c r="K22" s="956">
        <f t="shared" si="19"/>
        <v>2138509.7503293599</v>
      </c>
      <c r="L22" s="956">
        <f t="shared" si="19"/>
        <v>2155613.4186820602</v>
      </c>
      <c r="M22" s="956">
        <f t="shared" si="19"/>
        <v>2196449.8156765336</v>
      </c>
      <c r="N22" s="956">
        <f t="shared" si="19"/>
        <v>2212691.3547650813</v>
      </c>
      <c r="O22" s="956">
        <f t="shared" si="19"/>
        <v>2228791.3836941551</v>
      </c>
      <c r="P22" s="956">
        <f t="shared" si="19"/>
        <v>2244884.1344920779</v>
      </c>
      <c r="Q22" s="956">
        <f t="shared" si="19"/>
        <v>2261270.5797514636</v>
      </c>
      <c r="R22" s="956">
        <f t="shared" si="19"/>
        <v>2278635.2195894755</v>
      </c>
      <c r="S22" s="956">
        <f t="shared" si="19"/>
        <v>2295643.8080042321</v>
      </c>
      <c r="T22" s="956">
        <f t="shared" si="19"/>
        <v>2312536.3863666654</v>
      </c>
      <c r="U22" s="956">
        <f t="shared" si="19"/>
        <v>2329507.485581689</v>
      </c>
      <c r="V22" s="956">
        <f t="shared" si="19"/>
        <v>2345835.7405721098</v>
      </c>
      <c r="W22" s="956">
        <f t="shared" si="19"/>
        <v>2361651.6624769433</v>
      </c>
      <c r="X22" s="956">
        <f t="shared" si="19"/>
        <v>2377256.061907236</v>
      </c>
      <c r="Y22" s="956">
        <f>Y21*Y20</f>
        <v>2392642.6520510195</v>
      </c>
      <c r="Z22" s="956">
        <f>Z21*Z20</f>
        <v>2407486.5190755222</v>
      </c>
      <c r="AA22" s="956">
        <f>AA21*AA20</f>
        <v>2422095.5353526329</v>
      </c>
      <c r="AB22" s="956">
        <f>AB21*AB20</f>
        <v>2436140.3926701923</v>
      </c>
      <c r="AC22" s="956">
        <f>AC21*AC20</f>
        <v>2449608.3631509668</v>
      </c>
      <c r="AD22" s="930">
        <f t="shared" si="16"/>
        <v>8.5614103180753354E-3</v>
      </c>
    </row>
    <row r="23" spans="2:30" s="957" customFormat="1">
      <c r="B23" s="954" t="s">
        <v>500</v>
      </c>
      <c r="C23" s="955"/>
      <c r="D23" s="958">
        <v>0.8</v>
      </c>
      <c r="E23" s="958">
        <f>D23+0.15%</f>
        <v>0.80149999999999999</v>
      </c>
      <c r="F23" s="958">
        <f t="shared" ref="F23:AC23" si="20">E23+0.15%</f>
        <v>0.80299999999999994</v>
      </c>
      <c r="G23" s="958">
        <f t="shared" si="20"/>
        <v>0.80449999999999988</v>
      </c>
      <c r="H23" s="958">
        <f t="shared" si="20"/>
        <v>0.80599999999999983</v>
      </c>
      <c r="I23" s="958">
        <f t="shared" si="20"/>
        <v>0.80749999999999977</v>
      </c>
      <c r="J23" s="958">
        <f t="shared" si="20"/>
        <v>0.80899999999999972</v>
      </c>
      <c r="K23" s="958">
        <f t="shared" si="20"/>
        <v>0.81049999999999967</v>
      </c>
      <c r="L23" s="958">
        <f t="shared" si="20"/>
        <v>0.81199999999999961</v>
      </c>
      <c r="M23" s="958">
        <f t="shared" si="20"/>
        <v>0.81349999999999956</v>
      </c>
      <c r="N23" s="958">
        <f t="shared" si="20"/>
        <v>0.8149999999999995</v>
      </c>
      <c r="O23" s="958">
        <f t="shared" si="20"/>
        <v>0.81649999999999945</v>
      </c>
      <c r="P23" s="958">
        <f t="shared" si="20"/>
        <v>0.81799999999999939</v>
      </c>
      <c r="Q23" s="958">
        <f t="shared" si="20"/>
        <v>0.81949999999999934</v>
      </c>
      <c r="R23" s="958">
        <f t="shared" si="20"/>
        <v>0.82099999999999929</v>
      </c>
      <c r="S23" s="958">
        <f t="shared" si="20"/>
        <v>0.82249999999999923</v>
      </c>
      <c r="T23" s="958">
        <f t="shared" si="20"/>
        <v>0.82399999999999918</v>
      </c>
      <c r="U23" s="958">
        <f t="shared" si="20"/>
        <v>0.82549999999999912</v>
      </c>
      <c r="V23" s="958">
        <f t="shared" si="20"/>
        <v>0.82699999999999907</v>
      </c>
      <c r="W23" s="958">
        <f t="shared" si="20"/>
        <v>0.82849999999999902</v>
      </c>
      <c r="X23" s="958">
        <f t="shared" si="20"/>
        <v>0.82999999999999896</v>
      </c>
      <c r="Y23" s="958">
        <f t="shared" si="20"/>
        <v>0.83149999999999891</v>
      </c>
      <c r="Z23" s="958">
        <f t="shared" si="20"/>
        <v>0.83299999999999885</v>
      </c>
      <c r="AA23" s="958">
        <f t="shared" si="20"/>
        <v>0.8344999999999988</v>
      </c>
      <c r="AB23" s="958">
        <f t="shared" si="20"/>
        <v>0.83599999999999874</v>
      </c>
      <c r="AC23" s="958">
        <f t="shared" si="20"/>
        <v>0.83749999999999869</v>
      </c>
      <c r="AD23" s="930"/>
    </row>
    <row r="24" spans="2:30" s="957" customFormat="1">
      <c r="B24" s="954" t="s">
        <v>501</v>
      </c>
      <c r="C24" s="955"/>
      <c r="D24" s="956">
        <f>D22*D23</f>
        <v>1609965.5459505068</v>
      </c>
      <c r="E24" s="956">
        <f t="shared" ref="E24:X24" si="21">E22*E23</f>
        <v>1627776.8282638597</v>
      </c>
      <c r="F24" s="956">
        <f t="shared" si="21"/>
        <v>1645565.0104175911</v>
      </c>
      <c r="G24" s="956">
        <f t="shared" si="21"/>
        <v>1663347.8203433806</v>
      </c>
      <c r="H24" s="956">
        <f t="shared" si="21"/>
        <v>1681130.86451895</v>
      </c>
      <c r="I24" s="956">
        <f t="shared" si="21"/>
        <v>1697862.4199999995</v>
      </c>
      <c r="J24" s="956">
        <f t="shared" si="21"/>
        <v>1715860.2439331994</v>
      </c>
      <c r="K24" s="956">
        <f t="shared" si="21"/>
        <v>1733262.1526419455</v>
      </c>
      <c r="L24" s="956">
        <f t="shared" si="21"/>
        <v>1750358.095969832</v>
      </c>
      <c r="M24" s="956">
        <f t="shared" si="21"/>
        <v>1786811.9250528591</v>
      </c>
      <c r="N24" s="956">
        <f t="shared" si="21"/>
        <v>1803343.4541335402</v>
      </c>
      <c r="O24" s="956">
        <f t="shared" si="21"/>
        <v>1819808.1647862764</v>
      </c>
      <c r="P24" s="956">
        <f t="shared" si="21"/>
        <v>1836315.2220145182</v>
      </c>
      <c r="Q24" s="956">
        <f t="shared" si="21"/>
        <v>1853111.240106323</v>
      </c>
      <c r="R24" s="956">
        <f t="shared" si="21"/>
        <v>1870759.5152829578</v>
      </c>
      <c r="S24" s="956">
        <f t="shared" si="21"/>
        <v>1888167.0320834792</v>
      </c>
      <c r="T24" s="956">
        <f t="shared" si="21"/>
        <v>1905529.9823661305</v>
      </c>
      <c r="U24" s="956">
        <f t="shared" si="21"/>
        <v>1923008.4293476823</v>
      </c>
      <c r="V24" s="956">
        <f t="shared" si="21"/>
        <v>1940006.1574531326</v>
      </c>
      <c r="W24" s="956">
        <f t="shared" si="21"/>
        <v>1956628.4023621453</v>
      </c>
      <c r="X24" s="956">
        <f t="shared" si="21"/>
        <v>1973122.5313830033</v>
      </c>
      <c r="Y24" s="956">
        <f>Y22*Y23</f>
        <v>1989482.36518042</v>
      </c>
      <c r="Z24" s="956">
        <f>Z22*Z23</f>
        <v>2005436.2703899073</v>
      </c>
      <c r="AA24" s="956">
        <f>AA22*AA23</f>
        <v>2021238.7242517693</v>
      </c>
      <c r="AB24" s="956">
        <f>AB22*AB23</f>
        <v>2036613.3682722778</v>
      </c>
      <c r="AC24" s="956">
        <f>AC22*AC23</f>
        <v>2051547.0041389314</v>
      </c>
      <c r="AD24" s="930"/>
    </row>
    <row r="25" spans="2:30" s="961" customFormat="1">
      <c r="B25" s="959" t="s">
        <v>502</v>
      </c>
      <c r="C25" s="960"/>
      <c r="D25" s="958">
        <v>0.85</v>
      </c>
      <c r="E25" s="958">
        <f>D25+0.25%</f>
        <v>0.85249999999999992</v>
      </c>
      <c r="F25" s="958">
        <f t="shared" ref="F25:W25" si="22">E25+0.25%</f>
        <v>0.85499999999999987</v>
      </c>
      <c r="G25" s="958">
        <f t="shared" si="22"/>
        <v>0.85749999999999982</v>
      </c>
      <c r="H25" s="958">
        <f t="shared" si="22"/>
        <v>0.85999999999999976</v>
      </c>
      <c r="I25" s="958">
        <f t="shared" si="22"/>
        <v>0.86249999999999971</v>
      </c>
      <c r="J25" s="958">
        <f t="shared" si="22"/>
        <v>0.86499999999999966</v>
      </c>
      <c r="K25" s="958">
        <f t="shared" si="22"/>
        <v>0.8674999999999996</v>
      </c>
      <c r="L25" s="958">
        <f t="shared" si="22"/>
        <v>0.86999999999999955</v>
      </c>
      <c r="M25" s="958">
        <f t="shared" si="22"/>
        <v>0.8724999999999995</v>
      </c>
      <c r="N25" s="958">
        <f t="shared" si="22"/>
        <v>0.87499999999999944</v>
      </c>
      <c r="O25" s="958">
        <f t="shared" si="22"/>
        <v>0.87749999999999939</v>
      </c>
      <c r="P25" s="958">
        <f t="shared" si="22"/>
        <v>0.87999999999999934</v>
      </c>
      <c r="Q25" s="958">
        <f t="shared" si="22"/>
        <v>0.88249999999999929</v>
      </c>
      <c r="R25" s="958">
        <f t="shared" si="22"/>
        <v>0.88499999999999923</v>
      </c>
      <c r="S25" s="958">
        <f t="shared" si="22"/>
        <v>0.88749999999999918</v>
      </c>
      <c r="T25" s="958">
        <f t="shared" si="22"/>
        <v>0.88999999999999913</v>
      </c>
      <c r="U25" s="958">
        <f t="shared" si="22"/>
        <v>0.89249999999999907</v>
      </c>
      <c r="V25" s="958">
        <f t="shared" si="22"/>
        <v>0.89499999999999902</v>
      </c>
      <c r="W25" s="958">
        <f t="shared" si="22"/>
        <v>0.89749999999999897</v>
      </c>
      <c r="X25" s="958">
        <v>0.9</v>
      </c>
      <c r="Y25" s="958">
        <f>X25</f>
        <v>0.9</v>
      </c>
      <c r="Z25" s="958">
        <f>Y25</f>
        <v>0.9</v>
      </c>
      <c r="AA25" s="958">
        <f>Z25</f>
        <v>0.9</v>
      </c>
      <c r="AB25" s="958">
        <f>AA25</f>
        <v>0.9</v>
      </c>
      <c r="AC25" s="958">
        <f>AB25</f>
        <v>0.9</v>
      </c>
      <c r="AD25" s="930"/>
    </row>
    <row r="26" spans="2:30" hidden="1" outlineLevel="1">
      <c r="B26" s="947" t="s">
        <v>503</v>
      </c>
      <c r="C26" s="962"/>
      <c r="D26" s="963">
        <f>D24*D25</f>
        <v>1368470.7140579307</v>
      </c>
      <c r="E26" s="963">
        <f t="shared" ref="E26:X26" si="23">E24*E25</f>
        <v>1387679.7460949402</v>
      </c>
      <c r="F26" s="963">
        <f t="shared" si="23"/>
        <v>1406958.0839070401</v>
      </c>
      <c r="G26" s="963">
        <f t="shared" si="23"/>
        <v>1426320.7559444485</v>
      </c>
      <c r="H26" s="963">
        <f t="shared" si="23"/>
        <v>1445772.5434862967</v>
      </c>
      <c r="I26" s="963">
        <f t="shared" si="23"/>
        <v>1464406.3372499989</v>
      </c>
      <c r="J26" s="963">
        <f t="shared" si="23"/>
        <v>1484219.1110022168</v>
      </c>
      <c r="K26" s="963">
        <f t="shared" si="23"/>
        <v>1503604.9174168871</v>
      </c>
      <c r="L26" s="963">
        <f t="shared" si="23"/>
        <v>1522811.5434937531</v>
      </c>
      <c r="M26" s="963">
        <f t="shared" si="23"/>
        <v>1558993.4046086187</v>
      </c>
      <c r="N26" s="963">
        <f t="shared" si="23"/>
        <v>1577925.5223668467</v>
      </c>
      <c r="O26" s="963">
        <f t="shared" si="23"/>
        <v>1596881.6645999565</v>
      </c>
      <c r="P26" s="963">
        <f t="shared" si="23"/>
        <v>1615957.3953727749</v>
      </c>
      <c r="Q26" s="963">
        <f t="shared" si="23"/>
        <v>1635370.6693938288</v>
      </c>
      <c r="R26" s="963">
        <f t="shared" si="23"/>
        <v>1655622.1710254161</v>
      </c>
      <c r="S26" s="963">
        <f t="shared" si="23"/>
        <v>1675748.2409740863</v>
      </c>
      <c r="T26" s="963">
        <f t="shared" si="23"/>
        <v>1695921.6843058544</v>
      </c>
      <c r="U26" s="963">
        <f t="shared" si="23"/>
        <v>1716285.0231928045</v>
      </c>
      <c r="V26" s="963">
        <f t="shared" si="23"/>
        <v>1736305.5109205518</v>
      </c>
      <c r="W26" s="963">
        <f t="shared" si="23"/>
        <v>1756073.9911200234</v>
      </c>
      <c r="X26" s="963">
        <f t="shared" si="23"/>
        <v>1775810.2782447031</v>
      </c>
      <c r="Y26" s="963">
        <f>Y24*Y25</f>
        <v>1790534.1286623781</v>
      </c>
      <c r="Z26" s="963">
        <f>Z24*Z25</f>
        <v>1804892.6433509167</v>
      </c>
      <c r="AA26" s="963">
        <f>AA24*AA25</f>
        <v>1819114.8518265923</v>
      </c>
      <c r="AB26" s="963">
        <f>AB24*AB25</f>
        <v>1832952.0314450499</v>
      </c>
      <c r="AC26" s="963">
        <f>AC24*AC25</f>
        <v>1846392.3037250382</v>
      </c>
      <c r="AD26" s="930">
        <f t="shared" si="16"/>
        <v>1.3375769136740656E-2</v>
      </c>
    </row>
    <row r="27" spans="2:30" collapsed="1">
      <c r="B27" s="947" t="s">
        <v>504</v>
      </c>
      <c r="C27" s="962"/>
      <c r="D27" s="963">
        <f>D26*0.9</f>
        <v>1231623.6426521377</v>
      </c>
      <c r="E27" s="963">
        <f t="shared" ref="E27:X27" si="24">E26*0.9</f>
        <v>1248911.7714854463</v>
      </c>
      <c r="F27" s="963">
        <f t="shared" si="24"/>
        <v>1266262.2755163361</v>
      </c>
      <c r="G27" s="963">
        <f t="shared" si="24"/>
        <v>1283688.6803500038</v>
      </c>
      <c r="H27" s="963">
        <f t="shared" si="24"/>
        <v>1301195.289137667</v>
      </c>
      <c r="I27" s="963">
        <f t="shared" si="24"/>
        <v>1317965.7035249991</v>
      </c>
      <c r="J27" s="963">
        <f t="shared" si="24"/>
        <v>1335797.1999019952</v>
      </c>
      <c r="K27" s="963">
        <f t="shared" si="24"/>
        <v>1353244.4256751984</v>
      </c>
      <c r="L27" s="963">
        <f t="shared" si="24"/>
        <v>1370530.3891443778</v>
      </c>
      <c r="M27" s="963">
        <f t="shared" si="24"/>
        <v>1403094.0641477569</v>
      </c>
      <c r="N27" s="963">
        <f t="shared" si="24"/>
        <v>1420132.9701301621</v>
      </c>
      <c r="O27" s="963">
        <f t="shared" si="24"/>
        <v>1437193.4981399609</v>
      </c>
      <c r="P27" s="963">
        <f t="shared" si="24"/>
        <v>1454361.6558354974</v>
      </c>
      <c r="Q27" s="963">
        <f t="shared" si="24"/>
        <v>1471833.602454446</v>
      </c>
      <c r="R27" s="963">
        <f t="shared" si="24"/>
        <v>1490059.9539228745</v>
      </c>
      <c r="S27" s="963">
        <f t="shared" si="24"/>
        <v>1508173.4168766777</v>
      </c>
      <c r="T27" s="963">
        <f t="shared" si="24"/>
        <v>1526329.515875269</v>
      </c>
      <c r="U27" s="963">
        <f t="shared" si="24"/>
        <v>1544656.520873524</v>
      </c>
      <c r="V27" s="963">
        <f t="shared" si="24"/>
        <v>1562674.9598284967</v>
      </c>
      <c r="W27" s="963">
        <f t="shared" si="24"/>
        <v>1580466.5920080212</v>
      </c>
      <c r="X27" s="963">
        <f t="shared" si="24"/>
        <v>1598229.2504202328</v>
      </c>
      <c r="Y27" s="963">
        <f>Y26*0.9</f>
        <v>1611480.7157961403</v>
      </c>
      <c r="Z27" s="963">
        <f>Z26*0.9</f>
        <v>1624403.379015825</v>
      </c>
      <c r="AA27" s="963">
        <f>AA26*0.9</f>
        <v>1637203.3666439331</v>
      </c>
      <c r="AB27" s="963">
        <f>AB26*0.9</f>
        <v>1649656.828300545</v>
      </c>
      <c r="AC27" s="963">
        <f>AC26*0.9</f>
        <v>1661753.0733525343</v>
      </c>
      <c r="AD27" s="930">
        <f t="shared" si="16"/>
        <v>1.3375769136740656E-2</v>
      </c>
    </row>
    <row r="28" spans="2:30" ht="12" customHeight="1">
      <c r="B28" s="947" t="s">
        <v>505</v>
      </c>
      <c r="C28" s="948"/>
      <c r="D28" s="963">
        <f>D27*0.4</f>
        <v>492649.45706085511</v>
      </c>
      <c r="E28" s="963">
        <f t="shared" ref="E28:X28" si="25">E27*0.4</f>
        <v>499564.70859417855</v>
      </c>
      <c r="F28" s="963">
        <f t="shared" si="25"/>
        <v>506504.91020653443</v>
      </c>
      <c r="G28" s="963">
        <f t="shared" si="25"/>
        <v>513475.47214000154</v>
      </c>
      <c r="H28" s="963">
        <f t="shared" si="25"/>
        <v>520478.11565506685</v>
      </c>
      <c r="I28" s="963">
        <f t="shared" si="25"/>
        <v>527186.2814099997</v>
      </c>
      <c r="J28" s="963">
        <f t="shared" si="25"/>
        <v>534318.87996079808</v>
      </c>
      <c r="K28" s="963">
        <f t="shared" si="25"/>
        <v>541297.77027007937</v>
      </c>
      <c r="L28" s="963">
        <f t="shared" si="25"/>
        <v>548212.15565775114</v>
      </c>
      <c r="M28" s="963">
        <f t="shared" si="25"/>
        <v>561237.62565910281</v>
      </c>
      <c r="N28" s="963">
        <f t="shared" si="25"/>
        <v>568053.18805206486</v>
      </c>
      <c r="O28" s="963">
        <f t="shared" si="25"/>
        <v>574877.39925598435</v>
      </c>
      <c r="P28" s="963">
        <f t="shared" si="25"/>
        <v>581744.66233419895</v>
      </c>
      <c r="Q28" s="963">
        <f t="shared" si="25"/>
        <v>588733.44098177843</v>
      </c>
      <c r="R28" s="963">
        <f t="shared" si="25"/>
        <v>596023.98156914988</v>
      </c>
      <c r="S28" s="963">
        <f t="shared" si="25"/>
        <v>603269.36675067106</v>
      </c>
      <c r="T28" s="963">
        <f t="shared" si="25"/>
        <v>610531.80635010765</v>
      </c>
      <c r="U28" s="963">
        <f t="shared" si="25"/>
        <v>617862.60834940965</v>
      </c>
      <c r="V28" s="963">
        <f t="shared" si="25"/>
        <v>625069.98393139872</v>
      </c>
      <c r="W28" s="963">
        <f t="shared" si="25"/>
        <v>632186.6368032085</v>
      </c>
      <c r="X28" s="963">
        <f t="shared" si="25"/>
        <v>639291.7001680932</v>
      </c>
      <c r="Y28" s="963">
        <f>Y27*0.4</f>
        <v>644592.28631845617</v>
      </c>
      <c r="Z28" s="963">
        <f>Z27*0.4</f>
        <v>649761.35160633002</v>
      </c>
      <c r="AA28" s="963">
        <f>AA27*0.4</f>
        <v>654881.34665757325</v>
      </c>
      <c r="AB28" s="963">
        <f>AB27*0.4</f>
        <v>659862.73132021807</v>
      </c>
      <c r="AC28" s="963">
        <f>AC27*0.4</f>
        <v>664701.22934101382</v>
      </c>
      <c r="AD28" s="930">
        <f t="shared" si="16"/>
        <v>1.3375769136740656E-2</v>
      </c>
    </row>
    <row r="29" spans="2:30" s="961" customFormat="1">
      <c r="B29" s="964" t="s">
        <v>506</v>
      </c>
      <c r="C29" s="965"/>
      <c r="D29" s="966">
        <v>0.36</v>
      </c>
      <c r="E29" s="966">
        <f>D29+0.5%</f>
        <v>0.36499999999999999</v>
      </c>
      <c r="F29" s="966">
        <f>E29+0.5%</f>
        <v>0.37</v>
      </c>
      <c r="G29" s="966">
        <f>F29+0.75%</f>
        <v>0.3775</v>
      </c>
      <c r="H29" s="966">
        <f>G29+0.75%</f>
        <v>0.38500000000000001</v>
      </c>
      <c r="I29" s="966">
        <f>H29+0.75%</f>
        <v>0.39250000000000002</v>
      </c>
      <c r="J29" s="966">
        <f>I29+0.75%</f>
        <v>0.4</v>
      </c>
      <c r="K29" s="966">
        <f>J29+0.95%</f>
        <v>0.40950000000000003</v>
      </c>
      <c r="L29" s="966">
        <f>K29+0.95%</f>
        <v>0.41900000000000004</v>
      </c>
      <c r="M29" s="966">
        <f>L29+0.95%</f>
        <v>0.42850000000000005</v>
      </c>
      <c r="N29" s="966">
        <f>M29+0.95%</f>
        <v>0.43800000000000006</v>
      </c>
      <c r="O29" s="966">
        <f>N29+0.95%</f>
        <v>0.44750000000000006</v>
      </c>
      <c r="P29" s="966">
        <f>O29+1.6%</f>
        <v>0.46350000000000008</v>
      </c>
      <c r="Q29" s="966">
        <f>P29+1.6%</f>
        <v>0.47950000000000009</v>
      </c>
      <c r="R29" s="966">
        <f>Q29+1.75%</f>
        <v>0.49700000000000011</v>
      </c>
      <c r="S29" s="966">
        <f>R29+1.85%</f>
        <v>0.51550000000000007</v>
      </c>
      <c r="T29" s="966">
        <f>S29+1.85%</f>
        <v>0.53400000000000003</v>
      </c>
      <c r="U29" s="966">
        <f>T29+1.85%</f>
        <v>0.55249999999999999</v>
      </c>
      <c r="V29" s="966">
        <f>U29+1.35%</f>
        <v>0.56599999999999995</v>
      </c>
      <c r="W29" s="966">
        <f>V29+1.1%</f>
        <v>0.57699999999999996</v>
      </c>
      <c r="X29" s="966">
        <f>W29+1%</f>
        <v>0.58699999999999997</v>
      </c>
      <c r="Y29" s="966">
        <f>X29+0.75%</f>
        <v>0.59449999999999992</v>
      </c>
      <c r="Z29" s="966">
        <f>Y29+0.45%</f>
        <v>0.59899999999999987</v>
      </c>
      <c r="AA29" s="966">
        <f>Z29+0.25%</f>
        <v>0.60149999999999981</v>
      </c>
      <c r="AB29" s="966">
        <f>AA29+0.25%</f>
        <v>0.60399999999999976</v>
      </c>
      <c r="AC29" s="966">
        <f>AB29</f>
        <v>0.60399999999999976</v>
      </c>
      <c r="AD29" s="930">
        <f t="shared" si="16"/>
        <v>2.049395484450911E-2</v>
      </c>
    </row>
    <row r="30" spans="2:30" s="961" customFormat="1">
      <c r="B30" s="959" t="s">
        <v>507</v>
      </c>
      <c r="C30" s="967"/>
      <c r="D30" s="963">
        <f t="shared" ref="D30:X30" si="26">D28*D29</f>
        <v>177353.80454190783</v>
      </c>
      <c r="E30" s="963">
        <f t="shared" si="26"/>
        <v>182341.11863687515</v>
      </c>
      <c r="F30" s="963">
        <f t="shared" si="26"/>
        <v>187406.81677641775</v>
      </c>
      <c r="G30" s="963">
        <f t="shared" si="26"/>
        <v>193836.99073285059</v>
      </c>
      <c r="H30" s="963">
        <f t="shared" si="26"/>
        <v>200384.07452720075</v>
      </c>
      <c r="I30" s="963">
        <f t="shared" si="26"/>
        <v>206920.61545342489</v>
      </c>
      <c r="J30" s="963">
        <f t="shared" si="26"/>
        <v>213727.55198431923</v>
      </c>
      <c r="K30" s="963">
        <f t="shared" si="26"/>
        <v>221661.43692559752</v>
      </c>
      <c r="L30" s="963">
        <f t="shared" si="26"/>
        <v>229700.89322059776</v>
      </c>
      <c r="M30" s="963">
        <f t="shared" si="26"/>
        <v>240490.32259492559</v>
      </c>
      <c r="N30" s="963">
        <f t="shared" si="26"/>
        <v>248807.29636680442</v>
      </c>
      <c r="O30" s="963">
        <f t="shared" si="26"/>
        <v>257257.63616705305</v>
      </c>
      <c r="P30" s="963">
        <f t="shared" si="26"/>
        <v>269638.65099190123</v>
      </c>
      <c r="Q30" s="963">
        <f t="shared" si="26"/>
        <v>282297.68495076284</v>
      </c>
      <c r="R30" s="963">
        <f t="shared" si="26"/>
        <v>296223.91883986758</v>
      </c>
      <c r="S30" s="963">
        <f t="shared" si="26"/>
        <v>310985.35855997098</v>
      </c>
      <c r="T30" s="963">
        <f t="shared" si="26"/>
        <v>326023.98459095752</v>
      </c>
      <c r="U30" s="963">
        <f t="shared" si="26"/>
        <v>341369.09111304884</v>
      </c>
      <c r="V30" s="963">
        <f t="shared" si="26"/>
        <v>353789.61090517166</v>
      </c>
      <c r="W30" s="963">
        <f t="shared" si="26"/>
        <v>364771.68943545129</v>
      </c>
      <c r="X30" s="963">
        <f t="shared" si="26"/>
        <v>375264.22799867071</v>
      </c>
      <c r="Y30" s="963">
        <f>Y28*Y29</f>
        <v>383210.11421632214</v>
      </c>
      <c r="Z30" s="963">
        <f>Z28*Z29</f>
        <v>389207.04961219162</v>
      </c>
      <c r="AA30" s="963">
        <f>AA28*AA29</f>
        <v>393911.13001453021</v>
      </c>
      <c r="AB30" s="963">
        <f>AB28*AB29</f>
        <v>398557.08971741155</v>
      </c>
      <c r="AC30" s="963">
        <f>AC28*AC29</f>
        <v>401479.54252197221</v>
      </c>
      <c r="AD30" s="930">
        <f t="shared" si="16"/>
        <v>3.4143846389948607E-2</v>
      </c>
    </row>
    <row r="31" spans="2:30" s="961" customFormat="1">
      <c r="B31" s="959" t="s">
        <v>508</v>
      </c>
      <c r="C31" s="967"/>
      <c r="D31" s="968">
        <f t="shared" ref="D31:AC31" si="27">((D51+D58+D61)+(D126+D133+D136)+(D333+D340+D343))/D28</f>
        <v>0.39572099999999999</v>
      </c>
      <c r="E31" s="968">
        <f t="shared" si="27"/>
        <v>0.40121712499999995</v>
      </c>
      <c r="F31" s="968">
        <f t="shared" si="27"/>
        <v>0.40671324999999997</v>
      </c>
      <c r="G31" s="968">
        <f t="shared" si="27"/>
        <v>0.41495743749999997</v>
      </c>
      <c r="H31" s="968">
        <f t="shared" si="27"/>
        <v>0.42320162500000003</v>
      </c>
      <c r="I31" s="968">
        <f t="shared" si="27"/>
        <v>0.43144581250000003</v>
      </c>
      <c r="J31" s="968">
        <f t="shared" si="27"/>
        <v>0.43968999999999997</v>
      </c>
      <c r="K31" s="968">
        <f t="shared" si="27"/>
        <v>0.45001277121937494</v>
      </c>
      <c r="L31" s="968">
        <f t="shared" si="27"/>
        <v>0.45951133071650002</v>
      </c>
      <c r="M31" s="968">
        <f t="shared" si="27"/>
        <v>0.46904749497195003</v>
      </c>
      <c r="N31" s="968">
        <f t="shared" si="27"/>
        <v>0.47867817821399999</v>
      </c>
      <c r="O31" s="968">
        <f t="shared" si="27"/>
        <v>0.48928858048062512</v>
      </c>
      <c r="P31" s="968">
        <f t="shared" si="27"/>
        <v>0.50492142025875009</v>
      </c>
      <c r="Q31" s="968">
        <f t="shared" si="27"/>
        <v>0.52105016049100006</v>
      </c>
      <c r="R31" s="968">
        <f t="shared" si="27"/>
        <v>0.53303956373675021</v>
      </c>
      <c r="S31" s="968">
        <f t="shared" si="27"/>
        <v>0.54960212744574999</v>
      </c>
      <c r="T31" s="968">
        <f t="shared" si="27"/>
        <v>0.5662832921355001</v>
      </c>
      <c r="U31" s="968">
        <f t="shared" si="27"/>
        <v>0.57961757474562514</v>
      </c>
      <c r="V31" s="968">
        <f t="shared" si="27"/>
        <v>0.59002362364850003</v>
      </c>
      <c r="W31" s="968">
        <f t="shared" si="27"/>
        <v>0.60264855675549989</v>
      </c>
      <c r="X31" s="968">
        <f t="shared" si="27"/>
        <v>0.61424587193824998</v>
      </c>
      <c r="Y31" s="968">
        <f t="shared" si="27"/>
        <v>0.62294801191924998</v>
      </c>
      <c r="Z31" s="968">
        <f t="shared" si="27"/>
        <v>0.62790823956599995</v>
      </c>
      <c r="AA31" s="968">
        <f t="shared" si="27"/>
        <v>0.63106176729794994</v>
      </c>
      <c r="AB31" s="968">
        <f t="shared" si="27"/>
        <v>0.63513220038749973</v>
      </c>
      <c r="AC31" s="968">
        <f t="shared" si="27"/>
        <v>0.63486152401624985</v>
      </c>
      <c r="AD31" s="930"/>
    </row>
    <row r="32" spans="2:30" s="961" customFormat="1">
      <c r="B32" s="959" t="s">
        <v>760</v>
      </c>
      <c r="C32" s="967"/>
      <c r="D32" s="968"/>
      <c r="E32" s="963">
        <f>E30-D30</f>
        <v>4987.3140949673252</v>
      </c>
      <c r="F32" s="963">
        <f t="shared" ref="F32:AC32" si="28">F30-E30</f>
        <v>5065.6981395425973</v>
      </c>
      <c r="G32" s="963">
        <f t="shared" si="28"/>
        <v>6430.1739564328454</v>
      </c>
      <c r="H32" s="963">
        <f t="shared" si="28"/>
        <v>6547.0837943501538</v>
      </c>
      <c r="I32" s="963">
        <f t="shared" si="28"/>
        <v>6536.5409262241446</v>
      </c>
      <c r="J32" s="963">
        <f t="shared" si="28"/>
        <v>6806.9365308943379</v>
      </c>
      <c r="K32" s="963">
        <f t="shared" si="28"/>
        <v>7933.8849412782874</v>
      </c>
      <c r="L32" s="963">
        <f t="shared" si="28"/>
        <v>8039.4562950002437</v>
      </c>
      <c r="M32" s="963">
        <f t="shared" si="28"/>
        <v>10789.429374327825</v>
      </c>
      <c r="N32" s="963">
        <f t="shared" si="28"/>
        <v>8316.9737718788383</v>
      </c>
      <c r="O32" s="963">
        <f t="shared" si="28"/>
        <v>8450.339800248621</v>
      </c>
      <c r="P32" s="963">
        <f t="shared" si="28"/>
        <v>12381.014824848186</v>
      </c>
      <c r="Q32" s="963">
        <f t="shared" si="28"/>
        <v>12659.033958861604</v>
      </c>
      <c r="R32" s="963">
        <f t="shared" si="28"/>
        <v>13926.23388910474</v>
      </c>
      <c r="S32" s="963">
        <f t="shared" si="28"/>
        <v>14761.439720103401</v>
      </c>
      <c r="T32" s="963">
        <f t="shared" si="28"/>
        <v>15038.626030986547</v>
      </c>
      <c r="U32" s="963">
        <f t="shared" si="28"/>
        <v>15345.106522091315</v>
      </c>
      <c r="V32" s="963">
        <f t="shared" si="28"/>
        <v>12420.519792122825</v>
      </c>
      <c r="W32" s="963">
        <f t="shared" si="28"/>
        <v>10982.078530279628</v>
      </c>
      <c r="X32" s="963">
        <f t="shared" si="28"/>
        <v>10492.538563219423</v>
      </c>
      <c r="Y32" s="963">
        <f t="shared" si="28"/>
        <v>7945.8862176514231</v>
      </c>
      <c r="Z32" s="963">
        <f t="shared" si="28"/>
        <v>5996.9353958694846</v>
      </c>
      <c r="AA32" s="963">
        <f t="shared" si="28"/>
        <v>4704.0804023385863</v>
      </c>
      <c r="AB32" s="963">
        <f t="shared" si="28"/>
        <v>4645.9597028813441</v>
      </c>
      <c r="AC32" s="963">
        <f t="shared" si="28"/>
        <v>2922.4528045606567</v>
      </c>
      <c r="AD32" s="930"/>
    </row>
    <row r="33" spans="2:33" s="945" customFormat="1" ht="12" thickBot="1">
      <c r="B33" s="969" t="s">
        <v>509</v>
      </c>
      <c r="C33" s="970"/>
      <c r="D33" s="971">
        <f t="shared" ref="D33:AC33" si="29">D30/D22</f>
        <v>8.8127999999999998E-2</v>
      </c>
      <c r="E33" s="971">
        <f t="shared" si="29"/>
        <v>8.9782827749999988E-2</v>
      </c>
      <c r="F33" s="971">
        <f t="shared" si="29"/>
        <v>9.1450457999999984E-2</v>
      </c>
      <c r="G33" s="971">
        <f t="shared" si="29"/>
        <v>9.3751804124999991E-2</v>
      </c>
      <c r="H33" s="971">
        <f t="shared" si="29"/>
        <v>9.6071975999999976E-2</v>
      </c>
      <c r="I33" s="971">
        <f t="shared" si="29"/>
        <v>9.8411034374999942E-2</v>
      </c>
      <c r="J33" s="971">
        <f t="shared" si="29"/>
        <v>0.10076903999999992</v>
      </c>
      <c r="K33" s="971">
        <f t="shared" si="29"/>
        <v>0.10365229192499993</v>
      </c>
      <c r="L33" s="971">
        <f t="shared" si="29"/>
        <v>0.10655940959999992</v>
      </c>
      <c r="M33" s="971">
        <f t="shared" si="29"/>
        <v>0.10949046997499991</v>
      </c>
      <c r="N33" s="971">
        <f t="shared" si="29"/>
        <v>0.11244554999999988</v>
      </c>
      <c r="O33" s="971">
        <f t="shared" si="29"/>
        <v>0.11542472662499986</v>
      </c>
      <c r="P33" s="971">
        <f t="shared" si="29"/>
        <v>0.12011250239999982</v>
      </c>
      <c r="Q33" s="971">
        <f t="shared" si="29"/>
        <v>0.12484029442499986</v>
      </c>
      <c r="R33" s="971">
        <f t="shared" si="29"/>
        <v>0.13000058819999982</v>
      </c>
      <c r="S33" s="971">
        <f t="shared" si="29"/>
        <v>0.13546760062499977</v>
      </c>
      <c r="T33" s="971">
        <f t="shared" si="29"/>
        <v>0.14098112639999977</v>
      </c>
      <c r="U33" s="971">
        <f t="shared" si="29"/>
        <v>0.1465413153749997</v>
      </c>
      <c r="V33" s="971">
        <f t="shared" si="29"/>
        <v>0.15081602039999967</v>
      </c>
      <c r="W33" s="971">
        <f t="shared" si="29"/>
        <v>0.15445617794999966</v>
      </c>
      <c r="X33" s="971">
        <f t="shared" si="29"/>
        <v>0.15785603999999984</v>
      </c>
      <c r="Y33" s="971">
        <f t="shared" si="29"/>
        <v>0.16016186699999979</v>
      </c>
      <c r="Z33" s="971">
        <f t="shared" si="29"/>
        <v>0.16166530799999979</v>
      </c>
      <c r="AA33" s="971">
        <f t="shared" si="29"/>
        <v>0.16263236699999972</v>
      </c>
      <c r="AB33" s="971">
        <f t="shared" si="29"/>
        <v>0.16360185599999971</v>
      </c>
      <c r="AC33" s="971">
        <f t="shared" si="29"/>
        <v>0.16389539999999969</v>
      </c>
      <c r="AD33" s="972"/>
    </row>
    <row r="34" spans="2:33" ht="11.25" customHeight="1" thickTop="1">
      <c r="B34" s="973"/>
      <c r="C34" s="973"/>
      <c r="D34" s="974"/>
      <c r="E34" s="973"/>
      <c r="F34" s="974"/>
      <c r="G34" s="973"/>
      <c r="H34" s="974"/>
      <c r="I34" s="973"/>
      <c r="J34" s="974"/>
      <c r="K34" s="973"/>
      <c r="L34" s="974"/>
      <c r="M34" s="973"/>
      <c r="N34" s="973"/>
      <c r="O34" s="973"/>
      <c r="P34" s="973"/>
      <c r="Q34" s="973"/>
      <c r="R34" s="973"/>
      <c r="S34" s="973"/>
      <c r="T34" s="973"/>
      <c r="U34" s="973"/>
      <c r="V34" s="973"/>
      <c r="W34" s="973"/>
      <c r="X34" s="973"/>
      <c r="Y34" s="973"/>
      <c r="Z34" s="973"/>
      <c r="AA34" s="973"/>
      <c r="AB34" s="973"/>
      <c r="AC34" s="973"/>
      <c r="AD34" s="973"/>
    </row>
    <row r="35" spans="2:33" ht="13.5" thickBot="1">
      <c r="B35" s="975" t="s">
        <v>510</v>
      </c>
      <c r="C35" s="976"/>
      <c r="D35" s="977">
        <v>2005</v>
      </c>
      <c r="E35" s="977">
        <v>2006</v>
      </c>
      <c r="F35" s="978">
        <v>2007</v>
      </c>
      <c r="G35" s="977">
        <v>2008</v>
      </c>
      <c r="H35" s="977">
        <v>2009</v>
      </c>
      <c r="I35" s="978">
        <v>2010</v>
      </c>
      <c r="J35" s="978">
        <v>2011</v>
      </c>
      <c r="K35" s="977">
        <v>2012</v>
      </c>
      <c r="L35" s="978">
        <v>2013</v>
      </c>
      <c r="M35" s="978">
        <v>2014</v>
      </c>
      <c r="N35" s="978">
        <v>2015</v>
      </c>
      <c r="O35" s="978">
        <f>O16</f>
        <v>2016</v>
      </c>
      <c r="P35" s="978">
        <f t="shared" ref="P35:AC35" si="30">P16</f>
        <v>2017</v>
      </c>
      <c r="Q35" s="978">
        <f t="shared" si="30"/>
        <v>2018</v>
      </c>
      <c r="R35" s="978">
        <f t="shared" si="30"/>
        <v>2019</v>
      </c>
      <c r="S35" s="978">
        <f t="shared" si="30"/>
        <v>2020</v>
      </c>
      <c r="T35" s="978">
        <f t="shared" si="30"/>
        <v>2021</v>
      </c>
      <c r="U35" s="978">
        <f t="shared" si="30"/>
        <v>2022</v>
      </c>
      <c r="V35" s="978">
        <f t="shared" si="30"/>
        <v>2023</v>
      </c>
      <c r="W35" s="978">
        <f t="shared" si="30"/>
        <v>2024</v>
      </c>
      <c r="X35" s="978">
        <f t="shared" si="30"/>
        <v>2025</v>
      </c>
      <c r="Y35" s="978">
        <f t="shared" si="30"/>
        <v>2026</v>
      </c>
      <c r="Z35" s="978">
        <f t="shared" si="30"/>
        <v>2027</v>
      </c>
      <c r="AA35" s="978">
        <f t="shared" si="30"/>
        <v>2028</v>
      </c>
      <c r="AB35" s="978">
        <f t="shared" si="30"/>
        <v>2029</v>
      </c>
      <c r="AC35" s="978">
        <f t="shared" si="30"/>
        <v>2030</v>
      </c>
      <c r="AE35" s="979"/>
      <c r="AF35" s="979"/>
      <c r="AG35" s="979"/>
    </row>
    <row r="36" spans="2:33" ht="14.25" thickTop="1" thickBot="1">
      <c r="B36" s="980" t="s">
        <v>511</v>
      </c>
      <c r="C36" s="981"/>
      <c r="D36" s="976"/>
      <c r="E36" s="976"/>
      <c r="F36" s="982"/>
      <c r="G36" s="976"/>
      <c r="H36" s="976"/>
      <c r="I36" s="983"/>
      <c r="J36" s="983"/>
      <c r="K36" s="976"/>
      <c r="L36" s="983"/>
      <c r="M36" s="983"/>
      <c r="N36" s="983"/>
      <c r="O36" s="983"/>
      <c r="P36" s="983"/>
      <c r="Q36" s="983"/>
      <c r="R36" s="983"/>
      <c r="S36" s="983"/>
      <c r="T36" s="983"/>
      <c r="U36" s="983"/>
      <c r="V36" s="983"/>
      <c r="W36" s="983"/>
      <c r="X36" s="983"/>
      <c r="Y36" s="983"/>
      <c r="Z36" s="983"/>
      <c r="AA36" s="983"/>
      <c r="AB36" s="983"/>
      <c r="AC36" s="983"/>
      <c r="AE36" s="979"/>
      <c r="AF36" s="979"/>
      <c r="AG36" s="979"/>
    </row>
    <row r="37" spans="2:33" ht="13.5" thickTop="1">
      <c r="B37" s="984" t="s">
        <v>481</v>
      </c>
      <c r="C37" s="985"/>
      <c r="D37" s="986">
        <f>SUM(D38:D43)</f>
        <v>0</v>
      </c>
      <c r="E37" s="986">
        <f t="shared" ref="E37:K37" si="31">SUM(E38:E43)</f>
        <v>0</v>
      </c>
      <c r="F37" s="986">
        <f t="shared" si="31"/>
        <v>0</v>
      </c>
      <c r="G37" s="987">
        <f t="shared" si="31"/>
        <v>0</v>
      </c>
      <c r="H37" s="986">
        <f t="shared" si="31"/>
        <v>0</v>
      </c>
      <c r="I37" s="986">
        <f t="shared" si="31"/>
        <v>0</v>
      </c>
      <c r="J37" s="986">
        <f t="shared" si="31"/>
        <v>0</v>
      </c>
      <c r="K37" s="986">
        <f t="shared" si="31"/>
        <v>0</v>
      </c>
      <c r="L37" s="1413">
        <v>2E-3</v>
      </c>
      <c r="M37" s="1406">
        <v>4.4999999999999997E-3</v>
      </c>
      <c r="N37" s="1406">
        <v>5.4999999999999997E-3</v>
      </c>
      <c r="O37" s="1406">
        <v>7.4999999999999997E-3</v>
      </c>
      <c r="P37" s="1406">
        <v>0.01</v>
      </c>
      <c r="Q37" s="1406">
        <v>1.4999999999999999E-2</v>
      </c>
      <c r="R37" s="1406">
        <v>2.3E-2</v>
      </c>
      <c r="S37" s="1406">
        <v>3.3000000000000002E-2</v>
      </c>
      <c r="T37" s="1406">
        <v>4.2999999999999997E-2</v>
      </c>
      <c r="U37" s="1406">
        <v>5.1999999999999998E-2</v>
      </c>
      <c r="V37" s="1406">
        <v>6.0999999999999999E-2</v>
      </c>
      <c r="W37" s="1406">
        <v>6.9000000000000006E-2</v>
      </c>
      <c r="X37" s="1406">
        <v>7.5999999999999998E-2</v>
      </c>
      <c r="Y37" s="1406">
        <v>8.2000000000000003E-2</v>
      </c>
      <c r="Z37" s="1406">
        <v>8.5999999999999993E-2</v>
      </c>
      <c r="AA37" s="1406">
        <v>0.09</v>
      </c>
      <c r="AB37" s="1406">
        <v>9.4E-2</v>
      </c>
      <c r="AC37" s="1406">
        <v>9.6000000000000002E-2</v>
      </c>
      <c r="AE37" s="979"/>
      <c r="AF37" s="979"/>
      <c r="AG37" s="979"/>
    </row>
    <row r="38" spans="2:33" ht="12.75" hidden="1" customHeight="1" outlineLevel="1">
      <c r="B38" s="925" t="s">
        <v>482</v>
      </c>
      <c r="C38" s="988"/>
      <c r="D38" s="988"/>
      <c r="E38" s="988"/>
      <c r="F38" s="988"/>
      <c r="G38" s="988"/>
      <c r="H38" s="989"/>
      <c r="I38" s="989"/>
      <c r="J38" s="989"/>
      <c r="K38" s="989"/>
      <c r="L38" s="989">
        <v>1</v>
      </c>
      <c r="M38" s="989">
        <v>1</v>
      </c>
      <c r="N38" s="989">
        <v>1</v>
      </c>
      <c r="O38" s="989">
        <v>1</v>
      </c>
      <c r="P38" s="989">
        <v>1</v>
      </c>
      <c r="Q38" s="989">
        <v>1</v>
      </c>
      <c r="R38" s="989">
        <v>0.7</v>
      </c>
      <c r="S38" s="989">
        <v>0.4</v>
      </c>
      <c r="T38" s="989">
        <v>0.25</v>
      </c>
      <c r="U38" s="989">
        <v>0.1</v>
      </c>
      <c r="V38" s="989">
        <v>0.01</v>
      </c>
      <c r="W38" s="989">
        <v>0.01</v>
      </c>
      <c r="X38" s="989">
        <v>2E-3</v>
      </c>
      <c r="Y38" s="989">
        <v>1E-3</v>
      </c>
      <c r="Z38" s="989">
        <v>1E-3</v>
      </c>
      <c r="AA38" s="989">
        <v>1E-3</v>
      </c>
      <c r="AB38" s="989">
        <v>1E-3</v>
      </c>
      <c r="AC38" s="989">
        <v>1E-3</v>
      </c>
      <c r="AE38" s="979"/>
      <c r="AF38" s="979"/>
      <c r="AG38" s="979"/>
    </row>
    <row r="39" spans="2:33" ht="12.75" hidden="1" customHeight="1" outlineLevel="1">
      <c r="B39" s="928" t="s">
        <v>483</v>
      </c>
      <c r="C39" s="990"/>
      <c r="D39" s="990"/>
      <c r="E39" s="991"/>
      <c r="F39" s="991"/>
      <c r="G39" s="991"/>
      <c r="H39" s="991"/>
      <c r="I39" s="991"/>
      <c r="J39" s="991"/>
      <c r="K39" s="991"/>
      <c r="L39" s="991"/>
      <c r="M39" s="991"/>
      <c r="N39" s="991"/>
      <c r="O39" s="991"/>
      <c r="P39" s="991"/>
      <c r="Q39" s="991"/>
      <c r="R39" s="991"/>
      <c r="S39" s="991"/>
      <c r="T39" s="991"/>
      <c r="U39" s="991"/>
      <c r="V39" s="991"/>
      <c r="W39" s="991"/>
      <c r="X39" s="991">
        <v>0.05</v>
      </c>
      <c r="Y39" s="991">
        <v>0.1</v>
      </c>
      <c r="Z39" s="991">
        <v>0.15</v>
      </c>
      <c r="AA39" s="991">
        <v>0.2</v>
      </c>
      <c r="AB39" s="991">
        <v>0.25</v>
      </c>
      <c r="AC39" s="991">
        <v>0.25</v>
      </c>
      <c r="AE39" s="979"/>
      <c r="AF39" s="979"/>
      <c r="AG39" s="979"/>
    </row>
    <row r="40" spans="2:33" ht="12.75" hidden="1" customHeight="1" outlineLevel="1">
      <c r="B40" s="925" t="s">
        <v>484</v>
      </c>
      <c r="C40" s="988"/>
      <c r="D40" s="988"/>
      <c r="E40" s="992"/>
      <c r="F40" s="992"/>
      <c r="G40" s="992"/>
      <c r="H40" s="992"/>
      <c r="I40" s="992"/>
      <c r="J40" s="992"/>
      <c r="K40" s="992"/>
      <c r="L40" s="992"/>
      <c r="M40" s="992"/>
      <c r="N40" s="992"/>
      <c r="O40" s="992"/>
      <c r="P40" s="992">
        <v>0</v>
      </c>
      <c r="Q40" s="992">
        <v>0</v>
      </c>
      <c r="R40" s="992">
        <v>0.1</v>
      </c>
      <c r="S40" s="992">
        <v>0.2</v>
      </c>
      <c r="T40" s="992">
        <v>0.25</v>
      </c>
      <c r="U40" s="992">
        <v>0.3</v>
      </c>
      <c r="V40" s="992">
        <v>0.33</v>
      </c>
      <c r="W40" s="992">
        <v>0.33</v>
      </c>
      <c r="X40" s="992">
        <v>0.30199999999999999</v>
      </c>
      <c r="Y40" s="992">
        <v>0.28899999999999998</v>
      </c>
      <c r="Z40" s="992">
        <v>0.27100000000000002</v>
      </c>
      <c r="AA40" s="992">
        <v>0.26100000000000001</v>
      </c>
      <c r="AB40" s="992">
        <v>0.22</v>
      </c>
      <c r="AC40" s="992">
        <v>4.9000000000000002E-2</v>
      </c>
      <c r="AE40" s="979"/>
      <c r="AF40" s="979"/>
      <c r="AG40" s="979"/>
    </row>
    <row r="41" spans="2:33" ht="12.75" hidden="1" customHeight="1" outlineLevel="1">
      <c r="B41" s="928" t="s">
        <v>485</v>
      </c>
      <c r="C41" s="990"/>
      <c r="D41" s="990"/>
      <c r="E41" s="991"/>
      <c r="F41" s="991"/>
      <c r="G41" s="991"/>
      <c r="H41" s="991"/>
      <c r="I41" s="991"/>
      <c r="J41" s="991"/>
      <c r="K41" s="991"/>
      <c r="L41" s="991"/>
      <c r="M41" s="991"/>
      <c r="N41" s="991"/>
      <c r="O41" s="991"/>
      <c r="P41" s="991"/>
      <c r="Q41" s="991"/>
      <c r="R41" s="991">
        <v>0.1</v>
      </c>
      <c r="S41" s="991">
        <v>0.2</v>
      </c>
      <c r="T41" s="991">
        <v>0.25</v>
      </c>
      <c r="U41" s="991">
        <v>0.3</v>
      </c>
      <c r="V41" s="991">
        <v>0.33</v>
      </c>
      <c r="W41" s="991">
        <v>0.33</v>
      </c>
      <c r="X41" s="991">
        <v>0.32300000000000001</v>
      </c>
      <c r="Y41" s="991">
        <v>0.30499999999999999</v>
      </c>
      <c r="Z41" s="991">
        <v>0.28899999999999998</v>
      </c>
      <c r="AA41" s="991">
        <v>0.26900000000000002</v>
      </c>
      <c r="AB41" s="991">
        <v>0.25</v>
      </c>
      <c r="AC41" s="991">
        <v>0.22500000000000001</v>
      </c>
      <c r="AE41" s="979"/>
      <c r="AF41" s="979"/>
      <c r="AG41" s="979"/>
    </row>
    <row r="42" spans="2:33" ht="12.75" hidden="1" customHeight="1" outlineLevel="1">
      <c r="B42" s="925" t="s">
        <v>486</v>
      </c>
      <c r="C42" s="988"/>
      <c r="D42" s="988"/>
      <c r="E42" s="992"/>
      <c r="F42" s="992"/>
      <c r="G42" s="992"/>
      <c r="H42" s="992"/>
      <c r="I42" s="992"/>
      <c r="J42" s="992"/>
      <c r="K42" s="992"/>
      <c r="L42" s="992"/>
      <c r="M42" s="992"/>
      <c r="N42" s="992"/>
      <c r="O42" s="992"/>
      <c r="P42" s="992"/>
      <c r="Q42" s="992"/>
      <c r="R42" s="992">
        <v>0.1</v>
      </c>
      <c r="S42" s="992">
        <v>0.2</v>
      </c>
      <c r="T42" s="992">
        <v>0.25</v>
      </c>
      <c r="U42" s="992">
        <v>0.3</v>
      </c>
      <c r="V42" s="992">
        <v>0.33</v>
      </c>
      <c r="W42" s="992">
        <v>0.33</v>
      </c>
      <c r="X42" s="992">
        <v>0.32300000000000001</v>
      </c>
      <c r="Y42" s="992">
        <v>0.30499999999999999</v>
      </c>
      <c r="Z42" s="992">
        <v>0.28899999999999998</v>
      </c>
      <c r="AA42" s="992">
        <v>0.26900000000000002</v>
      </c>
      <c r="AB42" s="992">
        <v>0.25</v>
      </c>
      <c r="AC42" s="992">
        <v>0.22500000000000001</v>
      </c>
      <c r="AE42" s="979"/>
      <c r="AF42" s="979"/>
      <c r="AG42" s="979"/>
    </row>
    <row r="43" spans="2:33" ht="12.75" hidden="1" customHeight="1" outlineLevel="1">
      <c r="B43" s="931" t="s">
        <v>487</v>
      </c>
      <c r="C43" s="990"/>
      <c r="D43" s="990"/>
      <c r="E43" s="991"/>
      <c r="F43" s="991"/>
      <c r="G43" s="991"/>
      <c r="H43" s="991"/>
      <c r="I43" s="991"/>
      <c r="J43" s="991"/>
      <c r="K43" s="991"/>
      <c r="L43" s="991"/>
      <c r="M43" s="991"/>
      <c r="N43" s="991"/>
      <c r="O43" s="991"/>
      <c r="P43" s="991"/>
      <c r="Q43" s="991"/>
      <c r="R43" s="991"/>
      <c r="S43" s="991"/>
      <c r="T43" s="991"/>
      <c r="U43" s="991"/>
      <c r="V43" s="991"/>
      <c r="W43" s="991"/>
      <c r="X43" s="991"/>
      <c r="Y43" s="991"/>
      <c r="Z43" s="991"/>
      <c r="AA43" s="991"/>
      <c r="AB43" s="991">
        <v>2.9000000000000001E-2</v>
      </c>
      <c r="AC43" s="991">
        <v>0.25</v>
      </c>
      <c r="AE43" s="979"/>
      <c r="AF43" s="979"/>
      <c r="AG43" s="979"/>
    </row>
    <row r="44" spans="2:33" s="995" customFormat="1" ht="12" collapsed="1">
      <c r="B44" s="993" t="s">
        <v>488</v>
      </c>
      <c r="C44" s="994"/>
      <c r="D44" s="1409">
        <v>0.95</v>
      </c>
      <c r="E44" s="994">
        <v>0.95</v>
      </c>
      <c r="F44" s="994">
        <v>0.95</v>
      </c>
      <c r="G44" s="994">
        <v>0.95</v>
      </c>
      <c r="H44" s="994">
        <v>0.95</v>
      </c>
      <c r="I44" s="994">
        <v>0.95</v>
      </c>
      <c r="J44" s="994">
        <v>0.95</v>
      </c>
      <c r="K44" s="994">
        <v>0.95</v>
      </c>
      <c r="L44" s="994">
        <v>0.95</v>
      </c>
      <c r="M44" s="1405">
        <v>0.94799999999999995</v>
      </c>
      <c r="N44" s="1405">
        <v>0.94699999999999995</v>
      </c>
      <c r="O44" s="1405">
        <v>0.94699999999999995</v>
      </c>
      <c r="P44" s="1405">
        <v>0.94399999999999995</v>
      </c>
      <c r="Q44" s="1405">
        <v>0.94199999999999995</v>
      </c>
      <c r="R44" s="1405">
        <v>0.93700000000000006</v>
      </c>
      <c r="S44" s="1405">
        <v>0.93100000000000005</v>
      </c>
      <c r="T44" s="1405">
        <v>0.92500000000000004</v>
      </c>
      <c r="U44" s="1405">
        <v>0.91900000000000004</v>
      </c>
      <c r="V44" s="1405">
        <v>0.91400000000000003</v>
      </c>
      <c r="W44" s="1405">
        <v>0.90900000000000003</v>
      </c>
      <c r="X44" s="1405">
        <v>0.90500000000000003</v>
      </c>
      <c r="Y44" s="1405">
        <v>0.9</v>
      </c>
      <c r="Z44" s="1405">
        <v>0.89500000000000002</v>
      </c>
      <c r="AA44" s="1405">
        <v>0.89200000000000002</v>
      </c>
      <c r="AB44" s="1405">
        <v>0.89</v>
      </c>
      <c r="AC44" s="1405">
        <v>0.88700000000000001</v>
      </c>
    </row>
    <row r="45" spans="2:33" s="961" customFormat="1" hidden="1" outlineLevel="1">
      <c r="B45" s="996" t="s">
        <v>489</v>
      </c>
      <c r="C45" s="990"/>
      <c r="D45" s="990">
        <v>1</v>
      </c>
      <c r="E45" s="990">
        <v>1</v>
      </c>
      <c r="F45" s="990">
        <v>1</v>
      </c>
      <c r="G45" s="990">
        <v>1</v>
      </c>
      <c r="H45" s="990">
        <v>1</v>
      </c>
      <c r="I45" s="990">
        <v>1</v>
      </c>
      <c r="J45" s="990">
        <v>1</v>
      </c>
      <c r="K45" s="990">
        <v>1</v>
      </c>
      <c r="L45" s="990">
        <v>1</v>
      </c>
      <c r="M45" s="1388">
        <v>1</v>
      </c>
      <c r="N45" s="1388">
        <v>1</v>
      </c>
      <c r="O45" s="1388">
        <v>1</v>
      </c>
      <c r="P45" s="1388">
        <v>1</v>
      </c>
      <c r="Q45" s="1388">
        <v>1</v>
      </c>
      <c r="R45" s="990">
        <v>0.9</v>
      </c>
      <c r="S45" s="990">
        <v>0.75</v>
      </c>
      <c r="T45" s="990">
        <v>0.65</v>
      </c>
      <c r="U45" s="990">
        <v>0.55000000000000004</v>
      </c>
      <c r="V45" s="990">
        <v>0.4</v>
      </c>
      <c r="W45" s="990">
        <v>0.3</v>
      </c>
      <c r="X45" s="990">
        <v>0.2</v>
      </c>
      <c r="Y45" s="990">
        <v>0.1</v>
      </c>
      <c r="Z45" s="990">
        <v>7.0000000000000007E-2</v>
      </c>
      <c r="AA45" s="990">
        <v>0.05</v>
      </c>
      <c r="AB45" s="990">
        <v>0.04</v>
      </c>
      <c r="AC45" s="990">
        <v>0.03</v>
      </c>
    </row>
    <row r="46" spans="2:33" s="961" customFormat="1" hidden="1" outlineLevel="1">
      <c r="B46" s="997" t="s">
        <v>490</v>
      </c>
      <c r="C46" s="998"/>
      <c r="D46" s="988"/>
      <c r="E46" s="988"/>
      <c r="F46" s="988"/>
      <c r="G46" s="988"/>
      <c r="H46" s="988"/>
      <c r="I46" s="988"/>
      <c r="J46" s="988"/>
      <c r="K46" s="988"/>
      <c r="L46" s="988"/>
      <c r="M46" s="989"/>
      <c r="N46" s="989"/>
      <c r="O46" s="989"/>
      <c r="P46" s="989"/>
      <c r="Q46" s="989"/>
      <c r="R46" s="988">
        <v>0.1</v>
      </c>
      <c r="S46" s="988">
        <v>0.25</v>
      </c>
      <c r="T46" s="988">
        <v>0.35</v>
      </c>
      <c r="U46" s="988">
        <v>0.45</v>
      </c>
      <c r="V46" s="988">
        <v>0.6</v>
      </c>
      <c r="W46" s="988">
        <v>0.7</v>
      </c>
      <c r="X46" s="988">
        <v>0.8</v>
      </c>
      <c r="Y46" s="988">
        <v>0.9</v>
      </c>
      <c r="Z46" s="988">
        <v>0.93</v>
      </c>
      <c r="AA46" s="988">
        <v>0.95</v>
      </c>
      <c r="AB46" s="988">
        <v>0.96</v>
      </c>
      <c r="AC46" s="988">
        <v>0.97</v>
      </c>
    </row>
    <row r="47" spans="2:33" s="1002" customFormat="1" ht="12" collapsed="1" thickBot="1">
      <c r="B47" s="999" t="s">
        <v>491</v>
      </c>
      <c r="C47" s="1000"/>
      <c r="D47" s="1410">
        <v>0.05</v>
      </c>
      <c r="E47" s="1001">
        <v>0.05</v>
      </c>
      <c r="F47" s="1001">
        <v>0.05</v>
      </c>
      <c r="G47" s="1001">
        <v>0.05</v>
      </c>
      <c r="H47" s="1001">
        <v>0.05</v>
      </c>
      <c r="I47" s="1000">
        <v>0.05</v>
      </c>
      <c r="J47" s="1000">
        <v>0.05</v>
      </c>
      <c r="K47" s="1000">
        <v>0.05</v>
      </c>
      <c r="L47" s="1000">
        <v>4.8000000000000001E-2</v>
      </c>
      <c r="M47" s="1389">
        <v>4.8000000000000001E-2</v>
      </c>
      <c r="N47" s="1389">
        <v>4.8000000000000001E-2</v>
      </c>
      <c r="O47" s="1389">
        <v>4.7E-2</v>
      </c>
      <c r="P47" s="1389">
        <v>4.5999999999999999E-2</v>
      </c>
      <c r="Q47" s="1389">
        <v>4.2999999999999997E-2</v>
      </c>
      <c r="R47" s="1389">
        <v>0.04</v>
      </c>
      <c r="S47" s="1389">
        <v>3.5999999999999997E-2</v>
      </c>
      <c r="T47" s="1389">
        <v>3.2000000000000001E-2</v>
      </c>
      <c r="U47" s="1389">
        <v>2.9000000000000001E-2</v>
      </c>
      <c r="V47" s="1389">
        <v>2.5000000000000001E-2</v>
      </c>
      <c r="W47" s="1389">
        <v>2.1999999999999999E-2</v>
      </c>
      <c r="X47" s="1389">
        <v>1.9E-2</v>
      </c>
      <c r="Y47" s="1389">
        <v>1.7999999999999999E-2</v>
      </c>
      <c r="Z47" s="1389">
        <v>1.7999999999999999E-2</v>
      </c>
      <c r="AA47" s="1389">
        <v>1.6E-2</v>
      </c>
      <c r="AB47" s="1389">
        <v>1.4999999999999999E-2</v>
      </c>
      <c r="AC47" s="1389">
        <v>1.4999999999999999E-2</v>
      </c>
    </row>
    <row r="48" spans="2:33" s="1002" customFormat="1" ht="12" thickTop="1">
      <c r="B48" s="1003" t="s">
        <v>263</v>
      </c>
      <c r="C48" s="1004"/>
      <c r="D48" s="1004">
        <f>SUM(D37:D47)-D37-D44</f>
        <v>1.05</v>
      </c>
      <c r="E48" s="1004">
        <f t="shared" ref="E48:K48" si="32">SUM(E37:E47)-E37-E44</f>
        <v>1.05</v>
      </c>
      <c r="F48" s="1004">
        <f t="shared" si="32"/>
        <v>1.05</v>
      </c>
      <c r="G48" s="1004">
        <f t="shared" si="32"/>
        <v>1.05</v>
      </c>
      <c r="H48" s="1004">
        <f t="shared" si="32"/>
        <v>1.05</v>
      </c>
      <c r="I48" s="1004">
        <f t="shared" si="32"/>
        <v>1.05</v>
      </c>
      <c r="J48" s="1004">
        <f t="shared" si="32"/>
        <v>1.05</v>
      </c>
      <c r="K48" s="1004">
        <f t="shared" si="32"/>
        <v>1.05</v>
      </c>
      <c r="L48" s="1387">
        <f>L37+L44+L47</f>
        <v>1</v>
      </c>
      <c r="M48" s="1387">
        <f t="shared" ref="M48:AC48" si="33">M37+M44+M47</f>
        <v>1.0004999999999999</v>
      </c>
      <c r="N48" s="1387">
        <f t="shared" si="33"/>
        <v>1.0004999999999999</v>
      </c>
      <c r="O48" s="1387">
        <f t="shared" si="33"/>
        <v>1.0014999999999998</v>
      </c>
      <c r="P48" s="1387">
        <f t="shared" si="33"/>
        <v>1</v>
      </c>
      <c r="Q48" s="1387">
        <f t="shared" si="33"/>
        <v>1</v>
      </c>
      <c r="R48" s="1387">
        <f t="shared" si="33"/>
        <v>1</v>
      </c>
      <c r="S48" s="1387">
        <f t="shared" si="33"/>
        <v>1</v>
      </c>
      <c r="T48" s="1387">
        <f t="shared" si="33"/>
        <v>1</v>
      </c>
      <c r="U48" s="1387">
        <f t="shared" si="33"/>
        <v>1</v>
      </c>
      <c r="V48" s="1387">
        <f t="shared" si="33"/>
        <v>1</v>
      </c>
      <c r="W48" s="1387">
        <f t="shared" si="33"/>
        <v>1</v>
      </c>
      <c r="X48" s="1387">
        <f t="shared" si="33"/>
        <v>1</v>
      </c>
      <c r="Y48" s="1387">
        <f t="shared" si="33"/>
        <v>1</v>
      </c>
      <c r="Z48" s="1387">
        <f t="shared" si="33"/>
        <v>0.999</v>
      </c>
      <c r="AA48" s="1387">
        <f t="shared" si="33"/>
        <v>0.998</v>
      </c>
      <c r="AB48" s="1387">
        <f t="shared" si="33"/>
        <v>0.999</v>
      </c>
      <c r="AC48" s="1387">
        <f t="shared" si="33"/>
        <v>0.998</v>
      </c>
    </row>
    <row r="49" spans="2:29">
      <c r="B49" s="1005"/>
      <c r="C49" s="976"/>
      <c r="D49" s="976"/>
      <c r="E49" s="976"/>
      <c r="F49" s="983"/>
      <c r="G49" s="976"/>
      <c r="H49" s="976"/>
      <c r="I49" s="983"/>
      <c r="J49" s="983"/>
      <c r="K49" s="976"/>
      <c r="L49" s="983"/>
      <c r="M49" s="983"/>
      <c r="N49" s="983"/>
      <c r="O49" s="983"/>
      <c r="P49" s="983"/>
      <c r="Q49" s="983"/>
      <c r="R49" s="983"/>
      <c r="S49" s="983"/>
      <c r="T49" s="983"/>
      <c r="U49" s="983"/>
      <c r="V49" s="983"/>
      <c r="W49" s="983"/>
      <c r="X49" s="1404"/>
      <c r="Y49" s="973"/>
      <c r="Z49" s="973"/>
      <c r="AA49" s="973"/>
      <c r="AB49" s="973"/>
      <c r="AC49" s="973"/>
    </row>
    <row r="50" spans="2:29" ht="12">
      <c r="B50" s="1006" t="s">
        <v>512</v>
      </c>
      <c r="C50" s="976"/>
      <c r="D50" s="976"/>
      <c r="E50" s="976"/>
      <c r="F50" s="983"/>
      <c r="G50" s="976"/>
      <c r="H50" s="976"/>
      <c r="I50" s="983"/>
      <c r="J50" s="983"/>
      <c r="K50" s="976"/>
      <c r="L50" s="1402">
        <f>L51/L32</f>
        <v>5.7143389998512532E-2</v>
      </c>
      <c r="M50" s="1402">
        <f>(M51-L51)/M32</f>
        <v>5.7723596274503609E-2</v>
      </c>
      <c r="N50" s="1402">
        <f t="shared" ref="N50:AB50" si="34">(N51-M51)/N32</f>
        <v>3.4415604304063825E-2</v>
      </c>
      <c r="O50" s="1402">
        <f t="shared" si="34"/>
        <v>6.6386932892209663E-2</v>
      </c>
      <c r="P50" s="1402">
        <f t="shared" si="34"/>
        <v>6.1945991464840922E-2</v>
      </c>
      <c r="Q50" s="1402">
        <f t="shared" si="34"/>
        <v>0.12150048489803923</v>
      </c>
      <c r="R50" s="1402">
        <f t="shared" si="34"/>
        <v>0.18516742427203947</v>
      </c>
      <c r="S50" s="1402">
        <f t="shared" si="34"/>
        <v>0.23367413779188784</v>
      </c>
      <c r="T50" s="1402">
        <f t="shared" si="34"/>
        <v>0.24979107115184368</v>
      </c>
      <c r="U50" s="1402">
        <f t="shared" si="34"/>
        <v>0.24321508587082319</v>
      </c>
      <c r="V50" s="1402">
        <f t="shared" si="34"/>
        <v>0.30835855434697057</v>
      </c>
      <c r="W50" s="1402">
        <f t="shared" si="34"/>
        <v>0.32672142126262044</v>
      </c>
      <c r="X50" s="1402">
        <f t="shared" si="34"/>
        <v>0.31935405685320611</v>
      </c>
      <c r="Y50" s="1402">
        <f t="shared" si="34"/>
        <v>0.3653649144119675</v>
      </c>
      <c r="Z50" s="1402">
        <f t="shared" si="34"/>
        <v>0.34160396363800399</v>
      </c>
      <c r="AA50" s="1402">
        <f t="shared" si="34"/>
        <v>0.42095271876620244</v>
      </c>
      <c r="AB50" s="1402">
        <f t="shared" si="34"/>
        <v>0.43314295879082515</v>
      </c>
      <c r="AC50" s="1402">
        <f>(AC58-AB58)/AC32</f>
        <v>0.47786721014405825</v>
      </c>
    </row>
    <row r="51" spans="2:29">
      <c r="B51" s="1007" t="s">
        <v>481</v>
      </c>
      <c r="C51" s="1008"/>
      <c r="D51" s="1408">
        <f t="shared" ref="D51:K51" si="35">SUM(D52:D57)</f>
        <v>0</v>
      </c>
      <c r="E51" s="1408">
        <f t="shared" si="35"/>
        <v>0</v>
      </c>
      <c r="F51" s="1408">
        <f t="shared" si="35"/>
        <v>0</v>
      </c>
      <c r="G51" s="1408">
        <f t="shared" si="35"/>
        <v>0</v>
      </c>
      <c r="H51" s="1408">
        <f t="shared" si="35"/>
        <v>0</v>
      </c>
      <c r="I51" s="1408">
        <f t="shared" si="35"/>
        <v>0</v>
      </c>
      <c r="J51" s="1408">
        <f t="shared" si="35"/>
        <v>0</v>
      </c>
      <c r="K51" s="1408">
        <f t="shared" si="35"/>
        <v>0</v>
      </c>
      <c r="L51" s="1408">
        <f>L37*L30</f>
        <v>459.40178644119555</v>
      </c>
      <c r="M51" s="1408">
        <f t="shared" ref="M51:AC51" si="36">M37*M30</f>
        <v>1082.206451677165</v>
      </c>
      <c r="N51" s="1408">
        <f t="shared" si="36"/>
        <v>1368.4401300174243</v>
      </c>
      <c r="O51" s="1408">
        <f t="shared" si="36"/>
        <v>1929.4322712528979</v>
      </c>
      <c r="P51" s="1408">
        <f t="shared" si="36"/>
        <v>2696.3865099190125</v>
      </c>
      <c r="Q51" s="1408">
        <f t="shared" si="36"/>
        <v>4234.4652742614426</v>
      </c>
      <c r="R51" s="1408">
        <f t="shared" si="36"/>
        <v>6813.1501333169545</v>
      </c>
      <c r="S51" s="1408">
        <f t="shared" si="36"/>
        <v>10262.516832479043</v>
      </c>
      <c r="T51" s="1408">
        <f t="shared" si="36"/>
        <v>14019.031337411172</v>
      </c>
      <c r="U51" s="1408">
        <f t="shared" si="36"/>
        <v>17751.19273787854</v>
      </c>
      <c r="V51" s="1408">
        <f t="shared" si="36"/>
        <v>21581.16626521547</v>
      </c>
      <c r="W51" s="1408">
        <f t="shared" si="36"/>
        <v>25169.24657104614</v>
      </c>
      <c r="X51" s="1408">
        <f t="shared" si="36"/>
        <v>28520.081327898974</v>
      </c>
      <c r="Y51" s="1408">
        <f t="shared" si="36"/>
        <v>31423.229365738418</v>
      </c>
      <c r="Z51" s="1408">
        <f t="shared" si="36"/>
        <v>33471.806266648477</v>
      </c>
      <c r="AA51" s="1408">
        <f t="shared" si="36"/>
        <v>35452.001701307716</v>
      </c>
      <c r="AB51" s="1408">
        <f t="shared" si="36"/>
        <v>37464.366433436684</v>
      </c>
      <c r="AC51" s="1408">
        <f t="shared" si="36"/>
        <v>38542.036082109335</v>
      </c>
    </row>
    <row r="52" spans="2:29">
      <c r="B52" s="925" t="s">
        <v>482</v>
      </c>
      <c r="C52" s="926"/>
      <c r="D52" s="1009"/>
      <c r="E52" s="1009">
        <f>E38*E$30</f>
        <v>0</v>
      </c>
      <c r="F52" s="1009">
        <f t="shared" ref="F52:K52" si="37">F38*F$30</f>
        <v>0</v>
      </c>
      <c r="G52" s="1009">
        <f t="shared" si="37"/>
        <v>0</v>
      </c>
      <c r="H52" s="1009">
        <f t="shared" si="37"/>
        <v>0</v>
      </c>
      <c r="I52" s="1009">
        <f t="shared" si="37"/>
        <v>0</v>
      </c>
      <c r="J52" s="1009">
        <f t="shared" si="37"/>
        <v>0</v>
      </c>
      <c r="K52" s="1009">
        <f t="shared" si="37"/>
        <v>0</v>
      </c>
      <c r="L52" s="1009">
        <f>L38*L$51</f>
        <v>459.40178644119555</v>
      </c>
      <c r="M52" s="1009">
        <f t="shared" ref="M52:AC52" si="38">M38*M$51</f>
        <v>1082.206451677165</v>
      </c>
      <c r="N52" s="1009">
        <f t="shared" si="38"/>
        <v>1368.4401300174243</v>
      </c>
      <c r="O52" s="1009">
        <f t="shared" si="38"/>
        <v>1929.4322712528979</v>
      </c>
      <c r="P52" s="1009">
        <f t="shared" si="38"/>
        <v>2696.3865099190125</v>
      </c>
      <c r="Q52" s="1009">
        <f t="shared" si="38"/>
        <v>4234.4652742614426</v>
      </c>
      <c r="R52" s="1009">
        <f t="shared" si="38"/>
        <v>4769.2050933218679</v>
      </c>
      <c r="S52" s="1009">
        <f t="shared" si="38"/>
        <v>4105.0067329916174</v>
      </c>
      <c r="T52" s="1009">
        <f t="shared" si="38"/>
        <v>3504.757834352793</v>
      </c>
      <c r="U52" s="1009">
        <f t="shared" si="38"/>
        <v>1775.1192737878541</v>
      </c>
      <c r="V52" s="1009">
        <f t="shared" si="38"/>
        <v>215.81166265215469</v>
      </c>
      <c r="W52" s="1009">
        <f t="shared" si="38"/>
        <v>251.69246571046142</v>
      </c>
      <c r="X52" s="1009">
        <f t="shared" si="38"/>
        <v>57.04016265579795</v>
      </c>
      <c r="Y52" s="1009">
        <f t="shared" si="38"/>
        <v>31.423229365738418</v>
      </c>
      <c r="Z52" s="1009">
        <f t="shared" si="38"/>
        <v>33.471806266648478</v>
      </c>
      <c r="AA52" s="1009">
        <f t="shared" si="38"/>
        <v>35.452001701307715</v>
      </c>
      <c r="AB52" s="1009">
        <f t="shared" si="38"/>
        <v>37.464366433436687</v>
      </c>
      <c r="AC52" s="1009">
        <f t="shared" si="38"/>
        <v>38.542036082109334</v>
      </c>
    </row>
    <row r="53" spans="2:29">
      <c r="B53" s="928" t="s">
        <v>483</v>
      </c>
      <c r="C53" s="929"/>
      <c r="D53" s="1010"/>
      <c r="E53" s="1010">
        <f t="shared" ref="E53:K57" si="39">E39*E$30</f>
        <v>0</v>
      </c>
      <c r="F53" s="1010">
        <f t="shared" si="39"/>
        <v>0</v>
      </c>
      <c r="G53" s="1010">
        <f t="shared" si="39"/>
        <v>0</v>
      </c>
      <c r="H53" s="1010">
        <f t="shared" si="39"/>
        <v>0</v>
      </c>
      <c r="I53" s="1010">
        <f t="shared" si="39"/>
        <v>0</v>
      </c>
      <c r="J53" s="1010">
        <f t="shared" si="39"/>
        <v>0</v>
      </c>
      <c r="K53" s="1010">
        <f t="shared" si="39"/>
        <v>0</v>
      </c>
      <c r="L53" s="1010">
        <f t="shared" ref="L53:AC53" si="40">L39*L$51</f>
        <v>0</v>
      </c>
      <c r="M53" s="1010">
        <f t="shared" si="40"/>
        <v>0</v>
      </c>
      <c r="N53" s="1010">
        <f t="shared" si="40"/>
        <v>0</v>
      </c>
      <c r="O53" s="1010">
        <f t="shared" si="40"/>
        <v>0</v>
      </c>
      <c r="P53" s="1010">
        <f t="shared" si="40"/>
        <v>0</v>
      </c>
      <c r="Q53" s="1010">
        <f t="shared" si="40"/>
        <v>0</v>
      </c>
      <c r="R53" s="1010">
        <f t="shared" si="40"/>
        <v>0</v>
      </c>
      <c r="S53" s="1010">
        <f t="shared" si="40"/>
        <v>0</v>
      </c>
      <c r="T53" s="1010">
        <f t="shared" si="40"/>
        <v>0</v>
      </c>
      <c r="U53" s="1010">
        <f t="shared" si="40"/>
        <v>0</v>
      </c>
      <c r="V53" s="1010">
        <f t="shared" si="40"/>
        <v>0</v>
      </c>
      <c r="W53" s="1010">
        <f t="shared" si="40"/>
        <v>0</v>
      </c>
      <c r="X53" s="1010">
        <f t="shared" si="40"/>
        <v>1426.0040663949487</v>
      </c>
      <c r="Y53" s="1010">
        <f t="shared" si="40"/>
        <v>3142.3229365738421</v>
      </c>
      <c r="Z53" s="1010">
        <f t="shared" si="40"/>
        <v>5020.7709399972709</v>
      </c>
      <c r="AA53" s="1010">
        <f t="shared" si="40"/>
        <v>7090.4003402615435</v>
      </c>
      <c r="AB53" s="1010">
        <f t="shared" si="40"/>
        <v>9366.091608359171</v>
      </c>
      <c r="AC53" s="1010">
        <f t="shared" si="40"/>
        <v>9635.5090205273336</v>
      </c>
    </row>
    <row r="54" spans="2:29">
      <c r="B54" s="925" t="s">
        <v>484</v>
      </c>
      <c r="C54" s="926"/>
      <c r="D54" s="1009"/>
      <c r="E54" s="1009">
        <f t="shared" si="39"/>
        <v>0</v>
      </c>
      <c r="F54" s="1009">
        <f t="shared" si="39"/>
        <v>0</v>
      </c>
      <c r="G54" s="1009">
        <f t="shared" si="39"/>
        <v>0</v>
      </c>
      <c r="H54" s="1009">
        <f t="shared" si="39"/>
        <v>0</v>
      </c>
      <c r="I54" s="1009">
        <f t="shared" si="39"/>
        <v>0</v>
      </c>
      <c r="J54" s="1009">
        <f t="shared" si="39"/>
        <v>0</v>
      </c>
      <c r="K54" s="1009">
        <f t="shared" si="39"/>
        <v>0</v>
      </c>
      <c r="L54" s="1009">
        <f t="shared" ref="L54:AC54" si="41">L40*L$51</f>
        <v>0</v>
      </c>
      <c r="M54" s="1009">
        <f t="shared" si="41"/>
        <v>0</v>
      </c>
      <c r="N54" s="1009">
        <f t="shared" si="41"/>
        <v>0</v>
      </c>
      <c r="O54" s="1009">
        <f t="shared" si="41"/>
        <v>0</v>
      </c>
      <c r="P54" s="1009">
        <f t="shared" si="41"/>
        <v>0</v>
      </c>
      <c r="Q54" s="1009">
        <f t="shared" si="41"/>
        <v>0</v>
      </c>
      <c r="R54" s="1009">
        <f t="shared" si="41"/>
        <v>681.31501333169547</v>
      </c>
      <c r="S54" s="1009">
        <f t="shared" si="41"/>
        <v>2052.5033664958087</v>
      </c>
      <c r="T54" s="1009">
        <f t="shared" si="41"/>
        <v>3504.757834352793</v>
      </c>
      <c r="U54" s="1009">
        <f t="shared" si="41"/>
        <v>5325.3578213635619</v>
      </c>
      <c r="V54" s="1009">
        <f t="shared" si="41"/>
        <v>7121.7848675211053</v>
      </c>
      <c r="W54" s="1009">
        <f t="shared" si="41"/>
        <v>8305.8513684452264</v>
      </c>
      <c r="X54" s="1009">
        <f t="shared" si="41"/>
        <v>8613.0645610254905</v>
      </c>
      <c r="Y54" s="1009">
        <f t="shared" si="41"/>
        <v>9081.3132866984015</v>
      </c>
      <c r="Z54" s="1009">
        <f t="shared" si="41"/>
        <v>9070.8594982617378</v>
      </c>
      <c r="AA54" s="1009">
        <f t="shared" si="41"/>
        <v>9252.9724440413138</v>
      </c>
      <c r="AB54" s="1009">
        <f t="shared" si="41"/>
        <v>8242.1606153560697</v>
      </c>
      <c r="AC54" s="1009">
        <f t="shared" si="41"/>
        <v>1888.5597680233575</v>
      </c>
    </row>
    <row r="55" spans="2:29">
      <c r="B55" s="928" t="s">
        <v>485</v>
      </c>
      <c r="C55" s="929"/>
      <c r="D55" s="1010"/>
      <c r="E55" s="1010">
        <f t="shared" si="39"/>
        <v>0</v>
      </c>
      <c r="F55" s="1010">
        <f t="shared" si="39"/>
        <v>0</v>
      </c>
      <c r="G55" s="1010">
        <f t="shared" si="39"/>
        <v>0</v>
      </c>
      <c r="H55" s="1010">
        <f t="shared" si="39"/>
        <v>0</v>
      </c>
      <c r="I55" s="1010">
        <f t="shared" si="39"/>
        <v>0</v>
      </c>
      <c r="J55" s="1010">
        <f t="shared" si="39"/>
        <v>0</v>
      </c>
      <c r="K55" s="1010">
        <f t="shared" si="39"/>
        <v>0</v>
      </c>
      <c r="L55" s="1010">
        <f t="shared" ref="L55:AC55" si="42">L41*L$51</f>
        <v>0</v>
      </c>
      <c r="M55" s="1010">
        <f t="shared" si="42"/>
        <v>0</v>
      </c>
      <c r="N55" s="1010">
        <f t="shared" si="42"/>
        <v>0</v>
      </c>
      <c r="O55" s="1010">
        <f t="shared" si="42"/>
        <v>0</v>
      </c>
      <c r="P55" s="1010">
        <f t="shared" si="42"/>
        <v>0</v>
      </c>
      <c r="Q55" s="1010">
        <f t="shared" si="42"/>
        <v>0</v>
      </c>
      <c r="R55" s="1010">
        <f t="shared" si="42"/>
        <v>681.31501333169547</v>
      </c>
      <c r="S55" s="1010">
        <f t="shared" si="42"/>
        <v>2052.5033664958087</v>
      </c>
      <c r="T55" s="1010">
        <f t="shared" si="42"/>
        <v>3504.757834352793</v>
      </c>
      <c r="U55" s="1010">
        <f t="shared" si="42"/>
        <v>5325.3578213635619</v>
      </c>
      <c r="V55" s="1010">
        <f t="shared" si="42"/>
        <v>7121.7848675211053</v>
      </c>
      <c r="W55" s="1010">
        <f t="shared" si="42"/>
        <v>8305.8513684452264</v>
      </c>
      <c r="X55" s="1010">
        <f t="shared" si="42"/>
        <v>9211.9862689113688</v>
      </c>
      <c r="Y55" s="1010">
        <f t="shared" si="42"/>
        <v>9584.0849565502176</v>
      </c>
      <c r="Z55" s="1010">
        <f t="shared" si="42"/>
        <v>9673.3520110614099</v>
      </c>
      <c r="AA55" s="1010">
        <f t="shared" si="42"/>
        <v>9536.5884576517765</v>
      </c>
      <c r="AB55" s="1010">
        <f t="shared" si="42"/>
        <v>9366.091608359171</v>
      </c>
      <c r="AC55" s="1010">
        <f t="shared" si="42"/>
        <v>8671.9581184746003</v>
      </c>
    </row>
    <row r="56" spans="2:29">
      <c r="B56" s="925" t="s">
        <v>486</v>
      </c>
      <c r="C56" s="926"/>
      <c r="D56" s="1009"/>
      <c r="E56" s="1009">
        <f t="shared" si="39"/>
        <v>0</v>
      </c>
      <c r="F56" s="1009">
        <f t="shared" si="39"/>
        <v>0</v>
      </c>
      <c r="G56" s="1009">
        <f t="shared" si="39"/>
        <v>0</v>
      </c>
      <c r="H56" s="1009">
        <f t="shared" si="39"/>
        <v>0</v>
      </c>
      <c r="I56" s="1009">
        <f t="shared" si="39"/>
        <v>0</v>
      </c>
      <c r="J56" s="1009">
        <f t="shared" si="39"/>
        <v>0</v>
      </c>
      <c r="K56" s="1009">
        <f t="shared" si="39"/>
        <v>0</v>
      </c>
      <c r="L56" s="1009">
        <f t="shared" ref="L56:AC56" si="43">L42*L$51</f>
        <v>0</v>
      </c>
      <c r="M56" s="1009">
        <f t="shared" si="43"/>
        <v>0</v>
      </c>
      <c r="N56" s="1009">
        <f t="shared" si="43"/>
        <v>0</v>
      </c>
      <c r="O56" s="1009">
        <f t="shared" si="43"/>
        <v>0</v>
      </c>
      <c r="P56" s="1009">
        <f t="shared" si="43"/>
        <v>0</v>
      </c>
      <c r="Q56" s="1009">
        <f t="shared" si="43"/>
        <v>0</v>
      </c>
      <c r="R56" s="1009">
        <f t="shared" si="43"/>
        <v>681.31501333169547</v>
      </c>
      <c r="S56" s="1009">
        <f t="shared" si="43"/>
        <v>2052.5033664958087</v>
      </c>
      <c r="T56" s="1009">
        <f t="shared" si="43"/>
        <v>3504.757834352793</v>
      </c>
      <c r="U56" s="1009">
        <f t="shared" si="43"/>
        <v>5325.3578213635619</v>
      </c>
      <c r="V56" s="1009">
        <f t="shared" si="43"/>
        <v>7121.7848675211053</v>
      </c>
      <c r="W56" s="1009">
        <f t="shared" si="43"/>
        <v>8305.8513684452264</v>
      </c>
      <c r="X56" s="1009">
        <f t="shared" si="43"/>
        <v>9211.9862689113688</v>
      </c>
      <c r="Y56" s="1009">
        <f t="shared" si="43"/>
        <v>9584.0849565502176</v>
      </c>
      <c r="Z56" s="1009">
        <f t="shared" si="43"/>
        <v>9673.3520110614099</v>
      </c>
      <c r="AA56" s="1009">
        <f t="shared" si="43"/>
        <v>9536.5884576517765</v>
      </c>
      <c r="AB56" s="1009">
        <f t="shared" si="43"/>
        <v>9366.091608359171</v>
      </c>
      <c r="AC56" s="1009">
        <f t="shared" si="43"/>
        <v>8671.9581184746003</v>
      </c>
    </row>
    <row r="57" spans="2:29">
      <c r="B57" s="931" t="s">
        <v>487</v>
      </c>
      <c r="C57" s="929"/>
      <c r="D57" s="1010"/>
      <c r="E57" s="1010">
        <f t="shared" si="39"/>
        <v>0</v>
      </c>
      <c r="F57" s="1010">
        <f t="shared" si="39"/>
        <v>0</v>
      </c>
      <c r="G57" s="1010">
        <f t="shared" si="39"/>
        <v>0</v>
      </c>
      <c r="H57" s="1010">
        <f t="shared" si="39"/>
        <v>0</v>
      </c>
      <c r="I57" s="1010">
        <f t="shared" si="39"/>
        <v>0</v>
      </c>
      <c r="J57" s="1010">
        <f t="shared" si="39"/>
        <v>0</v>
      </c>
      <c r="K57" s="1010">
        <f t="shared" si="39"/>
        <v>0</v>
      </c>
      <c r="L57" s="1010">
        <f t="shared" ref="L57:AC57" si="44">L43*L$51</f>
        <v>0</v>
      </c>
      <c r="M57" s="1010">
        <f t="shared" si="44"/>
        <v>0</v>
      </c>
      <c r="N57" s="1010">
        <f t="shared" si="44"/>
        <v>0</v>
      </c>
      <c r="O57" s="1010">
        <f t="shared" si="44"/>
        <v>0</v>
      </c>
      <c r="P57" s="1010">
        <f t="shared" si="44"/>
        <v>0</v>
      </c>
      <c r="Q57" s="1010">
        <f t="shared" si="44"/>
        <v>0</v>
      </c>
      <c r="R57" s="1010">
        <f t="shared" si="44"/>
        <v>0</v>
      </c>
      <c r="S57" s="1010">
        <f t="shared" si="44"/>
        <v>0</v>
      </c>
      <c r="T57" s="1010">
        <f t="shared" si="44"/>
        <v>0</v>
      </c>
      <c r="U57" s="1010">
        <f t="shared" si="44"/>
        <v>0</v>
      </c>
      <c r="V57" s="1010">
        <f t="shared" si="44"/>
        <v>0</v>
      </c>
      <c r="W57" s="1010">
        <f t="shared" si="44"/>
        <v>0</v>
      </c>
      <c r="X57" s="1010">
        <f t="shared" si="44"/>
        <v>0</v>
      </c>
      <c r="Y57" s="1010">
        <f t="shared" si="44"/>
        <v>0</v>
      </c>
      <c r="Z57" s="1010">
        <f t="shared" si="44"/>
        <v>0</v>
      </c>
      <c r="AA57" s="1010">
        <f t="shared" si="44"/>
        <v>0</v>
      </c>
      <c r="AB57" s="1010">
        <f t="shared" si="44"/>
        <v>1086.466626569664</v>
      </c>
      <c r="AC57" s="1010">
        <f t="shared" si="44"/>
        <v>9635.5090205273336</v>
      </c>
    </row>
    <row r="58" spans="2:29" s="941" customFormat="1">
      <c r="B58" s="1011" t="s">
        <v>488</v>
      </c>
      <c r="C58" s="1012"/>
      <c r="D58" s="1013">
        <f>D44*D$30</f>
        <v>168486.11431481244</v>
      </c>
      <c r="E58" s="1013">
        <f t="shared" ref="E58:AC58" si="45">E44*E$30</f>
        <v>173224.06270503139</v>
      </c>
      <c r="F58" s="1013">
        <f t="shared" si="45"/>
        <v>178036.47593759684</v>
      </c>
      <c r="G58" s="1013">
        <f t="shared" si="45"/>
        <v>184145.14119620805</v>
      </c>
      <c r="H58" s="1013">
        <f t="shared" si="45"/>
        <v>190364.8708008407</v>
      </c>
      <c r="I58" s="1013">
        <f t="shared" si="45"/>
        <v>196574.58468075364</v>
      </c>
      <c r="J58" s="1013">
        <f t="shared" si="45"/>
        <v>203041.17438510325</v>
      </c>
      <c r="K58" s="1013">
        <f t="shared" si="45"/>
        <v>210578.36507931762</v>
      </c>
      <c r="L58" s="1013">
        <f t="shared" si="45"/>
        <v>218215.84855956785</v>
      </c>
      <c r="M58" s="1013">
        <f t="shared" si="45"/>
        <v>227984.82581998943</v>
      </c>
      <c r="N58" s="1013">
        <f t="shared" si="45"/>
        <v>235620.50965936377</v>
      </c>
      <c r="O58" s="1013">
        <f t="shared" si="45"/>
        <v>243622.98145019924</v>
      </c>
      <c r="P58" s="1013">
        <f t="shared" si="45"/>
        <v>254538.88653635475</v>
      </c>
      <c r="Q58" s="1013">
        <f t="shared" si="45"/>
        <v>265924.41922361858</v>
      </c>
      <c r="R58" s="1013">
        <f t="shared" si="45"/>
        <v>277561.81195295596</v>
      </c>
      <c r="S58" s="1013">
        <f t="shared" si="45"/>
        <v>289527.36881933297</v>
      </c>
      <c r="T58" s="1013">
        <f t="shared" si="45"/>
        <v>301572.18574663572</v>
      </c>
      <c r="U58" s="1013">
        <f t="shared" si="45"/>
        <v>313718.19473289192</v>
      </c>
      <c r="V58" s="1013">
        <f t="shared" si="45"/>
        <v>323363.70436732692</v>
      </c>
      <c r="W58" s="1013">
        <f t="shared" si="45"/>
        <v>331577.46569682524</v>
      </c>
      <c r="X58" s="1013">
        <f t="shared" si="45"/>
        <v>339614.12633879698</v>
      </c>
      <c r="Y58" s="1013">
        <f t="shared" si="45"/>
        <v>344889.10279468994</v>
      </c>
      <c r="Z58" s="1013">
        <f t="shared" si="45"/>
        <v>348340.30940291152</v>
      </c>
      <c r="AA58" s="1013">
        <f t="shared" si="45"/>
        <v>351368.72797296097</v>
      </c>
      <c r="AB58" s="1013">
        <f t="shared" si="45"/>
        <v>354715.80984849628</v>
      </c>
      <c r="AC58" s="1013">
        <f t="shared" si="45"/>
        <v>356112.35421698936</v>
      </c>
    </row>
    <row r="59" spans="2:29">
      <c r="B59" s="928" t="s">
        <v>489</v>
      </c>
      <c r="C59" s="929"/>
      <c r="D59" s="1014">
        <f>D$58*D45</f>
        <v>168486.11431481244</v>
      </c>
      <c r="E59" s="1014">
        <f t="shared" ref="E59:AC59" si="46">E$58*E45</f>
        <v>173224.06270503139</v>
      </c>
      <c r="F59" s="1014">
        <f t="shared" si="46"/>
        <v>178036.47593759684</v>
      </c>
      <c r="G59" s="1014">
        <f t="shared" si="46"/>
        <v>184145.14119620805</v>
      </c>
      <c r="H59" s="1014">
        <f t="shared" si="46"/>
        <v>190364.8708008407</v>
      </c>
      <c r="I59" s="1014">
        <f t="shared" si="46"/>
        <v>196574.58468075364</v>
      </c>
      <c r="J59" s="1014">
        <f t="shared" si="46"/>
        <v>203041.17438510325</v>
      </c>
      <c r="K59" s="1014">
        <f t="shared" si="46"/>
        <v>210578.36507931762</v>
      </c>
      <c r="L59" s="1014">
        <f t="shared" si="46"/>
        <v>218215.84855956785</v>
      </c>
      <c r="M59" s="1014">
        <f t="shared" si="46"/>
        <v>227984.82581998943</v>
      </c>
      <c r="N59" s="1014">
        <f t="shared" si="46"/>
        <v>235620.50965936377</v>
      </c>
      <c r="O59" s="1014">
        <f t="shared" si="46"/>
        <v>243622.98145019924</v>
      </c>
      <c r="P59" s="1014">
        <f t="shared" si="46"/>
        <v>254538.88653635475</v>
      </c>
      <c r="Q59" s="1014">
        <f t="shared" si="46"/>
        <v>265924.41922361858</v>
      </c>
      <c r="R59" s="1014">
        <f t="shared" si="46"/>
        <v>249805.63075766037</v>
      </c>
      <c r="S59" s="1014">
        <f t="shared" si="46"/>
        <v>217145.52661449974</v>
      </c>
      <c r="T59" s="1014">
        <f t="shared" si="46"/>
        <v>196021.92073531324</v>
      </c>
      <c r="U59" s="1014">
        <f t="shared" si="46"/>
        <v>172545.00710309058</v>
      </c>
      <c r="V59" s="1014">
        <f t="shared" si="46"/>
        <v>129345.48174693077</v>
      </c>
      <c r="W59" s="1014">
        <f t="shared" si="46"/>
        <v>99473.239709047572</v>
      </c>
      <c r="X59" s="1014">
        <f t="shared" si="46"/>
        <v>67922.825267759399</v>
      </c>
      <c r="Y59" s="1014">
        <f t="shared" si="46"/>
        <v>34488.910279468997</v>
      </c>
      <c r="Z59" s="1014">
        <f t="shared" si="46"/>
        <v>24383.821658203808</v>
      </c>
      <c r="AA59" s="1014">
        <f t="shared" si="46"/>
        <v>17568.436398648049</v>
      </c>
      <c r="AB59" s="1014">
        <f t="shared" si="46"/>
        <v>14188.632393939852</v>
      </c>
      <c r="AC59" s="1014">
        <f t="shared" si="46"/>
        <v>10683.370626509681</v>
      </c>
    </row>
    <row r="60" spans="2:29">
      <c r="B60" s="934" t="s">
        <v>490</v>
      </c>
      <c r="C60" s="935"/>
      <c r="D60" s="1009">
        <f t="shared" ref="D60:AC60" si="47">D$58*D46</f>
        <v>0</v>
      </c>
      <c r="E60" s="1009">
        <f t="shared" si="47"/>
        <v>0</v>
      </c>
      <c r="F60" s="1009">
        <f t="shared" si="47"/>
        <v>0</v>
      </c>
      <c r="G60" s="1009">
        <f t="shared" si="47"/>
        <v>0</v>
      </c>
      <c r="H60" s="1009">
        <f t="shared" si="47"/>
        <v>0</v>
      </c>
      <c r="I60" s="1009">
        <f t="shared" si="47"/>
        <v>0</v>
      </c>
      <c r="J60" s="1009">
        <f t="shared" si="47"/>
        <v>0</v>
      </c>
      <c r="K60" s="1009">
        <f t="shared" si="47"/>
        <v>0</v>
      </c>
      <c r="L60" s="1009">
        <f t="shared" si="47"/>
        <v>0</v>
      </c>
      <c r="M60" s="1009">
        <f t="shared" si="47"/>
        <v>0</v>
      </c>
      <c r="N60" s="1009">
        <f t="shared" si="47"/>
        <v>0</v>
      </c>
      <c r="O60" s="1009">
        <f t="shared" si="47"/>
        <v>0</v>
      </c>
      <c r="P60" s="1009">
        <f t="shared" si="47"/>
        <v>0</v>
      </c>
      <c r="Q60" s="1009">
        <f t="shared" si="47"/>
        <v>0</v>
      </c>
      <c r="R60" s="1009">
        <f t="shared" si="47"/>
        <v>27756.181195295598</v>
      </c>
      <c r="S60" s="1009">
        <f t="shared" si="47"/>
        <v>72381.842204833243</v>
      </c>
      <c r="T60" s="1009">
        <f t="shared" si="47"/>
        <v>105550.2650113225</v>
      </c>
      <c r="U60" s="1009">
        <f t="shared" si="47"/>
        <v>141173.18762980137</v>
      </c>
      <c r="V60" s="1009">
        <f t="shared" si="47"/>
        <v>194018.22262039615</v>
      </c>
      <c r="W60" s="1009">
        <f t="shared" si="47"/>
        <v>232104.22598777764</v>
      </c>
      <c r="X60" s="1009">
        <f t="shared" si="47"/>
        <v>271691.3010710376</v>
      </c>
      <c r="Y60" s="1009">
        <f t="shared" si="47"/>
        <v>310400.19251522096</v>
      </c>
      <c r="Z60" s="1009">
        <f t="shared" si="47"/>
        <v>323956.48774470773</v>
      </c>
      <c r="AA60" s="1009">
        <f t="shared" si="47"/>
        <v>333800.2915743129</v>
      </c>
      <c r="AB60" s="1009">
        <f t="shared" si="47"/>
        <v>340527.1774545564</v>
      </c>
      <c r="AC60" s="1009">
        <f t="shared" si="47"/>
        <v>345428.98359047965</v>
      </c>
    </row>
    <row r="61" spans="2:29" ht="12" thickBot="1">
      <c r="B61" s="1015" t="s">
        <v>491</v>
      </c>
      <c r="C61" s="1016"/>
      <c r="D61" s="1407">
        <f>D47*D$30</f>
        <v>8867.6902270953924</v>
      </c>
      <c r="E61" s="1407">
        <f t="shared" ref="E61:AC61" si="48">E47*E$30</f>
        <v>9117.0559318437572</v>
      </c>
      <c r="F61" s="1407">
        <f t="shared" si="48"/>
        <v>9370.3408388208882</v>
      </c>
      <c r="G61" s="1407">
        <f t="shared" si="48"/>
        <v>9691.8495366425304</v>
      </c>
      <c r="H61" s="1407">
        <f t="shared" si="48"/>
        <v>10019.203726360038</v>
      </c>
      <c r="I61" s="1407">
        <f t="shared" si="48"/>
        <v>10346.030772671245</v>
      </c>
      <c r="J61" s="1407">
        <f t="shared" si="48"/>
        <v>10686.377599215963</v>
      </c>
      <c r="K61" s="1407">
        <f t="shared" si="48"/>
        <v>11083.071846279876</v>
      </c>
      <c r="L61" s="1407">
        <f t="shared" si="48"/>
        <v>11025.642874588693</v>
      </c>
      <c r="M61" s="1407">
        <f t="shared" si="48"/>
        <v>11543.535484556429</v>
      </c>
      <c r="N61" s="1407">
        <f t="shared" si="48"/>
        <v>11942.750225606613</v>
      </c>
      <c r="O61" s="1407">
        <f t="shared" si="48"/>
        <v>12091.108899851493</v>
      </c>
      <c r="P61" s="1407">
        <f t="shared" si="48"/>
        <v>12403.377945627457</v>
      </c>
      <c r="Q61" s="1407">
        <f t="shared" si="48"/>
        <v>12138.800452882801</v>
      </c>
      <c r="R61" s="1407">
        <f t="shared" si="48"/>
        <v>11848.956753594703</v>
      </c>
      <c r="S61" s="1407">
        <f t="shared" si="48"/>
        <v>11195.472908158954</v>
      </c>
      <c r="T61" s="1407">
        <f t="shared" si="48"/>
        <v>10432.767506910641</v>
      </c>
      <c r="U61" s="1407">
        <f t="shared" si="48"/>
        <v>9899.7036422784167</v>
      </c>
      <c r="V61" s="1407">
        <f t="shared" si="48"/>
        <v>8844.7402726292912</v>
      </c>
      <c r="W61" s="1407">
        <f t="shared" si="48"/>
        <v>8024.9771675799284</v>
      </c>
      <c r="X61" s="1407">
        <f t="shared" si="48"/>
        <v>7130.0203319747434</v>
      </c>
      <c r="Y61" s="1407">
        <f t="shared" si="48"/>
        <v>6897.7820558937983</v>
      </c>
      <c r="Z61" s="1407">
        <f t="shared" si="48"/>
        <v>7005.7268930194487</v>
      </c>
      <c r="AA61" s="1407">
        <f t="shared" si="48"/>
        <v>6302.5780802324834</v>
      </c>
      <c r="AB61" s="1407">
        <f t="shared" si="48"/>
        <v>5978.3563457611726</v>
      </c>
      <c r="AC61" s="1407">
        <f t="shared" si="48"/>
        <v>6022.1931378295831</v>
      </c>
    </row>
    <row r="62" spans="2:29" ht="12" thickTop="1">
      <c r="B62" s="1005"/>
      <c r="C62" s="976"/>
      <c r="D62" s="976"/>
      <c r="E62" s="976"/>
      <c r="F62" s="983"/>
      <c r="G62" s="976"/>
      <c r="H62" s="976"/>
      <c r="I62" s="983"/>
      <c r="J62" s="983"/>
      <c r="K62" s="976"/>
      <c r="L62" s="983"/>
      <c r="M62" s="983"/>
      <c r="N62" s="983"/>
      <c r="O62" s="983"/>
      <c r="P62" s="983"/>
      <c r="Q62" s="983"/>
      <c r="R62" s="983"/>
      <c r="S62" s="983"/>
      <c r="T62" s="983"/>
      <c r="U62" s="983"/>
      <c r="V62" s="983"/>
      <c r="W62" s="983"/>
      <c r="X62" s="983"/>
      <c r="Y62" s="983"/>
      <c r="Z62" s="983"/>
      <c r="AA62" s="983"/>
      <c r="AB62" s="983"/>
      <c r="AC62" s="983"/>
    </row>
    <row r="63" spans="2:29" s="1020" customFormat="1" ht="12">
      <c r="B63" s="1017" t="s">
        <v>513</v>
      </c>
      <c r="C63" s="1018"/>
      <c r="D63" s="1018"/>
      <c r="E63" s="1018"/>
      <c r="F63" s="1019"/>
      <c r="G63" s="1018"/>
      <c r="H63" s="1018"/>
      <c r="I63" s="1019"/>
      <c r="J63" s="1019"/>
      <c r="K63" s="1018"/>
      <c r="L63" s="1019"/>
      <c r="M63" s="1019"/>
      <c r="N63" s="1019"/>
      <c r="O63" s="1019"/>
      <c r="P63" s="1019"/>
      <c r="Q63" s="1019"/>
      <c r="R63" s="1019"/>
      <c r="S63" s="1019"/>
      <c r="T63" s="1019"/>
      <c r="U63" s="1019"/>
      <c r="V63" s="1019"/>
      <c r="W63" s="1019"/>
      <c r="X63" s="1019"/>
      <c r="Y63" s="1019"/>
      <c r="Z63" s="1019"/>
      <c r="AA63" s="1019"/>
      <c r="AB63" s="1019"/>
      <c r="AC63" s="1019"/>
    </row>
    <row r="64" spans="2:29" s="1020" customFormat="1">
      <c r="B64" s="1007" t="s">
        <v>481</v>
      </c>
      <c r="C64" s="1021"/>
      <c r="D64" s="1022"/>
      <c r="E64" s="1022"/>
      <c r="F64" s="1022"/>
      <c r="G64" s="1022"/>
      <c r="H64" s="1022"/>
      <c r="I64" s="1022"/>
      <c r="J64" s="1022"/>
      <c r="K64" s="1022"/>
      <c r="L64" s="1022"/>
      <c r="M64" s="1022"/>
      <c r="N64" s="1022"/>
      <c r="O64" s="1022"/>
      <c r="P64" s="1022"/>
      <c r="Q64" s="1022"/>
      <c r="R64" s="1022"/>
      <c r="S64" s="1022"/>
      <c r="T64" s="1022"/>
      <c r="U64" s="1022"/>
      <c r="V64" s="1022"/>
      <c r="W64" s="1022"/>
      <c r="X64" s="1022"/>
      <c r="Y64" s="1022"/>
      <c r="Z64" s="1022"/>
      <c r="AA64" s="1022"/>
      <c r="AB64" s="1022"/>
      <c r="AC64" s="1022"/>
    </row>
    <row r="65" spans="2:29" s="1020" customFormat="1">
      <c r="B65" s="925" t="s">
        <v>482</v>
      </c>
      <c r="C65" s="926"/>
      <c r="D65" s="1018">
        <f>D383</f>
        <v>0</v>
      </c>
      <c r="E65" s="1018">
        <f t="shared" ref="E65:X65" si="49">E383</f>
        <v>0</v>
      </c>
      <c r="F65" s="1018">
        <f t="shared" si="49"/>
        <v>0</v>
      </c>
      <c r="G65" s="1018">
        <f t="shared" si="49"/>
        <v>0</v>
      </c>
      <c r="H65" s="1018">
        <f t="shared" si="49"/>
        <v>0</v>
      </c>
      <c r="I65" s="1018">
        <f t="shared" si="49"/>
        <v>0</v>
      </c>
      <c r="J65" s="1018">
        <f t="shared" si="49"/>
        <v>0</v>
      </c>
      <c r="K65" s="1018">
        <f t="shared" si="49"/>
        <v>23427</v>
      </c>
      <c r="L65" s="1018">
        <f t="shared" si="49"/>
        <v>23427</v>
      </c>
      <c r="M65" s="1018">
        <f t="shared" si="49"/>
        <v>24548.400000000001</v>
      </c>
      <c r="N65" s="1018">
        <f t="shared" si="49"/>
        <v>29127.600000000002</v>
      </c>
      <c r="O65" s="1018">
        <f t="shared" si="49"/>
        <v>34225.200000000004</v>
      </c>
      <c r="P65" s="1018">
        <f t="shared" si="49"/>
        <v>35594.208000000006</v>
      </c>
      <c r="Q65" s="1018">
        <f t="shared" si="49"/>
        <v>37017.976320000009</v>
      </c>
      <c r="R65" s="1018">
        <f t="shared" si="49"/>
        <v>38498.695372800008</v>
      </c>
      <c r="S65" s="1018">
        <f t="shared" si="49"/>
        <v>39268.669280256006</v>
      </c>
      <c r="T65" s="1018">
        <f t="shared" si="49"/>
        <v>40054.042665861125</v>
      </c>
      <c r="U65" s="1018">
        <f t="shared" si="49"/>
        <v>40855.123519178349</v>
      </c>
      <c r="V65" s="1018">
        <f t="shared" si="49"/>
        <v>41672.225989561914</v>
      </c>
      <c r="W65" s="1018">
        <f t="shared" si="49"/>
        <v>42505.670509353149</v>
      </c>
      <c r="X65" s="1018">
        <f t="shared" si="49"/>
        <v>43355.783919540212</v>
      </c>
      <c r="Y65" s="1018">
        <f>Y383</f>
        <v>44222.89959793102</v>
      </c>
      <c r="Z65" s="1018">
        <f>Z383</f>
        <v>44886.243091899982</v>
      </c>
      <c r="AA65" s="1018">
        <f>AA383</f>
        <v>45559.536738278475</v>
      </c>
      <c r="AB65" s="1018">
        <f>AB383</f>
        <v>46242.929789352645</v>
      </c>
      <c r="AC65" s="1018">
        <f>AC383</f>
        <v>46936.573736192928</v>
      </c>
    </row>
    <row r="66" spans="2:29" s="1020" customFormat="1">
      <c r="B66" s="928" t="s">
        <v>483</v>
      </c>
      <c r="C66" s="929"/>
      <c r="D66" s="1023">
        <f>D393</f>
        <v>0</v>
      </c>
      <c r="E66" s="1023">
        <f t="shared" ref="E66:X66" si="50">E393</f>
        <v>0</v>
      </c>
      <c r="F66" s="1023">
        <f t="shared" si="50"/>
        <v>0</v>
      </c>
      <c r="G66" s="1023">
        <f t="shared" si="50"/>
        <v>0</v>
      </c>
      <c r="H66" s="1023">
        <f t="shared" si="50"/>
        <v>0</v>
      </c>
      <c r="I66" s="1023">
        <f t="shared" si="50"/>
        <v>0</v>
      </c>
      <c r="J66" s="1023">
        <f t="shared" si="50"/>
        <v>0</v>
      </c>
      <c r="K66" s="1023">
        <f t="shared" si="50"/>
        <v>0</v>
      </c>
      <c r="L66" s="1023">
        <f t="shared" si="50"/>
        <v>0</v>
      </c>
      <c r="M66" s="1023">
        <f t="shared" si="50"/>
        <v>0</v>
      </c>
      <c r="N66" s="1023">
        <f t="shared" si="50"/>
        <v>0</v>
      </c>
      <c r="O66" s="1023">
        <f t="shared" si="50"/>
        <v>0</v>
      </c>
      <c r="P66" s="1023">
        <f t="shared" si="50"/>
        <v>0</v>
      </c>
      <c r="Q66" s="1023">
        <f t="shared" si="50"/>
        <v>0</v>
      </c>
      <c r="R66" s="1023">
        <f t="shared" si="50"/>
        <v>0</v>
      </c>
      <c r="S66" s="1023">
        <f t="shared" si="50"/>
        <v>0</v>
      </c>
      <c r="T66" s="1023">
        <f t="shared" si="50"/>
        <v>0</v>
      </c>
      <c r="U66" s="1023">
        <f t="shared" si="50"/>
        <v>0</v>
      </c>
      <c r="V66" s="1023">
        <f t="shared" si="50"/>
        <v>0</v>
      </c>
      <c r="W66" s="1023">
        <f t="shared" si="50"/>
        <v>0</v>
      </c>
      <c r="X66" s="1023">
        <f t="shared" si="50"/>
        <v>6503.3675879310313</v>
      </c>
      <c r="Y66" s="1023">
        <f>Y393</f>
        <v>6633.4349396896532</v>
      </c>
      <c r="Z66" s="1023">
        <f>Z393</f>
        <v>6732.9364637849967</v>
      </c>
      <c r="AA66" s="1023">
        <f>AA393</f>
        <v>6833.9305107417713</v>
      </c>
      <c r="AB66" s="1023">
        <f>AB393</f>
        <v>6936.4394684028966</v>
      </c>
      <c r="AC66" s="1023">
        <f>AC393</f>
        <v>7040.4860604289388</v>
      </c>
    </row>
    <row r="67" spans="2:29" s="1020" customFormat="1">
      <c r="B67" s="925" t="s">
        <v>484</v>
      </c>
      <c r="C67" s="926"/>
      <c r="D67" s="1018">
        <f>D385</f>
        <v>0</v>
      </c>
      <c r="E67" s="1018">
        <f t="shared" ref="E67:X67" si="51">E385</f>
        <v>0</v>
      </c>
      <c r="F67" s="1018">
        <f t="shared" si="51"/>
        <v>0</v>
      </c>
      <c r="G67" s="1018">
        <f t="shared" si="51"/>
        <v>0</v>
      </c>
      <c r="H67" s="1018">
        <f t="shared" si="51"/>
        <v>0</v>
      </c>
      <c r="I67" s="1018">
        <f t="shared" si="51"/>
        <v>0</v>
      </c>
      <c r="J67" s="1018">
        <f t="shared" si="51"/>
        <v>0</v>
      </c>
      <c r="K67" s="1018">
        <f t="shared" si="51"/>
        <v>0</v>
      </c>
      <c r="L67" s="1018">
        <f t="shared" si="51"/>
        <v>0</v>
      </c>
      <c r="M67" s="1018">
        <f t="shared" si="51"/>
        <v>0</v>
      </c>
      <c r="N67" s="1018">
        <f t="shared" si="51"/>
        <v>0</v>
      </c>
      <c r="O67" s="1018">
        <f t="shared" si="51"/>
        <v>6160.536000000001</v>
      </c>
      <c r="P67" s="1018">
        <f t="shared" si="51"/>
        <v>32034.787200000006</v>
      </c>
      <c r="Q67" s="1018">
        <f t="shared" si="51"/>
        <v>33316.178688000007</v>
      </c>
      <c r="R67" s="1018">
        <f t="shared" si="51"/>
        <v>34648.825835520009</v>
      </c>
      <c r="S67" s="1018">
        <f t="shared" si="51"/>
        <v>35341.802352230407</v>
      </c>
      <c r="T67" s="1018">
        <f t="shared" si="51"/>
        <v>36048.638399275012</v>
      </c>
      <c r="U67" s="1018">
        <f t="shared" si="51"/>
        <v>36769.611167260518</v>
      </c>
      <c r="V67" s="1018">
        <f t="shared" si="51"/>
        <v>37505.003390605722</v>
      </c>
      <c r="W67" s="1018">
        <f t="shared" si="51"/>
        <v>38255.103458417834</v>
      </c>
      <c r="X67" s="1018">
        <f t="shared" si="51"/>
        <v>39020.205527586193</v>
      </c>
      <c r="Y67" s="1018">
        <f>Y385</f>
        <v>39800.609638137917</v>
      </c>
      <c r="Z67" s="1018">
        <f>Z385</f>
        <v>40397.618782709986</v>
      </c>
      <c r="AA67" s="1018">
        <f>AA385</f>
        <v>41003.583064450628</v>
      </c>
      <c r="AB67" s="1018">
        <f>AB385</f>
        <v>41618.636810417382</v>
      </c>
      <c r="AC67" s="1018">
        <f>AC385</f>
        <v>42242.916362573633</v>
      </c>
    </row>
    <row r="68" spans="2:29" s="1020" customFormat="1">
      <c r="B68" s="928" t="s">
        <v>485</v>
      </c>
      <c r="C68" s="929"/>
      <c r="D68" s="1024">
        <f>D389</f>
        <v>0</v>
      </c>
      <c r="E68" s="1024">
        <f t="shared" ref="E68:X68" si="52">E389</f>
        <v>0</v>
      </c>
      <c r="F68" s="1024">
        <f t="shared" si="52"/>
        <v>0</v>
      </c>
      <c r="G68" s="1024">
        <f t="shared" si="52"/>
        <v>0</v>
      </c>
      <c r="H68" s="1024">
        <f t="shared" si="52"/>
        <v>0</v>
      </c>
      <c r="I68" s="1024">
        <f t="shared" si="52"/>
        <v>0</v>
      </c>
      <c r="J68" s="1024">
        <f t="shared" si="52"/>
        <v>0</v>
      </c>
      <c r="K68" s="1024">
        <f t="shared" si="52"/>
        <v>0</v>
      </c>
      <c r="L68" s="1024">
        <f t="shared" si="52"/>
        <v>0</v>
      </c>
      <c r="M68" s="1024">
        <f t="shared" si="52"/>
        <v>0</v>
      </c>
      <c r="N68" s="1024">
        <f t="shared" si="52"/>
        <v>0</v>
      </c>
      <c r="O68" s="1024">
        <f t="shared" si="52"/>
        <v>0</v>
      </c>
      <c r="P68" s="1024">
        <f t="shared" si="52"/>
        <v>32034.787200000006</v>
      </c>
      <c r="Q68" s="1024">
        <f t="shared" si="52"/>
        <v>33316.178688000007</v>
      </c>
      <c r="R68" s="1024">
        <f t="shared" si="52"/>
        <v>34648.825835520009</v>
      </c>
      <c r="S68" s="1024">
        <f t="shared" si="52"/>
        <v>35341.802352230407</v>
      </c>
      <c r="T68" s="1024">
        <f t="shared" si="52"/>
        <v>36048.638399275012</v>
      </c>
      <c r="U68" s="1024">
        <f t="shared" si="52"/>
        <v>36769.611167260518</v>
      </c>
      <c r="V68" s="1024">
        <f t="shared" si="52"/>
        <v>37505.003390605722</v>
      </c>
      <c r="W68" s="1024">
        <f t="shared" si="52"/>
        <v>38255.103458417834</v>
      </c>
      <c r="X68" s="1024">
        <f t="shared" si="52"/>
        <v>39020.205527586193</v>
      </c>
      <c r="Y68" s="1024">
        <f>Y389</f>
        <v>39800.609638137917</v>
      </c>
      <c r="Z68" s="1024">
        <f>Z389</f>
        <v>40397.618782709986</v>
      </c>
      <c r="AA68" s="1024">
        <f>AA389</f>
        <v>41003.583064450628</v>
      </c>
      <c r="AB68" s="1024">
        <f>AB389</f>
        <v>41618.636810417382</v>
      </c>
      <c r="AC68" s="1024">
        <f>AC389</f>
        <v>42242.916362573633</v>
      </c>
    </row>
    <row r="69" spans="2:29" s="1020" customFormat="1">
      <c r="B69" s="925" t="s">
        <v>486</v>
      </c>
      <c r="C69" s="926"/>
      <c r="D69" s="1018">
        <f>D387</f>
        <v>0</v>
      </c>
      <c r="E69" s="1018">
        <f t="shared" ref="E69:X69" si="53">E387</f>
        <v>0</v>
      </c>
      <c r="F69" s="1018">
        <f t="shared" si="53"/>
        <v>0</v>
      </c>
      <c r="G69" s="1018">
        <f t="shared" si="53"/>
        <v>0</v>
      </c>
      <c r="H69" s="1018">
        <f t="shared" si="53"/>
        <v>0</v>
      </c>
      <c r="I69" s="1018">
        <f t="shared" si="53"/>
        <v>0</v>
      </c>
      <c r="J69" s="1018">
        <f t="shared" si="53"/>
        <v>0</v>
      </c>
      <c r="K69" s="1018">
        <f t="shared" si="53"/>
        <v>0</v>
      </c>
      <c r="L69" s="1018">
        <f t="shared" si="53"/>
        <v>0</v>
      </c>
      <c r="M69" s="1018">
        <f t="shared" si="53"/>
        <v>0</v>
      </c>
      <c r="N69" s="1018">
        <f t="shared" si="53"/>
        <v>0</v>
      </c>
      <c r="O69" s="1018">
        <f t="shared" si="53"/>
        <v>0</v>
      </c>
      <c r="P69" s="1018">
        <f t="shared" si="53"/>
        <v>32034.787200000006</v>
      </c>
      <c r="Q69" s="1018">
        <f t="shared" si="53"/>
        <v>33316.178688000007</v>
      </c>
      <c r="R69" s="1018">
        <f t="shared" si="53"/>
        <v>34648.825835520009</v>
      </c>
      <c r="S69" s="1018">
        <f t="shared" si="53"/>
        <v>35341.802352230407</v>
      </c>
      <c r="T69" s="1018">
        <f t="shared" si="53"/>
        <v>36048.638399275012</v>
      </c>
      <c r="U69" s="1018">
        <f t="shared" si="53"/>
        <v>36769.611167260518</v>
      </c>
      <c r="V69" s="1018">
        <f t="shared" si="53"/>
        <v>37505.003390605722</v>
      </c>
      <c r="W69" s="1018">
        <f t="shared" si="53"/>
        <v>38255.103458417834</v>
      </c>
      <c r="X69" s="1018">
        <f t="shared" si="53"/>
        <v>39020.205527586193</v>
      </c>
      <c r="Y69" s="1018">
        <f>Y387</f>
        <v>39800.609638137917</v>
      </c>
      <c r="Z69" s="1018">
        <f>Z387</f>
        <v>40397.618782709986</v>
      </c>
      <c r="AA69" s="1018">
        <f>AA387</f>
        <v>41003.583064450628</v>
      </c>
      <c r="AB69" s="1018">
        <f>AB387</f>
        <v>41618.636810417382</v>
      </c>
      <c r="AC69" s="1018">
        <f>AC387</f>
        <v>42242.916362573633</v>
      </c>
    </row>
    <row r="70" spans="2:29">
      <c r="B70" s="931" t="s">
        <v>487</v>
      </c>
      <c r="C70" s="929"/>
      <c r="D70" s="1023">
        <f>D395</f>
        <v>0</v>
      </c>
      <c r="E70" s="1023">
        <f t="shared" ref="E70:X70" si="54">E395</f>
        <v>0</v>
      </c>
      <c r="F70" s="1023">
        <f t="shared" si="54"/>
        <v>0</v>
      </c>
      <c r="G70" s="1023">
        <f t="shared" si="54"/>
        <v>0</v>
      </c>
      <c r="H70" s="1023">
        <f t="shared" si="54"/>
        <v>0</v>
      </c>
      <c r="I70" s="1023">
        <f t="shared" si="54"/>
        <v>0</v>
      </c>
      <c r="J70" s="1023">
        <f t="shared" si="54"/>
        <v>0</v>
      </c>
      <c r="K70" s="1023">
        <f t="shared" si="54"/>
        <v>0</v>
      </c>
      <c r="L70" s="1023">
        <f t="shared" si="54"/>
        <v>0</v>
      </c>
      <c r="M70" s="1023">
        <f t="shared" si="54"/>
        <v>0</v>
      </c>
      <c r="N70" s="1023">
        <f t="shared" si="54"/>
        <v>0</v>
      </c>
      <c r="O70" s="1023">
        <f t="shared" si="54"/>
        <v>0</v>
      </c>
      <c r="P70" s="1023">
        <f t="shared" si="54"/>
        <v>0</v>
      </c>
      <c r="Q70" s="1023">
        <f t="shared" si="54"/>
        <v>0</v>
      </c>
      <c r="R70" s="1023">
        <f t="shared" si="54"/>
        <v>0</v>
      </c>
      <c r="S70" s="1023">
        <f t="shared" si="54"/>
        <v>0</v>
      </c>
      <c r="T70" s="1023">
        <f t="shared" si="54"/>
        <v>0</v>
      </c>
      <c r="U70" s="1023">
        <f t="shared" si="54"/>
        <v>0</v>
      </c>
      <c r="V70" s="1023">
        <f t="shared" si="54"/>
        <v>0</v>
      </c>
      <c r="W70" s="1023">
        <f t="shared" si="54"/>
        <v>0</v>
      </c>
      <c r="X70" s="1023">
        <f t="shared" si="54"/>
        <v>0</v>
      </c>
      <c r="Y70" s="1023">
        <f>Y395</f>
        <v>0</v>
      </c>
      <c r="Z70" s="1023">
        <f>Z395</f>
        <v>0</v>
      </c>
      <c r="AA70" s="1023">
        <f>AA395</f>
        <v>0</v>
      </c>
      <c r="AB70" s="1023">
        <f>AB395</f>
        <v>12485.591043125214</v>
      </c>
      <c r="AC70" s="1023">
        <f>AC395</f>
        <v>10560.729090643408</v>
      </c>
    </row>
    <row r="71" spans="2:29" s="941" customFormat="1" ht="12">
      <c r="B71" s="1011" t="s">
        <v>488</v>
      </c>
      <c r="C71" s="1012"/>
      <c r="D71" s="1025"/>
      <c r="E71" s="1025"/>
      <c r="F71" s="1025"/>
      <c r="G71" s="1025"/>
      <c r="H71" s="1025"/>
      <c r="I71" s="1025"/>
      <c r="J71" s="1025"/>
      <c r="K71" s="1025"/>
      <c r="L71" s="1025"/>
      <c r="M71" s="1025"/>
      <c r="N71" s="1025"/>
      <c r="O71" s="1025"/>
      <c r="P71" s="1025"/>
      <c r="Q71" s="1025"/>
      <c r="R71" s="1025"/>
      <c r="S71" s="1025"/>
      <c r="T71" s="1025"/>
      <c r="U71" s="1025"/>
      <c r="V71" s="1025"/>
      <c r="W71" s="1025"/>
      <c r="X71" s="1025"/>
      <c r="Y71" s="1025"/>
      <c r="Z71" s="1025"/>
      <c r="AA71" s="1025"/>
      <c r="AB71" s="1025"/>
      <c r="AC71" s="1025"/>
    </row>
    <row r="72" spans="2:29">
      <c r="B72" s="928" t="s">
        <v>489</v>
      </c>
      <c r="C72" s="929"/>
      <c r="D72" s="1023">
        <f>D381</f>
        <v>15028</v>
      </c>
      <c r="E72" s="1023">
        <f t="shared" ref="E72:X72" si="55">E381</f>
        <v>15444</v>
      </c>
      <c r="F72" s="1023">
        <f t="shared" si="55"/>
        <v>16224</v>
      </c>
      <c r="G72" s="1023">
        <f t="shared" si="55"/>
        <v>17082</v>
      </c>
      <c r="H72" s="1023">
        <f t="shared" si="55"/>
        <v>18174</v>
      </c>
      <c r="I72" s="1023">
        <f t="shared" si="55"/>
        <v>19240</v>
      </c>
      <c r="J72" s="1023">
        <f t="shared" si="55"/>
        <v>20774</v>
      </c>
      <c r="K72" s="1023">
        <f t="shared" si="55"/>
        <v>23036</v>
      </c>
      <c r="L72" s="1023">
        <f t="shared" si="55"/>
        <v>26052</v>
      </c>
      <c r="M72" s="1023">
        <f t="shared" si="55"/>
        <v>29380</v>
      </c>
      <c r="N72" s="1023">
        <f t="shared" si="55"/>
        <v>34970</v>
      </c>
      <c r="O72" s="1023">
        <f t="shared" si="55"/>
        <v>36368.800000000003</v>
      </c>
      <c r="P72" s="1023">
        <f t="shared" si="55"/>
        <v>37823.551999999996</v>
      </c>
      <c r="Q72" s="1023">
        <f t="shared" si="55"/>
        <v>39336.494080000004</v>
      </c>
      <c r="R72" s="1023">
        <f t="shared" si="55"/>
        <v>40532.089528320001</v>
      </c>
      <c r="S72" s="1023">
        <f t="shared" si="55"/>
        <v>41767.951508275204</v>
      </c>
      <c r="T72" s="1023">
        <f t="shared" si="55"/>
        <v>43045.539535405056</v>
      </c>
      <c r="U72" s="1023">
        <f t="shared" si="55"/>
        <v>44121.678023790184</v>
      </c>
      <c r="V72" s="1023">
        <f t="shared" si="55"/>
        <v>45224.719974384934</v>
      </c>
      <c r="W72" s="1023">
        <f t="shared" si="55"/>
        <v>46355.33797374455</v>
      </c>
      <c r="X72" s="1023">
        <f t="shared" si="55"/>
        <v>47514.221423088151</v>
      </c>
      <c r="Y72" s="1023">
        <f>Y381</f>
        <v>48702.076958665355</v>
      </c>
      <c r="Z72" s="1023">
        <f>Z381</f>
        <v>49919.62888263198</v>
      </c>
      <c r="AA72" s="1023">
        <f>AA381</f>
        <v>51167.619604697778</v>
      </c>
      <c r="AB72" s="1023">
        <f>AB381</f>
        <v>52446.810094815221</v>
      </c>
      <c r="AC72" s="1023">
        <f>AC381</f>
        <v>53757.980347185599</v>
      </c>
    </row>
    <row r="73" spans="2:29">
      <c r="B73" s="934" t="s">
        <v>490</v>
      </c>
      <c r="C73" s="935"/>
      <c r="D73" s="1026">
        <f>D391</f>
        <v>0</v>
      </c>
      <c r="E73" s="1026">
        <f t="shared" ref="E73:X73" si="56">E391</f>
        <v>0</v>
      </c>
      <c r="F73" s="1026">
        <f t="shared" si="56"/>
        <v>0</v>
      </c>
      <c r="G73" s="1026">
        <f t="shared" si="56"/>
        <v>0</v>
      </c>
      <c r="H73" s="1026">
        <f t="shared" si="56"/>
        <v>0</v>
      </c>
      <c r="I73" s="1026">
        <f t="shared" si="56"/>
        <v>0</v>
      </c>
      <c r="J73" s="1026">
        <f t="shared" si="56"/>
        <v>0</v>
      </c>
      <c r="K73" s="1026">
        <f t="shared" si="56"/>
        <v>0</v>
      </c>
      <c r="L73" s="1026">
        <f t="shared" si="56"/>
        <v>0</v>
      </c>
      <c r="M73" s="1026">
        <f t="shared" si="56"/>
        <v>0</v>
      </c>
      <c r="N73" s="1026">
        <f t="shared" si="56"/>
        <v>0</v>
      </c>
      <c r="O73" s="1026">
        <f t="shared" si="56"/>
        <v>0</v>
      </c>
      <c r="P73" s="1026">
        <f t="shared" si="56"/>
        <v>0</v>
      </c>
      <c r="Q73" s="1026">
        <f t="shared" si="56"/>
        <v>0</v>
      </c>
      <c r="R73" s="1026">
        <f t="shared" si="56"/>
        <v>26345.858193408003</v>
      </c>
      <c r="S73" s="1026">
        <f t="shared" si="56"/>
        <v>27149.168480378885</v>
      </c>
      <c r="T73" s="1026">
        <f t="shared" si="56"/>
        <v>25827.323721243032</v>
      </c>
      <c r="U73" s="1026">
        <f t="shared" si="56"/>
        <v>26473.006814274111</v>
      </c>
      <c r="V73" s="1026">
        <f t="shared" si="56"/>
        <v>27134.831984630961</v>
      </c>
      <c r="W73" s="1026">
        <f t="shared" si="56"/>
        <v>27813.202784246729</v>
      </c>
      <c r="X73" s="1026">
        <f t="shared" si="56"/>
        <v>28508.532853852888</v>
      </c>
      <c r="Y73" s="1026">
        <f>Y391</f>
        <v>29221.246175199212</v>
      </c>
      <c r="Z73" s="1026">
        <f>Z391</f>
        <v>29951.777329579185</v>
      </c>
      <c r="AA73" s="1026">
        <f>AA391</f>
        <v>30700.571762818665</v>
      </c>
      <c r="AB73" s="1026">
        <f>AB391</f>
        <v>31468.086056889129</v>
      </c>
      <c r="AC73" s="1026">
        <f>AC391</f>
        <v>32254.788208311358</v>
      </c>
    </row>
    <row r="74" spans="2:29" ht="12" thickBot="1">
      <c r="B74" s="1015" t="s">
        <v>491</v>
      </c>
      <c r="C74" s="1027"/>
      <c r="D74" s="1028">
        <f>D397</f>
        <v>18785</v>
      </c>
      <c r="E74" s="1028">
        <f t="shared" ref="E74:X74" si="57">E397</f>
        <v>19305</v>
      </c>
      <c r="F74" s="1028">
        <f t="shared" si="57"/>
        <v>20280</v>
      </c>
      <c r="G74" s="1028">
        <f t="shared" si="57"/>
        <v>21352.5</v>
      </c>
      <c r="H74" s="1028">
        <f t="shared" si="57"/>
        <v>22717.5</v>
      </c>
      <c r="I74" s="1028">
        <f t="shared" si="57"/>
        <v>24050</v>
      </c>
      <c r="J74" s="1028">
        <f t="shared" si="57"/>
        <v>25967.5</v>
      </c>
      <c r="K74" s="1028">
        <f t="shared" si="57"/>
        <v>28795</v>
      </c>
      <c r="L74" s="1028">
        <f t="shared" si="57"/>
        <v>32565</v>
      </c>
      <c r="M74" s="1028">
        <f t="shared" si="57"/>
        <v>36725</v>
      </c>
      <c r="N74" s="1028">
        <f t="shared" si="57"/>
        <v>43712.5</v>
      </c>
      <c r="O74" s="1028">
        <f t="shared" si="57"/>
        <v>45461</v>
      </c>
      <c r="P74" s="1028">
        <f t="shared" si="57"/>
        <v>47279.439999999995</v>
      </c>
      <c r="Q74" s="1028">
        <f t="shared" si="57"/>
        <v>49170.617600000005</v>
      </c>
      <c r="R74" s="1028">
        <f t="shared" si="57"/>
        <v>50665.111910400003</v>
      </c>
      <c r="S74" s="1028">
        <f t="shared" si="57"/>
        <v>52209.939385344005</v>
      </c>
      <c r="T74" s="1028">
        <f t="shared" si="57"/>
        <v>53806.92441925632</v>
      </c>
      <c r="U74" s="1028">
        <f t="shared" si="57"/>
        <v>55152.09752973773</v>
      </c>
      <c r="V74" s="1028">
        <f t="shared" si="57"/>
        <v>56530.899967981168</v>
      </c>
      <c r="W74" s="1028">
        <f t="shared" si="57"/>
        <v>57944.172467180688</v>
      </c>
      <c r="X74" s="1028">
        <f t="shared" si="57"/>
        <v>59392.776778860192</v>
      </c>
      <c r="Y74" s="1028">
        <f>Y397</f>
        <v>60877.596198331696</v>
      </c>
      <c r="Z74" s="1028">
        <f>Z397</f>
        <v>62399.536103289975</v>
      </c>
      <c r="AA74" s="1028">
        <f>AA397</f>
        <v>63959.524505872221</v>
      </c>
      <c r="AB74" s="1028">
        <f>AB397</f>
        <v>65558.512618519031</v>
      </c>
      <c r="AC74" s="1028">
        <f>AC397</f>
        <v>67197.475433982007</v>
      </c>
    </row>
    <row r="75" spans="2:29" ht="12" thickTop="1">
      <c r="B75" s="1005"/>
      <c r="C75" s="976"/>
      <c r="D75" s="976"/>
      <c r="E75" s="976"/>
      <c r="F75" s="983"/>
      <c r="G75" s="976"/>
      <c r="H75" s="976"/>
      <c r="I75" s="983"/>
      <c r="J75" s="983"/>
      <c r="K75" s="976"/>
      <c r="L75" s="983"/>
      <c r="M75" s="983"/>
      <c r="N75" s="983"/>
      <c r="O75" s="983"/>
      <c r="P75" s="983"/>
      <c r="Q75" s="983"/>
      <c r="R75" s="983"/>
      <c r="S75" s="983"/>
      <c r="T75" s="983"/>
      <c r="U75" s="983"/>
      <c r="V75" s="983"/>
      <c r="W75" s="983"/>
      <c r="X75" s="983"/>
      <c r="Y75" s="983"/>
      <c r="Z75" s="983"/>
      <c r="AA75" s="983"/>
      <c r="AB75" s="983"/>
      <c r="AC75" s="983"/>
    </row>
    <row r="76" spans="2:29" ht="12">
      <c r="B76" s="1006" t="s">
        <v>514</v>
      </c>
      <c r="C76" s="976"/>
      <c r="D76" s="976"/>
      <c r="E76" s="976"/>
      <c r="F76" s="983"/>
      <c r="G76" s="976"/>
      <c r="H76" s="983"/>
      <c r="I76" s="976"/>
      <c r="J76" s="983"/>
      <c r="K76" s="983"/>
      <c r="L76" s="976"/>
      <c r="M76" s="983"/>
      <c r="N76" s="983"/>
      <c r="O76" s="983"/>
      <c r="P76" s="983"/>
      <c r="Q76" s="983"/>
      <c r="R76" s="983"/>
      <c r="S76" s="983"/>
      <c r="T76" s="983"/>
      <c r="U76" s="983"/>
      <c r="V76" s="983"/>
      <c r="W76" s="983"/>
      <c r="X76" s="983"/>
      <c r="Y76" s="983"/>
      <c r="Z76" s="983"/>
      <c r="AA76" s="983"/>
      <c r="AB76" s="983"/>
      <c r="AC76" s="983"/>
    </row>
    <row r="77" spans="2:29" s="941" customFormat="1">
      <c r="B77" s="1007" t="s">
        <v>481</v>
      </c>
      <c r="C77" s="1021"/>
      <c r="D77" s="1022">
        <f t="shared" ref="D77:AC77" si="58">SUM(D78:D83)</f>
        <v>0</v>
      </c>
      <c r="E77" s="1022">
        <f t="shared" si="58"/>
        <v>0</v>
      </c>
      <c r="F77" s="1022">
        <f t="shared" si="58"/>
        <v>0</v>
      </c>
      <c r="G77" s="1022">
        <f t="shared" si="58"/>
        <v>0</v>
      </c>
      <c r="H77" s="1022">
        <f t="shared" si="58"/>
        <v>0</v>
      </c>
      <c r="I77" s="1022">
        <f t="shared" si="58"/>
        <v>0</v>
      </c>
      <c r="J77" s="1022">
        <f t="shared" si="58"/>
        <v>0</v>
      </c>
      <c r="K77" s="1022">
        <f t="shared" si="58"/>
        <v>0</v>
      </c>
      <c r="L77" s="1022">
        <f t="shared" si="58"/>
        <v>10762405.650957888</v>
      </c>
      <c r="M77" s="1022">
        <f t="shared" si="58"/>
        <v>26566436.858351719</v>
      </c>
      <c r="N77" s="1022">
        <f t="shared" si="58"/>
        <v>39859376.73109553</v>
      </c>
      <c r="O77" s="1022">
        <f t="shared" si="58"/>
        <v>66035205.370084688</v>
      </c>
      <c r="P77" s="1022">
        <f t="shared" si="58"/>
        <v>95975742.282451406</v>
      </c>
      <c r="Q77" s="1022">
        <f t="shared" si="58"/>
        <v>156751335.25047243</v>
      </c>
      <c r="R77" s="1022">
        <f t="shared" si="58"/>
        <v>254428469.76636952</v>
      </c>
      <c r="S77" s="1022">
        <f t="shared" si="58"/>
        <v>378815656.70901918</v>
      </c>
      <c r="T77" s="1022">
        <f t="shared" si="58"/>
        <v>519404963.37350786</v>
      </c>
      <c r="U77" s="1022">
        <f t="shared" si="58"/>
        <v>659956726.44608033</v>
      </c>
      <c r="V77" s="1022">
        <f t="shared" si="58"/>
        <v>810301049.18785429</v>
      </c>
      <c r="W77" s="1022">
        <f t="shared" si="58"/>
        <v>963921967.24751592</v>
      </c>
      <c r="X77" s="1022">
        <f t="shared" si="58"/>
        <v>1066737594.0465215</v>
      </c>
      <c r="Y77" s="1022">
        <f t="shared" si="58"/>
        <v>1146580674.3908696</v>
      </c>
      <c r="Z77" s="1022">
        <f t="shared" si="58"/>
        <v>1183308853.2009706</v>
      </c>
      <c r="AA77" s="1022">
        <f t="shared" si="58"/>
        <v>1211544098.1445756</v>
      </c>
      <c r="AB77" s="1022">
        <f t="shared" si="58"/>
        <v>1202900386.6912634</v>
      </c>
      <c r="AC77" s="1022">
        <f t="shared" si="58"/>
        <v>983841573.80217099</v>
      </c>
    </row>
    <row r="78" spans="2:29" s="1030" customFormat="1">
      <c r="B78" s="925" t="s">
        <v>482</v>
      </c>
      <c r="C78" s="926"/>
      <c r="D78" s="1029">
        <f>D65*D52</f>
        <v>0</v>
      </c>
      <c r="E78" s="1029">
        <f t="shared" ref="E78:AC78" si="59">E65*E52</f>
        <v>0</v>
      </c>
      <c r="F78" s="1029">
        <f t="shared" si="59"/>
        <v>0</v>
      </c>
      <c r="G78" s="1029">
        <f t="shared" si="59"/>
        <v>0</v>
      </c>
      <c r="H78" s="1029">
        <f t="shared" si="59"/>
        <v>0</v>
      </c>
      <c r="I78" s="1029">
        <f t="shared" si="59"/>
        <v>0</v>
      </c>
      <c r="J78" s="1029">
        <f t="shared" si="59"/>
        <v>0</v>
      </c>
      <c r="K78" s="1029">
        <f t="shared" si="59"/>
        <v>0</v>
      </c>
      <c r="L78" s="1029">
        <f t="shared" si="59"/>
        <v>10762405.650957888</v>
      </c>
      <c r="M78" s="1029">
        <f t="shared" si="59"/>
        <v>26566436.858351719</v>
      </c>
      <c r="N78" s="1029">
        <f t="shared" si="59"/>
        <v>39859376.73109553</v>
      </c>
      <c r="O78" s="1029">
        <f t="shared" si="59"/>
        <v>66035205.370084688</v>
      </c>
      <c r="P78" s="1029">
        <f t="shared" si="59"/>
        <v>95975742.282451406</v>
      </c>
      <c r="Q78" s="1029">
        <f t="shared" si="59"/>
        <v>156751335.25047243</v>
      </c>
      <c r="R78" s="1029">
        <f t="shared" si="59"/>
        <v>183608174.05820483</v>
      </c>
      <c r="S78" s="1029">
        <f t="shared" si="59"/>
        <v>161198151.79107198</v>
      </c>
      <c r="T78" s="1029">
        <f t="shared" si="59"/>
        <v>140379719.83067781</v>
      </c>
      <c r="U78" s="1029">
        <f t="shared" si="59"/>
        <v>72522717.191876948</v>
      </c>
      <c r="V78" s="1029">
        <f t="shared" si="59"/>
        <v>8993352.3772236891</v>
      </c>
      <c r="W78" s="1029">
        <f t="shared" si="59"/>
        <v>10698357.017175538</v>
      </c>
      <c r="X78" s="1029">
        <f t="shared" si="59"/>
        <v>2473020.9668402029</v>
      </c>
      <c r="Y78" s="1029">
        <f t="shared" si="59"/>
        <v>1389626.3172838078</v>
      </c>
      <c r="Z78" s="1029">
        <f t="shared" si="59"/>
        <v>1502423.6328097647</v>
      </c>
      <c r="AA78" s="1029">
        <f t="shared" si="59"/>
        <v>1615176.7739562399</v>
      </c>
      <c r="AB78" s="1029">
        <f t="shared" si="59"/>
        <v>1732462.0665839927</v>
      </c>
      <c r="AC78" s="1029">
        <f t="shared" si="59"/>
        <v>1809031.1185109331</v>
      </c>
    </row>
    <row r="79" spans="2:29" s="957" customFormat="1">
      <c r="B79" s="928" t="s">
        <v>483</v>
      </c>
      <c r="C79" s="929"/>
      <c r="D79" s="1024">
        <f t="shared" ref="D79:AC83" si="60">D66*D53</f>
        <v>0</v>
      </c>
      <c r="E79" s="1024">
        <f t="shared" si="60"/>
        <v>0</v>
      </c>
      <c r="F79" s="1024">
        <f t="shared" si="60"/>
        <v>0</v>
      </c>
      <c r="G79" s="1024">
        <f t="shared" si="60"/>
        <v>0</v>
      </c>
      <c r="H79" s="1024">
        <f t="shared" si="60"/>
        <v>0</v>
      </c>
      <c r="I79" s="1024">
        <f t="shared" si="60"/>
        <v>0</v>
      </c>
      <c r="J79" s="1024">
        <f t="shared" si="60"/>
        <v>0</v>
      </c>
      <c r="K79" s="1024">
        <f t="shared" si="60"/>
        <v>0</v>
      </c>
      <c r="L79" s="1024">
        <f t="shared" si="60"/>
        <v>0</v>
      </c>
      <c r="M79" s="1024">
        <f t="shared" si="60"/>
        <v>0</v>
      </c>
      <c r="N79" s="1024">
        <f t="shared" si="60"/>
        <v>0</v>
      </c>
      <c r="O79" s="1024">
        <f t="shared" si="60"/>
        <v>0</v>
      </c>
      <c r="P79" s="1024">
        <f t="shared" si="60"/>
        <v>0</v>
      </c>
      <c r="Q79" s="1024">
        <f t="shared" si="60"/>
        <v>0</v>
      </c>
      <c r="R79" s="1024">
        <f t="shared" si="60"/>
        <v>0</v>
      </c>
      <c r="S79" s="1024">
        <f t="shared" si="60"/>
        <v>0</v>
      </c>
      <c r="T79" s="1024">
        <f t="shared" si="60"/>
        <v>0</v>
      </c>
      <c r="U79" s="1024">
        <f t="shared" si="60"/>
        <v>0</v>
      </c>
      <c r="V79" s="1024">
        <f t="shared" si="60"/>
        <v>0</v>
      </c>
      <c r="W79" s="1024">
        <f t="shared" si="60"/>
        <v>0</v>
      </c>
      <c r="X79" s="1024">
        <f t="shared" si="60"/>
        <v>9273828.6256507598</v>
      </c>
      <c r="Y79" s="1024">
        <f t="shared" si="60"/>
        <v>20844394.759257119</v>
      </c>
      <c r="Z79" s="1024">
        <f t="shared" si="60"/>
        <v>33804531.738219701</v>
      </c>
      <c r="AA79" s="1024">
        <f t="shared" si="60"/>
        <v>48455303.218687199</v>
      </c>
      <c r="AB79" s="1024">
        <f t="shared" si="60"/>
        <v>64967327.496899717</v>
      </c>
      <c r="AC79" s="1024">
        <f t="shared" si="60"/>
        <v>67838666.944159985</v>
      </c>
    </row>
    <row r="80" spans="2:29" s="957" customFormat="1">
      <c r="B80" s="925" t="s">
        <v>484</v>
      </c>
      <c r="C80" s="926"/>
      <c r="D80" s="1029">
        <f t="shared" si="60"/>
        <v>0</v>
      </c>
      <c r="E80" s="1029">
        <f t="shared" si="60"/>
        <v>0</v>
      </c>
      <c r="F80" s="1029">
        <f t="shared" si="60"/>
        <v>0</v>
      </c>
      <c r="G80" s="1029">
        <f t="shared" si="60"/>
        <v>0</v>
      </c>
      <c r="H80" s="1029">
        <f t="shared" si="60"/>
        <v>0</v>
      </c>
      <c r="I80" s="1029">
        <f t="shared" si="60"/>
        <v>0</v>
      </c>
      <c r="J80" s="1029">
        <f t="shared" si="60"/>
        <v>0</v>
      </c>
      <c r="K80" s="1029">
        <f t="shared" si="60"/>
        <v>0</v>
      </c>
      <c r="L80" s="1029">
        <f t="shared" si="60"/>
        <v>0</v>
      </c>
      <c r="M80" s="1029">
        <f t="shared" si="60"/>
        <v>0</v>
      </c>
      <c r="N80" s="1029">
        <f t="shared" si="60"/>
        <v>0</v>
      </c>
      <c r="O80" s="1029">
        <f t="shared" si="60"/>
        <v>0</v>
      </c>
      <c r="P80" s="1029">
        <f t="shared" si="60"/>
        <v>0</v>
      </c>
      <c r="Q80" s="1029">
        <f t="shared" si="60"/>
        <v>0</v>
      </c>
      <c r="R80" s="1029">
        <f t="shared" si="60"/>
        <v>23606765.236054908</v>
      </c>
      <c r="S80" s="1029">
        <f t="shared" si="60"/>
        <v>72539168.305982396</v>
      </c>
      <c r="T80" s="1029">
        <f t="shared" si="60"/>
        <v>126341747.84761003</v>
      </c>
      <c r="U80" s="1029">
        <f t="shared" si="60"/>
        <v>195811336.41806778</v>
      </c>
      <c r="V80" s="1029">
        <f t="shared" si="60"/>
        <v>267102565.60354358</v>
      </c>
      <c r="W80" s="1029">
        <f t="shared" si="60"/>
        <v>317741203.41011345</v>
      </c>
      <c r="X80" s="1029">
        <f t="shared" si="60"/>
        <v>336083549.3935836</v>
      </c>
      <c r="Y80" s="1029">
        <f t="shared" si="60"/>
        <v>361441805.12551832</v>
      </c>
      <c r="Z80" s="1029">
        <f t="shared" si="60"/>
        <v>366441124.04230165</v>
      </c>
      <c r="AA80" s="1029">
        <f t="shared" si="60"/>
        <v>379405024.20232075</v>
      </c>
      <c r="AB80" s="1029">
        <f t="shared" si="60"/>
        <v>343027489.18363053</v>
      </c>
      <c r="AC80" s="1029">
        <f t="shared" si="60"/>
        <v>79778272.326332152</v>
      </c>
    </row>
    <row r="81" spans="2:29" s="957" customFormat="1">
      <c r="B81" s="928" t="s">
        <v>485</v>
      </c>
      <c r="C81" s="929"/>
      <c r="D81" s="1024">
        <f t="shared" si="60"/>
        <v>0</v>
      </c>
      <c r="E81" s="1024">
        <f t="shared" si="60"/>
        <v>0</v>
      </c>
      <c r="F81" s="1024">
        <f t="shared" si="60"/>
        <v>0</v>
      </c>
      <c r="G81" s="1024">
        <f t="shared" si="60"/>
        <v>0</v>
      </c>
      <c r="H81" s="1024">
        <f t="shared" si="60"/>
        <v>0</v>
      </c>
      <c r="I81" s="1024">
        <f t="shared" si="60"/>
        <v>0</v>
      </c>
      <c r="J81" s="1024">
        <f t="shared" si="60"/>
        <v>0</v>
      </c>
      <c r="K81" s="1024">
        <f t="shared" si="60"/>
        <v>0</v>
      </c>
      <c r="L81" s="1024">
        <f t="shared" si="60"/>
        <v>0</v>
      </c>
      <c r="M81" s="1024">
        <f t="shared" si="60"/>
        <v>0</v>
      </c>
      <c r="N81" s="1024">
        <f t="shared" si="60"/>
        <v>0</v>
      </c>
      <c r="O81" s="1024">
        <f t="shared" si="60"/>
        <v>0</v>
      </c>
      <c r="P81" s="1024">
        <f t="shared" si="60"/>
        <v>0</v>
      </c>
      <c r="Q81" s="1024">
        <f t="shared" si="60"/>
        <v>0</v>
      </c>
      <c r="R81" s="1024">
        <f t="shared" si="60"/>
        <v>23606765.236054908</v>
      </c>
      <c r="S81" s="1024">
        <f t="shared" si="60"/>
        <v>72539168.305982396</v>
      </c>
      <c r="T81" s="1024">
        <f t="shared" si="60"/>
        <v>126341747.84761003</v>
      </c>
      <c r="U81" s="1024">
        <f t="shared" si="60"/>
        <v>195811336.41806778</v>
      </c>
      <c r="V81" s="1024">
        <f t="shared" si="60"/>
        <v>267102565.60354358</v>
      </c>
      <c r="W81" s="1024">
        <f t="shared" si="60"/>
        <v>317741203.41011345</v>
      </c>
      <c r="X81" s="1024">
        <f t="shared" si="60"/>
        <v>359453597.53022349</v>
      </c>
      <c r="Y81" s="1024">
        <f t="shared" si="60"/>
        <v>381452424.09440523</v>
      </c>
      <c r="Z81" s="1024">
        <f t="shared" si="60"/>
        <v>390780386.89381981</v>
      </c>
      <c r="AA81" s="1024">
        <f t="shared" si="60"/>
        <v>391034296.97480571</v>
      </c>
      <c r="AB81" s="1024">
        <f t="shared" si="60"/>
        <v>389803964.98139834</v>
      </c>
      <c r="AC81" s="1024">
        <f t="shared" si="60"/>
        <v>366328801.49846393</v>
      </c>
    </row>
    <row r="82" spans="2:29" s="957" customFormat="1">
      <c r="B82" s="925" t="s">
        <v>486</v>
      </c>
      <c r="C82" s="926"/>
      <c r="D82" s="1029">
        <f t="shared" si="60"/>
        <v>0</v>
      </c>
      <c r="E82" s="1029">
        <f t="shared" si="60"/>
        <v>0</v>
      </c>
      <c r="F82" s="1029">
        <f t="shared" si="60"/>
        <v>0</v>
      </c>
      <c r="G82" s="1029">
        <f t="shared" si="60"/>
        <v>0</v>
      </c>
      <c r="H82" s="1029">
        <f t="shared" si="60"/>
        <v>0</v>
      </c>
      <c r="I82" s="1029">
        <f t="shared" si="60"/>
        <v>0</v>
      </c>
      <c r="J82" s="1029">
        <f t="shared" si="60"/>
        <v>0</v>
      </c>
      <c r="K82" s="1029">
        <f t="shared" si="60"/>
        <v>0</v>
      </c>
      <c r="L82" s="1029">
        <f t="shared" si="60"/>
        <v>0</v>
      </c>
      <c r="M82" s="1029">
        <f t="shared" si="60"/>
        <v>0</v>
      </c>
      <c r="N82" s="1029">
        <f t="shared" si="60"/>
        <v>0</v>
      </c>
      <c r="O82" s="1029">
        <f t="shared" si="60"/>
        <v>0</v>
      </c>
      <c r="P82" s="1029">
        <f t="shared" si="60"/>
        <v>0</v>
      </c>
      <c r="Q82" s="1029">
        <f t="shared" si="60"/>
        <v>0</v>
      </c>
      <c r="R82" s="1029">
        <f t="shared" si="60"/>
        <v>23606765.236054908</v>
      </c>
      <c r="S82" s="1029">
        <f t="shared" si="60"/>
        <v>72539168.305982396</v>
      </c>
      <c r="T82" s="1029">
        <f t="shared" si="60"/>
        <v>126341747.84761003</v>
      </c>
      <c r="U82" s="1029">
        <f t="shared" si="60"/>
        <v>195811336.41806778</v>
      </c>
      <c r="V82" s="1029">
        <f t="shared" si="60"/>
        <v>267102565.60354358</v>
      </c>
      <c r="W82" s="1029">
        <f t="shared" si="60"/>
        <v>317741203.41011345</v>
      </c>
      <c r="X82" s="1029">
        <f t="shared" si="60"/>
        <v>359453597.53022349</v>
      </c>
      <c r="Y82" s="1029">
        <f t="shared" si="60"/>
        <v>381452424.09440523</v>
      </c>
      <c r="Z82" s="1029">
        <f t="shared" si="60"/>
        <v>390780386.89381981</v>
      </c>
      <c r="AA82" s="1029">
        <f t="shared" si="60"/>
        <v>391034296.97480571</v>
      </c>
      <c r="AB82" s="1029">
        <f t="shared" si="60"/>
        <v>389803964.98139834</v>
      </c>
      <c r="AC82" s="1029">
        <f t="shared" si="60"/>
        <v>366328801.49846393</v>
      </c>
    </row>
    <row r="83" spans="2:29">
      <c r="B83" s="931" t="s">
        <v>487</v>
      </c>
      <c r="C83" s="929"/>
      <c r="D83" s="1024">
        <f t="shared" si="60"/>
        <v>0</v>
      </c>
      <c r="E83" s="1024">
        <f t="shared" si="60"/>
        <v>0</v>
      </c>
      <c r="F83" s="1024">
        <f t="shared" si="60"/>
        <v>0</v>
      </c>
      <c r="G83" s="1024">
        <f t="shared" si="60"/>
        <v>0</v>
      </c>
      <c r="H83" s="1024">
        <f t="shared" si="60"/>
        <v>0</v>
      </c>
      <c r="I83" s="1024">
        <f t="shared" si="60"/>
        <v>0</v>
      </c>
      <c r="J83" s="1024">
        <f t="shared" si="60"/>
        <v>0</v>
      </c>
      <c r="K83" s="1024">
        <f t="shared" si="60"/>
        <v>0</v>
      </c>
      <c r="L83" s="1024">
        <f t="shared" si="60"/>
        <v>0</v>
      </c>
      <c r="M83" s="1024">
        <f t="shared" si="60"/>
        <v>0</v>
      </c>
      <c r="N83" s="1024">
        <f t="shared" si="60"/>
        <v>0</v>
      </c>
      <c r="O83" s="1024">
        <f t="shared" si="60"/>
        <v>0</v>
      </c>
      <c r="P83" s="1024">
        <f t="shared" si="60"/>
        <v>0</v>
      </c>
      <c r="Q83" s="1024">
        <f t="shared" si="60"/>
        <v>0</v>
      </c>
      <c r="R83" s="1024">
        <f t="shared" si="60"/>
        <v>0</v>
      </c>
      <c r="S83" s="1024">
        <f t="shared" si="60"/>
        <v>0</v>
      </c>
      <c r="T83" s="1024">
        <f t="shared" si="60"/>
        <v>0</v>
      </c>
      <c r="U83" s="1024">
        <f t="shared" si="60"/>
        <v>0</v>
      </c>
      <c r="V83" s="1024">
        <f t="shared" si="60"/>
        <v>0</v>
      </c>
      <c r="W83" s="1024">
        <f t="shared" si="60"/>
        <v>0</v>
      </c>
      <c r="X83" s="1024">
        <f t="shared" si="60"/>
        <v>0</v>
      </c>
      <c r="Y83" s="1024">
        <f t="shared" si="60"/>
        <v>0</v>
      </c>
      <c r="Z83" s="1024">
        <f t="shared" si="60"/>
        <v>0</v>
      </c>
      <c r="AA83" s="1024">
        <f t="shared" si="60"/>
        <v>0</v>
      </c>
      <c r="AB83" s="1024">
        <f t="shared" si="60"/>
        <v>13565177.981352663</v>
      </c>
      <c r="AC83" s="1024">
        <f t="shared" si="60"/>
        <v>101758000.41623999</v>
      </c>
    </row>
    <row r="84" spans="2:29" s="1032" customFormat="1" ht="12">
      <c r="B84" s="1011" t="s">
        <v>488</v>
      </c>
      <c r="C84" s="1031"/>
      <c r="D84" s="1025">
        <f t="shared" ref="D84:AC84" si="61">SUM(D85:D86)</f>
        <v>2532009325.9230013</v>
      </c>
      <c r="E84" s="1025">
        <f t="shared" si="61"/>
        <v>2675272424.4165049</v>
      </c>
      <c r="F84" s="1025">
        <f t="shared" si="61"/>
        <v>2888463785.6115713</v>
      </c>
      <c r="G84" s="1025">
        <f t="shared" si="61"/>
        <v>3145567301.9136257</v>
      </c>
      <c r="H84" s="1025">
        <f t="shared" si="61"/>
        <v>3459691161.9344788</v>
      </c>
      <c r="I84" s="1025">
        <f t="shared" si="61"/>
        <v>3782095009.2577</v>
      </c>
      <c r="J84" s="1025">
        <f t="shared" si="61"/>
        <v>4217977356.6761351</v>
      </c>
      <c r="K84" s="1025">
        <f t="shared" si="61"/>
        <v>4850883217.9671602</v>
      </c>
      <c r="L84" s="1025">
        <f t="shared" si="61"/>
        <v>5684959286.6738615</v>
      </c>
      <c r="M84" s="1025">
        <f t="shared" si="61"/>
        <v>6698194182.5912895</v>
      </c>
      <c r="N84" s="1025">
        <f t="shared" si="61"/>
        <v>8239649222.7879515</v>
      </c>
      <c r="O84" s="1025">
        <f t="shared" si="61"/>
        <v>8860275487.7660065</v>
      </c>
      <c r="P84" s="1025">
        <f t="shared" si="61"/>
        <v>9627564810.9299126</v>
      </c>
      <c r="Q84" s="1025">
        <f t="shared" si="61"/>
        <v>10460534342.517311</v>
      </c>
      <c r="R84" s="1025">
        <f t="shared" si="61"/>
        <v>10856404604.309734</v>
      </c>
      <c r="S84" s="1025">
        <f t="shared" si="61"/>
        <v>11034830654.812525</v>
      </c>
      <c r="T84" s="1025">
        <f t="shared" si="61"/>
        <v>11163950202.12838</v>
      </c>
      <c r="U84" s="1025">
        <f t="shared" si="61"/>
        <v>11350254006.131683</v>
      </c>
      <c r="V84" s="1025">
        <f t="shared" si="61"/>
        <v>11114265064.718037</v>
      </c>
      <c r="W84" s="1025">
        <f t="shared" si="61"/>
        <v>11066677550.534897</v>
      </c>
      <c r="X84" s="1025">
        <f t="shared" si="61"/>
        <v>10972820542.143759</v>
      </c>
      <c r="Y84" s="1025">
        <f t="shared" si="61"/>
        <v>10749962000.967703</v>
      </c>
      <c r="Z84" s="1025">
        <f t="shared" si="61"/>
        <v>10920303913.319853</v>
      </c>
      <c r="AA84" s="1025">
        <f t="shared" si="61"/>
        <v>11146794876.622337</v>
      </c>
      <c r="AB84" s="1025">
        <f t="shared" si="61"/>
        <v>11459887033.519644</v>
      </c>
      <c r="AC84" s="1025">
        <f t="shared" si="61"/>
        <v>11716055134.904789</v>
      </c>
    </row>
    <row r="85" spans="2:29" s="1032" customFormat="1" ht="12">
      <c r="B85" s="928" t="s">
        <v>489</v>
      </c>
      <c r="C85" s="929"/>
      <c r="D85" s="1033">
        <f>D72*D59</f>
        <v>2532009325.9230013</v>
      </c>
      <c r="E85" s="1024">
        <f t="shared" ref="E85:AC87" si="62">E72*E59</f>
        <v>2675272424.4165049</v>
      </c>
      <c r="F85" s="1024">
        <f t="shared" si="62"/>
        <v>2888463785.6115713</v>
      </c>
      <c r="G85" s="1024">
        <f t="shared" si="62"/>
        <v>3145567301.9136257</v>
      </c>
      <c r="H85" s="1024">
        <f t="shared" si="62"/>
        <v>3459691161.9344788</v>
      </c>
      <c r="I85" s="1024">
        <f t="shared" si="62"/>
        <v>3782095009.2577</v>
      </c>
      <c r="J85" s="1024">
        <f t="shared" si="62"/>
        <v>4217977356.6761351</v>
      </c>
      <c r="K85" s="1024">
        <f t="shared" si="62"/>
        <v>4850883217.9671602</v>
      </c>
      <c r="L85" s="1024">
        <f t="shared" si="62"/>
        <v>5684959286.6738615</v>
      </c>
      <c r="M85" s="1024">
        <f t="shared" si="62"/>
        <v>6698194182.5912895</v>
      </c>
      <c r="N85" s="1024">
        <f t="shared" si="62"/>
        <v>8239649222.7879515</v>
      </c>
      <c r="O85" s="1024">
        <f t="shared" si="62"/>
        <v>8860275487.7660065</v>
      </c>
      <c r="P85" s="1024">
        <f t="shared" si="62"/>
        <v>9627564810.9299126</v>
      </c>
      <c r="Q85" s="1024">
        <f t="shared" si="62"/>
        <v>10460534342.517311</v>
      </c>
      <c r="R85" s="1024">
        <f t="shared" si="62"/>
        <v>10125144190.547939</v>
      </c>
      <c r="S85" s="1024">
        <f t="shared" si="62"/>
        <v>9069723825.8733082</v>
      </c>
      <c r="T85" s="1024">
        <f t="shared" si="62"/>
        <v>8437869338.8179617</v>
      </c>
      <c r="U85" s="1024">
        <f t="shared" si="62"/>
        <v>7612975248.0151529</v>
      </c>
      <c r="V85" s="1024">
        <f t="shared" si="62"/>
        <v>5849613191.9568624</v>
      </c>
      <c r="W85" s="1024">
        <f t="shared" si="62"/>
        <v>4611115646.0562077</v>
      </c>
      <c r="X85" s="1024">
        <f t="shared" si="62"/>
        <v>3227300159.4540467</v>
      </c>
      <c r="Y85" s="1024">
        <f t="shared" si="62"/>
        <v>1679681562.6512036</v>
      </c>
      <c r="Z85" s="1024">
        <f t="shared" si="62"/>
        <v>1217231327.9178181</v>
      </c>
      <c r="AA85" s="1024">
        <f t="shared" si="62"/>
        <v>898935070.69534993</v>
      </c>
      <c r="AB85" s="1024">
        <f t="shared" si="62"/>
        <v>744148508.67010689</v>
      </c>
      <c r="AC85" s="1024">
        <f t="shared" si="62"/>
        <v>574316428.18160737</v>
      </c>
    </row>
    <row r="86" spans="2:29">
      <c r="B86" s="934" t="s">
        <v>490</v>
      </c>
      <c r="C86" s="935"/>
      <c r="D86" s="1026">
        <f t="shared" ref="D86:S87" si="63">D73*D60</f>
        <v>0</v>
      </c>
      <c r="E86" s="1029">
        <f t="shared" si="63"/>
        <v>0</v>
      </c>
      <c r="F86" s="1029">
        <f t="shared" si="63"/>
        <v>0</v>
      </c>
      <c r="G86" s="1029">
        <f t="shared" si="63"/>
        <v>0</v>
      </c>
      <c r="H86" s="1029">
        <f t="shared" si="63"/>
        <v>0</v>
      </c>
      <c r="I86" s="1029">
        <f t="shared" si="63"/>
        <v>0</v>
      </c>
      <c r="J86" s="1029">
        <f t="shared" si="63"/>
        <v>0</v>
      </c>
      <c r="K86" s="1029">
        <f t="shared" si="63"/>
        <v>0</v>
      </c>
      <c r="L86" s="1029">
        <f t="shared" si="63"/>
        <v>0</v>
      </c>
      <c r="M86" s="1029">
        <f t="shared" si="63"/>
        <v>0</v>
      </c>
      <c r="N86" s="1029">
        <f t="shared" si="63"/>
        <v>0</v>
      </c>
      <c r="O86" s="1029">
        <f t="shared" si="63"/>
        <v>0</v>
      </c>
      <c r="P86" s="1029">
        <f t="shared" si="63"/>
        <v>0</v>
      </c>
      <c r="Q86" s="1029">
        <f t="shared" si="63"/>
        <v>0</v>
      </c>
      <c r="R86" s="1029">
        <f t="shared" si="63"/>
        <v>731260413.76179564</v>
      </c>
      <c r="S86" s="1029">
        <f t="shared" si="63"/>
        <v>1965106828.9392169</v>
      </c>
      <c r="T86" s="1029">
        <f t="shared" si="62"/>
        <v>2726080863.3104181</v>
      </c>
      <c r="U86" s="1029">
        <f t="shared" si="62"/>
        <v>3737278758.1165295</v>
      </c>
      <c r="V86" s="1029">
        <f t="shared" si="62"/>
        <v>5264651872.7611752</v>
      </c>
      <c r="W86" s="1029">
        <f t="shared" si="62"/>
        <v>6455561904.4786892</v>
      </c>
      <c r="X86" s="1029">
        <f t="shared" si="62"/>
        <v>7745520382.6897116</v>
      </c>
      <c r="Y86" s="1029">
        <f t="shared" si="62"/>
        <v>9070280438.3164997</v>
      </c>
      <c r="Z86" s="1029">
        <f t="shared" si="62"/>
        <v>9703072585.4020348</v>
      </c>
      <c r="AA86" s="1029">
        <f t="shared" si="62"/>
        <v>10247859805.926987</v>
      </c>
      <c r="AB86" s="1029">
        <f t="shared" si="62"/>
        <v>10715738524.849537</v>
      </c>
      <c r="AC86" s="1029">
        <f t="shared" si="62"/>
        <v>11141738706.723181</v>
      </c>
    </row>
    <row r="87" spans="2:29" ht="12" thickBot="1">
      <c r="B87" s="1015" t="s">
        <v>491</v>
      </c>
      <c r="C87" s="1016"/>
      <c r="D87" s="1028">
        <f t="shared" si="63"/>
        <v>166579560.91598696</v>
      </c>
      <c r="E87" s="1034">
        <f t="shared" si="62"/>
        <v>176004764.76424372</v>
      </c>
      <c r="F87" s="1034">
        <f t="shared" si="62"/>
        <v>190030512.21128762</v>
      </c>
      <c r="G87" s="1034">
        <f t="shared" si="62"/>
        <v>206945217.23115963</v>
      </c>
      <c r="H87" s="1034">
        <f t="shared" si="62"/>
        <v>227611260.65358415</v>
      </c>
      <c r="I87" s="1034">
        <f t="shared" si="62"/>
        <v>248822040.08274344</v>
      </c>
      <c r="J87" s="1034">
        <f t="shared" si="62"/>
        <v>277498510.30764049</v>
      </c>
      <c r="K87" s="1034">
        <f t="shared" si="62"/>
        <v>319137053.81362903</v>
      </c>
      <c r="L87" s="1034">
        <f t="shared" si="62"/>
        <v>359050060.21098077</v>
      </c>
      <c r="M87" s="1034">
        <f t="shared" si="62"/>
        <v>423936340.67033488</v>
      </c>
      <c r="N87" s="1034">
        <f t="shared" si="62"/>
        <v>522047469.23682904</v>
      </c>
      <c r="O87" s="1034">
        <f t="shared" si="62"/>
        <v>549673901.69614875</v>
      </c>
      <c r="P87" s="1034">
        <f t="shared" si="62"/>
        <v>586424763.37761652</v>
      </c>
      <c r="Q87" s="1034">
        <f t="shared" si="62"/>
        <v>596872315.19140708</v>
      </c>
      <c r="R87" s="1034">
        <f t="shared" si="62"/>
        <v>600328719.94236553</v>
      </c>
      <c r="S87" s="1034">
        <f t="shared" si="62"/>
        <v>584514961.92523992</v>
      </c>
      <c r="T87" s="1034">
        <f t="shared" si="62"/>
        <v>561355132.72801399</v>
      </c>
      <c r="U87" s="1034">
        <f t="shared" si="62"/>
        <v>545989420.79443908</v>
      </c>
      <c r="V87" s="1034">
        <f t="shared" si="62"/>
        <v>500001127.59478092</v>
      </c>
      <c r="W87" s="1034">
        <f t="shared" si="62"/>
        <v>465000661.04343855</v>
      </c>
      <c r="X87" s="1034">
        <f t="shared" si="62"/>
        <v>423471706.0057106</v>
      </c>
      <c r="Y87" s="1034">
        <f t="shared" si="62"/>
        <v>419920390.66280091</v>
      </c>
      <c r="Z87" s="1034">
        <f t="shared" si="62"/>
        <v>437154108.19075656</v>
      </c>
      <c r="AA87" s="1034">
        <f t="shared" si="62"/>
        <v>403109897.17280263</v>
      </c>
      <c r="AB87" s="1034">
        <f t="shared" si="62"/>
        <v>391932149.93158716</v>
      </c>
      <c r="AC87" s="1034">
        <f t="shared" si="62"/>
        <v>404676175.43799841</v>
      </c>
    </row>
    <row r="88" spans="2:29" s="1038" customFormat="1" ht="12" thickTop="1">
      <c r="B88" s="1035" t="s">
        <v>263</v>
      </c>
      <c r="C88" s="1036"/>
      <c r="D88" s="1037">
        <f>SUM(D78:D83,D85:D87)</f>
        <v>2698588886.8389883</v>
      </c>
      <c r="E88" s="1037">
        <f t="shared" ref="E88:X88" si="64">SUM(E78:E83,E85:E87)</f>
        <v>2851277189.1807485</v>
      </c>
      <c r="F88" s="1037">
        <f t="shared" si="64"/>
        <v>3078494297.8228588</v>
      </c>
      <c r="G88" s="1037">
        <f t="shared" si="64"/>
        <v>3352512519.1447854</v>
      </c>
      <c r="H88" s="1037">
        <f t="shared" si="64"/>
        <v>3687302422.5880628</v>
      </c>
      <c r="I88" s="1037">
        <f t="shared" si="64"/>
        <v>4030917049.3404436</v>
      </c>
      <c r="J88" s="1037">
        <f t="shared" si="64"/>
        <v>4495475866.9837751</v>
      </c>
      <c r="K88" s="1037">
        <f t="shared" si="64"/>
        <v>5170020271.7807894</v>
      </c>
      <c r="L88" s="1037">
        <f t="shared" si="64"/>
        <v>6054771752.5358</v>
      </c>
      <c r="M88" s="1037">
        <f t="shared" si="64"/>
        <v>7148696960.119976</v>
      </c>
      <c r="N88" s="1037">
        <f t="shared" si="64"/>
        <v>8801556068.7558765</v>
      </c>
      <c r="O88" s="1037">
        <f t="shared" si="64"/>
        <v>9475984594.8322392</v>
      </c>
      <c r="P88" s="1037">
        <f t="shared" si="64"/>
        <v>10309965316.589981</v>
      </c>
      <c r="Q88" s="1037">
        <f t="shared" si="64"/>
        <v>11214157992.95919</v>
      </c>
      <c r="R88" s="1037">
        <f t="shared" si="64"/>
        <v>11711161794.018469</v>
      </c>
      <c r="S88" s="1037">
        <f t="shared" si="64"/>
        <v>11998161273.446783</v>
      </c>
      <c r="T88" s="1037">
        <f t="shared" si="64"/>
        <v>12244710298.229902</v>
      </c>
      <c r="U88" s="1037">
        <f t="shared" si="64"/>
        <v>12556200153.372202</v>
      </c>
      <c r="V88" s="1037">
        <f t="shared" si="64"/>
        <v>12424567241.500671</v>
      </c>
      <c r="W88" s="1037">
        <f t="shared" si="64"/>
        <v>12495600178.825851</v>
      </c>
      <c r="X88" s="1037">
        <f t="shared" si="64"/>
        <v>12463029842.195992</v>
      </c>
      <c r="Y88" s="1037">
        <f>SUM(Y78:Y83,Y85:Y87)</f>
        <v>12316463066.021376</v>
      </c>
      <c r="Z88" s="1037">
        <f>SUM(Z78:Z83,Z85:Z87)</f>
        <v>12540766874.71158</v>
      </c>
      <c r="AA88" s="1037">
        <f>SUM(AA78:AA83,AA85:AA87)</f>
        <v>12761448871.939714</v>
      </c>
      <c r="AB88" s="1037">
        <f>SUM(AB78:AB83,AB85:AB87)</f>
        <v>13054719570.142494</v>
      </c>
      <c r="AC88" s="1037">
        <f>SUM(AC78:AC83,AC85:AC87)</f>
        <v>13104572884.144957</v>
      </c>
    </row>
    <row r="89" spans="2:29">
      <c r="C89" s="1039" t="s">
        <v>493</v>
      </c>
      <c r="D89" s="1039"/>
      <c r="E89" s="1039"/>
      <c r="F89" s="1039"/>
      <c r="G89" s="1039"/>
      <c r="H89" s="1039"/>
      <c r="I89" s="1039"/>
      <c r="J89" s="1039"/>
      <c r="K89" s="1039"/>
      <c r="L89" s="1039"/>
      <c r="M89" s="1039"/>
      <c r="N89" s="1039"/>
      <c r="O89" s="1039"/>
      <c r="P89" s="1039"/>
      <c r="Q89" s="1039"/>
      <c r="R89" s="1039"/>
      <c r="S89" s="1039"/>
      <c r="T89" s="1039"/>
      <c r="U89" s="1039"/>
      <c r="V89" s="1039"/>
      <c r="W89" s="1039"/>
      <c r="X89" s="1039"/>
      <c r="Y89" s="1040"/>
      <c r="Z89" s="1040"/>
      <c r="AA89" s="1040"/>
      <c r="AB89" s="1040"/>
      <c r="AC89" s="1040"/>
    </row>
    <row r="90" spans="2:29" ht="6" customHeight="1">
      <c r="B90" s="1041"/>
      <c r="C90" s="1041"/>
      <c r="D90" s="1041"/>
      <c r="E90" s="1041"/>
      <c r="F90" s="1041"/>
      <c r="G90" s="1041"/>
      <c r="H90" s="1041"/>
      <c r="I90" s="1041"/>
      <c r="J90" s="1041"/>
      <c r="K90" s="1041"/>
      <c r="L90" s="1041"/>
      <c r="M90" s="1041"/>
      <c r="N90" s="1041"/>
      <c r="O90" s="1041"/>
      <c r="P90" s="1041"/>
      <c r="Q90" s="1041"/>
      <c r="R90" s="1041"/>
      <c r="S90" s="1041"/>
      <c r="T90" s="1041"/>
      <c r="U90" s="1041"/>
      <c r="V90" s="1041"/>
      <c r="W90" s="1041"/>
      <c r="X90" s="1041"/>
      <c r="Y90" s="1041"/>
      <c r="Z90" s="1041"/>
      <c r="AA90" s="1041"/>
      <c r="AB90" s="1041"/>
      <c r="AC90" s="1041"/>
    </row>
    <row r="92" spans="2:29" ht="12.75" thickBot="1">
      <c r="B92" s="1042" t="s">
        <v>515</v>
      </c>
      <c r="C92" s="1043"/>
      <c r="D92" s="977">
        <f>D16</f>
        <v>2005</v>
      </c>
      <c r="E92" s="977">
        <f t="shared" ref="E92:X92" si="65">E16</f>
        <v>2006</v>
      </c>
      <c r="F92" s="978">
        <f t="shared" si="65"/>
        <v>2007</v>
      </c>
      <c r="G92" s="977">
        <f t="shared" si="65"/>
        <v>2008</v>
      </c>
      <c r="H92" s="977">
        <f t="shared" si="65"/>
        <v>2009</v>
      </c>
      <c r="I92" s="978">
        <f t="shared" si="65"/>
        <v>2010</v>
      </c>
      <c r="J92" s="978">
        <f t="shared" si="65"/>
        <v>2011</v>
      </c>
      <c r="K92" s="977">
        <f t="shared" si="65"/>
        <v>2012</v>
      </c>
      <c r="L92" s="978">
        <f t="shared" si="65"/>
        <v>2013</v>
      </c>
      <c r="M92" s="978">
        <f t="shared" si="65"/>
        <v>2014</v>
      </c>
      <c r="N92" s="978">
        <f t="shared" si="65"/>
        <v>2015</v>
      </c>
      <c r="O92" s="978">
        <f t="shared" si="65"/>
        <v>2016</v>
      </c>
      <c r="P92" s="978">
        <f t="shared" si="65"/>
        <v>2017</v>
      </c>
      <c r="Q92" s="978">
        <f t="shared" si="65"/>
        <v>2018</v>
      </c>
      <c r="R92" s="978">
        <f t="shared" si="65"/>
        <v>2019</v>
      </c>
      <c r="S92" s="978">
        <f t="shared" si="65"/>
        <v>2020</v>
      </c>
      <c r="T92" s="978">
        <f t="shared" si="65"/>
        <v>2021</v>
      </c>
      <c r="U92" s="978">
        <f t="shared" si="65"/>
        <v>2022</v>
      </c>
      <c r="V92" s="978">
        <f t="shared" si="65"/>
        <v>2023</v>
      </c>
      <c r="W92" s="978">
        <f t="shared" si="65"/>
        <v>2024</v>
      </c>
      <c r="X92" s="978">
        <f t="shared" si="65"/>
        <v>2025</v>
      </c>
      <c r="Y92" s="978">
        <f>Y16</f>
        <v>2026</v>
      </c>
      <c r="Z92" s="978">
        <f>Z16</f>
        <v>2027</v>
      </c>
      <c r="AA92" s="978">
        <f>AA16</f>
        <v>2028</v>
      </c>
      <c r="AB92" s="978">
        <f>AB16</f>
        <v>2029</v>
      </c>
      <c r="AC92" s="978">
        <f>AC16</f>
        <v>2030</v>
      </c>
    </row>
    <row r="93" spans="2:29" ht="12" thickTop="1">
      <c r="B93" s="1044" t="s">
        <v>516</v>
      </c>
      <c r="C93" s="1045"/>
      <c r="D93" s="1046">
        <v>0.35</v>
      </c>
      <c r="E93" s="1046">
        <v>0.35</v>
      </c>
      <c r="F93" s="1046">
        <v>0.35</v>
      </c>
      <c r="G93" s="1046">
        <v>0.35</v>
      </c>
      <c r="H93" s="1046">
        <v>0.35</v>
      </c>
      <c r="I93" s="1046">
        <v>0.35</v>
      </c>
      <c r="J93" s="1046">
        <v>0.35</v>
      </c>
      <c r="K93" s="1046">
        <v>0.35</v>
      </c>
      <c r="L93" s="1046">
        <v>0.35</v>
      </c>
      <c r="M93" s="1046">
        <v>0.35</v>
      </c>
      <c r="N93" s="1046">
        <v>0.35</v>
      </c>
      <c r="O93" s="1046">
        <v>0.35</v>
      </c>
      <c r="P93" s="1046">
        <v>0.35</v>
      </c>
      <c r="Q93" s="1046">
        <v>0.35</v>
      </c>
      <c r="R93" s="1046">
        <v>0.35</v>
      </c>
      <c r="S93" s="1046">
        <v>0.35</v>
      </c>
      <c r="T93" s="1046">
        <v>0.35</v>
      </c>
      <c r="U93" s="1046">
        <v>0.35</v>
      </c>
      <c r="V93" s="1046">
        <v>0.35</v>
      </c>
      <c r="W93" s="1046">
        <v>0.35</v>
      </c>
      <c r="X93" s="1046">
        <v>0.35</v>
      </c>
      <c r="Y93" s="1046">
        <v>0.35</v>
      </c>
      <c r="Z93" s="1046">
        <v>0.35</v>
      </c>
      <c r="AA93" s="1046">
        <v>0.35</v>
      </c>
      <c r="AB93" s="1046">
        <v>0.35</v>
      </c>
      <c r="AC93" s="1046">
        <v>0.35</v>
      </c>
    </row>
    <row r="94" spans="2:29">
      <c r="B94" s="1047" t="s">
        <v>517</v>
      </c>
      <c r="C94" s="1048"/>
      <c r="D94" s="1049">
        <f>D93*D30</f>
        <v>62073.831589667738</v>
      </c>
      <c r="E94" s="1049">
        <f t="shared" ref="E94:X94" si="66">E93*E30</f>
        <v>63819.391522906299</v>
      </c>
      <c r="F94" s="1049">
        <f t="shared" si="66"/>
        <v>65592.385871746214</v>
      </c>
      <c r="G94" s="1049">
        <f t="shared" si="66"/>
        <v>67842.946756497709</v>
      </c>
      <c r="H94" s="1049">
        <f t="shared" si="66"/>
        <v>70134.426084520252</v>
      </c>
      <c r="I94" s="1049">
        <f t="shared" si="66"/>
        <v>72422.215408698714</v>
      </c>
      <c r="J94" s="1049">
        <f t="shared" si="66"/>
        <v>74804.643194511722</v>
      </c>
      <c r="K94" s="1049">
        <f t="shared" si="66"/>
        <v>77581.502923959124</v>
      </c>
      <c r="L94" s="1049">
        <f t="shared" si="66"/>
        <v>80395.312627209205</v>
      </c>
      <c r="M94" s="1049">
        <f t="shared" si="66"/>
        <v>84171.612908223949</v>
      </c>
      <c r="N94" s="1049">
        <f t="shared" si="66"/>
        <v>87082.55372838155</v>
      </c>
      <c r="O94" s="1049">
        <f t="shared" si="66"/>
        <v>90040.172658468568</v>
      </c>
      <c r="P94" s="1049">
        <f t="shared" si="66"/>
        <v>94373.527847165431</v>
      </c>
      <c r="Q94" s="1049">
        <f t="shared" si="66"/>
        <v>98804.189732766987</v>
      </c>
      <c r="R94" s="1049">
        <f t="shared" si="66"/>
        <v>103678.37159395365</v>
      </c>
      <c r="S94" s="1049">
        <f t="shared" si="66"/>
        <v>108844.87549598984</v>
      </c>
      <c r="T94" s="1049">
        <f t="shared" si="66"/>
        <v>114108.39460683512</v>
      </c>
      <c r="U94" s="1049">
        <f t="shared" si="66"/>
        <v>119479.18188956709</v>
      </c>
      <c r="V94" s="1049">
        <f t="shared" si="66"/>
        <v>123826.36381681007</v>
      </c>
      <c r="W94" s="1049">
        <f t="shared" si="66"/>
        <v>127670.09130240795</v>
      </c>
      <c r="X94" s="1049">
        <f t="shared" si="66"/>
        <v>131342.47979953475</v>
      </c>
      <c r="Y94" s="1049">
        <f>Y93*Y30</f>
        <v>134123.53997571275</v>
      </c>
      <c r="Z94" s="1049">
        <f>Z93*Z30</f>
        <v>136222.46736426707</v>
      </c>
      <c r="AA94" s="1049">
        <f>AA93*AA30</f>
        <v>137868.89550508556</v>
      </c>
      <c r="AB94" s="1049">
        <f>AB93*AB30</f>
        <v>139494.98140109403</v>
      </c>
      <c r="AC94" s="1049">
        <f>AC93*AC30</f>
        <v>140517.83988269026</v>
      </c>
    </row>
    <row r="95" spans="2:29">
      <c r="B95" s="1047" t="s">
        <v>518</v>
      </c>
      <c r="C95" s="1048"/>
      <c r="D95" s="1050">
        <v>0.1</v>
      </c>
      <c r="E95" s="1050">
        <v>0.1</v>
      </c>
      <c r="F95" s="1050">
        <v>0.1</v>
      </c>
      <c r="G95" s="1050">
        <v>0.1</v>
      </c>
      <c r="H95" s="1050">
        <v>0.1</v>
      </c>
      <c r="I95" s="1050">
        <v>0.1</v>
      </c>
      <c r="J95" s="1050">
        <v>0.1</v>
      </c>
      <c r="K95" s="1050">
        <v>0.1</v>
      </c>
      <c r="L95" s="1050">
        <v>0.1</v>
      </c>
      <c r="M95" s="1050">
        <v>0.1</v>
      </c>
      <c r="N95" s="1050">
        <v>0.1</v>
      </c>
      <c r="O95" s="1050">
        <v>0.1</v>
      </c>
      <c r="P95" s="1050">
        <v>0.1</v>
      </c>
      <c r="Q95" s="1050">
        <v>0.1</v>
      </c>
      <c r="R95" s="1050">
        <v>0.1</v>
      </c>
      <c r="S95" s="1050">
        <v>0.1</v>
      </c>
      <c r="T95" s="1050">
        <v>0.1</v>
      </c>
      <c r="U95" s="1050">
        <v>0.1</v>
      </c>
      <c r="V95" s="1050">
        <v>0.1</v>
      </c>
      <c r="W95" s="1050">
        <v>0.1</v>
      </c>
      <c r="X95" s="1050">
        <v>0.1</v>
      </c>
      <c r="Y95" s="1050">
        <v>0.1</v>
      </c>
      <c r="Z95" s="1050">
        <v>0.1</v>
      </c>
      <c r="AA95" s="1050">
        <v>0.1</v>
      </c>
      <c r="AB95" s="1050">
        <v>0.1</v>
      </c>
      <c r="AC95" s="1050">
        <v>0.1</v>
      </c>
    </row>
    <row r="96" spans="2:29" ht="12" thickBot="1">
      <c r="B96" s="1051" t="s">
        <v>519</v>
      </c>
      <c r="C96" s="1052"/>
      <c r="D96" s="1053">
        <f>D94*(1-D95)</f>
        <v>55866.448430700962</v>
      </c>
      <c r="E96" s="1053">
        <f t="shared" ref="E96:X96" si="67">E94*(1-E95)</f>
        <v>57437.452370615669</v>
      </c>
      <c r="F96" s="1053">
        <f t="shared" si="67"/>
        <v>59033.147284571591</v>
      </c>
      <c r="G96" s="1053">
        <f t="shared" si="67"/>
        <v>61058.65208084794</v>
      </c>
      <c r="H96" s="1053">
        <f t="shared" si="67"/>
        <v>63120.983476068228</v>
      </c>
      <c r="I96" s="1053">
        <f t="shared" si="67"/>
        <v>65179.993867828845</v>
      </c>
      <c r="J96" s="1053">
        <f t="shared" si="67"/>
        <v>67324.178875060548</v>
      </c>
      <c r="K96" s="1053">
        <f t="shared" si="67"/>
        <v>69823.352631563219</v>
      </c>
      <c r="L96" s="1053">
        <f t="shared" si="67"/>
        <v>72355.781364488284</v>
      </c>
      <c r="M96" s="1053">
        <f t="shared" si="67"/>
        <v>75754.451617401559</v>
      </c>
      <c r="N96" s="1053">
        <f t="shared" si="67"/>
        <v>78374.298355543404</v>
      </c>
      <c r="O96" s="1053">
        <f t="shared" si="67"/>
        <v>81036.155392621717</v>
      </c>
      <c r="P96" s="1053">
        <f t="shared" si="67"/>
        <v>84936.175062448892</v>
      </c>
      <c r="Q96" s="1053">
        <f t="shared" si="67"/>
        <v>88923.770759490289</v>
      </c>
      <c r="R96" s="1053">
        <f t="shared" si="67"/>
        <v>93310.534434558285</v>
      </c>
      <c r="S96" s="1053">
        <f t="shared" si="67"/>
        <v>97960.387946390852</v>
      </c>
      <c r="T96" s="1053">
        <f t="shared" si="67"/>
        <v>102697.55514615162</v>
      </c>
      <c r="U96" s="1053">
        <f t="shared" si="67"/>
        <v>107531.26370061038</v>
      </c>
      <c r="V96" s="1053">
        <f t="shared" si="67"/>
        <v>111443.72743512907</v>
      </c>
      <c r="W96" s="1053">
        <f t="shared" si="67"/>
        <v>114903.08217216715</v>
      </c>
      <c r="X96" s="1053">
        <f t="shared" si="67"/>
        <v>118208.23181958127</v>
      </c>
      <c r="Y96" s="1053">
        <f>Y94*(1-Y95)</f>
        <v>120711.18597814147</v>
      </c>
      <c r="Z96" s="1053">
        <f>Z94*(1-Z95)</f>
        <v>122600.22062784036</v>
      </c>
      <c r="AA96" s="1053">
        <f>AA94*(1-AA95)</f>
        <v>124082.00595457701</v>
      </c>
      <c r="AB96" s="1053">
        <f>AB94*(1-AB95)</f>
        <v>125545.48326098463</v>
      </c>
      <c r="AC96" s="1053">
        <f>AC94*(1-AC95)</f>
        <v>126466.05589442124</v>
      </c>
    </row>
    <row r="97" spans="2:31" ht="12" thickTop="1">
      <c r="B97" s="1005"/>
      <c r="C97" s="976"/>
      <c r="D97" s="976"/>
      <c r="E97" s="976"/>
      <c r="F97" s="983"/>
      <c r="G97" s="976"/>
      <c r="H97" s="976"/>
      <c r="I97" s="983"/>
      <c r="J97" s="983"/>
      <c r="K97" s="976"/>
      <c r="L97" s="983"/>
      <c r="M97" s="983"/>
      <c r="N97" s="983"/>
      <c r="O97" s="983"/>
      <c r="P97" s="983"/>
      <c r="Q97" s="983"/>
      <c r="R97" s="983"/>
      <c r="S97" s="983"/>
      <c r="T97" s="983"/>
      <c r="U97" s="983"/>
      <c r="V97" s="983"/>
      <c r="W97" s="983"/>
      <c r="X97" s="983"/>
      <c r="Y97" s="983"/>
      <c r="Z97" s="983"/>
      <c r="AA97" s="983"/>
      <c r="AB97" s="983"/>
      <c r="AC97" s="983"/>
    </row>
    <row r="98" spans="2:31" ht="12">
      <c r="B98" s="1006" t="s">
        <v>520</v>
      </c>
      <c r="C98" s="976"/>
      <c r="D98" s="976"/>
      <c r="E98" s="976"/>
      <c r="F98" s="983"/>
      <c r="G98" s="976"/>
      <c r="H98" s="976"/>
      <c r="I98" s="983"/>
      <c r="J98" s="983"/>
      <c r="K98" s="976"/>
      <c r="L98" s="983"/>
      <c r="M98" s="983"/>
      <c r="N98" s="983"/>
      <c r="O98" s="983"/>
      <c r="P98" s="983"/>
      <c r="Q98" s="983"/>
      <c r="R98" s="983"/>
      <c r="S98" s="983"/>
      <c r="T98" s="983"/>
      <c r="U98" s="983"/>
      <c r="V98" s="983"/>
      <c r="W98" s="983"/>
      <c r="X98" s="983"/>
      <c r="Y98" s="983"/>
      <c r="Z98" s="983"/>
      <c r="AA98" s="983"/>
      <c r="AB98" s="983"/>
      <c r="AC98" s="983"/>
    </row>
    <row r="99" spans="2:31" s="941" customFormat="1">
      <c r="B99" s="1007" t="s">
        <v>481</v>
      </c>
      <c r="C99" s="1021"/>
      <c r="D99" s="1054">
        <f t="shared" ref="D99:AC99" si="68">SUM(D100:D105)</f>
        <v>0</v>
      </c>
      <c r="E99" s="1054">
        <f t="shared" si="68"/>
        <v>0</v>
      </c>
      <c r="F99" s="1055">
        <f t="shared" si="68"/>
        <v>0</v>
      </c>
      <c r="G99" s="1054">
        <f t="shared" si="68"/>
        <v>0</v>
      </c>
      <c r="H99" s="1054">
        <f t="shared" si="68"/>
        <v>0</v>
      </c>
      <c r="I99" s="1055">
        <f t="shared" si="68"/>
        <v>0</v>
      </c>
      <c r="J99" s="1055">
        <f t="shared" si="68"/>
        <v>0</v>
      </c>
      <c r="K99" s="1055">
        <f t="shared" si="68"/>
        <v>0</v>
      </c>
      <c r="L99" s="1055">
        <f t="shared" si="68"/>
        <v>144.71156272897662</v>
      </c>
      <c r="M99" s="1055">
        <f t="shared" si="68"/>
        <v>340.89503227830699</v>
      </c>
      <c r="N99" s="1055">
        <f t="shared" si="68"/>
        <v>431.05864095548861</v>
      </c>
      <c r="O99" s="1055">
        <f t="shared" si="68"/>
        <v>607.77116544466276</v>
      </c>
      <c r="P99" s="1055">
        <f t="shared" si="68"/>
        <v>849.36175062448888</v>
      </c>
      <c r="Q99" s="1055">
        <f t="shared" si="68"/>
        <v>1333.8565613923545</v>
      </c>
      <c r="R99" s="1055">
        <f t="shared" si="68"/>
        <v>2146.1422919948404</v>
      </c>
      <c r="S99" s="1055">
        <f t="shared" si="68"/>
        <v>3232.6928022308989</v>
      </c>
      <c r="T99" s="1055">
        <f t="shared" si="68"/>
        <v>4415.9948712845189</v>
      </c>
      <c r="U99" s="1055">
        <f t="shared" si="68"/>
        <v>5591.6257124317399</v>
      </c>
      <c r="V99" s="1055">
        <f t="shared" si="68"/>
        <v>6798.0673735428736</v>
      </c>
      <c r="W99" s="1055">
        <f t="shared" si="68"/>
        <v>7928.312669879534</v>
      </c>
      <c r="X99" s="1055">
        <f t="shared" si="68"/>
        <v>8983.8256182881778</v>
      </c>
      <c r="Y99" s="1055">
        <f t="shared" si="68"/>
        <v>9898.3172502076013</v>
      </c>
      <c r="Z99" s="1055">
        <f t="shared" si="68"/>
        <v>10543.618973994269</v>
      </c>
      <c r="AA99" s="1055">
        <f t="shared" si="68"/>
        <v>11167.380535911931</v>
      </c>
      <c r="AB99" s="1055">
        <f t="shared" si="68"/>
        <v>11801.275426532555</v>
      </c>
      <c r="AC99" s="1055">
        <f t="shared" si="68"/>
        <v>12140.74136586444</v>
      </c>
    </row>
    <row r="100" spans="2:31">
      <c r="B100" s="925" t="s">
        <v>482</v>
      </c>
      <c r="C100" s="926"/>
      <c r="D100" s="1056">
        <f>(D$93*D52)*(1-D$95)</f>
        <v>0</v>
      </c>
      <c r="E100" s="1056">
        <f t="shared" ref="E100:AC100" si="69">(E$93*E52)*(1-E$95)</f>
        <v>0</v>
      </c>
      <c r="F100" s="1057">
        <f t="shared" si="69"/>
        <v>0</v>
      </c>
      <c r="G100" s="1056">
        <f t="shared" si="69"/>
        <v>0</v>
      </c>
      <c r="H100" s="1056">
        <f t="shared" si="69"/>
        <v>0</v>
      </c>
      <c r="I100" s="1057">
        <f t="shared" si="69"/>
        <v>0</v>
      </c>
      <c r="J100" s="1057">
        <f t="shared" si="69"/>
        <v>0</v>
      </c>
      <c r="K100" s="1056">
        <f t="shared" si="69"/>
        <v>0</v>
      </c>
      <c r="L100" s="1057">
        <f t="shared" si="69"/>
        <v>144.71156272897662</v>
      </c>
      <c r="M100" s="1057">
        <f t="shared" si="69"/>
        <v>340.89503227830699</v>
      </c>
      <c r="N100" s="1057">
        <f t="shared" si="69"/>
        <v>431.05864095548861</v>
      </c>
      <c r="O100" s="1057">
        <f t="shared" si="69"/>
        <v>607.77116544466276</v>
      </c>
      <c r="P100" s="1057">
        <f t="shared" si="69"/>
        <v>849.36175062448888</v>
      </c>
      <c r="Q100" s="1057">
        <f t="shared" si="69"/>
        <v>1333.8565613923545</v>
      </c>
      <c r="R100" s="1057">
        <f t="shared" si="69"/>
        <v>1502.2996043963883</v>
      </c>
      <c r="S100" s="1057">
        <f t="shared" si="69"/>
        <v>1293.0771208923595</v>
      </c>
      <c r="T100" s="1057">
        <f t="shared" si="69"/>
        <v>1103.9987178211297</v>
      </c>
      <c r="U100" s="1057">
        <f t="shared" si="69"/>
        <v>559.16257124317406</v>
      </c>
      <c r="V100" s="1057">
        <f t="shared" si="69"/>
        <v>67.980673735428724</v>
      </c>
      <c r="W100" s="1057">
        <f t="shared" si="69"/>
        <v>79.283126698795343</v>
      </c>
      <c r="X100" s="1057">
        <f t="shared" si="69"/>
        <v>17.967651236576355</v>
      </c>
      <c r="Y100" s="1057">
        <f t="shared" si="69"/>
        <v>9.8983172502076027</v>
      </c>
      <c r="Z100" s="1057">
        <f t="shared" si="69"/>
        <v>10.543618973994271</v>
      </c>
      <c r="AA100" s="1057">
        <f t="shared" si="69"/>
        <v>11.16738053591193</v>
      </c>
      <c r="AB100" s="1057">
        <f t="shared" si="69"/>
        <v>11.801275426532555</v>
      </c>
      <c r="AC100" s="1057">
        <f t="shared" si="69"/>
        <v>12.140741365864439</v>
      </c>
    </row>
    <row r="101" spans="2:31">
      <c r="B101" s="928" t="s">
        <v>483</v>
      </c>
      <c r="C101" s="929"/>
      <c r="D101" s="1058">
        <f t="shared" ref="D101:AC105" si="70">(D$93*D53)*(1-D$95)</f>
        <v>0</v>
      </c>
      <c r="E101" s="1058">
        <f t="shared" si="70"/>
        <v>0</v>
      </c>
      <c r="F101" s="1059">
        <f t="shared" si="70"/>
        <v>0</v>
      </c>
      <c r="G101" s="1058">
        <f t="shared" si="70"/>
        <v>0</v>
      </c>
      <c r="H101" s="1058">
        <f t="shared" si="70"/>
        <v>0</v>
      </c>
      <c r="I101" s="1059">
        <f t="shared" si="70"/>
        <v>0</v>
      </c>
      <c r="J101" s="1059">
        <f t="shared" si="70"/>
        <v>0</v>
      </c>
      <c r="K101" s="1058">
        <f t="shared" si="70"/>
        <v>0</v>
      </c>
      <c r="L101" s="1059">
        <f t="shared" si="70"/>
        <v>0</v>
      </c>
      <c r="M101" s="1059">
        <f t="shared" si="70"/>
        <v>0</v>
      </c>
      <c r="N101" s="1059">
        <f t="shared" si="70"/>
        <v>0</v>
      </c>
      <c r="O101" s="1059">
        <f t="shared" si="70"/>
        <v>0</v>
      </c>
      <c r="P101" s="1059">
        <f t="shared" si="70"/>
        <v>0</v>
      </c>
      <c r="Q101" s="1059">
        <f t="shared" si="70"/>
        <v>0</v>
      </c>
      <c r="R101" s="1059">
        <f t="shared" si="70"/>
        <v>0</v>
      </c>
      <c r="S101" s="1059">
        <f t="shared" si="70"/>
        <v>0</v>
      </c>
      <c r="T101" s="1059">
        <f t="shared" si="70"/>
        <v>0</v>
      </c>
      <c r="U101" s="1059">
        <f t="shared" si="70"/>
        <v>0</v>
      </c>
      <c r="V101" s="1059">
        <f t="shared" si="70"/>
        <v>0</v>
      </c>
      <c r="W101" s="1059">
        <f t="shared" si="70"/>
        <v>0</v>
      </c>
      <c r="X101" s="1059">
        <f t="shared" si="70"/>
        <v>449.19128091440882</v>
      </c>
      <c r="Y101" s="1059">
        <f t="shared" si="70"/>
        <v>989.83172502076013</v>
      </c>
      <c r="Z101" s="1059">
        <f t="shared" si="70"/>
        <v>1581.5428460991402</v>
      </c>
      <c r="AA101" s="1059">
        <f t="shared" si="70"/>
        <v>2233.4761071823859</v>
      </c>
      <c r="AB101" s="1059">
        <f t="shared" si="70"/>
        <v>2950.3188566331387</v>
      </c>
      <c r="AC101" s="1059">
        <f t="shared" si="70"/>
        <v>3035.18534146611</v>
      </c>
    </row>
    <row r="102" spans="2:31">
      <c r="B102" s="925" t="s">
        <v>484</v>
      </c>
      <c r="C102" s="926"/>
      <c r="D102" s="1056">
        <f t="shared" si="70"/>
        <v>0</v>
      </c>
      <c r="E102" s="1056">
        <f t="shared" si="70"/>
        <v>0</v>
      </c>
      <c r="F102" s="1057">
        <f t="shared" si="70"/>
        <v>0</v>
      </c>
      <c r="G102" s="1056">
        <f t="shared" si="70"/>
        <v>0</v>
      </c>
      <c r="H102" s="1060">
        <f t="shared" si="70"/>
        <v>0</v>
      </c>
      <c r="I102" s="1057">
        <f t="shared" si="70"/>
        <v>0</v>
      </c>
      <c r="J102" s="1057">
        <f t="shared" si="70"/>
        <v>0</v>
      </c>
      <c r="K102" s="1057">
        <f t="shared" si="70"/>
        <v>0</v>
      </c>
      <c r="L102" s="1057">
        <f t="shared" si="70"/>
        <v>0</v>
      </c>
      <c r="M102" s="1057">
        <f t="shared" si="70"/>
        <v>0</v>
      </c>
      <c r="N102" s="1057">
        <f t="shared" si="70"/>
        <v>0</v>
      </c>
      <c r="O102" s="1057">
        <f t="shared" si="70"/>
        <v>0</v>
      </c>
      <c r="P102" s="1057">
        <f t="shared" si="70"/>
        <v>0</v>
      </c>
      <c r="Q102" s="1057">
        <f t="shared" si="70"/>
        <v>0</v>
      </c>
      <c r="R102" s="1057">
        <f t="shared" si="70"/>
        <v>214.61422919948404</v>
      </c>
      <c r="S102" s="1057">
        <f t="shared" si="70"/>
        <v>646.53856044617976</v>
      </c>
      <c r="T102" s="1057">
        <f t="shared" si="70"/>
        <v>1103.9987178211297</v>
      </c>
      <c r="U102" s="1057">
        <f t="shared" si="70"/>
        <v>1677.4877137295221</v>
      </c>
      <c r="V102" s="1057">
        <f t="shared" si="70"/>
        <v>2243.362233269148</v>
      </c>
      <c r="W102" s="1057">
        <f t="shared" si="70"/>
        <v>2616.343181060246</v>
      </c>
      <c r="X102" s="1057">
        <f t="shared" si="70"/>
        <v>2713.1153367230295</v>
      </c>
      <c r="Y102" s="1057">
        <f t="shared" si="70"/>
        <v>2860.6136853099965</v>
      </c>
      <c r="Z102" s="1057">
        <f t="shared" si="70"/>
        <v>2857.320741952447</v>
      </c>
      <c r="AA102" s="1057">
        <f t="shared" si="70"/>
        <v>2914.6863198730139</v>
      </c>
      <c r="AB102" s="1057">
        <f t="shared" si="70"/>
        <v>2596.2805938371621</v>
      </c>
      <c r="AC102" s="1057">
        <f t="shared" si="70"/>
        <v>594.89632692735768</v>
      </c>
      <c r="AE102" s="914" t="s">
        <v>4</v>
      </c>
    </row>
    <row r="103" spans="2:31">
      <c r="B103" s="928" t="s">
        <v>485</v>
      </c>
      <c r="C103" s="929"/>
      <c r="D103" s="1058">
        <f t="shared" si="70"/>
        <v>0</v>
      </c>
      <c r="E103" s="1058">
        <f t="shared" si="70"/>
        <v>0</v>
      </c>
      <c r="F103" s="1058">
        <f t="shared" si="70"/>
        <v>0</v>
      </c>
      <c r="G103" s="1058">
        <f t="shared" si="70"/>
        <v>0</v>
      </c>
      <c r="H103" s="1058">
        <f t="shared" si="70"/>
        <v>0</v>
      </c>
      <c r="I103" s="1058">
        <f t="shared" si="70"/>
        <v>0</v>
      </c>
      <c r="J103" s="1058">
        <f t="shared" si="70"/>
        <v>0</v>
      </c>
      <c r="K103" s="1058">
        <f t="shared" si="70"/>
        <v>0</v>
      </c>
      <c r="L103" s="1058">
        <f t="shared" si="70"/>
        <v>0</v>
      </c>
      <c r="M103" s="1058">
        <f t="shared" si="70"/>
        <v>0</v>
      </c>
      <c r="N103" s="1058">
        <f t="shared" si="70"/>
        <v>0</v>
      </c>
      <c r="O103" s="1058">
        <f t="shared" si="70"/>
        <v>0</v>
      </c>
      <c r="P103" s="1058">
        <f t="shared" si="70"/>
        <v>0</v>
      </c>
      <c r="Q103" s="1058">
        <f t="shared" si="70"/>
        <v>0</v>
      </c>
      <c r="R103" s="1058">
        <f t="shared" si="70"/>
        <v>214.61422919948404</v>
      </c>
      <c r="S103" s="1058">
        <f t="shared" si="70"/>
        <v>646.53856044617976</v>
      </c>
      <c r="T103" s="1058">
        <f t="shared" si="70"/>
        <v>1103.9987178211297</v>
      </c>
      <c r="U103" s="1058">
        <f t="shared" si="70"/>
        <v>1677.4877137295221</v>
      </c>
      <c r="V103" s="1058">
        <f t="shared" si="70"/>
        <v>2243.362233269148</v>
      </c>
      <c r="W103" s="1058">
        <f t="shared" si="70"/>
        <v>2616.343181060246</v>
      </c>
      <c r="X103" s="1058">
        <f t="shared" si="70"/>
        <v>2901.7756747070812</v>
      </c>
      <c r="Y103" s="1058">
        <f t="shared" si="70"/>
        <v>3018.9867613133183</v>
      </c>
      <c r="Z103" s="1058">
        <f t="shared" si="70"/>
        <v>3047.1058834843438</v>
      </c>
      <c r="AA103" s="1058">
        <f t="shared" si="70"/>
        <v>3004.0253641603094</v>
      </c>
      <c r="AB103" s="1058">
        <f t="shared" si="70"/>
        <v>2950.3188566331387</v>
      </c>
      <c r="AC103" s="1058">
        <f t="shared" si="70"/>
        <v>2731.6668073194992</v>
      </c>
    </row>
    <row r="104" spans="2:31">
      <c r="B104" s="925" t="s">
        <v>486</v>
      </c>
      <c r="C104" s="926"/>
      <c r="D104" s="1056">
        <f t="shared" si="70"/>
        <v>0</v>
      </c>
      <c r="E104" s="1056">
        <f t="shared" si="70"/>
        <v>0</v>
      </c>
      <c r="F104" s="1057">
        <f t="shared" si="70"/>
        <v>0</v>
      </c>
      <c r="G104" s="1056">
        <f t="shared" si="70"/>
        <v>0</v>
      </c>
      <c r="H104" s="1056">
        <f t="shared" si="70"/>
        <v>0</v>
      </c>
      <c r="I104" s="1056">
        <f t="shared" si="70"/>
        <v>0</v>
      </c>
      <c r="J104" s="1056">
        <f t="shared" si="70"/>
        <v>0</v>
      </c>
      <c r="K104" s="1056">
        <f t="shared" si="70"/>
        <v>0</v>
      </c>
      <c r="L104" s="1056">
        <f t="shared" si="70"/>
        <v>0</v>
      </c>
      <c r="M104" s="1056">
        <f t="shared" si="70"/>
        <v>0</v>
      </c>
      <c r="N104" s="1056">
        <f t="shared" si="70"/>
        <v>0</v>
      </c>
      <c r="O104" s="1056">
        <f t="shared" si="70"/>
        <v>0</v>
      </c>
      <c r="P104" s="1056">
        <f t="shared" si="70"/>
        <v>0</v>
      </c>
      <c r="Q104" s="1056">
        <f t="shared" si="70"/>
        <v>0</v>
      </c>
      <c r="R104" s="1056">
        <f t="shared" si="70"/>
        <v>214.61422919948404</v>
      </c>
      <c r="S104" s="1056">
        <f t="shared" si="70"/>
        <v>646.53856044617976</v>
      </c>
      <c r="T104" s="1056">
        <f t="shared" si="70"/>
        <v>1103.9987178211297</v>
      </c>
      <c r="U104" s="1056">
        <f t="shared" si="70"/>
        <v>1677.4877137295221</v>
      </c>
      <c r="V104" s="1056">
        <f t="shared" si="70"/>
        <v>2243.362233269148</v>
      </c>
      <c r="W104" s="1056">
        <f t="shared" si="70"/>
        <v>2616.343181060246</v>
      </c>
      <c r="X104" s="1056">
        <f t="shared" si="70"/>
        <v>2901.7756747070812</v>
      </c>
      <c r="Y104" s="1056">
        <f t="shared" si="70"/>
        <v>3018.9867613133183</v>
      </c>
      <c r="Z104" s="1056">
        <f t="shared" si="70"/>
        <v>3047.1058834843438</v>
      </c>
      <c r="AA104" s="1056">
        <f t="shared" si="70"/>
        <v>3004.0253641603094</v>
      </c>
      <c r="AB104" s="1056">
        <f t="shared" si="70"/>
        <v>2950.3188566331387</v>
      </c>
      <c r="AC104" s="1056">
        <f t="shared" si="70"/>
        <v>2731.6668073194992</v>
      </c>
    </row>
    <row r="105" spans="2:31">
      <c r="B105" s="931" t="s">
        <v>487</v>
      </c>
      <c r="C105" s="929"/>
      <c r="D105" s="1058">
        <f t="shared" si="70"/>
        <v>0</v>
      </c>
      <c r="E105" s="1058">
        <f t="shared" si="70"/>
        <v>0</v>
      </c>
      <c r="F105" s="1058">
        <f t="shared" si="70"/>
        <v>0</v>
      </c>
      <c r="G105" s="1058">
        <f t="shared" si="70"/>
        <v>0</v>
      </c>
      <c r="H105" s="1058">
        <f t="shared" si="70"/>
        <v>0</v>
      </c>
      <c r="I105" s="1058">
        <f t="shared" si="70"/>
        <v>0</v>
      </c>
      <c r="J105" s="1058">
        <f t="shared" si="70"/>
        <v>0</v>
      </c>
      <c r="K105" s="1058">
        <f t="shared" si="70"/>
        <v>0</v>
      </c>
      <c r="L105" s="1058">
        <f t="shared" si="70"/>
        <v>0</v>
      </c>
      <c r="M105" s="1058">
        <f t="shared" si="70"/>
        <v>0</v>
      </c>
      <c r="N105" s="1058">
        <f t="shared" si="70"/>
        <v>0</v>
      </c>
      <c r="O105" s="1058">
        <f t="shared" si="70"/>
        <v>0</v>
      </c>
      <c r="P105" s="1058">
        <f t="shared" si="70"/>
        <v>0</v>
      </c>
      <c r="Q105" s="1058">
        <f t="shared" si="70"/>
        <v>0</v>
      </c>
      <c r="R105" s="1058">
        <f t="shared" si="70"/>
        <v>0</v>
      </c>
      <c r="S105" s="1058">
        <f t="shared" si="70"/>
        <v>0</v>
      </c>
      <c r="T105" s="1058">
        <f t="shared" si="70"/>
        <v>0</v>
      </c>
      <c r="U105" s="1058">
        <f t="shared" si="70"/>
        <v>0</v>
      </c>
      <c r="V105" s="1058">
        <f t="shared" si="70"/>
        <v>0</v>
      </c>
      <c r="W105" s="1058">
        <f t="shared" si="70"/>
        <v>0</v>
      </c>
      <c r="X105" s="1058">
        <f t="shared" si="70"/>
        <v>0</v>
      </c>
      <c r="Y105" s="1058">
        <f t="shared" si="70"/>
        <v>0</v>
      </c>
      <c r="Z105" s="1058">
        <f t="shared" si="70"/>
        <v>0</v>
      </c>
      <c r="AA105" s="1058">
        <f t="shared" si="70"/>
        <v>0</v>
      </c>
      <c r="AB105" s="1058">
        <f t="shared" si="70"/>
        <v>342.23698736944414</v>
      </c>
      <c r="AC105" s="1058">
        <f t="shared" si="70"/>
        <v>3035.18534146611</v>
      </c>
    </row>
    <row r="106" spans="2:31" ht="12">
      <c r="B106" s="1011" t="s">
        <v>488</v>
      </c>
      <c r="C106" s="1031"/>
      <c r="D106" s="1061">
        <f t="shared" ref="D106:AC106" si="71">SUM(D107:D108)</f>
        <v>53073.126009165913</v>
      </c>
      <c r="E106" s="1062">
        <f t="shared" si="71"/>
        <v>54565.579752084886</v>
      </c>
      <c r="F106" s="1061">
        <f t="shared" si="71"/>
        <v>56081.489920343003</v>
      </c>
      <c r="G106" s="1062">
        <f t="shared" si="71"/>
        <v>58005.719476805527</v>
      </c>
      <c r="H106" s="1062">
        <f t="shared" si="71"/>
        <v>59964.934302264817</v>
      </c>
      <c r="I106" s="1062">
        <f t="shared" si="71"/>
        <v>61920.994174437394</v>
      </c>
      <c r="J106" s="1062">
        <f t="shared" si="71"/>
        <v>63957.969931307518</v>
      </c>
      <c r="K106" s="1062">
        <f t="shared" si="71"/>
        <v>66332.184999985038</v>
      </c>
      <c r="L106" s="1062">
        <f t="shared" si="71"/>
        <v>68737.992296263867</v>
      </c>
      <c r="M106" s="1062">
        <f t="shared" si="71"/>
        <v>71815.220133296665</v>
      </c>
      <c r="N106" s="1062">
        <f t="shared" si="71"/>
        <v>74220.460542699584</v>
      </c>
      <c r="O106" s="1062">
        <f t="shared" si="71"/>
        <v>76741.239156812764</v>
      </c>
      <c r="P106" s="1062">
        <f t="shared" si="71"/>
        <v>80179.74925895175</v>
      </c>
      <c r="Q106" s="1062">
        <f t="shared" si="71"/>
        <v>83766.192055439838</v>
      </c>
      <c r="R106" s="1062">
        <f t="shared" si="71"/>
        <v>87431.970765181133</v>
      </c>
      <c r="S106" s="1062">
        <f t="shared" si="71"/>
        <v>91201.121178089888</v>
      </c>
      <c r="T106" s="1062">
        <f t="shared" si="71"/>
        <v>94995.238510190247</v>
      </c>
      <c r="U106" s="1062">
        <f t="shared" si="71"/>
        <v>98821.231340860948</v>
      </c>
      <c r="V106" s="1062">
        <f t="shared" si="71"/>
        <v>101859.56687570797</v>
      </c>
      <c r="W106" s="1062">
        <f t="shared" si="71"/>
        <v>104446.90169449995</v>
      </c>
      <c r="X106" s="1062">
        <f t="shared" si="71"/>
        <v>106978.44979672105</v>
      </c>
      <c r="Y106" s="1062">
        <f t="shared" si="71"/>
        <v>108640.06738032734</v>
      </c>
      <c r="Z106" s="1062">
        <f t="shared" si="71"/>
        <v>109727.19746191712</v>
      </c>
      <c r="AA106" s="1062">
        <f t="shared" si="71"/>
        <v>110681.1493114827</v>
      </c>
      <c r="AB106" s="1062">
        <f t="shared" si="71"/>
        <v>111735.48010227633</v>
      </c>
      <c r="AC106" s="1062">
        <f t="shared" si="71"/>
        <v>112175.39157835164</v>
      </c>
    </row>
    <row r="107" spans="2:31" s="961" customFormat="1">
      <c r="B107" s="928" t="s">
        <v>489</v>
      </c>
      <c r="C107" s="929"/>
      <c r="D107" s="1010">
        <f t="shared" ref="D107:AC109" si="72">D$93*D59*(1-D$95)</f>
        <v>53073.126009165913</v>
      </c>
      <c r="E107" s="1010">
        <f t="shared" si="72"/>
        <v>54565.579752084886</v>
      </c>
      <c r="F107" s="1010">
        <f t="shared" si="72"/>
        <v>56081.489920343003</v>
      </c>
      <c r="G107" s="1010">
        <f t="shared" si="72"/>
        <v>58005.719476805527</v>
      </c>
      <c r="H107" s="1010">
        <f t="shared" si="72"/>
        <v>59964.934302264817</v>
      </c>
      <c r="I107" s="1010">
        <f t="shared" si="72"/>
        <v>61920.994174437394</v>
      </c>
      <c r="J107" s="1010">
        <f t="shared" si="72"/>
        <v>63957.969931307518</v>
      </c>
      <c r="K107" s="1010">
        <f t="shared" si="72"/>
        <v>66332.184999985038</v>
      </c>
      <c r="L107" s="1010">
        <f t="shared" si="72"/>
        <v>68737.992296263867</v>
      </c>
      <c r="M107" s="1010">
        <f t="shared" si="72"/>
        <v>71815.220133296665</v>
      </c>
      <c r="N107" s="1010">
        <f t="shared" si="72"/>
        <v>74220.460542699584</v>
      </c>
      <c r="O107" s="1010">
        <f t="shared" si="72"/>
        <v>76741.239156812764</v>
      </c>
      <c r="P107" s="1010">
        <f t="shared" si="72"/>
        <v>80179.74925895175</v>
      </c>
      <c r="Q107" s="1010">
        <f t="shared" si="72"/>
        <v>83766.192055439838</v>
      </c>
      <c r="R107" s="1010">
        <f t="shared" si="72"/>
        <v>78688.773688663015</v>
      </c>
      <c r="S107" s="1010">
        <f t="shared" si="72"/>
        <v>68400.84088356742</v>
      </c>
      <c r="T107" s="1010">
        <f t="shared" si="72"/>
        <v>61746.905031623675</v>
      </c>
      <c r="U107" s="1010">
        <f t="shared" si="72"/>
        <v>54351.67723747353</v>
      </c>
      <c r="V107" s="1010">
        <f t="shared" si="72"/>
        <v>40743.826750283195</v>
      </c>
      <c r="W107" s="1010">
        <f t="shared" si="72"/>
        <v>31334.070508349985</v>
      </c>
      <c r="X107" s="1010">
        <f t="shared" si="72"/>
        <v>21395.68995934421</v>
      </c>
      <c r="Y107" s="1010">
        <f t="shared" si="72"/>
        <v>10864.006738032733</v>
      </c>
      <c r="Z107" s="1010">
        <f t="shared" si="72"/>
        <v>7680.9038223341986</v>
      </c>
      <c r="AA107" s="1010">
        <f t="shared" si="72"/>
        <v>5534.0574655741357</v>
      </c>
      <c r="AB107" s="1010">
        <f t="shared" si="72"/>
        <v>4469.419204091053</v>
      </c>
      <c r="AC107" s="1010">
        <f t="shared" si="72"/>
        <v>3365.2617473505493</v>
      </c>
    </row>
    <row r="108" spans="2:31" s="961" customFormat="1">
      <c r="B108" s="934" t="s">
        <v>490</v>
      </c>
      <c r="C108" s="935"/>
      <c r="D108" s="1063">
        <f t="shared" si="72"/>
        <v>0</v>
      </c>
      <c r="E108" s="1063">
        <f t="shared" si="72"/>
        <v>0</v>
      </c>
      <c r="F108" s="1063">
        <f t="shared" si="72"/>
        <v>0</v>
      </c>
      <c r="G108" s="1063">
        <f t="shared" si="72"/>
        <v>0</v>
      </c>
      <c r="H108" s="1063">
        <f t="shared" si="72"/>
        <v>0</v>
      </c>
      <c r="I108" s="1063">
        <f t="shared" si="72"/>
        <v>0</v>
      </c>
      <c r="J108" s="1063">
        <f t="shared" si="72"/>
        <v>0</v>
      </c>
      <c r="K108" s="1063">
        <f t="shared" si="72"/>
        <v>0</v>
      </c>
      <c r="L108" s="1063">
        <f t="shared" si="72"/>
        <v>0</v>
      </c>
      <c r="M108" s="1063">
        <f t="shared" si="72"/>
        <v>0</v>
      </c>
      <c r="N108" s="1063">
        <f t="shared" si="72"/>
        <v>0</v>
      </c>
      <c r="O108" s="1063">
        <f t="shared" si="72"/>
        <v>0</v>
      </c>
      <c r="P108" s="1063">
        <f t="shared" si="72"/>
        <v>0</v>
      </c>
      <c r="Q108" s="1063">
        <f t="shared" si="72"/>
        <v>0</v>
      </c>
      <c r="R108" s="1063">
        <f t="shared" si="72"/>
        <v>8743.197076518114</v>
      </c>
      <c r="S108" s="1063">
        <f t="shared" si="72"/>
        <v>22800.280294522472</v>
      </c>
      <c r="T108" s="1063">
        <f t="shared" si="72"/>
        <v>33248.333478566579</v>
      </c>
      <c r="U108" s="1063">
        <f t="shared" si="72"/>
        <v>44469.554103387425</v>
      </c>
      <c r="V108" s="1063">
        <f t="shared" si="72"/>
        <v>61115.740125424782</v>
      </c>
      <c r="W108" s="1063">
        <f t="shared" si="72"/>
        <v>73112.831186149953</v>
      </c>
      <c r="X108" s="1063">
        <f t="shared" si="72"/>
        <v>85582.759837376841</v>
      </c>
      <c r="Y108" s="1063">
        <f t="shared" si="72"/>
        <v>97776.0606422946</v>
      </c>
      <c r="Z108" s="1063">
        <f t="shared" si="72"/>
        <v>102046.29363958293</v>
      </c>
      <c r="AA108" s="1063">
        <f t="shared" si="72"/>
        <v>105147.09184590857</v>
      </c>
      <c r="AB108" s="1063">
        <f t="shared" si="72"/>
        <v>107266.06089818527</v>
      </c>
      <c r="AC108" s="1063">
        <f t="shared" si="72"/>
        <v>108810.12983100109</v>
      </c>
    </row>
    <row r="109" spans="2:31" s="961" customFormat="1" ht="12" thickBot="1">
      <c r="B109" s="1015" t="s">
        <v>491</v>
      </c>
      <c r="C109" s="1016"/>
      <c r="D109" s="1064">
        <f t="shared" si="72"/>
        <v>2793.3224215350483</v>
      </c>
      <c r="E109" s="1065">
        <f t="shared" si="72"/>
        <v>2871.8726185307837</v>
      </c>
      <c r="F109" s="1064">
        <f t="shared" si="72"/>
        <v>2951.6573642285794</v>
      </c>
      <c r="G109" s="1065">
        <f t="shared" si="72"/>
        <v>3052.9326040423971</v>
      </c>
      <c r="H109" s="1065">
        <f t="shared" si="72"/>
        <v>3156.049173803412</v>
      </c>
      <c r="I109" s="1064">
        <f t="shared" si="72"/>
        <v>3258.9996933914422</v>
      </c>
      <c r="J109" s="1064">
        <f t="shared" si="72"/>
        <v>3366.2089437530281</v>
      </c>
      <c r="K109" s="1065">
        <f t="shared" si="72"/>
        <v>3491.1676315781606</v>
      </c>
      <c r="L109" s="1064">
        <f t="shared" si="72"/>
        <v>3473.0775054954379</v>
      </c>
      <c r="M109" s="1064">
        <f t="shared" si="72"/>
        <v>3636.213677635275</v>
      </c>
      <c r="N109" s="1064">
        <f t="shared" si="72"/>
        <v>3761.9663210660829</v>
      </c>
      <c r="O109" s="1064">
        <f t="shared" si="72"/>
        <v>3808.6993034532202</v>
      </c>
      <c r="P109" s="1064">
        <f t="shared" si="72"/>
        <v>3907.0640528726485</v>
      </c>
      <c r="Q109" s="1064">
        <f t="shared" si="72"/>
        <v>3823.7221426580822</v>
      </c>
      <c r="R109" s="1064">
        <f t="shared" si="72"/>
        <v>3732.4213773823312</v>
      </c>
      <c r="S109" s="1064">
        <f t="shared" si="72"/>
        <v>3526.5739660700701</v>
      </c>
      <c r="T109" s="1064">
        <f t="shared" si="72"/>
        <v>3286.3217646768517</v>
      </c>
      <c r="U109" s="1064">
        <f t="shared" si="72"/>
        <v>3118.4066473177013</v>
      </c>
      <c r="V109" s="1064">
        <f t="shared" si="72"/>
        <v>2786.0931858782264</v>
      </c>
      <c r="W109" s="1064">
        <f t="shared" si="72"/>
        <v>2527.8678077876771</v>
      </c>
      <c r="X109" s="1064">
        <f t="shared" si="72"/>
        <v>2245.956404572044</v>
      </c>
      <c r="Y109" s="1064">
        <f t="shared" si="72"/>
        <v>2172.8013476065462</v>
      </c>
      <c r="Z109" s="1064">
        <f t="shared" si="72"/>
        <v>2206.8039713011262</v>
      </c>
      <c r="AA109" s="1064">
        <f t="shared" si="72"/>
        <v>1985.3120952732322</v>
      </c>
      <c r="AB109" s="1064">
        <f t="shared" si="72"/>
        <v>1883.1822489147694</v>
      </c>
      <c r="AC109" s="1064">
        <f t="shared" si="72"/>
        <v>1896.9908384163186</v>
      </c>
    </row>
    <row r="110" spans="2:31" ht="12" thickTop="1">
      <c r="B110" s="1005"/>
      <c r="C110" s="976"/>
      <c r="D110" s="976"/>
      <c r="E110" s="976"/>
      <c r="F110" s="983"/>
      <c r="G110" s="976"/>
      <c r="H110" s="976"/>
      <c r="I110" s="983"/>
      <c r="J110" s="983"/>
      <c r="K110" s="976"/>
      <c r="L110" s="983"/>
      <c r="M110" s="983"/>
      <c r="N110" s="983"/>
      <c r="O110" s="983"/>
      <c r="P110" s="983"/>
      <c r="Q110" s="983"/>
      <c r="R110" s="983"/>
      <c r="S110" s="983"/>
      <c r="T110" s="983"/>
      <c r="U110" s="983"/>
      <c r="V110" s="983"/>
      <c r="W110" s="983"/>
      <c r="X110" s="983"/>
      <c r="Y110" s="983"/>
      <c r="Z110" s="983"/>
      <c r="AA110" s="983"/>
      <c r="AB110" s="983"/>
      <c r="AC110" s="983"/>
    </row>
    <row r="111" spans="2:31" ht="12">
      <c r="B111" s="1006" t="s">
        <v>521</v>
      </c>
      <c r="C111" s="976"/>
      <c r="D111" s="976"/>
      <c r="E111" s="976"/>
      <c r="F111" s="983"/>
      <c r="G111" s="976"/>
      <c r="H111" s="976"/>
      <c r="I111" s="983"/>
      <c r="J111" s="983"/>
      <c r="K111" s="976"/>
      <c r="L111" s="983"/>
      <c r="M111" s="976"/>
      <c r="N111" s="976"/>
      <c r="O111" s="976"/>
      <c r="P111" s="976"/>
      <c r="Q111" s="976"/>
      <c r="R111" s="976"/>
      <c r="S111" s="976"/>
      <c r="T111" s="976"/>
      <c r="U111" s="976"/>
      <c r="V111" s="976"/>
      <c r="W111" s="976"/>
      <c r="X111" s="976"/>
      <c r="Y111" s="976"/>
      <c r="Z111" s="976"/>
      <c r="AA111" s="976"/>
      <c r="AB111" s="976"/>
      <c r="AC111" s="976"/>
    </row>
    <row r="112" spans="2:31">
      <c r="B112" s="1007" t="s">
        <v>481</v>
      </c>
      <c r="C112" s="1021"/>
      <c r="D112" s="1066">
        <f t="shared" ref="D112:AC112" si="73">SUM(D113:D118)</f>
        <v>0</v>
      </c>
      <c r="E112" s="1066">
        <f t="shared" si="73"/>
        <v>0</v>
      </c>
      <c r="F112" s="1066">
        <f t="shared" si="73"/>
        <v>0</v>
      </c>
      <c r="G112" s="1066">
        <f t="shared" si="73"/>
        <v>0</v>
      </c>
      <c r="H112" s="1066">
        <f t="shared" si="73"/>
        <v>0</v>
      </c>
      <c r="I112" s="1066">
        <f t="shared" si="73"/>
        <v>0</v>
      </c>
      <c r="J112" s="1066">
        <f t="shared" si="73"/>
        <v>0</v>
      </c>
      <c r="K112" s="1066">
        <f t="shared" si="73"/>
        <v>0</v>
      </c>
      <c r="L112" s="1066">
        <v>0</v>
      </c>
      <c r="M112" s="1066">
        <f t="shared" si="73"/>
        <v>0</v>
      </c>
      <c r="N112" s="1066">
        <f t="shared" si="73"/>
        <v>0</v>
      </c>
      <c r="O112" s="1066">
        <f t="shared" si="73"/>
        <v>0</v>
      </c>
      <c r="P112" s="1066">
        <f t="shared" si="73"/>
        <v>0</v>
      </c>
      <c r="Q112" s="1066">
        <f t="shared" si="73"/>
        <v>0</v>
      </c>
      <c r="R112" s="1066">
        <f t="shared" si="73"/>
        <v>0</v>
      </c>
      <c r="S112" s="1066">
        <f t="shared" si="73"/>
        <v>0</v>
      </c>
      <c r="T112" s="1066">
        <f t="shared" si="73"/>
        <v>0</v>
      </c>
      <c r="U112" s="1066">
        <f t="shared" si="73"/>
        <v>0</v>
      </c>
      <c r="V112" s="1066">
        <f t="shared" si="73"/>
        <v>0</v>
      </c>
      <c r="W112" s="1066">
        <f t="shared" si="73"/>
        <v>0</v>
      </c>
      <c r="X112" s="1066">
        <f t="shared" si="73"/>
        <v>0</v>
      </c>
      <c r="Y112" s="1066">
        <f t="shared" si="73"/>
        <v>0</v>
      </c>
      <c r="Z112" s="1066">
        <f t="shared" si="73"/>
        <v>0</v>
      </c>
      <c r="AA112" s="1066">
        <f t="shared" si="73"/>
        <v>0</v>
      </c>
      <c r="AB112" s="1066">
        <f t="shared" si="73"/>
        <v>0</v>
      </c>
      <c r="AC112" s="1066">
        <f t="shared" si="73"/>
        <v>0</v>
      </c>
    </row>
    <row r="113" spans="2:29" hidden="1" outlineLevel="1">
      <c r="B113" s="925" t="s">
        <v>482</v>
      </c>
      <c r="C113" s="926"/>
      <c r="D113" s="1067"/>
      <c r="E113" s="1067"/>
      <c r="F113" s="1067"/>
      <c r="G113" s="1067"/>
      <c r="H113" s="1067"/>
      <c r="I113" s="1067"/>
      <c r="J113" s="1067"/>
      <c r="K113" s="1067"/>
      <c r="L113" s="1067"/>
      <c r="M113" s="1067"/>
      <c r="N113" s="1067"/>
      <c r="O113" s="1067"/>
      <c r="P113" s="1067"/>
      <c r="Q113" s="1067"/>
      <c r="R113" s="1067"/>
      <c r="S113" s="1067"/>
      <c r="T113" s="1067"/>
      <c r="U113" s="1067"/>
      <c r="V113" s="1067"/>
      <c r="W113" s="1067"/>
      <c r="X113" s="1067"/>
      <c r="Y113" s="1067"/>
      <c r="Z113" s="1067"/>
      <c r="AA113" s="1067"/>
      <c r="AB113" s="1067"/>
      <c r="AC113" s="1067"/>
    </row>
    <row r="114" spans="2:29" hidden="1" outlineLevel="1">
      <c r="B114" s="928" t="s">
        <v>483</v>
      </c>
      <c r="C114" s="929"/>
      <c r="D114" s="1068"/>
      <c r="E114" s="1068"/>
      <c r="F114" s="1068"/>
      <c r="G114" s="1068"/>
      <c r="H114" s="1068"/>
      <c r="I114" s="1068"/>
      <c r="J114" s="1068"/>
      <c r="K114" s="1068"/>
      <c r="L114" s="1068"/>
      <c r="M114" s="1068"/>
      <c r="N114" s="1068"/>
      <c r="O114" s="1068"/>
      <c r="P114" s="1068"/>
      <c r="Q114" s="1068"/>
      <c r="R114" s="1068"/>
      <c r="S114" s="1068"/>
      <c r="T114" s="1068"/>
      <c r="U114" s="1068"/>
      <c r="V114" s="1068"/>
      <c r="W114" s="1068"/>
      <c r="X114" s="1068"/>
      <c r="Y114" s="1068"/>
      <c r="Z114" s="1068"/>
      <c r="AA114" s="1068"/>
      <c r="AB114" s="1068"/>
      <c r="AC114" s="1068"/>
    </row>
    <row r="115" spans="2:29" hidden="1" outlineLevel="1">
      <c r="B115" s="925" t="s">
        <v>484</v>
      </c>
      <c r="C115" s="926"/>
      <c r="D115" s="1067"/>
      <c r="E115" s="1067"/>
      <c r="F115" s="1067"/>
      <c r="G115" s="1067"/>
      <c r="H115" s="1067"/>
      <c r="I115" s="1067"/>
      <c r="J115" s="1067"/>
      <c r="K115" s="1067"/>
      <c r="L115" s="1067"/>
      <c r="M115" s="1067"/>
      <c r="N115" s="1067"/>
      <c r="O115" s="1067"/>
      <c r="P115" s="1067"/>
      <c r="Q115" s="1067"/>
      <c r="R115" s="1067"/>
      <c r="S115" s="1067"/>
      <c r="T115" s="1067"/>
      <c r="U115" s="1067"/>
      <c r="V115" s="1067"/>
      <c r="W115" s="1067"/>
      <c r="X115" s="1067"/>
      <c r="Y115" s="1067"/>
      <c r="Z115" s="1067"/>
      <c r="AA115" s="1067"/>
      <c r="AB115" s="1067"/>
      <c r="AC115" s="1067"/>
    </row>
    <row r="116" spans="2:29" hidden="1" outlineLevel="1">
      <c r="B116" s="928" t="s">
        <v>485</v>
      </c>
      <c r="C116" s="929"/>
      <c r="D116" s="1068"/>
      <c r="E116" s="1068"/>
      <c r="F116" s="1068"/>
      <c r="G116" s="1068"/>
      <c r="H116" s="1068"/>
      <c r="I116" s="1068"/>
      <c r="J116" s="1068"/>
      <c r="K116" s="1068"/>
      <c r="L116" s="1068"/>
      <c r="M116" s="1068"/>
      <c r="N116" s="1068"/>
      <c r="O116" s="1068"/>
      <c r="P116" s="1068"/>
      <c r="Q116" s="1068"/>
      <c r="R116" s="1068"/>
      <c r="S116" s="1068"/>
      <c r="T116" s="1068"/>
      <c r="U116" s="1068"/>
      <c r="V116" s="1068"/>
      <c r="W116" s="1068"/>
      <c r="X116" s="1068"/>
      <c r="Y116" s="1068"/>
      <c r="Z116" s="1068"/>
      <c r="AA116" s="1068"/>
      <c r="AB116" s="1068"/>
      <c r="AC116" s="1068"/>
    </row>
    <row r="117" spans="2:29" hidden="1" outlineLevel="1">
      <c r="B117" s="925" t="s">
        <v>486</v>
      </c>
      <c r="C117" s="926"/>
      <c r="D117" s="1067"/>
      <c r="E117" s="1067"/>
      <c r="F117" s="1067"/>
      <c r="G117" s="1067"/>
      <c r="H117" s="1067"/>
      <c r="I117" s="1067"/>
      <c r="J117" s="1067"/>
      <c r="K117" s="1067"/>
      <c r="L117" s="1067"/>
      <c r="M117" s="1067"/>
      <c r="N117" s="1067"/>
      <c r="O117" s="1067"/>
      <c r="P117" s="1067"/>
      <c r="Q117" s="1067"/>
      <c r="R117" s="1067"/>
      <c r="S117" s="1067"/>
      <c r="T117" s="1067"/>
      <c r="U117" s="1067"/>
      <c r="V117" s="1067"/>
      <c r="W117" s="1067"/>
      <c r="X117" s="1067"/>
      <c r="Y117" s="1067"/>
      <c r="Z117" s="1067"/>
      <c r="AA117" s="1067"/>
      <c r="AB117" s="1067"/>
      <c r="AC117" s="1067"/>
    </row>
    <row r="118" spans="2:29" hidden="1" outlineLevel="1">
      <c r="B118" s="931" t="s">
        <v>487</v>
      </c>
      <c r="C118" s="929"/>
      <c r="D118" s="1068"/>
      <c r="E118" s="1068"/>
      <c r="F118" s="1068"/>
      <c r="G118" s="1068"/>
      <c r="H118" s="1068"/>
      <c r="I118" s="1068"/>
      <c r="J118" s="1068"/>
      <c r="K118" s="1068"/>
      <c r="L118" s="1068"/>
      <c r="M118" s="1068"/>
      <c r="N118" s="1068"/>
      <c r="O118" s="1068"/>
      <c r="P118" s="1068"/>
      <c r="Q118" s="1068"/>
      <c r="R118" s="1068"/>
      <c r="S118" s="1068"/>
      <c r="T118" s="1068"/>
      <c r="U118" s="1068"/>
      <c r="V118" s="1068"/>
      <c r="W118" s="1068"/>
      <c r="X118" s="1068"/>
      <c r="Y118" s="1068"/>
      <c r="Z118" s="1068"/>
      <c r="AA118" s="1068"/>
      <c r="AB118" s="1068"/>
      <c r="AC118" s="1068"/>
    </row>
    <row r="119" spans="2:29" ht="12" collapsed="1">
      <c r="B119" s="1011" t="s">
        <v>488</v>
      </c>
      <c r="C119" s="1012"/>
      <c r="D119" s="1069">
        <f t="shared" ref="D119:K119" si="74">SUM(D120:D121)</f>
        <v>0</v>
      </c>
      <c r="E119" s="1070">
        <f t="shared" si="74"/>
        <v>0</v>
      </c>
      <c r="F119" s="1070">
        <f t="shared" si="74"/>
        <v>0</v>
      </c>
      <c r="G119" s="1070">
        <f t="shared" si="74"/>
        <v>0</v>
      </c>
      <c r="H119" s="1070">
        <f t="shared" si="74"/>
        <v>0</v>
      </c>
      <c r="I119" s="1070">
        <f t="shared" si="74"/>
        <v>0</v>
      </c>
      <c r="J119" s="1070">
        <f t="shared" si="74"/>
        <v>0</v>
      </c>
      <c r="K119" s="1070">
        <f t="shared" si="74"/>
        <v>0</v>
      </c>
      <c r="L119" s="1411">
        <v>0.9</v>
      </c>
      <c r="M119" s="1070">
        <v>0.9</v>
      </c>
      <c r="N119" s="1070">
        <v>0.9</v>
      </c>
      <c r="O119" s="1070">
        <v>0.89</v>
      </c>
      <c r="P119" s="1070">
        <v>0.88</v>
      </c>
      <c r="Q119" s="1070">
        <v>0.87</v>
      </c>
      <c r="R119" s="1070">
        <v>0.88</v>
      </c>
      <c r="S119" s="1070">
        <v>0.89</v>
      </c>
      <c r="T119" s="1070">
        <v>0.9</v>
      </c>
      <c r="U119" s="1070">
        <v>0.91</v>
      </c>
      <c r="V119" s="1070">
        <v>0.92</v>
      </c>
      <c r="W119" s="1070">
        <v>0.92500000000000004</v>
      </c>
      <c r="X119" s="1070">
        <v>0.93</v>
      </c>
      <c r="Y119" s="1070">
        <v>0.93500000000000005</v>
      </c>
      <c r="Z119" s="1070">
        <v>0.94</v>
      </c>
      <c r="AA119" s="1070">
        <v>0.94499999999999995</v>
      </c>
      <c r="AB119" s="1070">
        <v>0.95</v>
      </c>
      <c r="AC119" s="1070">
        <v>0.95</v>
      </c>
    </row>
    <row r="120" spans="2:29" hidden="1" outlineLevel="1">
      <c r="B120" s="928" t="s">
        <v>489</v>
      </c>
      <c r="C120" s="929"/>
      <c r="D120" s="1068"/>
      <c r="E120" s="1068"/>
      <c r="F120" s="1068"/>
      <c r="G120" s="1068"/>
      <c r="H120" s="1068"/>
      <c r="I120" s="1068"/>
      <c r="J120" s="1068"/>
      <c r="K120" s="1068"/>
      <c r="L120" s="1068">
        <v>1</v>
      </c>
      <c r="M120" s="1068">
        <v>1</v>
      </c>
      <c r="N120" s="1068">
        <v>1</v>
      </c>
      <c r="O120" s="1388">
        <v>1</v>
      </c>
      <c r="P120" s="1388">
        <v>1</v>
      </c>
      <c r="Q120" s="1388">
        <v>1</v>
      </c>
      <c r="R120" s="990">
        <v>0.9</v>
      </c>
      <c r="S120" s="990">
        <v>0.75</v>
      </c>
      <c r="T120" s="990">
        <v>0.65</v>
      </c>
      <c r="U120" s="990">
        <v>0.55000000000000004</v>
      </c>
      <c r="V120" s="990">
        <v>0.4</v>
      </c>
      <c r="W120" s="990">
        <v>0.3</v>
      </c>
      <c r="X120" s="990">
        <v>0.2</v>
      </c>
      <c r="Y120" s="990">
        <v>0.1</v>
      </c>
      <c r="Z120" s="990">
        <v>7.0000000000000007E-2</v>
      </c>
      <c r="AA120" s="990">
        <v>0.05</v>
      </c>
      <c r="AB120" s="990">
        <v>0.04</v>
      </c>
      <c r="AC120" s="990">
        <v>0.03</v>
      </c>
    </row>
    <row r="121" spans="2:29" hidden="1" outlineLevel="1">
      <c r="B121" s="934" t="s">
        <v>490</v>
      </c>
      <c r="C121" s="935"/>
      <c r="D121" s="1071"/>
      <c r="E121" s="1071"/>
      <c r="F121" s="1071"/>
      <c r="G121" s="1071"/>
      <c r="H121" s="1071"/>
      <c r="I121" s="1071"/>
      <c r="J121" s="1071"/>
      <c r="K121" s="1071"/>
      <c r="L121" s="1071"/>
      <c r="M121" s="1071"/>
      <c r="N121" s="1071"/>
      <c r="O121" s="989"/>
      <c r="P121" s="989"/>
      <c r="Q121" s="989"/>
      <c r="R121" s="988">
        <v>0.1</v>
      </c>
      <c r="S121" s="988">
        <v>0.25</v>
      </c>
      <c r="T121" s="988">
        <v>0.35</v>
      </c>
      <c r="U121" s="988">
        <v>0.45</v>
      </c>
      <c r="V121" s="988">
        <v>0.6</v>
      </c>
      <c r="W121" s="988">
        <v>0.7</v>
      </c>
      <c r="X121" s="988">
        <v>0.8</v>
      </c>
      <c r="Y121" s="988">
        <v>0.9</v>
      </c>
      <c r="Z121" s="988">
        <v>0.93</v>
      </c>
      <c r="AA121" s="988">
        <v>0.95</v>
      </c>
      <c r="AB121" s="988">
        <v>0.96</v>
      </c>
      <c r="AC121" s="988">
        <v>0.97</v>
      </c>
    </row>
    <row r="122" spans="2:29" ht="12" collapsed="1" thickBot="1">
      <c r="B122" s="1015" t="s">
        <v>491</v>
      </c>
      <c r="C122" s="1027"/>
      <c r="D122" s="1072"/>
      <c r="E122" s="1073"/>
      <c r="F122" s="1073"/>
      <c r="G122" s="1073"/>
      <c r="H122" s="1073"/>
      <c r="I122" s="1073"/>
      <c r="J122" s="1073"/>
      <c r="K122" s="1073"/>
      <c r="L122" s="1412">
        <v>0.1</v>
      </c>
      <c r="M122" s="1073">
        <v>0.1</v>
      </c>
      <c r="N122" s="1073">
        <v>0.1</v>
      </c>
      <c r="O122" s="1073">
        <v>0.11</v>
      </c>
      <c r="P122" s="1073">
        <v>0.12</v>
      </c>
      <c r="Q122" s="1073">
        <v>0.13</v>
      </c>
      <c r="R122" s="1073">
        <v>0.12</v>
      </c>
      <c r="S122" s="1073">
        <v>0.11</v>
      </c>
      <c r="T122" s="1073">
        <v>0.1</v>
      </c>
      <c r="U122" s="1073">
        <v>0.09</v>
      </c>
      <c r="V122" s="1073">
        <v>0.08</v>
      </c>
      <c r="W122" s="1073">
        <v>7.4999999999999997E-2</v>
      </c>
      <c r="X122" s="1073">
        <v>7.0000000000000007E-2</v>
      </c>
      <c r="Y122" s="1073">
        <v>6.5000000000000002E-2</v>
      </c>
      <c r="Z122" s="1073">
        <v>0.06</v>
      </c>
      <c r="AA122" s="1073">
        <v>5.5E-2</v>
      </c>
      <c r="AB122" s="1073">
        <v>0.05</v>
      </c>
      <c r="AC122" s="1073">
        <v>0.05</v>
      </c>
    </row>
    <row r="123" spans="2:29" s="945" customFormat="1" ht="12" thickTop="1">
      <c r="B123" s="1074" t="s">
        <v>263</v>
      </c>
      <c r="C123" s="1075"/>
      <c r="D123" s="1075">
        <f>SUM(D112:D122)-D112-D119</f>
        <v>0</v>
      </c>
      <c r="E123" s="1075">
        <f t="shared" ref="E123:K123" si="75">SUM(E112:E122)-E112-E119</f>
        <v>0</v>
      </c>
      <c r="F123" s="1075">
        <f t="shared" si="75"/>
        <v>0</v>
      </c>
      <c r="G123" s="1075">
        <f t="shared" si="75"/>
        <v>0</v>
      </c>
      <c r="H123" s="1075">
        <f t="shared" si="75"/>
        <v>0</v>
      </c>
      <c r="I123" s="1075">
        <f t="shared" si="75"/>
        <v>0</v>
      </c>
      <c r="J123" s="1075">
        <f t="shared" si="75"/>
        <v>0</v>
      </c>
      <c r="K123" s="1075">
        <f t="shared" si="75"/>
        <v>0</v>
      </c>
      <c r="L123" s="1075">
        <f>L112+L119+L122</f>
        <v>1</v>
      </c>
      <c r="M123" s="1075">
        <f t="shared" ref="M123:AC123" si="76">M112+M119+M122</f>
        <v>1</v>
      </c>
      <c r="N123" s="1075">
        <f t="shared" si="76"/>
        <v>1</v>
      </c>
      <c r="O123" s="1075">
        <f t="shared" si="76"/>
        <v>1</v>
      </c>
      <c r="P123" s="1075">
        <f t="shared" si="76"/>
        <v>1</v>
      </c>
      <c r="Q123" s="1075">
        <f t="shared" si="76"/>
        <v>1</v>
      </c>
      <c r="R123" s="1075">
        <f t="shared" si="76"/>
        <v>1</v>
      </c>
      <c r="S123" s="1075">
        <f t="shared" si="76"/>
        <v>1</v>
      </c>
      <c r="T123" s="1075">
        <f t="shared" si="76"/>
        <v>1</v>
      </c>
      <c r="U123" s="1075">
        <f t="shared" si="76"/>
        <v>1</v>
      </c>
      <c r="V123" s="1075">
        <f t="shared" si="76"/>
        <v>1</v>
      </c>
      <c r="W123" s="1075">
        <f t="shared" si="76"/>
        <v>1</v>
      </c>
      <c r="X123" s="1075">
        <f t="shared" si="76"/>
        <v>1</v>
      </c>
      <c r="Y123" s="1075">
        <f t="shared" si="76"/>
        <v>1</v>
      </c>
      <c r="Z123" s="1075">
        <f t="shared" si="76"/>
        <v>1</v>
      </c>
      <c r="AA123" s="1075">
        <f t="shared" si="76"/>
        <v>1</v>
      </c>
      <c r="AB123" s="1075">
        <f t="shared" si="76"/>
        <v>1</v>
      </c>
      <c r="AC123" s="1075">
        <f t="shared" si="76"/>
        <v>1</v>
      </c>
    </row>
    <row r="124" spans="2:29">
      <c r="B124" s="1005"/>
      <c r="C124" s="976"/>
      <c r="D124" s="976"/>
      <c r="E124" s="1076"/>
      <c r="F124" s="983"/>
      <c r="G124" s="976"/>
      <c r="H124" s="976"/>
      <c r="I124" s="983"/>
      <c r="J124" s="983"/>
      <c r="K124" s="976"/>
      <c r="L124" s="983"/>
      <c r="M124" s="976"/>
      <c r="N124" s="976"/>
      <c r="O124" s="976"/>
      <c r="P124" s="976"/>
      <c r="Q124" s="976"/>
      <c r="R124" s="976"/>
      <c r="S124" s="976"/>
      <c r="T124" s="976"/>
      <c r="U124" s="976"/>
      <c r="V124" s="976"/>
      <c r="W124" s="976"/>
      <c r="X124" s="976"/>
      <c r="Y124" s="976"/>
      <c r="Z124" s="976"/>
      <c r="AA124" s="976"/>
      <c r="AB124" s="976"/>
      <c r="AC124" s="976"/>
    </row>
    <row r="125" spans="2:29" ht="12">
      <c r="B125" s="1006" t="s">
        <v>522</v>
      </c>
      <c r="C125" s="976"/>
      <c r="D125" s="976"/>
      <c r="E125" s="1077"/>
      <c r="F125" s="983"/>
      <c r="G125" s="976"/>
      <c r="H125" s="976"/>
      <c r="I125" s="983"/>
      <c r="J125" s="983"/>
      <c r="K125" s="976"/>
      <c r="L125" s="983"/>
      <c r="M125" s="976"/>
      <c r="N125" s="976"/>
      <c r="O125" s="976"/>
      <c r="P125" s="976"/>
      <c r="Q125" s="976"/>
      <c r="R125" s="976"/>
      <c r="S125" s="976"/>
      <c r="T125" s="976"/>
      <c r="U125" s="976"/>
      <c r="V125" s="976"/>
      <c r="W125" s="976"/>
      <c r="X125" s="976"/>
      <c r="Y125" s="976"/>
      <c r="Z125" s="976"/>
      <c r="AA125" s="976"/>
      <c r="AB125" s="976"/>
      <c r="AC125" s="976"/>
    </row>
    <row r="126" spans="2:29" s="941" customFormat="1">
      <c r="B126" s="1007" t="s">
        <v>481</v>
      </c>
      <c r="C126" s="1021"/>
      <c r="D126" s="1078">
        <f t="shared" ref="D126:AC126" si="77">SUM(D127:D132)</f>
        <v>0</v>
      </c>
      <c r="E126" s="1078">
        <f t="shared" si="77"/>
        <v>0</v>
      </c>
      <c r="F126" s="1078">
        <f t="shared" si="77"/>
        <v>0</v>
      </c>
      <c r="G126" s="1078">
        <f t="shared" si="77"/>
        <v>0</v>
      </c>
      <c r="H126" s="1078">
        <f t="shared" si="77"/>
        <v>0</v>
      </c>
      <c r="I126" s="1078">
        <f t="shared" si="77"/>
        <v>0</v>
      </c>
      <c r="J126" s="1078">
        <f t="shared" si="77"/>
        <v>0</v>
      </c>
      <c r="K126" s="1078">
        <f t="shared" si="77"/>
        <v>0</v>
      </c>
      <c r="L126" s="1078">
        <f t="shared" si="77"/>
        <v>0</v>
      </c>
      <c r="M126" s="1078">
        <f t="shared" si="77"/>
        <v>0</v>
      </c>
      <c r="N126" s="1078">
        <f t="shared" si="77"/>
        <v>0</v>
      </c>
      <c r="O126" s="1078">
        <f t="shared" si="77"/>
        <v>0</v>
      </c>
      <c r="P126" s="1078">
        <f t="shared" si="77"/>
        <v>0</v>
      </c>
      <c r="Q126" s="1078">
        <f t="shared" si="77"/>
        <v>0</v>
      </c>
      <c r="R126" s="1078">
        <f t="shared" si="77"/>
        <v>0</v>
      </c>
      <c r="S126" s="1078">
        <f t="shared" si="77"/>
        <v>0</v>
      </c>
      <c r="T126" s="1078">
        <f t="shared" si="77"/>
        <v>0</v>
      </c>
      <c r="U126" s="1078">
        <f t="shared" si="77"/>
        <v>0</v>
      </c>
      <c r="V126" s="1078">
        <f t="shared" si="77"/>
        <v>0</v>
      </c>
      <c r="W126" s="1078">
        <f t="shared" si="77"/>
        <v>0</v>
      </c>
      <c r="X126" s="1078">
        <f t="shared" si="77"/>
        <v>0</v>
      </c>
      <c r="Y126" s="1078">
        <f t="shared" si="77"/>
        <v>0</v>
      </c>
      <c r="Z126" s="1078">
        <f t="shared" si="77"/>
        <v>0</v>
      </c>
      <c r="AA126" s="1078">
        <f t="shared" si="77"/>
        <v>0</v>
      </c>
      <c r="AB126" s="1078">
        <f t="shared" si="77"/>
        <v>0</v>
      </c>
      <c r="AC126" s="1078">
        <f t="shared" si="77"/>
        <v>0</v>
      </c>
    </row>
    <row r="127" spans="2:29">
      <c r="B127" s="925" t="s">
        <v>482</v>
      </c>
      <c r="C127" s="926"/>
      <c r="D127" s="1079"/>
      <c r="E127" s="1079"/>
      <c r="F127" s="1079"/>
      <c r="G127" s="1079"/>
      <c r="H127" s="1079"/>
      <c r="I127" s="1079"/>
      <c r="J127" s="1079"/>
      <c r="K127" s="1079"/>
      <c r="L127" s="1079"/>
      <c r="M127" s="1079"/>
      <c r="N127" s="1079"/>
      <c r="O127" s="1079"/>
      <c r="P127" s="1079"/>
      <c r="Q127" s="1079"/>
      <c r="R127" s="1079"/>
      <c r="S127" s="1079"/>
      <c r="T127" s="1079"/>
      <c r="U127" s="1079"/>
      <c r="V127" s="1079"/>
      <c r="W127" s="1079"/>
      <c r="X127" s="1079"/>
      <c r="Y127" s="1079"/>
      <c r="Z127" s="1079"/>
      <c r="AA127" s="1079"/>
      <c r="AB127" s="1079"/>
      <c r="AC127" s="1079"/>
    </row>
    <row r="128" spans="2:29">
      <c r="B128" s="928" t="s">
        <v>483</v>
      </c>
      <c r="C128" s="929"/>
      <c r="D128" s="1080"/>
      <c r="E128" s="1080"/>
      <c r="F128" s="1080"/>
      <c r="G128" s="1080"/>
      <c r="H128" s="1080"/>
      <c r="I128" s="1080"/>
      <c r="J128" s="1080"/>
      <c r="K128" s="1080"/>
      <c r="L128" s="1080"/>
      <c r="M128" s="1080"/>
      <c r="N128" s="1080"/>
      <c r="O128" s="1080"/>
      <c r="P128" s="1080"/>
      <c r="Q128" s="1080"/>
      <c r="R128" s="1080"/>
      <c r="S128" s="1080"/>
      <c r="T128" s="1080"/>
      <c r="U128" s="1080"/>
      <c r="V128" s="1080"/>
      <c r="W128" s="1080"/>
      <c r="X128" s="1080"/>
      <c r="Y128" s="1080"/>
      <c r="Z128" s="1080"/>
      <c r="AA128" s="1080"/>
      <c r="AB128" s="1080"/>
      <c r="AC128" s="1080"/>
    </row>
    <row r="129" spans="2:29" s="957" customFormat="1">
      <c r="B129" s="925" t="s">
        <v>484</v>
      </c>
      <c r="C129" s="926"/>
      <c r="D129" s="1079"/>
      <c r="E129" s="1079"/>
      <c r="F129" s="1079"/>
      <c r="G129" s="1079"/>
      <c r="H129" s="1079"/>
      <c r="I129" s="1079"/>
      <c r="J129" s="1079"/>
      <c r="K129" s="1079"/>
      <c r="L129" s="1079"/>
      <c r="M129" s="1079"/>
      <c r="N129" s="1079"/>
      <c r="O129" s="1079"/>
      <c r="P129" s="1079"/>
      <c r="Q129" s="1079"/>
      <c r="R129" s="1079"/>
      <c r="S129" s="1079"/>
      <c r="T129" s="1079"/>
      <c r="U129" s="1079"/>
      <c r="V129" s="1079"/>
      <c r="W129" s="1079"/>
      <c r="X129" s="1079"/>
      <c r="Y129" s="1079"/>
      <c r="Z129" s="1079"/>
      <c r="AA129" s="1079"/>
      <c r="AB129" s="1079"/>
      <c r="AC129" s="1079"/>
    </row>
    <row r="130" spans="2:29">
      <c r="B130" s="928" t="s">
        <v>485</v>
      </c>
      <c r="C130" s="929"/>
      <c r="D130" s="1080"/>
      <c r="E130" s="1080"/>
      <c r="F130" s="1080"/>
      <c r="G130" s="1080"/>
      <c r="H130" s="1080"/>
      <c r="I130" s="1080"/>
      <c r="J130" s="1080"/>
      <c r="K130" s="1080"/>
      <c r="L130" s="1080"/>
      <c r="M130" s="1080"/>
      <c r="N130" s="1080"/>
      <c r="O130" s="1080"/>
      <c r="P130" s="1080"/>
      <c r="Q130" s="1080"/>
      <c r="R130" s="1080"/>
      <c r="S130" s="1080"/>
      <c r="T130" s="1080"/>
      <c r="U130" s="1080"/>
      <c r="V130" s="1080"/>
      <c r="W130" s="1080"/>
      <c r="X130" s="1080"/>
      <c r="Y130" s="1080"/>
      <c r="Z130" s="1080"/>
      <c r="AA130" s="1080"/>
      <c r="AB130" s="1080"/>
      <c r="AC130" s="1080"/>
    </row>
    <row r="131" spans="2:29">
      <c r="B131" s="925" t="s">
        <v>486</v>
      </c>
      <c r="C131" s="926"/>
      <c r="D131" s="1079"/>
      <c r="E131" s="1079"/>
      <c r="F131" s="1079"/>
      <c r="G131" s="1079"/>
      <c r="H131" s="1079"/>
      <c r="I131" s="1079"/>
      <c r="J131" s="1079"/>
      <c r="K131" s="1079"/>
      <c r="L131" s="1079"/>
      <c r="M131" s="1079"/>
      <c r="N131" s="1079"/>
      <c r="O131" s="1079"/>
      <c r="P131" s="1079"/>
      <c r="Q131" s="1079"/>
      <c r="R131" s="1079"/>
      <c r="S131" s="1079"/>
      <c r="T131" s="1079"/>
      <c r="U131" s="1079"/>
      <c r="V131" s="1079"/>
      <c r="W131" s="1079"/>
      <c r="X131" s="1079"/>
      <c r="Y131" s="1079"/>
      <c r="Z131" s="1079"/>
      <c r="AA131" s="1079"/>
      <c r="AB131" s="1079"/>
      <c r="AC131" s="1079"/>
    </row>
    <row r="132" spans="2:29">
      <c r="B132" s="931" t="s">
        <v>487</v>
      </c>
      <c r="C132" s="929"/>
      <c r="D132" s="1080"/>
      <c r="E132" s="1080"/>
      <c r="F132" s="1080"/>
      <c r="G132" s="1080"/>
      <c r="H132" s="1080"/>
      <c r="I132" s="1080"/>
      <c r="J132" s="1080"/>
      <c r="K132" s="1080"/>
      <c r="L132" s="1080"/>
      <c r="M132" s="1080"/>
      <c r="N132" s="1080"/>
      <c r="O132" s="1080"/>
      <c r="P132" s="1080"/>
      <c r="Q132" s="1080"/>
      <c r="R132" s="1080"/>
      <c r="S132" s="1080"/>
      <c r="T132" s="1080"/>
      <c r="U132" s="1080"/>
      <c r="V132" s="1080"/>
      <c r="W132" s="1080"/>
      <c r="X132" s="1080"/>
      <c r="Y132" s="1080"/>
      <c r="Z132" s="1080"/>
      <c r="AA132" s="1080"/>
      <c r="AB132" s="1080"/>
      <c r="AC132" s="1080"/>
    </row>
    <row r="133" spans="2:29" s="941" customFormat="1" ht="12">
      <c r="B133" s="1011" t="s">
        <v>488</v>
      </c>
      <c r="C133" s="1012"/>
      <c r="D133" s="1081">
        <f t="shared" ref="D133:K133" si="78">SUM(D134:D135)</f>
        <v>0</v>
      </c>
      <c r="E133" s="1082">
        <f t="shared" si="78"/>
        <v>0</v>
      </c>
      <c r="F133" s="1082">
        <f t="shared" si="78"/>
        <v>0</v>
      </c>
      <c r="G133" s="1082">
        <f t="shared" si="78"/>
        <v>0</v>
      </c>
      <c r="H133" s="1082">
        <f t="shared" si="78"/>
        <v>0</v>
      </c>
      <c r="I133" s="1082">
        <f t="shared" si="78"/>
        <v>0</v>
      </c>
      <c r="J133" s="1082">
        <f t="shared" si="78"/>
        <v>0</v>
      </c>
      <c r="K133" s="1082">
        <f t="shared" si="78"/>
        <v>0</v>
      </c>
      <c r="L133" s="1082">
        <f>L119*L$99</f>
        <v>130.24040645607897</v>
      </c>
      <c r="M133" s="1082">
        <f t="shared" ref="M133:AC133" si="79">M119*M$99</f>
        <v>306.80552905047631</v>
      </c>
      <c r="N133" s="1082">
        <f t="shared" si="79"/>
        <v>387.95277685993977</v>
      </c>
      <c r="O133" s="1082">
        <f t="shared" si="79"/>
        <v>540.9163372457499</v>
      </c>
      <c r="P133" s="1082">
        <f t="shared" si="79"/>
        <v>747.43834054955016</v>
      </c>
      <c r="Q133" s="1082">
        <f t="shared" si="79"/>
        <v>1160.4552084113484</v>
      </c>
      <c r="R133" s="1082">
        <f t="shared" si="79"/>
        <v>1888.6052169554596</v>
      </c>
      <c r="S133" s="1082">
        <f t="shared" si="79"/>
        <v>2877.0965939855</v>
      </c>
      <c r="T133" s="1082">
        <f t="shared" si="79"/>
        <v>3974.3953841560669</v>
      </c>
      <c r="U133" s="1082">
        <f t="shared" si="79"/>
        <v>5088.3793983128835</v>
      </c>
      <c r="V133" s="1082">
        <f t="shared" si="79"/>
        <v>6254.221983659444</v>
      </c>
      <c r="W133" s="1082">
        <f t="shared" si="79"/>
        <v>7333.6892196385697</v>
      </c>
      <c r="X133" s="1082">
        <f t="shared" si="79"/>
        <v>8354.9578250080067</v>
      </c>
      <c r="Y133" s="1082">
        <f t="shared" si="79"/>
        <v>9254.9266289441075</v>
      </c>
      <c r="Z133" s="1082">
        <f t="shared" si="79"/>
        <v>9911.0018355546126</v>
      </c>
      <c r="AA133" s="1082">
        <f t="shared" si="79"/>
        <v>10553.174606436774</v>
      </c>
      <c r="AB133" s="1082">
        <f t="shared" si="79"/>
        <v>11211.211655205927</v>
      </c>
      <c r="AC133" s="1082">
        <f t="shared" si="79"/>
        <v>11533.704297571217</v>
      </c>
    </row>
    <row r="134" spans="2:29">
      <c r="B134" s="928" t="s">
        <v>489</v>
      </c>
      <c r="C134" s="929"/>
      <c r="D134" s="1080">
        <f t="shared" ref="D134:K136" si="80">D120*D$99</f>
        <v>0</v>
      </c>
      <c r="E134" s="1080">
        <f t="shared" si="80"/>
        <v>0</v>
      </c>
      <c r="F134" s="1080">
        <f t="shared" si="80"/>
        <v>0</v>
      </c>
      <c r="G134" s="1080">
        <f t="shared" si="80"/>
        <v>0</v>
      </c>
      <c r="H134" s="1080">
        <f t="shared" si="80"/>
        <v>0</v>
      </c>
      <c r="I134" s="1080">
        <f t="shared" si="80"/>
        <v>0</v>
      </c>
      <c r="J134" s="1080">
        <f t="shared" si="80"/>
        <v>0</v>
      </c>
      <c r="K134" s="1080">
        <f t="shared" si="80"/>
        <v>0</v>
      </c>
      <c r="L134" s="1080">
        <f>L$133*L120</f>
        <v>130.24040645607897</v>
      </c>
      <c r="M134" s="1080">
        <f t="shared" ref="M134:AC134" si="81">M$133*M120</f>
        <v>306.80552905047631</v>
      </c>
      <c r="N134" s="1080">
        <f t="shared" si="81"/>
        <v>387.95277685993977</v>
      </c>
      <c r="O134" s="1080">
        <f t="shared" si="81"/>
        <v>540.9163372457499</v>
      </c>
      <c r="P134" s="1080">
        <f t="shared" si="81"/>
        <v>747.43834054955016</v>
      </c>
      <c r="Q134" s="1080">
        <f t="shared" si="81"/>
        <v>1160.4552084113484</v>
      </c>
      <c r="R134" s="1080">
        <f t="shared" si="81"/>
        <v>1699.7446952599137</v>
      </c>
      <c r="S134" s="1080">
        <f t="shared" si="81"/>
        <v>2157.8224454891251</v>
      </c>
      <c r="T134" s="1080">
        <f t="shared" si="81"/>
        <v>2583.3569997014438</v>
      </c>
      <c r="U134" s="1080">
        <f t="shared" si="81"/>
        <v>2798.6086690720863</v>
      </c>
      <c r="V134" s="1080">
        <f t="shared" si="81"/>
        <v>2501.688793463778</v>
      </c>
      <c r="W134" s="1080">
        <f t="shared" si="81"/>
        <v>2200.1067658915708</v>
      </c>
      <c r="X134" s="1080">
        <f t="shared" si="81"/>
        <v>1670.9915650016014</v>
      </c>
      <c r="Y134" s="1080">
        <f t="shared" si="81"/>
        <v>925.49266289441084</v>
      </c>
      <c r="Z134" s="1080">
        <f t="shared" si="81"/>
        <v>693.77012848882293</v>
      </c>
      <c r="AA134" s="1080">
        <f t="shared" si="81"/>
        <v>527.65873032183879</v>
      </c>
      <c r="AB134" s="1080">
        <f t="shared" si="81"/>
        <v>448.44846620823711</v>
      </c>
      <c r="AC134" s="1080">
        <f t="shared" si="81"/>
        <v>346.0111289271365</v>
      </c>
    </row>
    <row r="135" spans="2:29">
      <c r="B135" s="934" t="s">
        <v>490</v>
      </c>
      <c r="C135" s="935"/>
      <c r="D135" s="1083">
        <f t="shared" si="80"/>
        <v>0</v>
      </c>
      <c r="E135" s="1083">
        <f t="shared" si="80"/>
        <v>0</v>
      </c>
      <c r="F135" s="1083">
        <f t="shared" si="80"/>
        <v>0</v>
      </c>
      <c r="G135" s="1083">
        <f t="shared" si="80"/>
        <v>0</v>
      </c>
      <c r="H135" s="1083">
        <f t="shared" si="80"/>
        <v>0</v>
      </c>
      <c r="I135" s="1083">
        <f t="shared" si="80"/>
        <v>0</v>
      </c>
      <c r="J135" s="1083">
        <f t="shared" si="80"/>
        <v>0</v>
      </c>
      <c r="K135" s="1083">
        <f t="shared" si="80"/>
        <v>0</v>
      </c>
      <c r="L135" s="1083">
        <f t="shared" ref="L135:AC135" si="82">L$133*L121</f>
        <v>0</v>
      </c>
      <c r="M135" s="1083">
        <f t="shared" si="82"/>
        <v>0</v>
      </c>
      <c r="N135" s="1083">
        <f t="shared" si="82"/>
        <v>0</v>
      </c>
      <c r="O135" s="1083">
        <f t="shared" si="82"/>
        <v>0</v>
      </c>
      <c r="P135" s="1083">
        <f t="shared" si="82"/>
        <v>0</v>
      </c>
      <c r="Q135" s="1083">
        <f t="shared" si="82"/>
        <v>0</v>
      </c>
      <c r="R135" s="1083">
        <f t="shared" si="82"/>
        <v>188.86052169554597</v>
      </c>
      <c r="S135" s="1083">
        <f t="shared" si="82"/>
        <v>719.27414849637501</v>
      </c>
      <c r="T135" s="1083">
        <f t="shared" si="82"/>
        <v>1391.0383844546234</v>
      </c>
      <c r="U135" s="1083">
        <f t="shared" si="82"/>
        <v>2289.7707292407977</v>
      </c>
      <c r="V135" s="1083">
        <f t="shared" si="82"/>
        <v>3752.5331901956661</v>
      </c>
      <c r="W135" s="1083">
        <f t="shared" si="82"/>
        <v>5133.5824537469989</v>
      </c>
      <c r="X135" s="1083">
        <f t="shared" si="82"/>
        <v>6683.9662600064057</v>
      </c>
      <c r="Y135" s="1083">
        <f t="shared" si="82"/>
        <v>8329.4339660496971</v>
      </c>
      <c r="Z135" s="1083">
        <f t="shared" si="82"/>
        <v>9217.23170706579</v>
      </c>
      <c r="AA135" s="1083">
        <f t="shared" si="82"/>
        <v>10025.515876114936</v>
      </c>
      <c r="AB135" s="1083">
        <f t="shared" si="82"/>
        <v>10762.763188997689</v>
      </c>
      <c r="AC135" s="1083">
        <f t="shared" si="82"/>
        <v>11187.69316864408</v>
      </c>
    </row>
    <row r="136" spans="2:29" s="941" customFormat="1" ht="12" thickBot="1">
      <c r="B136" s="1015" t="s">
        <v>491</v>
      </c>
      <c r="C136" s="1027"/>
      <c r="D136" s="1084">
        <f t="shared" si="80"/>
        <v>0</v>
      </c>
      <c r="E136" s="1085">
        <f t="shared" si="80"/>
        <v>0</v>
      </c>
      <c r="F136" s="1085">
        <f t="shared" si="80"/>
        <v>0</v>
      </c>
      <c r="G136" s="1085">
        <f t="shared" si="80"/>
        <v>0</v>
      </c>
      <c r="H136" s="1085">
        <f t="shared" si="80"/>
        <v>0</v>
      </c>
      <c r="I136" s="1085">
        <f t="shared" si="80"/>
        <v>0</v>
      </c>
      <c r="J136" s="1085">
        <f t="shared" si="80"/>
        <v>0</v>
      </c>
      <c r="K136" s="1085">
        <f t="shared" si="80"/>
        <v>0</v>
      </c>
      <c r="L136" s="1085">
        <f>L122*L$99</f>
        <v>14.471156272897662</v>
      </c>
      <c r="M136" s="1085">
        <f t="shared" ref="M136:AC136" si="83">M122*M$99</f>
        <v>34.089503227830697</v>
      </c>
      <c r="N136" s="1085">
        <f t="shared" si="83"/>
        <v>43.105864095548867</v>
      </c>
      <c r="O136" s="1085">
        <f t="shared" si="83"/>
        <v>66.854828198912898</v>
      </c>
      <c r="P136" s="1085">
        <f t="shared" si="83"/>
        <v>101.92341007493866</v>
      </c>
      <c r="Q136" s="1085">
        <f t="shared" si="83"/>
        <v>173.40135298100608</v>
      </c>
      <c r="R136" s="1085">
        <f t="shared" si="83"/>
        <v>257.53707503938085</v>
      </c>
      <c r="S136" s="1085">
        <f t="shared" si="83"/>
        <v>355.59620824539888</v>
      </c>
      <c r="T136" s="1085">
        <f t="shared" si="83"/>
        <v>441.59948712845193</v>
      </c>
      <c r="U136" s="1085">
        <f t="shared" si="83"/>
        <v>503.24631411885656</v>
      </c>
      <c r="V136" s="1085">
        <f t="shared" si="83"/>
        <v>543.8453898834299</v>
      </c>
      <c r="W136" s="1085">
        <f t="shared" si="83"/>
        <v>594.62345024096498</v>
      </c>
      <c r="X136" s="1085">
        <f t="shared" si="83"/>
        <v>628.86779328017246</v>
      </c>
      <c r="Y136" s="1085">
        <f t="shared" si="83"/>
        <v>643.39062126349415</v>
      </c>
      <c r="Z136" s="1085">
        <f t="shared" si="83"/>
        <v>632.61713843965617</v>
      </c>
      <c r="AA136" s="1085">
        <f t="shared" si="83"/>
        <v>614.20592947515615</v>
      </c>
      <c r="AB136" s="1085">
        <f t="shared" si="83"/>
        <v>590.06377132662772</v>
      </c>
      <c r="AC136" s="1085">
        <f t="shared" si="83"/>
        <v>607.03706829322198</v>
      </c>
    </row>
    <row r="137" spans="2:29" s="1002" customFormat="1" ht="12" thickTop="1">
      <c r="B137" s="1003" t="s">
        <v>263</v>
      </c>
      <c r="C137" s="1004"/>
      <c r="D137" s="1004">
        <f>SUM(D126:D136)-D126-D133</f>
        <v>0</v>
      </c>
      <c r="E137" s="1004">
        <f t="shared" ref="E137:X137" si="84">SUM(E126:E136)-E126-E133</f>
        <v>0</v>
      </c>
      <c r="F137" s="1004">
        <f t="shared" si="84"/>
        <v>0</v>
      </c>
      <c r="G137" s="1004">
        <f t="shared" si="84"/>
        <v>0</v>
      </c>
      <c r="H137" s="1004">
        <f t="shared" si="84"/>
        <v>0</v>
      </c>
      <c r="I137" s="1004">
        <f t="shared" si="84"/>
        <v>0</v>
      </c>
      <c r="J137" s="1004">
        <f t="shared" si="84"/>
        <v>0</v>
      </c>
      <c r="K137" s="1004">
        <f t="shared" si="84"/>
        <v>0</v>
      </c>
      <c r="L137" s="1036">
        <f t="shared" si="84"/>
        <v>144.71156272897662</v>
      </c>
      <c r="M137" s="1036">
        <f t="shared" si="84"/>
        <v>340.89503227830704</v>
      </c>
      <c r="N137" s="1036">
        <f t="shared" si="84"/>
        <v>431.05864095548867</v>
      </c>
      <c r="O137" s="1036">
        <f t="shared" si="84"/>
        <v>607.77116544466276</v>
      </c>
      <c r="P137" s="1036">
        <f t="shared" si="84"/>
        <v>849.36175062448876</v>
      </c>
      <c r="Q137" s="1036">
        <f t="shared" si="84"/>
        <v>1333.8565613923547</v>
      </c>
      <c r="R137" s="1036">
        <f t="shared" si="84"/>
        <v>2146.1422919948409</v>
      </c>
      <c r="S137" s="1036">
        <f t="shared" si="84"/>
        <v>3232.6928022308998</v>
      </c>
      <c r="T137" s="1036">
        <f t="shared" si="84"/>
        <v>4415.994871284518</v>
      </c>
      <c r="U137" s="1036">
        <f t="shared" si="84"/>
        <v>5591.6257124317399</v>
      </c>
      <c r="V137" s="1036">
        <f t="shared" si="84"/>
        <v>6798.0673735428763</v>
      </c>
      <c r="W137" s="1036">
        <f t="shared" si="84"/>
        <v>7928.3126698795359</v>
      </c>
      <c r="X137" s="1036">
        <f t="shared" si="84"/>
        <v>8983.8256182881796</v>
      </c>
      <c r="Y137" s="1036">
        <f>SUM(Y126:Y136)-Y126-Y133</f>
        <v>9898.3172502076013</v>
      </c>
      <c r="Z137" s="1036">
        <f>SUM(Z126:Z136)-Z126-Z133</f>
        <v>10543.618973994267</v>
      </c>
      <c r="AA137" s="1036">
        <f>SUM(AA126:AA136)-AA126-AA133</f>
        <v>11167.380535911931</v>
      </c>
      <c r="AB137" s="1036">
        <f>SUM(AB126:AB136)-AB126-AB133</f>
        <v>11801.275426532553</v>
      </c>
      <c r="AC137" s="1036">
        <f>SUM(AC126:AC136)-AC126-AC133</f>
        <v>12140.74136586444</v>
      </c>
    </row>
    <row r="138" spans="2:29">
      <c r="B138" s="1005"/>
      <c r="C138" s="976"/>
      <c r="D138" s="976"/>
      <c r="E138" s="1076"/>
      <c r="F138" s="983"/>
      <c r="G138" s="976"/>
      <c r="H138" s="976"/>
      <c r="I138" s="983"/>
      <c r="J138" s="983"/>
      <c r="K138" s="976"/>
      <c r="L138" s="983"/>
      <c r="M138" s="983"/>
      <c r="N138" s="983"/>
      <c r="O138" s="983"/>
      <c r="P138" s="983"/>
      <c r="Q138" s="983"/>
      <c r="R138" s="983"/>
      <c r="S138" s="983"/>
      <c r="T138" s="983"/>
      <c r="U138" s="983"/>
      <c r="V138" s="983"/>
      <c r="W138" s="983"/>
      <c r="X138" s="983"/>
      <c r="Y138" s="983"/>
      <c r="Z138" s="983"/>
      <c r="AA138" s="983"/>
      <c r="AB138" s="983"/>
      <c r="AC138" s="983"/>
    </row>
    <row r="139" spans="2:29" ht="12">
      <c r="B139" s="1006" t="s">
        <v>523</v>
      </c>
      <c r="C139" s="976"/>
      <c r="D139" s="976"/>
      <c r="E139" s="976"/>
      <c r="F139" s="983"/>
      <c r="G139" s="976"/>
      <c r="H139" s="976"/>
      <c r="I139" s="983"/>
      <c r="J139" s="983"/>
      <c r="K139" s="976"/>
      <c r="L139" s="983"/>
      <c r="M139" s="976"/>
      <c r="N139" s="976"/>
      <c r="O139" s="976"/>
      <c r="P139" s="976"/>
      <c r="Q139" s="976"/>
      <c r="R139" s="976"/>
      <c r="S139" s="976"/>
      <c r="T139" s="976"/>
      <c r="U139" s="976"/>
      <c r="V139" s="976"/>
      <c r="W139" s="976"/>
      <c r="X139" s="976"/>
      <c r="Y139" s="976"/>
      <c r="Z139" s="976"/>
      <c r="AA139" s="976"/>
      <c r="AB139" s="976"/>
      <c r="AC139" s="976"/>
    </row>
    <row r="140" spans="2:29" s="941" customFormat="1">
      <c r="B140" s="1007" t="s">
        <v>481</v>
      </c>
      <c r="C140" s="1021"/>
      <c r="D140" s="1066">
        <f t="shared" ref="D140:J140" si="85">SUM(D141:D146)</f>
        <v>0</v>
      </c>
      <c r="E140" s="1086">
        <f t="shared" si="85"/>
        <v>0</v>
      </c>
      <c r="F140" s="1086">
        <f t="shared" si="85"/>
        <v>0</v>
      </c>
      <c r="G140" s="1086">
        <f t="shared" si="85"/>
        <v>0</v>
      </c>
      <c r="H140" s="1086">
        <f t="shared" si="85"/>
        <v>0</v>
      </c>
      <c r="I140" s="1086">
        <f t="shared" si="85"/>
        <v>0</v>
      </c>
      <c r="J140" s="1086">
        <f t="shared" si="85"/>
        <v>0</v>
      </c>
      <c r="K140" s="1415">
        <v>3.0000000000000001E-3</v>
      </c>
      <c r="L140" s="1086">
        <v>0.03</v>
      </c>
      <c r="M140" s="1086">
        <v>6.0999999999999999E-2</v>
      </c>
      <c r="N140" s="1086">
        <v>0.08</v>
      </c>
      <c r="O140" s="1086">
        <v>0.09</v>
      </c>
      <c r="P140" s="1086">
        <v>0.12</v>
      </c>
      <c r="Q140" s="1086">
        <v>0.16</v>
      </c>
      <c r="R140" s="1086">
        <v>0.33</v>
      </c>
      <c r="S140" s="1086">
        <v>0.42</v>
      </c>
      <c r="T140" s="1086">
        <v>0.51</v>
      </c>
      <c r="U140" s="1086">
        <v>0.66</v>
      </c>
      <c r="V140" s="1086">
        <v>0.76</v>
      </c>
      <c r="W140" s="1086">
        <v>0.76</v>
      </c>
      <c r="X140" s="1086">
        <v>0.76</v>
      </c>
      <c r="Y140" s="1086">
        <v>0.76300000000000001</v>
      </c>
      <c r="Z140" s="1086">
        <v>0.76</v>
      </c>
      <c r="AA140" s="1086">
        <v>0.751</v>
      </c>
      <c r="AB140" s="1086">
        <v>0.75</v>
      </c>
      <c r="AC140" s="1086">
        <v>0.75</v>
      </c>
    </row>
    <row r="141" spans="2:29" hidden="1" outlineLevel="1">
      <c r="B141" s="925" t="s">
        <v>482</v>
      </c>
      <c r="C141" s="926"/>
      <c r="D141" s="1067"/>
      <c r="E141" s="1067"/>
      <c r="F141" s="1067"/>
      <c r="G141" s="1067"/>
      <c r="H141" s="1067"/>
      <c r="I141" s="1067"/>
      <c r="J141" s="1067"/>
      <c r="K141" s="1067">
        <v>1</v>
      </c>
      <c r="L141" s="989">
        <f>L38</f>
        <v>1</v>
      </c>
      <c r="M141" s="989">
        <f t="shared" ref="M141:AC141" si="86">M38</f>
        <v>1</v>
      </c>
      <c r="N141" s="989">
        <f t="shared" si="86"/>
        <v>1</v>
      </c>
      <c r="O141" s="989">
        <f t="shared" si="86"/>
        <v>1</v>
      </c>
      <c r="P141" s="989">
        <f t="shared" si="86"/>
        <v>1</v>
      </c>
      <c r="Q141" s="989">
        <f t="shared" si="86"/>
        <v>1</v>
      </c>
      <c r="R141" s="989">
        <f t="shared" si="86"/>
        <v>0.7</v>
      </c>
      <c r="S141" s="989">
        <f t="shared" si="86"/>
        <v>0.4</v>
      </c>
      <c r="T141" s="989">
        <f t="shared" si="86"/>
        <v>0.25</v>
      </c>
      <c r="U141" s="989">
        <f t="shared" si="86"/>
        <v>0.1</v>
      </c>
      <c r="V141" s="989">
        <f t="shared" si="86"/>
        <v>0.01</v>
      </c>
      <c r="W141" s="989">
        <f t="shared" si="86"/>
        <v>0.01</v>
      </c>
      <c r="X141" s="989">
        <f t="shared" si="86"/>
        <v>2E-3</v>
      </c>
      <c r="Y141" s="989">
        <f t="shared" si="86"/>
        <v>1E-3</v>
      </c>
      <c r="Z141" s="989">
        <f t="shared" si="86"/>
        <v>1E-3</v>
      </c>
      <c r="AA141" s="989">
        <f t="shared" si="86"/>
        <v>1E-3</v>
      </c>
      <c r="AB141" s="989">
        <f t="shared" si="86"/>
        <v>1E-3</v>
      </c>
      <c r="AC141" s="989">
        <f t="shared" si="86"/>
        <v>1E-3</v>
      </c>
    </row>
    <row r="142" spans="2:29" hidden="1" outlineLevel="1">
      <c r="B142" s="928" t="s">
        <v>483</v>
      </c>
      <c r="C142" s="929"/>
      <c r="D142" s="1068"/>
      <c r="E142" s="1068"/>
      <c r="F142" s="1068"/>
      <c r="G142" s="1068"/>
      <c r="H142" s="1068"/>
      <c r="I142" s="1068"/>
      <c r="J142" s="1068"/>
      <c r="K142" s="1068"/>
      <c r="L142" s="991">
        <f t="shared" ref="L142:AC142" si="87">L39</f>
        <v>0</v>
      </c>
      <c r="M142" s="991">
        <f t="shared" si="87"/>
        <v>0</v>
      </c>
      <c r="N142" s="991">
        <f t="shared" si="87"/>
        <v>0</v>
      </c>
      <c r="O142" s="991">
        <f t="shared" si="87"/>
        <v>0</v>
      </c>
      <c r="P142" s="991">
        <f t="shared" si="87"/>
        <v>0</v>
      </c>
      <c r="Q142" s="991">
        <f t="shared" si="87"/>
        <v>0</v>
      </c>
      <c r="R142" s="991">
        <f t="shared" si="87"/>
        <v>0</v>
      </c>
      <c r="S142" s="991">
        <f t="shared" si="87"/>
        <v>0</v>
      </c>
      <c r="T142" s="991">
        <f t="shared" si="87"/>
        <v>0</v>
      </c>
      <c r="U142" s="991">
        <f t="shared" si="87"/>
        <v>0</v>
      </c>
      <c r="V142" s="991">
        <f t="shared" si="87"/>
        <v>0</v>
      </c>
      <c r="W142" s="991">
        <f t="shared" si="87"/>
        <v>0</v>
      </c>
      <c r="X142" s="991">
        <f t="shared" si="87"/>
        <v>0.05</v>
      </c>
      <c r="Y142" s="991">
        <f t="shared" si="87"/>
        <v>0.1</v>
      </c>
      <c r="Z142" s="991">
        <f t="shared" si="87"/>
        <v>0.15</v>
      </c>
      <c r="AA142" s="991">
        <f t="shared" si="87"/>
        <v>0.2</v>
      </c>
      <c r="AB142" s="991">
        <f t="shared" si="87"/>
        <v>0.25</v>
      </c>
      <c r="AC142" s="991">
        <f t="shared" si="87"/>
        <v>0.25</v>
      </c>
    </row>
    <row r="143" spans="2:29" hidden="1" outlineLevel="1">
      <c r="B143" s="925" t="s">
        <v>484</v>
      </c>
      <c r="C143" s="926"/>
      <c r="D143" s="1067"/>
      <c r="E143" s="1067"/>
      <c r="F143" s="1067"/>
      <c r="G143" s="1067"/>
      <c r="H143" s="1067"/>
      <c r="I143" s="1067"/>
      <c r="J143" s="1067"/>
      <c r="K143" s="1067"/>
      <c r="L143" s="992">
        <f t="shared" ref="L143:AC143" si="88">L40</f>
        <v>0</v>
      </c>
      <c r="M143" s="992">
        <f t="shared" si="88"/>
        <v>0</v>
      </c>
      <c r="N143" s="992">
        <f t="shared" si="88"/>
        <v>0</v>
      </c>
      <c r="O143" s="992">
        <f t="shared" si="88"/>
        <v>0</v>
      </c>
      <c r="P143" s="992">
        <f t="shared" si="88"/>
        <v>0</v>
      </c>
      <c r="Q143" s="992">
        <f t="shared" si="88"/>
        <v>0</v>
      </c>
      <c r="R143" s="992">
        <f t="shared" si="88"/>
        <v>0.1</v>
      </c>
      <c r="S143" s="992">
        <f t="shared" si="88"/>
        <v>0.2</v>
      </c>
      <c r="T143" s="992">
        <f t="shared" si="88"/>
        <v>0.25</v>
      </c>
      <c r="U143" s="992">
        <f t="shared" si="88"/>
        <v>0.3</v>
      </c>
      <c r="V143" s="992">
        <f t="shared" si="88"/>
        <v>0.33</v>
      </c>
      <c r="W143" s="992">
        <f t="shared" si="88"/>
        <v>0.33</v>
      </c>
      <c r="X143" s="992">
        <f t="shared" si="88"/>
        <v>0.30199999999999999</v>
      </c>
      <c r="Y143" s="992">
        <f t="shared" si="88"/>
        <v>0.28899999999999998</v>
      </c>
      <c r="Z143" s="992">
        <f t="shared" si="88"/>
        <v>0.27100000000000002</v>
      </c>
      <c r="AA143" s="992">
        <f t="shared" si="88"/>
        <v>0.26100000000000001</v>
      </c>
      <c r="AB143" s="992">
        <f t="shared" si="88"/>
        <v>0.22</v>
      </c>
      <c r="AC143" s="992">
        <f t="shared" si="88"/>
        <v>4.9000000000000002E-2</v>
      </c>
    </row>
    <row r="144" spans="2:29" hidden="1" outlineLevel="1">
      <c r="B144" s="928" t="s">
        <v>485</v>
      </c>
      <c r="C144" s="929"/>
      <c r="D144" s="1068"/>
      <c r="E144" s="1068"/>
      <c r="F144" s="1068"/>
      <c r="G144" s="1068"/>
      <c r="H144" s="1068"/>
      <c r="I144" s="1068"/>
      <c r="J144" s="1068"/>
      <c r="K144" s="1068"/>
      <c r="L144" s="991">
        <f t="shared" ref="L144:AC144" si="89">L41</f>
        <v>0</v>
      </c>
      <c r="M144" s="991">
        <f t="shared" si="89"/>
        <v>0</v>
      </c>
      <c r="N144" s="991">
        <f t="shared" si="89"/>
        <v>0</v>
      </c>
      <c r="O144" s="991">
        <f t="shared" si="89"/>
        <v>0</v>
      </c>
      <c r="P144" s="991">
        <f t="shared" si="89"/>
        <v>0</v>
      </c>
      <c r="Q144" s="991">
        <f t="shared" si="89"/>
        <v>0</v>
      </c>
      <c r="R144" s="991">
        <f t="shared" si="89"/>
        <v>0.1</v>
      </c>
      <c r="S144" s="991">
        <f t="shared" si="89"/>
        <v>0.2</v>
      </c>
      <c r="T144" s="991">
        <f t="shared" si="89"/>
        <v>0.25</v>
      </c>
      <c r="U144" s="991">
        <f t="shared" si="89"/>
        <v>0.3</v>
      </c>
      <c r="V144" s="991">
        <f t="shared" si="89"/>
        <v>0.33</v>
      </c>
      <c r="W144" s="991">
        <f t="shared" si="89"/>
        <v>0.33</v>
      </c>
      <c r="X144" s="991">
        <f t="shared" si="89"/>
        <v>0.32300000000000001</v>
      </c>
      <c r="Y144" s="991">
        <f t="shared" si="89"/>
        <v>0.30499999999999999</v>
      </c>
      <c r="Z144" s="991">
        <f t="shared" si="89"/>
        <v>0.28899999999999998</v>
      </c>
      <c r="AA144" s="991">
        <f t="shared" si="89"/>
        <v>0.26900000000000002</v>
      </c>
      <c r="AB144" s="991">
        <f t="shared" si="89"/>
        <v>0.25</v>
      </c>
      <c r="AC144" s="991">
        <f t="shared" si="89"/>
        <v>0.22500000000000001</v>
      </c>
    </row>
    <row r="145" spans="2:29" hidden="1" outlineLevel="1">
      <c r="B145" s="925" t="s">
        <v>486</v>
      </c>
      <c r="C145" s="926"/>
      <c r="D145" s="1067"/>
      <c r="E145" s="1067"/>
      <c r="F145" s="1067"/>
      <c r="G145" s="1067"/>
      <c r="H145" s="1067"/>
      <c r="I145" s="1067"/>
      <c r="J145" s="1067"/>
      <c r="K145" s="1067"/>
      <c r="L145" s="992">
        <f t="shared" ref="L145:AC145" si="90">L42</f>
        <v>0</v>
      </c>
      <c r="M145" s="992">
        <f t="shared" si="90"/>
        <v>0</v>
      </c>
      <c r="N145" s="992">
        <f t="shared" si="90"/>
        <v>0</v>
      </c>
      <c r="O145" s="992">
        <f t="shared" si="90"/>
        <v>0</v>
      </c>
      <c r="P145" s="992">
        <f t="shared" si="90"/>
        <v>0</v>
      </c>
      <c r="Q145" s="992">
        <f t="shared" si="90"/>
        <v>0</v>
      </c>
      <c r="R145" s="992">
        <f t="shared" si="90"/>
        <v>0.1</v>
      </c>
      <c r="S145" s="992">
        <f t="shared" si="90"/>
        <v>0.2</v>
      </c>
      <c r="T145" s="992">
        <f t="shared" si="90"/>
        <v>0.25</v>
      </c>
      <c r="U145" s="992">
        <f t="shared" si="90"/>
        <v>0.3</v>
      </c>
      <c r="V145" s="992">
        <f t="shared" si="90"/>
        <v>0.33</v>
      </c>
      <c r="W145" s="992">
        <f t="shared" si="90"/>
        <v>0.33</v>
      </c>
      <c r="X145" s="992">
        <f t="shared" si="90"/>
        <v>0.32300000000000001</v>
      </c>
      <c r="Y145" s="992">
        <f t="shared" si="90"/>
        <v>0.30499999999999999</v>
      </c>
      <c r="Z145" s="992">
        <f t="shared" si="90"/>
        <v>0.28899999999999998</v>
      </c>
      <c r="AA145" s="992">
        <f t="shared" si="90"/>
        <v>0.26900000000000002</v>
      </c>
      <c r="AB145" s="992">
        <f t="shared" si="90"/>
        <v>0.25</v>
      </c>
      <c r="AC145" s="992">
        <f t="shared" si="90"/>
        <v>0.22500000000000001</v>
      </c>
    </row>
    <row r="146" spans="2:29" hidden="1" outlineLevel="1">
      <c r="B146" s="931" t="s">
        <v>487</v>
      </c>
      <c r="C146" s="929"/>
      <c r="D146" s="1068"/>
      <c r="E146" s="1068"/>
      <c r="F146" s="1068"/>
      <c r="G146" s="1068"/>
      <c r="H146" s="1068"/>
      <c r="I146" s="1068"/>
      <c r="J146" s="1068"/>
      <c r="K146" s="1068"/>
      <c r="L146" s="991">
        <f t="shared" ref="L146:AC146" si="91">L43</f>
        <v>0</v>
      </c>
      <c r="M146" s="991">
        <f t="shared" si="91"/>
        <v>0</v>
      </c>
      <c r="N146" s="991">
        <f t="shared" si="91"/>
        <v>0</v>
      </c>
      <c r="O146" s="991">
        <f t="shared" si="91"/>
        <v>0</v>
      </c>
      <c r="P146" s="991">
        <f t="shared" si="91"/>
        <v>0</v>
      </c>
      <c r="Q146" s="991">
        <f t="shared" si="91"/>
        <v>0</v>
      </c>
      <c r="R146" s="991">
        <f t="shared" si="91"/>
        <v>0</v>
      </c>
      <c r="S146" s="991">
        <f t="shared" si="91"/>
        <v>0</v>
      </c>
      <c r="T146" s="991">
        <f t="shared" si="91"/>
        <v>0</v>
      </c>
      <c r="U146" s="991">
        <f t="shared" si="91"/>
        <v>0</v>
      </c>
      <c r="V146" s="991">
        <f t="shared" si="91"/>
        <v>0</v>
      </c>
      <c r="W146" s="991">
        <f t="shared" si="91"/>
        <v>0</v>
      </c>
      <c r="X146" s="991">
        <f t="shared" si="91"/>
        <v>0</v>
      </c>
      <c r="Y146" s="991">
        <f t="shared" si="91"/>
        <v>0</v>
      </c>
      <c r="Z146" s="991">
        <f t="shared" si="91"/>
        <v>0</v>
      </c>
      <c r="AA146" s="991">
        <f t="shared" si="91"/>
        <v>0</v>
      </c>
      <c r="AB146" s="991">
        <f t="shared" si="91"/>
        <v>2.9000000000000001E-2</v>
      </c>
      <c r="AC146" s="991">
        <f t="shared" si="91"/>
        <v>0.25</v>
      </c>
    </row>
    <row r="147" spans="2:29" s="941" customFormat="1" ht="12" collapsed="1">
      <c r="B147" s="1011" t="s">
        <v>488</v>
      </c>
      <c r="C147" s="1012"/>
      <c r="D147" s="1414">
        <v>0.5</v>
      </c>
      <c r="E147" s="1070">
        <v>0.5</v>
      </c>
      <c r="F147" s="1070">
        <v>0.5</v>
      </c>
      <c r="G147" s="1070">
        <v>0.5</v>
      </c>
      <c r="H147" s="1070">
        <v>0.5</v>
      </c>
      <c r="I147" s="1070">
        <v>0.5</v>
      </c>
      <c r="J147" s="1070">
        <v>0.5</v>
      </c>
      <c r="K147" s="1070">
        <v>0.5</v>
      </c>
      <c r="L147" s="1070">
        <v>0.5</v>
      </c>
      <c r="M147" s="1070">
        <v>0.47899999999999998</v>
      </c>
      <c r="N147" s="1070">
        <v>0.47</v>
      </c>
      <c r="O147" s="1070">
        <v>0.46</v>
      </c>
      <c r="P147" s="1070">
        <v>0.43</v>
      </c>
      <c r="Q147" s="1070">
        <v>0.4</v>
      </c>
      <c r="R147" s="1070">
        <v>0.37</v>
      </c>
      <c r="S147" s="1070">
        <v>0.31</v>
      </c>
      <c r="T147" s="1070">
        <v>0.28000000000000003</v>
      </c>
      <c r="U147" s="1070">
        <v>0.215</v>
      </c>
      <c r="V147" s="1070">
        <v>0.17</v>
      </c>
      <c r="W147" s="1070">
        <v>0.19</v>
      </c>
      <c r="X147" s="1070">
        <v>0.19</v>
      </c>
      <c r="Y147" s="1070">
        <v>0.20750000000000002</v>
      </c>
      <c r="Z147" s="1070">
        <v>0.21000000000000002</v>
      </c>
      <c r="AA147" s="1070">
        <v>0.2195</v>
      </c>
      <c r="AB147" s="1070">
        <v>0.22</v>
      </c>
      <c r="AC147" s="1070">
        <v>0.22</v>
      </c>
    </row>
    <row r="148" spans="2:29" hidden="1" outlineLevel="1">
      <c r="B148" s="928" t="s">
        <v>489</v>
      </c>
      <c r="C148" s="929"/>
      <c r="D148" s="1068">
        <v>1</v>
      </c>
      <c r="E148" s="1068">
        <v>1</v>
      </c>
      <c r="F148" s="1068">
        <v>1</v>
      </c>
      <c r="G148" s="1068">
        <v>1</v>
      </c>
      <c r="H148" s="1068">
        <v>1</v>
      </c>
      <c r="I148" s="1068">
        <v>1</v>
      </c>
      <c r="J148" s="1068">
        <v>1</v>
      </c>
      <c r="K148" s="1068">
        <v>1</v>
      </c>
      <c r="L148" s="1068">
        <v>1</v>
      </c>
      <c r="M148" s="1068">
        <v>1</v>
      </c>
      <c r="N148" s="1068">
        <v>1</v>
      </c>
      <c r="O148" s="1388">
        <v>1</v>
      </c>
      <c r="P148" s="1388">
        <v>1</v>
      </c>
      <c r="Q148" s="1388">
        <v>1</v>
      </c>
      <c r="R148" s="990">
        <v>0.9</v>
      </c>
      <c r="S148" s="990">
        <v>0.75</v>
      </c>
      <c r="T148" s="990">
        <v>0.65</v>
      </c>
      <c r="U148" s="990">
        <v>0.55000000000000004</v>
      </c>
      <c r="V148" s="990">
        <v>0.4</v>
      </c>
      <c r="W148" s="990">
        <v>0.3</v>
      </c>
      <c r="X148" s="990">
        <v>0.2</v>
      </c>
      <c r="Y148" s="990">
        <v>0.1</v>
      </c>
      <c r="Z148" s="990">
        <v>7.0000000000000007E-2</v>
      </c>
      <c r="AA148" s="990">
        <v>0.05</v>
      </c>
      <c r="AB148" s="990">
        <v>0.04</v>
      </c>
      <c r="AC148" s="990">
        <v>0.03</v>
      </c>
    </row>
    <row r="149" spans="2:29" hidden="1" outlineLevel="1">
      <c r="B149" s="934" t="s">
        <v>490</v>
      </c>
      <c r="C149" s="935"/>
      <c r="D149" s="1071"/>
      <c r="E149" s="1071"/>
      <c r="F149" s="1071"/>
      <c r="G149" s="1071"/>
      <c r="H149" s="1071"/>
      <c r="I149" s="1071"/>
      <c r="J149" s="1071"/>
      <c r="K149" s="1071"/>
      <c r="L149" s="1071"/>
      <c r="M149" s="1071"/>
      <c r="N149" s="1071"/>
      <c r="O149" s="989"/>
      <c r="P149" s="989"/>
      <c r="Q149" s="989"/>
      <c r="R149" s="988">
        <v>0.1</v>
      </c>
      <c r="S149" s="988">
        <v>0.25</v>
      </c>
      <c r="T149" s="988">
        <v>0.35</v>
      </c>
      <c r="U149" s="988">
        <v>0.45</v>
      </c>
      <c r="V149" s="988">
        <v>0.6</v>
      </c>
      <c r="W149" s="988">
        <v>0.7</v>
      </c>
      <c r="X149" s="988">
        <v>0.8</v>
      </c>
      <c r="Y149" s="988">
        <v>0.9</v>
      </c>
      <c r="Z149" s="988">
        <v>0.93</v>
      </c>
      <c r="AA149" s="988">
        <v>0.95</v>
      </c>
      <c r="AB149" s="988">
        <v>0.96</v>
      </c>
      <c r="AC149" s="988">
        <v>0.97</v>
      </c>
    </row>
    <row r="150" spans="2:29" s="941" customFormat="1" ht="12" collapsed="1" thickBot="1">
      <c r="B150" s="1015" t="s">
        <v>491</v>
      </c>
      <c r="C150" s="1027"/>
      <c r="D150" s="1416">
        <v>0.5</v>
      </c>
      <c r="E150" s="1073">
        <v>0.5</v>
      </c>
      <c r="F150" s="1073">
        <v>0.5</v>
      </c>
      <c r="G150" s="1073">
        <v>0.5</v>
      </c>
      <c r="H150" s="1073">
        <v>0.5</v>
      </c>
      <c r="I150" s="1073">
        <v>0.5</v>
      </c>
      <c r="J150" s="1073">
        <v>0.5</v>
      </c>
      <c r="K150" s="1073">
        <v>0.497</v>
      </c>
      <c r="L150" s="1073">
        <v>0.47399999999999998</v>
      </c>
      <c r="M150" s="1073">
        <v>0.46</v>
      </c>
      <c r="N150" s="1073">
        <v>0.45</v>
      </c>
      <c r="O150" s="1073">
        <v>0.45</v>
      </c>
      <c r="P150" s="1073">
        <v>0.45</v>
      </c>
      <c r="Q150" s="1073">
        <v>0.44</v>
      </c>
      <c r="R150" s="1073">
        <v>0.3</v>
      </c>
      <c r="S150" s="1073">
        <v>0.27</v>
      </c>
      <c r="T150" s="1073">
        <v>0.21</v>
      </c>
      <c r="U150" s="1073">
        <v>0.125</v>
      </c>
      <c r="V150" s="1073">
        <v>7.0000000000000007E-2</v>
      </c>
      <c r="W150" s="1073">
        <v>0.05</v>
      </c>
      <c r="X150" s="1073">
        <v>0.05</v>
      </c>
      <c r="Y150" s="1073">
        <v>0.03</v>
      </c>
      <c r="Z150" s="1073">
        <v>0.03</v>
      </c>
      <c r="AA150" s="1073">
        <v>0.03</v>
      </c>
      <c r="AB150" s="1073">
        <v>0.03</v>
      </c>
      <c r="AC150" s="1073">
        <v>0.03</v>
      </c>
    </row>
    <row r="151" spans="2:29" s="1002" customFormat="1" ht="12" thickTop="1">
      <c r="B151" s="1003" t="s">
        <v>263</v>
      </c>
      <c r="C151" s="1004"/>
      <c r="D151" s="1075">
        <f t="shared" ref="D151:AC151" si="92">D140+D147+D150</f>
        <v>1</v>
      </c>
      <c r="E151" s="1075">
        <f t="shared" si="92"/>
        <v>1</v>
      </c>
      <c r="F151" s="1075">
        <f t="shared" si="92"/>
        <v>1</v>
      </c>
      <c r="G151" s="1075">
        <f t="shared" si="92"/>
        <v>1</v>
      </c>
      <c r="H151" s="1075">
        <f t="shared" si="92"/>
        <v>1</v>
      </c>
      <c r="I151" s="1075">
        <f t="shared" si="92"/>
        <v>1</v>
      </c>
      <c r="J151" s="1075">
        <f t="shared" si="92"/>
        <v>1</v>
      </c>
      <c r="K151" s="1075">
        <f t="shared" si="92"/>
        <v>1</v>
      </c>
      <c r="L151" s="1075">
        <f t="shared" si="92"/>
        <v>1.004</v>
      </c>
      <c r="M151" s="1075">
        <f t="shared" si="92"/>
        <v>1</v>
      </c>
      <c r="N151" s="1075">
        <f t="shared" si="92"/>
        <v>1</v>
      </c>
      <c r="O151" s="1075">
        <f t="shared" si="92"/>
        <v>1</v>
      </c>
      <c r="P151" s="1075">
        <f t="shared" si="92"/>
        <v>1</v>
      </c>
      <c r="Q151" s="1075">
        <f t="shared" si="92"/>
        <v>1</v>
      </c>
      <c r="R151" s="1075">
        <f t="shared" si="92"/>
        <v>1</v>
      </c>
      <c r="S151" s="1075">
        <f t="shared" si="92"/>
        <v>1</v>
      </c>
      <c r="T151" s="1075">
        <f t="shared" si="92"/>
        <v>1</v>
      </c>
      <c r="U151" s="1075">
        <f t="shared" si="92"/>
        <v>1</v>
      </c>
      <c r="V151" s="1075">
        <f t="shared" si="92"/>
        <v>1</v>
      </c>
      <c r="W151" s="1075">
        <f t="shared" si="92"/>
        <v>1</v>
      </c>
      <c r="X151" s="1075">
        <f t="shared" si="92"/>
        <v>1</v>
      </c>
      <c r="Y151" s="1075">
        <f t="shared" si="92"/>
        <v>1.0004999999999999</v>
      </c>
      <c r="Z151" s="1075">
        <f t="shared" si="92"/>
        <v>1</v>
      </c>
      <c r="AA151" s="1075">
        <f t="shared" si="92"/>
        <v>1.0004999999999999</v>
      </c>
      <c r="AB151" s="1075">
        <f t="shared" si="92"/>
        <v>1</v>
      </c>
      <c r="AC151" s="1075">
        <f t="shared" si="92"/>
        <v>1</v>
      </c>
    </row>
    <row r="152" spans="2:29">
      <c r="B152" s="1005"/>
      <c r="C152" s="976"/>
      <c r="D152" s="976"/>
      <c r="E152" s="1076"/>
      <c r="F152" s="983"/>
      <c r="G152" s="976"/>
      <c r="H152" s="976"/>
      <c r="I152" s="983"/>
      <c r="J152" s="983"/>
      <c r="K152" s="976"/>
      <c r="L152" s="983"/>
      <c r="M152" s="976"/>
      <c r="N152" s="976"/>
      <c r="O152" s="976"/>
      <c r="P152" s="976"/>
      <c r="Q152" s="976"/>
      <c r="R152" s="976"/>
      <c r="S152" s="976"/>
      <c r="T152" s="976"/>
      <c r="U152" s="976"/>
      <c r="V152" s="976"/>
      <c r="W152" s="976"/>
      <c r="X152" s="976"/>
      <c r="Y152" s="976"/>
      <c r="Z152" s="976"/>
      <c r="AA152" s="976"/>
      <c r="AB152" s="976"/>
      <c r="AC152" s="976"/>
    </row>
    <row r="153" spans="2:29" ht="12">
      <c r="B153" s="1006" t="s">
        <v>524</v>
      </c>
      <c r="C153" s="976"/>
      <c r="D153" s="976"/>
      <c r="E153" s="1077"/>
      <c r="F153" s="983"/>
      <c r="G153" s="976"/>
      <c r="H153" s="976"/>
      <c r="I153" s="983"/>
      <c r="J153" s="983"/>
      <c r="K153" s="1402"/>
      <c r="L153" s="1402"/>
      <c r="M153" s="1402"/>
      <c r="N153" s="1402"/>
      <c r="O153" s="1402"/>
      <c r="P153" s="1402"/>
      <c r="Q153" s="1402"/>
      <c r="R153" s="1402"/>
      <c r="S153" s="1402"/>
      <c r="T153" s="1402"/>
      <c r="U153" s="1402"/>
      <c r="V153" s="1402"/>
      <c r="W153" s="1402"/>
      <c r="X153" s="1402"/>
      <c r="Y153" s="1402"/>
      <c r="Z153" s="1402"/>
      <c r="AA153" s="1402"/>
      <c r="AB153" s="1402"/>
      <c r="AC153" s="1402"/>
    </row>
    <row r="154" spans="2:29" s="941" customFormat="1">
      <c r="B154" s="1007" t="s">
        <v>481</v>
      </c>
      <c r="C154" s="1021"/>
      <c r="D154" s="1078">
        <f>D140*D$106</f>
        <v>0</v>
      </c>
      <c r="E154" s="1078">
        <f t="shared" ref="E154:AC154" si="93">E140*E$106</f>
        <v>0</v>
      </c>
      <c r="F154" s="1078">
        <f t="shared" si="93"/>
        <v>0</v>
      </c>
      <c r="G154" s="1078">
        <f t="shared" si="93"/>
        <v>0</v>
      </c>
      <c r="H154" s="1078">
        <f t="shared" si="93"/>
        <v>0</v>
      </c>
      <c r="I154" s="1078">
        <f t="shared" si="93"/>
        <v>0</v>
      </c>
      <c r="J154" s="1078">
        <f t="shared" si="93"/>
        <v>0</v>
      </c>
      <c r="K154" s="1078">
        <f t="shared" si="93"/>
        <v>198.99655499995512</v>
      </c>
      <c r="L154" s="1078">
        <f t="shared" si="93"/>
        <v>2062.139768887916</v>
      </c>
      <c r="M154" s="1078">
        <f t="shared" si="93"/>
        <v>4380.7284281310967</v>
      </c>
      <c r="N154" s="1078">
        <f t="shared" si="93"/>
        <v>5937.6368434159667</v>
      </c>
      <c r="O154" s="1078">
        <f t="shared" si="93"/>
        <v>6906.7115241131487</v>
      </c>
      <c r="P154" s="1078">
        <f t="shared" si="93"/>
        <v>9621.5699110742098</v>
      </c>
      <c r="Q154" s="1078">
        <f t="shared" si="93"/>
        <v>13402.590728870375</v>
      </c>
      <c r="R154" s="1078">
        <f t="shared" si="93"/>
        <v>28852.550352509774</v>
      </c>
      <c r="S154" s="1078">
        <f t="shared" si="93"/>
        <v>38304.470894797749</v>
      </c>
      <c r="T154" s="1078">
        <f t="shared" si="93"/>
        <v>48447.571640197028</v>
      </c>
      <c r="U154" s="1078">
        <f t="shared" si="93"/>
        <v>65222.012684968227</v>
      </c>
      <c r="V154" s="1078">
        <f t="shared" si="93"/>
        <v>77413.270825538057</v>
      </c>
      <c r="W154" s="1078">
        <f t="shared" si="93"/>
        <v>79379.645287819963</v>
      </c>
      <c r="X154" s="1078">
        <f t="shared" si="93"/>
        <v>81303.621845507994</v>
      </c>
      <c r="Y154" s="1078">
        <f t="shared" si="93"/>
        <v>82892.371411189757</v>
      </c>
      <c r="Z154" s="1078">
        <f t="shared" si="93"/>
        <v>83392.670071057015</v>
      </c>
      <c r="AA154" s="1078">
        <f t="shared" si="93"/>
        <v>83121.543132923514</v>
      </c>
      <c r="AB154" s="1078">
        <f t="shared" si="93"/>
        <v>83801.610076707249</v>
      </c>
      <c r="AC154" s="1078">
        <f t="shared" si="93"/>
        <v>84131.543683763739</v>
      </c>
    </row>
    <row r="155" spans="2:29">
      <c r="B155" s="925" t="s">
        <v>482</v>
      </c>
      <c r="C155" s="926"/>
      <c r="D155" s="1079">
        <f>D141*D$154</f>
        <v>0</v>
      </c>
      <c r="E155" s="1079">
        <f t="shared" ref="E155:AC155" si="94">E141*E$154</f>
        <v>0</v>
      </c>
      <c r="F155" s="1079">
        <f t="shared" si="94"/>
        <v>0</v>
      </c>
      <c r="G155" s="1079">
        <f t="shared" si="94"/>
        <v>0</v>
      </c>
      <c r="H155" s="1079">
        <f t="shared" si="94"/>
        <v>0</v>
      </c>
      <c r="I155" s="1079">
        <f t="shared" si="94"/>
        <v>0</v>
      </c>
      <c r="J155" s="1079">
        <f t="shared" si="94"/>
        <v>0</v>
      </c>
      <c r="K155" s="1079">
        <f t="shared" si="94"/>
        <v>198.99655499995512</v>
      </c>
      <c r="L155" s="1079">
        <f t="shared" si="94"/>
        <v>2062.139768887916</v>
      </c>
      <c r="M155" s="1079">
        <f t="shared" si="94"/>
        <v>4380.7284281310967</v>
      </c>
      <c r="N155" s="1079">
        <f t="shared" si="94"/>
        <v>5937.6368434159667</v>
      </c>
      <c r="O155" s="1079">
        <f t="shared" si="94"/>
        <v>6906.7115241131487</v>
      </c>
      <c r="P155" s="1079">
        <f t="shared" si="94"/>
        <v>9621.5699110742098</v>
      </c>
      <c r="Q155" s="1079">
        <f t="shared" si="94"/>
        <v>13402.590728870375</v>
      </c>
      <c r="R155" s="1079">
        <f t="shared" si="94"/>
        <v>20196.785246756841</v>
      </c>
      <c r="S155" s="1079">
        <f t="shared" si="94"/>
        <v>15321.7883579191</v>
      </c>
      <c r="T155" s="1079">
        <f t="shared" si="94"/>
        <v>12111.892910049257</v>
      </c>
      <c r="U155" s="1079">
        <f t="shared" si="94"/>
        <v>6522.2012684968231</v>
      </c>
      <c r="V155" s="1079">
        <f t="shared" si="94"/>
        <v>774.13270825538063</v>
      </c>
      <c r="W155" s="1079">
        <f t="shared" si="94"/>
        <v>793.7964528781996</v>
      </c>
      <c r="X155" s="1079">
        <f t="shared" si="94"/>
        <v>162.60724369101598</v>
      </c>
      <c r="Y155" s="1079">
        <f t="shared" si="94"/>
        <v>82.892371411189757</v>
      </c>
      <c r="Z155" s="1079">
        <f t="shared" si="94"/>
        <v>83.392670071057012</v>
      </c>
      <c r="AA155" s="1079">
        <f t="shared" si="94"/>
        <v>83.12154313292352</v>
      </c>
      <c r="AB155" s="1079">
        <f t="shared" si="94"/>
        <v>83.801610076707249</v>
      </c>
      <c r="AC155" s="1079">
        <f t="shared" si="94"/>
        <v>84.131543683763738</v>
      </c>
    </row>
    <row r="156" spans="2:29">
      <c r="B156" s="928" t="s">
        <v>483</v>
      </c>
      <c r="C156" s="929"/>
      <c r="D156" s="1080">
        <f t="shared" ref="D156:AC156" si="95">D142*D$154</f>
        <v>0</v>
      </c>
      <c r="E156" s="1080">
        <f t="shared" si="95"/>
        <v>0</v>
      </c>
      <c r="F156" s="1080">
        <f t="shared" si="95"/>
        <v>0</v>
      </c>
      <c r="G156" s="1080">
        <f t="shared" si="95"/>
        <v>0</v>
      </c>
      <c r="H156" s="1080">
        <f t="shared" si="95"/>
        <v>0</v>
      </c>
      <c r="I156" s="1080">
        <f t="shared" si="95"/>
        <v>0</v>
      </c>
      <c r="J156" s="1080">
        <f t="shared" si="95"/>
        <v>0</v>
      </c>
      <c r="K156" s="1080">
        <f t="shared" si="95"/>
        <v>0</v>
      </c>
      <c r="L156" s="1080">
        <f t="shared" si="95"/>
        <v>0</v>
      </c>
      <c r="M156" s="1080">
        <f t="shared" si="95"/>
        <v>0</v>
      </c>
      <c r="N156" s="1080">
        <f t="shared" si="95"/>
        <v>0</v>
      </c>
      <c r="O156" s="1080">
        <f t="shared" si="95"/>
        <v>0</v>
      </c>
      <c r="P156" s="1080">
        <f t="shared" si="95"/>
        <v>0</v>
      </c>
      <c r="Q156" s="1080">
        <f t="shared" si="95"/>
        <v>0</v>
      </c>
      <c r="R156" s="1080">
        <f t="shared" si="95"/>
        <v>0</v>
      </c>
      <c r="S156" s="1080">
        <f t="shared" si="95"/>
        <v>0</v>
      </c>
      <c r="T156" s="1080">
        <f t="shared" si="95"/>
        <v>0</v>
      </c>
      <c r="U156" s="1080">
        <f t="shared" si="95"/>
        <v>0</v>
      </c>
      <c r="V156" s="1080">
        <f t="shared" si="95"/>
        <v>0</v>
      </c>
      <c r="W156" s="1080">
        <f t="shared" si="95"/>
        <v>0</v>
      </c>
      <c r="X156" s="1080">
        <f t="shared" si="95"/>
        <v>4065.1810922753998</v>
      </c>
      <c r="Y156" s="1080">
        <f t="shared" si="95"/>
        <v>8289.2371411189761</v>
      </c>
      <c r="Z156" s="1080">
        <f t="shared" si="95"/>
        <v>12508.900510658552</v>
      </c>
      <c r="AA156" s="1080">
        <f t="shared" si="95"/>
        <v>16624.308626584705</v>
      </c>
      <c r="AB156" s="1080">
        <f t="shared" si="95"/>
        <v>20950.402519176812</v>
      </c>
      <c r="AC156" s="1080">
        <f t="shared" si="95"/>
        <v>21032.885920940935</v>
      </c>
    </row>
    <row r="157" spans="2:29" s="957" customFormat="1">
      <c r="B157" s="925" t="s">
        <v>484</v>
      </c>
      <c r="C157" s="926"/>
      <c r="D157" s="1079">
        <f t="shared" ref="D157:AC157" si="96">D143*D$154</f>
        <v>0</v>
      </c>
      <c r="E157" s="1079">
        <f t="shared" si="96"/>
        <v>0</v>
      </c>
      <c r="F157" s="1079">
        <f t="shared" si="96"/>
        <v>0</v>
      </c>
      <c r="G157" s="1079">
        <f t="shared" si="96"/>
        <v>0</v>
      </c>
      <c r="H157" s="1079">
        <f t="shared" si="96"/>
        <v>0</v>
      </c>
      <c r="I157" s="1079">
        <f t="shared" si="96"/>
        <v>0</v>
      </c>
      <c r="J157" s="1079">
        <f t="shared" si="96"/>
        <v>0</v>
      </c>
      <c r="K157" s="1079">
        <f t="shared" si="96"/>
        <v>0</v>
      </c>
      <c r="L157" s="1079">
        <f t="shared" si="96"/>
        <v>0</v>
      </c>
      <c r="M157" s="1079">
        <f t="shared" si="96"/>
        <v>0</v>
      </c>
      <c r="N157" s="1079">
        <f t="shared" si="96"/>
        <v>0</v>
      </c>
      <c r="O157" s="1079">
        <f t="shared" si="96"/>
        <v>0</v>
      </c>
      <c r="P157" s="1079">
        <f t="shared" si="96"/>
        <v>0</v>
      </c>
      <c r="Q157" s="1079">
        <f t="shared" si="96"/>
        <v>0</v>
      </c>
      <c r="R157" s="1079">
        <f t="shared" si="96"/>
        <v>2885.2550352509775</v>
      </c>
      <c r="S157" s="1079">
        <f t="shared" si="96"/>
        <v>7660.8941789595501</v>
      </c>
      <c r="T157" s="1079">
        <f t="shared" si="96"/>
        <v>12111.892910049257</v>
      </c>
      <c r="U157" s="1079">
        <f t="shared" si="96"/>
        <v>19566.603805490467</v>
      </c>
      <c r="V157" s="1079">
        <f t="shared" si="96"/>
        <v>25546.37937242756</v>
      </c>
      <c r="W157" s="1079">
        <f t="shared" si="96"/>
        <v>26195.28294498059</v>
      </c>
      <c r="X157" s="1079">
        <f t="shared" si="96"/>
        <v>24553.693797343414</v>
      </c>
      <c r="Y157" s="1079">
        <f t="shared" si="96"/>
        <v>23955.895337833837</v>
      </c>
      <c r="Z157" s="1079">
        <f t="shared" si="96"/>
        <v>22599.413589256452</v>
      </c>
      <c r="AA157" s="1079">
        <f t="shared" si="96"/>
        <v>21694.722757693038</v>
      </c>
      <c r="AB157" s="1079">
        <f t="shared" si="96"/>
        <v>18436.354216875596</v>
      </c>
      <c r="AC157" s="1079">
        <f t="shared" si="96"/>
        <v>4122.445640504423</v>
      </c>
    </row>
    <row r="158" spans="2:29">
      <c r="B158" s="928" t="s">
        <v>485</v>
      </c>
      <c r="C158" s="929"/>
      <c r="D158" s="1080">
        <f t="shared" ref="D158:AC158" si="97">D144*D$154</f>
        <v>0</v>
      </c>
      <c r="E158" s="1080">
        <f t="shared" si="97"/>
        <v>0</v>
      </c>
      <c r="F158" s="1080">
        <f t="shared" si="97"/>
        <v>0</v>
      </c>
      <c r="G158" s="1080">
        <f t="shared" si="97"/>
        <v>0</v>
      </c>
      <c r="H158" s="1080">
        <f t="shared" si="97"/>
        <v>0</v>
      </c>
      <c r="I158" s="1080">
        <f t="shared" si="97"/>
        <v>0</v>
      </c>
      <c r="J158" s="1080">
        <f t="shared" si="97"/>
        <v>0</v>
      </c>
      <c r="K158" s="1080">
        <f t="shared" si="97"/>
        <v>0</v>
      </c>
      <c r="L158" s="1080">
        <f t="shared" si="97"/>
        <v>0</v>
      </c>
      <c r="M158" s="1080">
        <f t="shared" si="97"/>
        <v>0</v>
      </c>
      <c r="N158" s="1080">
        <f t="shared" si="97"/>
        <v>0</v>
      </c>
      <c r="O158" s="1080">
        <f t="shared" si="97"/>
        <v>0</v>
      </c>
      <c r="P158" s="1080">
        <f t="shared" si="97"/>
        <v>0</v>
      </c>
      <c r="Q158" s="1080">
        <f t="shared" si="97"/>
        <v>0</v>
      </c>
      <c r="R158" s="1080">
        <f t="shared" si="97"/>
        <v>2885.2550352509775</v>
      </c>
      <c r="S158" s="1080">
        <f t="shared" si="97"/>
        <v>7660.8941789595501</v>
      </c>
      <c r="T158" s="1080">
        <f t="shared" si="97"/>
        <v>12111.892910049257</v>
      </c>
      <c r="U158" s="1080">
        <f t="shared" si="97"/>
        <v>19566.603805490467</v>
      </c>
      <c r="V158" s="1080">
        <f t="shared" si="97"/>
        <v>25546.37937242756</v>
      </c>
      <c r="W158" s="1080">
        <f t="shared" si="97"/>
        <v>26195.28294498059</v>
      </c>
      <c r="X158" s="1080">
        <f t="shared" si="97"/>
        <v>26261.069856099082</v>
      </c>
      <c r="Y158" s="1080">
        <f t="shared" si="97"/>
        <v>25282.173280412877</v>
      </c>
      <c r="Z158" s="1080">
        <f t="shared" si="97"/>
        <v>24100.481650535476</v>
      </c>
      <c r="AA158" s="1080">
        <f t="shared" si="97"/>
        <v>22359.695102756428</v>
      </c>
      <c r="AB158" s="1080">
        <f t="shared" si="97"/>
        <v>20950.402519176812</v>
      </c>
      <c r="AC158" s="1080">
        <f t="shared" si="97"/>
        <v>18929.597328846841</v>
      </c>
    </row>
    <row r="159" spans="2:29">
      <c r="B159" s="925" t="s">
        <v>486</v>
      </c>
      <c r="C159" s="926"/>
      <c r="D159" s="1079">
        <f t="shared" ref="D159:AC159" si="98">D145*D$154</f>
        <v>0</v>
      </c>
      <c r="E159" s="1079">
        <f t="shared" si="98"/>
        <v>0</v>
      </c>
      <c r="F159" s="1079">
        <f t="shared" si="98"/>
        <v>0</v>
      </c>
      <c r="G159" s="1079">
        <f t="shared" si="98"/>
        <v>0</v>
      </c>
      <c r="H159" s="1079">
        <f t="shared" si="98"/>
        <v>0</v>
      </c>
      <c r="I159" s="1079">
        <f t="shared" si="98"/>
        <v>0</v>
      </c>
      <c r="J159" s="1079">
        <f t="shared" si="98"/>
        <v>0</v>
      </c>
      <c r="K159" s="1079">
        <f t="shared" si="98"/>
        <v>0</v>
      </c>
      <c r="L159" s="1079">
        <f t="shared" si="98"/>
        <v>0</v>
      </c>
      <c r="M159" s="1079">
        <f t="shared" si="98"/>
        <v>0</v>
      </c>
      <c r="N159" s="1079">
        <f t="shared" si="98"/>
        <v>0</v>
      </c>
      <c r="O159" s="1079">
        <f t="shared" si="98"/>
        <v>0</v>
      </c>
      <c r="P159" s="1079">
        <f t="shared" si="98"/>
        <v>0</v>
      </c>
      <c r="Q159" s="1079">
        <f t="shared" si="98"/>
        <v>0</v>
      </c>
      <c r="R159" s="1079">
        <f t="shared" si="98"/>
        <v>2885.2550352509775</v>
      </c>
      <c r="S159" s="1079">
        <f t="shared" si="98"/>
        <v>7660.8941789595501</v>
      </c>
      <c r="T159" s="1079">
        <f t="shared" si="98"/>
        <v>12111.892910049257</v>
      </c>
      <c r="U159" s="1079">
        <f t="shared" si="98"/>
        <v>19566.603805490467</v>
      </c>
      <c r="V159" s="1079">
        <f t="shared" si="98"/>
        <v>25546.37937242756</v>
      </c>
      <c r="W159" s="1079">
        <f t="shared" si="98"/>
        <v>26195.28294498059</v>
      </c>
      <c r="X159" s="1079">
        <f t="shared" si="98"/>
        <v>26261.069856099082</v>
      </c>
      <c r="Y159" s="1079">
        <f t="shared" si="98"/>
        <v>25282.173280412877</v>
      </c>
      <c r="Z159" s="1079">
        <f t="shared" si="98"/>
        <v>24100.481650535476</v>
      </c>
      <c r="AA159" s="1079">
        <f t="shared" si="98"/>
        <v>22359.695102756428</v>
      </c>
      <c r="AB159" s="1079">
        <f t="shared" si="98"/>
        <v>20950.402519176812</v>
      </c>
      <c r="AC159" s="1079">
        <f t="shared" si="98"/>
        <v>18929.597328846841</v>
      </c>
    </row>
    <row r="160" spans="2:29">
      <c r="B160" s="931" t="s">
        <v>487</v>
      </c>
      <c r="C160" s="929"/>
      <c r="D160" s="1080">
        <f t="shared" ref="D160:AC160" si="99">D146*D$154</f>
        <v>0</v>
      </c>
      <c r="E160" s="1080">
        <f t="shared" si="99"/>
        <v>0</v>
      </c>
      <c r="F160" s="1080">
        <f t="shared" si="99"/>
        <v>0</v>
      </c>
      <c r="G160" s="1080">
        <f t="shared" si="99"/>
        <v>0</v>
      </c>
      <c r="H160" s="1080">
        <f t="shared" si="99"/>
        <v>0</v>
      </c>
      <c r="I160" s="1080">
        <f t="shared" si="99"/>
        <v>0</v>
      </c>
      <c r="J160" s="1080">
        <f t="shared" si="99"/>
        <v>0</v>
      </c>
      <c r="K160" s="1080">
        <f t="shared" si="99"/>
        <v>0</v>
      </c>
      <c r="L160" s="1080">
        <f t="shared" si="99"/>
        <v>0</v>
      </c>
      <c r="M160" s="1080">
        <f t="shared" si="99"/>
        <v>0</v>
      </c>
      <c r="N160" s="1080">
        <f t="shared" si="99"/>
        <v>0</v>
      </c>
      <c r="O160" s="1080">
        <f t="shared" si="99"/>
        <v>0</v>
      </c>
      <c r="P160" s="1080">
        <f t="shared" si="99"/>
        <v>0</v>
      </c>
      <c r="Q160" s="1080">
        <f t="shared" si="99"/>
        <v>0</v>
      </c>
      <c r="R160" s="1080">
        <f t="shared" si="99"/>
        <v>0</v>
      </c>
      <c r="S160" s="1080">
        <f t="shared" si="99"/>
        <v>0</v>
      </c>
      <c r="T160" s="1080">
        <f t="shared" si="99"/>
        <v>0</v>
      </c>
      <c r="U160" s="1080">
        <f t="shared" si="99"/>
        <v>0</v>
      </c>
      <c r="V160" s="1080">
        <f t="shared" si="99"/>
        <v>0</v>
      </c>
      <c r="W160" s="1080">
        <f t="shared" si="99"/>
        <v>0</v>
      </c>
      <c r="X160" s="1080">
        <f t="shared" si="99"/>
        <v>0</v>
      </c>
      <c r="Y160" s="1080">
        <f t="shared" si="99"/>
        <v>0</v>
      </c>
      <c r="Z160" s="1080">
        <f t="shared" si="99"/>
        <v>0</v>
      </c>
      <c r="AA160" s="1080">
        <f t="shared" si="99"/>
        <v>0</v>
      </c>
      <c r="AB160" s="1080">
        <f t="shared" si="99"/>
        <v>2430.2466922245103</v>
      </c>
      <c r="AC160" s="1080">
        <f t="shared" si="99"/>
        <v>21032.885920940935</v>
      </c>
    </row>
    <row r="161" spans="2:29" ht="12">
      <c r="B161" s="1011" t="s">
        <v>488</v>
      </c>
      <c r="C161" s="1012"/>
      <c r="D161" s="1081">
        <f t="shared" ref="D161:AC161" si="100">D147*D$106</f>
        <v>26536.563004582957</v>
      </c>
      <c r="E161" s="1081">
        <f t="shared" si="100"/>
        <v>27282.789876042443</v>
      </c>
      <c r="F161" s="1081">
        <f t="shared" si="100"/>
        <v>28040.744960171502</v>
      </c>
      <c r="G161" s="1081">
        <f t="shared" si="100"/>
        <v>29002.859738402763</v>
      </c>
      <c r="H161" s="1081">
        <f t="shared" si="100"/>
        <v>29982.467151132409</v>
      </c>
      <c r="I161" s="1081">
        <f t="shared" si="100"/>
        <v>30960.497087218697</v>
      </c>
      <c r="J161" s="1081">
        <f t="shared" si="100"/>
        <v>31978.984965653759</v>
      </c>
      <c r="K161" s="1081">
        <f t="shared" si="100"/>
        <v>33166.092499992519</v>
      </c>
      <c r="L161" s="1081">
        <f t="shared" si="100"/>
        <v>34368.996148131933</v>
      </c>
      <c r="M161" s="1081">
        <f t="shared" si="100"/>
        <v>34399.490443849099</v>
      </c>
      <c r="N161" s="1081">
        <f t="shared" si="100"/>
        <v>34883.616455068804</v>
      </c>
      <c r="O161" s="1081">
        <f t="shared" si="100"/>
        <v>35300.970012133876</v>
      </c>
      <c r="P161" s="1081">
        <f t="shared" si="100"/>
        <v>34477.29218134925</v>
      </c>
      <c r="Q161" s="1081">
        <f t="shared" si="100"/>
        <v>33506.476822175937</v>
      </c>
      <c r="R161" s="1081">
        <f t="shared" si="100"/>
        <v>32349.829183117017</v>
      </c>
      <c r="S161" s="1081">
        <f t="shared" si="100"/>
        <v>28272.347565207867</v>
      </c>
      <c r="T161" s="1081">
        <f t="shared" si="100"/>
        <v>26598.66678285327</v>
      </c>
      <c r="U161" s="1081">
        <f t="shared" si="100"/>
        <v>21246.564738285102</v>
      </c>
      <c r="V161" s="1081">
        <f t="shared" si="100"/>
        <v>17316.126368870355</v>
      </c>
      <c r="W161" s="1081">
        <f t="shared" si="100"/>
        <v>19844.911321954991</v>
      </c>
      <c r="X161" s="1081">
        <f t="shared" si="100"/>
        <v>20325.905461376999</v>
      </c>
      <c r="Y161" s="1081">
        <f t="shared" si="100"/>
        <v>22542.813981417923</v>
      </c>
      <c r="Z161" s="1081">
        <f t="shared" si="100"/>
        <v>23042.711467002599</v>
      </c>
      <c r="AA161" s="1081">
        <f t="shared" si="100"/>
        <v>24294.512273870452</v>
      </c>
      <c r="AB161" s="1081">
        <f t="shared" si="100"/>
        <v>24581.805622500793</v>
      </c>
      <c r="AC161" s="1081">
        <f t="shared" si="100"/>
        <v>24678.586147237362</v>
      </c>
    </row>
    <row r="162" spans="2:29">
      <c r="B162" s="928" t="s">
        <v>489</v>
      </c>
      <c r="C162" s="929"/>
      <c r="D162" s="1080">
        <f>D$161*D148</f>
        <v>26536.563004582957</v>
      </c>
      <c r="E162" s="1080">
        <f t="shared" ref="E162:AC162" si="101">E$161*E148</f>
        <v>27282.789876042443</v>
      </c>
      <c r="F162" s="1080">
        <f t="shared" si="101"/>
        <v>28040.744960171502</v>
      </c>
      <c r="G162" s="1080">
        <f t="shared" si="101"/>
        <v>29002.859738402763</v>
      </c>
      <c r="H162" s="1080">
        <f t="shared" si="101"/>
        <v>29982.467151132409</v>
      </c>
      <c r="I162" s="1080">
        <f t="shared" si="101"/>
        <v>30960.497087218697</v>
      </c>
      <c r="J162" s="1080">
        <f t="shared" si="101"/>
        <v>31978.984965653759</v>
      </c>
      <c r="K162" s="1080">
        <f t="shared" si="101"/>
        <v>33166.092499992519</v>
      </c>
      <c r="L162" s="1080">
        <f t="shared" si="101"/>
        <v>34368.996148131933</v>
      </c>
      <c r="M162" s="1080">
        <f t="shared" si="101"/>
        <v>34399.490443849099</v>
      </c>
      <c r="N162" s="1080">
        <f t="shared" si="101"/>
        <v>34883.616455068804</v>
      </c>
      <c r="O162" s="1080">
        <f t="shared" si="101"/>
        <v>35300.970012133876</v>
      </c>
      <c r="P162" s="1080">
        <f t="shared" si="101"/>
        <v>34477.29218134925</v>
      </c>
      <c r="Q162" s="1080">
        <f t="shared" si="101"/>
        <v>33506.476822175937</v>
      </c>
      <c r="R162" s="1080">
        <f t="shared" si="101"/>
        <v>29114.846264805317</v>
      </c>
      <c r="S162" s="1080">
        <f t="shared" si="101"/>
        <v>21204.260673905901</v>
      </c>
      <c r="T162" s="1080">
        <f t="shared" si="101"/>
        <v>17289.133408854625</v>
      </c>
      <c r="U162" s="1080">
        <f t="shared" si="101"/>
        <v>11685.610606056807</v>
      </c>
      <c r="V162" s="1080">
        <f t="shared" si="101"/>
        <v>6926.4505475481419</v>
      </c>
      <c r="W162" s="1080">
        <f t="shared" si="101"/>
        <v>5953.4733965864971</v>
      </c>
      <c r="X162" s="1080">
        <f t="shared" si="101"/>
        <v>4065.1810922753998</v>
      </c>
      <c r="Y162" s="1080">
        <f t="shared" si="101"/>
        <v>2254.2813981417926</v>
      </c>
      <c r="Z162" s="1080">
        <f t="shared" si="101"/>
        <v>1612.9898026901822</v>
      </c>
      <c r="AA162" s="1080">
        <f t="shared" si="101"/>
        <v>1214.7256136935227</v>
      </c>
      <c r="AB162" s="1080">
        <f t="shared" si="101"/>
        <v>983.27222490003169</v>
      </c>
      <c r="AC162" s="1080">
        <f t="shared" si="101"/>
        <v>740.35758441712085</v>
      </c>
    </row>
    <row r="163" spans="2:29">
      <c r="B163" s="934" t="s">
        <v>490</v>
      </c>
      <c r="C163" s="935"/>
      <c r="D163" s="1083">
        <f t="shared" ref="D163:AC163" si="102">D$161*D149</f>
        <v>0</v>
      </c>
      <c r="E163" s="1083">
        <f t="shared" si="102"/>
        <v>0</v>
      </c>
      <c r="F163" s="1083">
        <f t="shared" si="102"/>
        <v>0</v>
      </c>
      <c r="G163" s="1083">
        <f t="shared" si="102"/>
        <v>0</v>
      </c>
      <c r="H163" s="1083">
        <f t="shared" si="102"/>
        <v>0</v>
      </c>
      <c r="I163" s="1083">
        <f t="shared" si="102"/>
        <v>0</v>
      </c>
      <c r="J163" s="1083">
        <f t="shared" si="102"/>
        <v>0</v>
      </c>
      <c r="K163" s="1083">
        <f t="shared" si="102"/>
        <v>0</v>
      </c>
      <c r="L163" s="1083">
        <f t="shared" si="102"/>
        <v>0</v>
      </c>
      <c r="M163" s="1083">
        <f t="shared" si="102"/>
        <v>0</v>
      </c>
      <c r="N163" s="1083">
        <f t="shared" si="102"/>
        <v>0</v>
      </c>
      <c r="O163" s="1083">
        <f t="shared" si="102"/>
        <v>0</v>
      </c>
      <c r="P163" s="1083">
        <f t="shared" si="102"/>
        <v>0</v>
      </c>
      <c r="Q163" s="1083">
        <f t="shared" si="102"/>
        <v>0</v>
      </c>
      <c r="R163" s="1083">
        <f t="shared" si="102"/>
        <v>3234.9829183117017</v>
      </c>
      <c r="S163" s="1083">
        <f t="shared" si="102"/>
        <v>7068.0868913019667</v>
      </c>
      <c r="T163" s="1083">
        <f t="shared" si="102"/>
        <v>9309.5333739986436</v>
      </c>
      <c r="U163" s="1083">
        <f t="shared" si="102"/>
        <v>9560.9541322282967</v>
      </c>
      <c r="V163" s="1083">
        <f t="shared" si="102"/>
        <v>10389.675821322213</v>
      </c>
      <c r="W163" s="1083">
        <f t="shared" si="102"/>
        <v>13891.437925368493</v>
      </c>
      <c r="X163" s="1083">
        <f t="shared" si="102"/>
        <v>16260.724369101599</v>
      </c>
      <c r="Y163" s="1083">
        <f t="shared" si="102"/>
        <v>20288.53258327613</v>
      </c>
      <c r="Z163" s="1083">
        <f t="shared" si="102"/>
        <v>21429.721664312419</v>
      </c>
      <c r="AA163" s="1083">
        <f t="shared" si="102"/>
        <v>23079.786660176927</v>
      </c>
      <c r="AB163" s="1083">
        <f t="shared" si="102"/>
        <v>23598.533397600761</v>
      </c>
      <c r="AC163" s="1083">
        <f t="shared" si="102"/>
        <v>23938.228562820241</v>
      </c>
    </row>
    <row r="164" spans="2:29" ht="12" thickBot="1">
      <c r="B164" s="1015" t="s">
        <v>491</v>
      </c>
      <c r="C164" s="1016"/>
      <c r="D164" s="1084">
        <f t="shared" ref="D164:AC164" si="103">D150*D$106</f>
        <v>26536.563004582957</v>
      </c>
      <c r="E164" s="1085">
        <f t="shared" si="103"/>
        <v>27282.789876042443</v>
      </c>
      <c r="F164" s="1085">
        <f t="shared" si="103"/>
        <v>28040.744960171502</v>
      </c>
      <c r="G164" s="1085">
        <f t="shared" si="103"/>
        <v>29002.859738402763</v>
      </c>
      <c r="H164" s="1085">
        <f t="shared" si="103"/>
        <v>29982.467151132409</v>
      </c>
      <c r="I164" s="1085">
        <f t="shared" si="103"/>
        <v>30960.497087218697</v>
      </c>
      <c r="J164" s="1085">
        <f t="shared" si="103"/>
        <v>31978.984965653759</v>
      </c>
      <c r="K164" s="1085">
        <f t="shared" si="103"/>
        <v>32967.095944992565</v>
      </c>
      <c r="L164" s="1085">
        <f t="shared" si="103"/>
        <v>32581.808348429073</v>
      </c>
      <c r="M164" s="1085">
        <f t="shared" si="103"/>
        <v>33035.001261316465</v>
      </c>
      <c r="N164" s="1085">
        <f t="shared" si="103"/>
        <v>33399.207244214813</v>
      </c>
      <c r="O164" s="1085">
        <f t="shared" si="103"/>
        <v>34533.557620565742</v>
      </c>
      <c r="P164" s="1085">
        <f t="shared" si="103"/>
        <v>36080.887166528286</v>
      </c>
      <c r="Q164" s="1085">
        <f t="shared" si="103"/>
        <v>36857.124504393527</v>
      </c>
      <c r="R164" s="1085">
        <f t="shared" si="103"/>
        <v>26229.591229554338</v>
      </c>
      <c r="S164" s="1085">
        <f t="shared" si="103"/>
        <v>24624.302718084273</v>
      </c>
      <c r="T164" s="1085">
        <f t="shared" si="103"/>
        <v>19949.00008713995</v>
      </c>
      <c r="U164" s="1085">
        <f t="shared" si="103"/>
        <v>12352.653917607618</v>
      </c>
      <c r="V164" s="1085">
        <f t="shared" si="103"/>
        <v>7130.1696812995588</v>
      </c>
      <c r="W164" s="1085">
        <f t="shared" si="103"/>
        <v>5222.3450847249978</v>
      </c>
      <c r="X164" s="1085">
        <f t="shared" si="103"/>
        <v>5348.9224898360526</v>
      </c>
      <c r="Y164" s="1085">
        <f t="shared" si="103"/>
        <v>3259.2020214098202</v>
      </c>
      <c r="Z164" s="1085">
        <f t="shared" si="103"/>
        <v>3291.8159238575136</v>
      </c>
      <c r="AA164" s="1085">
        <f t="shared" si="103"/>
        <v>3320.4344793444811</v>
      </c>
      <c r="AB164" s="1085">
        <f t="shared" si="103"/>
        <v>3352.0644030682897</v>
      </c>
      <c r="AC164" s="1085">
        <f t="shared" si="103"/>
        <v>3365.2617473505493</v>
      </c>
    </row>
    <row r="165" spans="2:29" ht="12" thickTop="1">
      <c r="B165" s="1005"/>
      <c r="C165" s="976"/>
      <c r="D165" s="976"/>
      <c r="E165" s="1076"/>
      <c r="F165" s="983"/>
      <c r="G165" s="976"/>
      <c r="H165" s="976"/>
      <c r="I165" s="983"/>
      <c r="J165" s="983"/>
      <c r="K165" s="976"/>
      <c r="L165" s="983"/>
      <c r="M165" s="983"/>
      <c r="N165" s="983"/>
      <c r="O165" s="983"/>
      <c r="P165" s="983"/>
      <c r="Q165" s="983"/>
      <c r="R165" s="983"/>
      <c r="S165" s="983"/>
      <c r="T165" s="983"/>
      <c r="U165" s="983"/>
      <c r="V165" s="983"/>
      <c r="W165" s="983"/>
      <c r="X165" s="983"/>
      <c r="Y165" s="983"/>
      <c r="Z165" s="983"/>
      <c r="AA165" s="983"/>
      <c r="AB165" s="983"/>
      <c r="AC165" s="983"/>
    </row>
    <row r="166" spans="2:29" ht="12">
      <c r="B166" s="1006" t="s">
        <v>525</v>
      </c>
      <c r="C166" s="976"/>
      <c r="D166" s="976"/>
      <c r="E166" s="976"/>
      <c r="F166" s="983"/>
      <c r="G166" s="976"/>
      <c r="H166" s="976"/>
      <c r="I166" s="983"/>
      <c r="J166" s="983"/>
      <c r="K166" s="976"/>
      <c r="L166" s="983"/>
      <c r="M166" s="976"/>
      <c r="N166" s="976"/>
      <c r="O166" s="976"/>
      <c r="P166" s="976"/>
      <c r="Q166" s="976"/>
      <c r="R166" s="976"/>
      <c r="S166" s="976"/>
      <c r="T166" s="976"/>
      <c r="U166" s="976"/>
      <c r="V166" s="976"/>
      <c r="W166" s="976"/>
      <c r="X166" s="976"/>
      <c r="Y166" s="976"/>
      <c r="Z166" s="976"/>
      <c r="AA166" s="976"/>
      <c r="AB166" s="976"/>
      <c r="AC166" s="976"/>
    </row>
    <row r="167" spans="2:29">
      <c r="B167" s="1007" t="s">
        <v>481</v>
      </c>
      <c r="C167" s="1021"/>
      <c r="D167" s="1066">
        <f>SUM(D168:D173)</f>
        <v>0</v>
      </c>
      <c r="E167" s="1066">
        <f t="shared" ref="E167:J167" si="104">SUM(E168:E173)</f>
        <v>0</v>
      </c>
      <c r="F167" s="1066">
        <f t="shared" si="104"/>
        <v>0</v>
      </c>
      <c r="G167" s="1066">
        <f t="shared" si="104"/>
        <v>0</v>
      </c>
      <c r="H167" s="1066">
        <f t="shared" si="104"/>
        <v>0</v>
      </c>
      <c r="I167" s="1066">
        <f t="shared" si="104"/>
        <v>0</v>
      </c>
      <c r="J167" s="1066">
        <f t="shared" si="104"/>
        <v>0</v>
      </c>
      <c r="K167" s="1418">
        <v>2E-3</v>
      </c>
      <c r="L167" s="1066">
        <v>0.03</v>
      </c>
      <c r="M167" s="1066">
        <v>0.08</v>
      </c>
      <c r="N167" s="1066">
        <v>0.12</v>
      </c>
      <c r="O167" s="1066">
        <v>0.14000000000000001</v>
      </c>
      <c r="P167" s="1066">
        <v>0.17</v>
      </c>
      <c r="Q167" s="1066">
        <v>0.2</v>
      </c>
      <c r="R167" s="1066">
        <v>0.25</v>
      </c>
      <c r="S167" s="1066">
        <v>0.39</v>
      </c>
      <c r="T167" s="1066">
        <v>0.39</v>
      </c>
      <c r="U167" s="1066">
        <v>0.41</v>
      </c>
      <c r="V167" s="1066">
        <v>0.41000000000000003</v>
      </c>
      <c r="W167" s="1066">
        <v>0.51</v>
      </c>
      <c r="X167" s="1066">
        <v>0.51</v>
      </c>
      <c r="Y167" s="1066">
        <v>0.52</v>
      </c>
      <c r="Z167" s="1066">
        <v>0.52</v>
      </c>
      <c r="AA167" s="1066">
        <v>0.52250000000000008</v>
      </c>
      <c r="AB167" s="1066">
        <v>0.42500000000000004</v>
      </c>
      <c r="AC167" s="1066">
        <v>0.42749999999999999</v>
      </c>
    </row>
    <row r="168" spans="2:29" hidden="1" outlineLevel="1">
      <c r="B168" s="925" t="s">
        <v>482</v>
      </c>
      <c r="C168" s="926"/>
      <c r="D168" s="1067"/>
      <c r="E168" s="1067"/>
      <c r="F168" s="1067"/>
      <c r="G168" s="1067"/>
      <c r="H168" s="1067"/>
      <c r="I168" s="1067"/>
      <c r="J168" s="1067"/>
      <c r="K168" s="1067">
        <v>1</v>
      </c>
      <c r="L168" s="989">
        <f>L38</f>
        <v>1</v>
      </c>
      <c r="M168" s="989">
        <f t="shared" ref="M168:AC168" si="105">M38</f>
        <v>1</v>
      </c>
      <c r="N168" s="989">
        <f t="shared" si="105"/>
        <v>1</v>
      </c>
      <c r="O168" s="989">
        <f t="shared" si="105"/>
        <v>1</v>
      </c>
      <c r="P168" s="989">
        <f t="shared" si="105"/>
        <v>1</v>
      </c>
      <c r="Q168" s="989">
        <f t="shared" si="105"/>
        <v>1</v>
      </c>
      <c r="R168" s="989">
        <f t="shared" si="105"/>
        <v>0.7</v>
      </c>
      <c r="S168" s="989">
        <f t="shared" si="105"/>
        <v>0.4</v>
      </c>
      <c r="T168" s="989">
        <f t="shared" si="105"/>
        <v>0.25</v>
      </c>
      <c r="U168" s="989">
        <f t="shared" si="105"/>
        <v>0.1</v>
      </c>
      <c r="V168" s="989">
        <f t="shared" si="105"/>
        <v>0.01</v>
      </c>
      <c r="W168" s="989">
        <f t="shared" si="105"/>
        <v>0.01</v>
      </c>
      <c r="X168" s="989">
        <f t="shared" si="105"/>
        <v>2E-3</v>
      </c>
      <c r="Y168" s="989">
        <f t="shared" si="105"/>
        <v>1E-3</v>
      </c>
      <c r="Z168" s="989">
        <f t="shared" si="105"/>
        <v>1E-3</v>
      </c>
      <c r="AA168" s="989">
        <f t="shared" si="105"/>
        <v>1E-3</v>
      </c>
      <c r="AB168" s="989">
        <f t="shared" si="105"/>
        <v>1E-3</v>
      </c>
      <c r="AC168" s="989">
        <f t="shared" si="105"/>
        <v>1E-3</v>
      </c>
    </row>
    <row r="169" spans="2:29" hidden="1" outlineLevel="1">
      <c r="B169" s="928" t="s">
        <v>483</v>
      </c>
      <c r="C169" s="929"/>
      <c r="D169" s="1068"/>
      <c r="E169" s="1068"/>
      <c r="F169" s="1068"/>
      <c r="G169" s="1068"/>
      <c r="H169" s="1068"/>
      <c r="I169" s="1068"/>
      <c r="J169" s="1068"/>
      <c r="K169" s="1068"/>
      <c r="L169" s="991">
        <f t="shared" ref="L169:AC169" si="106">L39</f>
        <v>0</v>
      </c>
      <c r="M169" s="991">
        <f t="shared" si="106"/>
        <v>0</v>
      </c>
      <c r="N169" s="991">
        <f t="shared" si="106"/>
        <v>0</v>
      </c>
      <c r="O169" s="991">
        <f t="shared" si="106"/>
        <v>0</v>
      </c>
      <c r="P169" s="991">
        <f t="shared" si="106"/>
        <v>0</v>
      </c>
      <c r="Q169" s="991">
        <f t="shared" si="106"/>
        <v>0</v>
      </c>
      <c r="R169" s="991">
        <f t="shared" si="106"/>
        <v>0</v>
      </c>
      <c r="S169" s="991">
        <f t="shared" si="106"/>
        <v>0</v>
      </c>
      <c r="T169" s="991">
        <f t="shared" si="106"/>
        <v>0</v>
      </c>
      <c r="U169" s="991">
        <f t="shared" si="106"/>
        <v>0</v>
      </c>
      <c r="V169" s="991">
        <f t="shared" si="106"/>
        <v>0</v>
      </c>
      <c r="W169" s="991">
        <f t="shared" si="106"/>
        <v>0</v>
      </c>
      <c r="X169" s="991">
        <f t="shared" si="106"/>
        <v>0.05</v>
      </c>
      <c r="Y169" s="991">
        <f t="shared" si="106"/>
        <v>0.1</v>
      </c>
      <c r="Z169" s="991">
        <f t="shared" si="106"/>
        <v>0.15</v>
      </c>
      <c r="AA169" s="991">
        <f t="shared" si="106"/>
        <v>0.2</v>
      </c>
      <c r="AB169" s="991">
        <f t="shared" si="106"/>
        <v>0.25</v>
      </c>
      <c r="AC169" s="991">
        <f t="shared" si="106"/>
        <v>0.25</v>
      </c>
    </row>
    <row r="170" spans="2:29" hidden="1" outlineLevel="1">
      <c r="B170" s="925" t="s">
        <v>484</v>
      </c>
      <c r="C170" s="926"/>
      <c r="D170" s="1067"/>
      <c r="E170" s="1067"/>
      <c r="F170" s="1067"/>
      <c r="G170" s="1067"/>
      <c r="H170" s="1067"/>
      <c r="I170" s="1067"/>
      <c r="J170" s="1067"/>
      <c r="K170" s="1067"/>
      <c r="L170" s="992">
        <f t="shared" ref="L170:AC170" si="107">L40</f>
        <v>0</v>
      </c>
      <c r="M170" s="992">
        <f t="shared" si="107"/>
        <v>0</v>
      </c>
      <c r="N170" s="992">
        <f t="shared" si="107"/>
        <v>0</v>
      </c>
      <c r="O170" s="992">
        <f t="shared" si="107"/>
        <v>0</v>
      </c>
      <c r="P170" s="992">
        <f t="shared" si="107"/>
        <v>0</v>
      </c>
      <c r="Q170" s="992">
        <f t="shared" si="107"/>
        <v>0</v>
      </c>
      <c r="R170" s="992">
        <f t="shared" si="107"/>
        <v>0.1</v>
      </c>
      <c r="S170" s="992">
        <f t="shared" si="107"/>
        <v>0.2</v>
      </c>
      <c r="T170" s="992">
        <f t="shared" si="107"/>
        <v>0.25</v>
      </c>
      <c r="U170" s="992">
        <f t="shared" si="107"/>
        <v>0.3</v>
      </c>
      <c r="V170" s="992">
        <f t="shared" si="107"/>
        <v>0.33</v>
      </c>
      <c r="W170" s="992">
        <f t="shared" si="107"/>
        <v>0.33</v>
      </c>
      <c r="X170" s="992">
        <f t="shared" si="107"/>
        <v>0.30199999999999999</v>
      </c>
      <c r="Y170" s="992">
        <f t="shared" si="107"/>
        <v>0.28899999999999998</v>
      </c>
      <c r="Z170" s="992">
        <f t="shared" si="107"/>
        <v>0.27100000000000002</v>
      </c>
      <c r="AA170" s="992">
        <f t="shared" si="107"/>
        <v>0.26100000000000001</v>
      </c>
      <c r="AB170" s="992">
        <f t="shared" si="107"/>
        <v>0.22</v>
      </c>
      <c r="AC170" s="992">
        <f t="shared" si="107"/>
        <v>4.9000000000000002E-2</v>
      </c>
    </row>
    <row r="171" spans="2:29" hidden="1" outlineLevel="1">
      <c r="B171" s="928" t="s">
        <v>485</v>
      </c>
      <c r="C171" s="929"/>
      <c r="D171" s="1068"/>
      <c r="E171" s="1068"/>
      <c r="F171" s="1068"/>
      <c r="G171" s="1068"/>
      <c r="H171" s="1068"/>
      <c r="I171" s="1068"/>
      <c r="J171" s="1068"/>
      <c r="K171" s="1068"/>
      <c r="L171" s="991">
        <f t="shared" ref="L171:AC171" si="108">L41</f>
        <v>0</v>
      </c>
      <c r="M171" s="991">
        <f t="shared" si="108"/>
        <v>0</v>
      </c>
      <c r="N171" s="991">
        <f t="shared" si="108"/>
        <v>0</v>
      </c>
      <c r="O171" s="991">
        <f t="shared" si="108"/>
        <v>0</v>
      </c>
      <c r="P171" s="991">
        <f t="shared" si="108"/>
        <v>0</v>
      </c>
      <c r="Q171" s="991">
        <f t="shared" si="108"/>
        <v>0</v>
      </c>
      <c r="R171" s="991">
        <f t="shared" si="108"/>
        <v>0.1</v>
      </c>
      <c r="S171" s="991">
        <f t="shared" si="108"/>
        <v>0.2</v>
      </c>
      <c r="T171" s="991">
        <f t="shared" si="108"/>
        <v>0.25</v>
      </c>
      <c r="U171" s="991">
        <f t="shared" si="108"/>
        <v>0.3</v>
      </c>
      <c r="V171" s="991">
        <f t="shared" si="108"/>
        <v>0.33</v>
      </c>
      <c r="W171" s="991">
        <f t="shared" si="108"/>
        <v>0.33</v>
      </c>
      <c r="X171" s="991">
        <f t="shared" si="108"/>
        <v>0.32300000000000001</v>
      </c>
      <c r="Y171" s="991">
        <f t="shared" si="108"/>
        <v>0.30499999999999999</v>
      </c>
      <c r="Z171" s="991">
        <f t="shared" si="108"/>
        <v>0.28899999999999998</v>
      </c>
      <c r="AA171" s="991">
        <f t="shared" si="108"/>
        <v>0.26900000000000002</v>
      </c>
      <c r="AB171" s="991">
        <f t="shared" si="108"/>
        <v>0.25</v>
      </c>
      <c r="AC171" s="991">
        <f t="shared" si="108"/>
        <v>0.22500000000000001</v>
      </c>
    </row>
    <row r="172" spans="2:29" hidden="1" outlineLevel="1">
      <c r="B172" s="925" t="s">
        <v>486</v>
      </c>
      <c r="C172" s="926"/>
      <c r="D172" s="1067"/>
      <c r="E172" s="1067"/>
      <c r="F172" s="1067"/>
      <c r="G172" s="1067"/>
      <c r="H172" s="1067"/>
      <c r="I172" s="1067"/>
      <c r="J172" s="1067"/>
      <c r="K172" s="1067"/>
      <c r="L172" s="992">
        <f t="shared" ref="L172:AC172" si="109">L42</f>
        <v>0</v>
      </c>
      <c r="M172" s="992">
        <f t="shared" si="109"/>
        <v>0</v>
      </c>
      <c r="N172" s="992">
        <f t="shared" si="109"/>
        <v>0</v>
      </c>
      <c r="O172" s="992">
        <f t="shared" si="109"/>
        <v>0</v>
      </c>
      <c r="P172" s="992">
        <f t="shared" si="109"/>
        <v>0</v>
      </c>
      <c r="Q172" s="992">
        <f t="shared" si="109"/>
        <v>0</v>
      </c>
      <c r="R172" s="992">
        <f t="shared" si="109"/>
        <v>0.1</v>
      </c>
      <c r="S172" s="992">
        <f t="shared" si="109"/>
        <v>0.2</v>
      </c>
      <c r="T172" s="992">
        <f t="shared" si="109"/>
        <v>0.25</v>
      </c>
      <c r="U172" s="992">
        <f t="shared" si="109"/>
        <v>0.3</v>
      </c>
      <c r="V172" s="992">
        <f t="shared" si="109"/>
        <v>0.33</v>
      </c>
      <c r="W172" s="992">
        <f t="shared" si="109"/>
        <v>0.33</v>
      </c>
      <c r="X172" s="992">
        <f t="shared" si="109"/>
        <v>0.32300000000000001</v>
      </c>
      <c r="Y172" s="992">
        <f t="shared" si="109"/>
        <v>0.30499999999999999</v>
      </c>
      <c r="Z172" s="992">
        <f t="shared" si="109"/>
        <v>0.28899999999999998</v>
      </c>
      <c r="AA172" s="992">
        <f t="shared" si="109"/>
        <v>0.26900000000000002</v>
      </c>
      <c r="AB172" s="992">
        <f t="shared" si="109"/>
        <v>0.25</v>
      </c>
      <c r="AC172" s="992">
        <f t="shared" si="109"/>
        <v>0.22500000000000001</v>
      </c>
    </row>
    <row r="173" spans="2:29" hidden="1" outlineLevel="1">
      <c r="B173" s="931" t="s">
        <v>487</v>
      </c>
      <c r="C173" s="929"/>
      <c r="D173" s="1068"/>
      <c r="E173" s="1068"/>
      <c r="F173" s="1068"/>
      <c r="G173" s="1068"/>
      <c r="H173" s="1068"/>
      <c r="I173" s="1068"/>
      <c r="J173" s="1068"/>
      <c r="K173" s="1068"/>
      <c r="L173" s="991">
        <f t="shared" ref="L173:AC173" si="110">L43</f>
        <v>0</v>
      </c>
      <c r="M173" s="991">
        <f t="shared" si="110"/>
        <v>0</v>
      </c>
      <c r="N173" s="991">
        <f t="shared" si="110"/>
        <v>0</v>
      </c>
      <c r="O173" s="991">
        <f t="shared" si="110"/>
        <v>0</v>
      </c>
      <c r="P173" s="991">
        <f t="shared" si="110"/>
        <v>0</v>
      </c>
      <c r="Q173" s="991">
        <f t="shared" si="110"/>
        <v>0</v>
      </c>
      <c r="R173" s="991">
        <f t="shared" si="110"/>
        <v>0</v>
      </c>
      <c r="S173" s="991">
        <f t="shared" si="110"/>
        <v>0</v>
      </c>
      <c r="T173" s="991">
        <f t="shared" si="110"/>
        <v>0</v>
      </c>
      <c r="U173" s="991">
        <f t="shared" si="110"/>
        <v>0</v>
      </c>
      <c r="V173" s="991">
        <f t="shared" si="110"/>
        <v>0</v>
      </c>
      <c r="W173" s="991">
        <f t="shared" si="110"/>
        <v>0</v>
      </c>
      <c r="X173" s="991">
        <f t="shared" si="110"/>
        <v>0</v>
      </c>
      <c r="Y173" s="991">
        <f t="shared" si="110"/>
        <v>0</v>
      </c>
      <c r="Z173" s="991">
        <f t="shared" si="110"/>
        <v>0</v>
      </c>
      <c r="AA173" s="991">
        <f t="shared" si="110"/>
        <v>0</v>
      </c>
      <c r="AB173" s="991">
        <f t="shared" si="110"/>
        <v>2.9000000000000001E-2</v>
      </c>
      <c r="AC173" s="991">
        <f t="shared" si="110"/>
        <v>0.25</v>
      </c>
    </row>
    <row r="174" spans="2:29" ht="12" collapsed="1">
      <c r="B174" s="1011" t="s">
        <v>488</v>
      </c>
      <c r="C174" s="1012"/>
      <c r="D174" s="1419">
        <v>0.95</v>
      </c>
      <c r="E174" s="1417">
        <v>0.95</v>
      </c>
      <c r="F174" s="1417">
        <v>0.95</v>
      </c>
      <c r="G174" s="1417">
        <v>0.95</v>
      </c>
      <c r="H174" s="1417">
        <v>0.95</v>
      </c>
      <c r="I174" s="1417">
        <v>0.95</v>
      </c>
      <c r="J174" s="1417">
        <v>0.95</v>
      </c>
      <c r="K174" s="1417">
        <v>0.95</v>
      </c>
      <c r="L174" s="1417">
        <v>0.94</v>
      </c>
      <c r="M174" s="1417">
        <v>0.91</v>
      </c>
      <c r="N174" s="1417">
        <v>0.87</v>
      </c>
      <c r="O174" s="1417">
        <v>0.85</v>
      </c>
      <c r="P174" s="1417">
        <v>0.82</v>
      </c>
      <c r="Q174" s="1417">
        <v>0.79</v>
      </c>
      <c r="R174" s="1417">
        <v>0.72</v>
      </c>
      <c r="S174" s="1417">
        <v>0.55999999999999994</v>
      </c>
      <c r="T174" s="1417">
        <v>0.55000000000000004</v>
      </c>
      <c r="U174" s="1417">
        <v>0.52</v>
      </c>
      <c r="V174" s="1417">
        <v>0.52</v>
      </c>
      <c r="W174" s="1417">
        <v>0.47</v>
      </c>
      <c r="X174" s="1417">
        <v>0.47</v>
      </c>
      <c r="Y174" s="1417">
        <v>0.45999999999999996</v>
      </c>
      <c r="Z174" s="1417">
        <v>0.45999999999999996</v>
      </c>
      <c r="AA174" s="1417">
        <v>0.45749999999999991</v>
      </c>
      <c r="AB174" s="1417">
        <v>0.55499999999999994</v>
      </c>
      <c r="AC174" s="1417">
        <v>0.55249999999999999</v>
      </c>
    </row>
    <row r="175" spans="2:29" hidden="1" outlineLevel="1">
      <c r="B175" s="928" t="s">
        <v>489</v>
      </c>
      <c r="C175" s="929"/>
      <c r="D175" s="1068">
        <v>1</v>
      </c>
      <c r="E175" s="1068">
        <v>1</v>
      </c>
      <c r="F175" s="1068">
        <v>1</v>
      </c>
      <c r="G175" s="1068">
        <v>1</v>
      </c>
      <c r="H175" s="1068">
        <v>1</v>
      </c>
      <c r="I175" s="1068">
        <v>1</v>
      </c>
      <c r="J175" s="1068">
        <v>1</v>
      </c>
      <c r="K175" s="1068">
        <v>1</v>
      </c>
      <c r="L175" s="1068">
        <v>1</v>
      </c>
      <c r="M175" s="1068">
        <v>1</v>
      </c>
      <c r="N175" s="1068">
        <v>1</v>
      </c>
      <c r="O175" s="1388">
        <v>1</v>
      </c>
      <c r="P175" s="1388">
        <v>1</v>
      </c>
      <c r="Q175" s="1388">
        <v>1</v>
      </c>
      <c r="R175" s="990">
        <v>0.9</v>
      </c>
      <c r="S175" s="990">
        <v>0.75</v>
      </c>
      <c r="T175" s="990">
        <v>0.65</v>
      </c>
      <c r="U175" s="990">
        <v>0.55000000000000004</v>
      </c>
      <c r="V175" s="990">
        <v>0.4</v>
      </c>
      <c r="W175" s="990">
        <v>0.3</v>
      </c>
      <c r="X175" s="990">
        <v>0.2</v>
      </c>
      <c r="Y175" s="990">
        <v>0.1</v>
      </c>
      <c r="Z175" s="990">
        <v>7.0000000000000007E-2</v>
      </c>
      <c r="AA175" s="990">
        <v>0.05</v>
      </c>
      <c r="AB175" s="990">
        <v>0.04</v>
      </c>
      <c r="AC175" s="990">
        <v>0.03</v>
      </c>
    </row>
    <row r="176" spans="2:29" hidden="1" outlineLevel="1">
      <c r="B176" s="934" t="s">
        <v>490</v>
      </c>
      <c r="C176" s="935"/>
      <c r="D176" s="1071"/>
      <c r="E176" s="1071"/>
      <c r="F176" s="1071"/>
      <c r="G176" s="1071"/>
      <c r="H176" s="1071"/>
      <c r="I176" s="1071"/>
      <c r="J176" s="1071"/>
      <c r="K176" s="1071"/>
      <c r="L176" s="1071"/>
      <c r="M176" s="1071"/>
      <c r="N176" s="1071"/>
      <c r="O176" s="989"/>
      <c r="P176" s="989"/>
      <c r="Q176" s="989"/>
      <c r="R176" s="988">
        <v>0.1</v>
      </c>
      <c r="S176" s="988">
        <v>0.25</v>
      </c>
      <c r="T176" s="988">
        <v>0.35</v>
      </c>
      <c r="U176" s="988">
        <v>0.45</v>
      </c>
      <c r="V176" s="988">
        <v>0.6</v>
      </c>
      <c r="W176" s="988">
        <v>0.7</v>
      </c>
      <c r="X176" s="988">
        <v>0.8</v>
      </c>
      <c r="Y176" s="988">
        <v>0.9</v>
      </c>
      <c r="Z176" s="988">
        <v>0.93</v>
      </c>
      <c r="AA176" s="988">
        <v>0.95</v>
      </c>
      <c r="AB176" s="988">
        <v>0.96</v>
      </c>
      <c r="AC176" s="988">
        <v>0.97</v>
      </c>
    </row>
    <row r="177" spans="2:29" ht="12" collapsed="1" thickBot="1">
      <c r="B177" s="1015" t="s">
        <v>491</v>
      </c>
      <c r="C177" s="1027"/>
      <c r="D177" s="1416">
        <v>0.05</v>
      </c>
      <c r="E177" s="1073">
        <v>0.05</v>
      </c>
      <c r="F177" s="1073">
        <v>0.05</v>
      </c>
      <c r="G177" s="1073">
        <v>0.05</v>
      </c>
      <c r="H177" s="1073">
        <v>0.05</v>
      </c>
      <c r="I177" s="1073">
        <v>0.05</v>
      </c>
      <c r="J177" s="1073">
        <v>0.05</v>
      </c>
      <c r="K177" s="1073">
        <v>4.8000000000000001E-2</v>
      </c>
      <c r="L177" s="1073">
        <v>0.03</v>
      </c>
      <c r="M177" s="1073">
        <v>0.01</v>
      </c>
      <c r="N177" s="1073">
        <v>0.01</v>
      </c>
      <c r="O177" s="1073">
        <v>0.01</v>
      </c>
      <c r="P177" s="1073">
        <v>0.01</v>
      </c>
      <c r="Q177" s="1073">
        <v>0.01</v>
      </c>
      <c r="R177" s="1073">
        <v>0.03</v>
      </c>
      <c r="S177" s="1073">
        <v>0.05</v>
      </c>
      <c r="T177" s="1073">
        <v>0.06</v>
      </c>
      <c r="U177" s="1073">
        <v>7.0000000000000007E-2</v>
      </c>
      <c r="V177" s="1073">
        <v>7.0000000000000007E-2</v>
      </c>
      <c r="W177" s="1073">
        <v>0.02</v>
      </c>
      <c r="X177" s="1073">
        <v>0.02</v>
      </c>
      <c r="Y177" s="1073">
        <v>0.02</v>
      </c>
      <c r="Z177" s="1073">
        <v>0.02</v>
      </c>
      <c r="AA177" s="1073">
        <v>0.02</v>
      </c>
      <c r="AB177" s="1073">
        <v>0.02</v>
      </c>
      <c r="AC177" s="1073">
        <v>0.02</v>
      </c>
    </row>
    <row r="178" spans="2:29" s="1002" customFormat="1" ht="12" thickTop="1">
      <c r="B178" s="1003" t="s">
        <v>263</v>
      </c>
      <c r="C178" s="1004"/>
      <c r="D178" s="1075">
        <f t="shared" ref="D178:AC178" si="111">D167+D174+D177</f>
        <v>1</v>
      </c>
      <c r="E178" s="1075">
        <f t="shared" si="111"/>
        <v>1</v>
      </c>
      <c r="F178" s="1075">
        <f t="shared" si="111"/>
        <v>1</v>
      </c>
      <c r="G178" s="1075">
        <f t="shared" si="111"/>
        <v>1</v>
      </c>
      <c r="H178" s="1075">
        <f t="shared" si="111"/>
        <v>1</v>
      </c>
      <c r="I178" s="1075">
        <f t="shared" si="111"/>
        <v>1</v>
      </c>
      <c r="J178" s="1075">
        <f t="shared" si="111"/>
        <v>1</v>
      </c>
      <c r="K178" s="1075">
        <f t="shared" si="111"/>
        <v>1</v>
      </c>
      <c r="L178" s="1075">
        <f t="shared" si="111"/>
        <v>1</v>
      </c>
      <c r="M178" s="1075">
        <f t="shared" si="111"/>
        <v>1</v>
      </c>
      <c r="N178" s="1075">
        <f t="shared" si="111"/>
        <v>1</v>
      </c>
      <c r="O178" s="1075">
        <f t="shared" si="111"/>
        <v>1</v>
      </c>
      <c r="P178" s="1075">
        <f t="shared" si="111"/>
        <v>1</v>
      </c>
      <c r="Q178" s="1075">
        <f t="shared" si="111"/>
        <v>1</v>
      </c>
      <c r="R178" s="1075">
        <f t="shared" si="111"/>
        <v>1</v>
      </c>
      <c r="S178" s="1075">
        <f t="shared" si="111"/>
        <v>1</v>
      </c>
      <c r="T178" s="1075">
        <f t="shared" si="111"/>
        <v>1</v>
      </c>
      <c r="U178" s="1075">
        <f t="shared" si="111"/>
        <v>1</v>
      </c>
      <c r="V178" s="1075">
        <f t="shared" si="111"/>
        <v>1</v>
      </c>
      <c r="W178" s="1075">
        <f t="shared" si="111"/>
        <v>1</v>
      </c>
      <c r="X178" s="1075">
        <f t="shared" si="111"/>
        <v>1</v>
      </c>
      <c r="Y178" s="1075">
        <f t="shared" si="111"/>
        <v>1</v>
      </c>
      <c r="Z178" s="1075">
        <f t="shared" si="111"/>
        <v>1</v>
      </c>
      <c r="AA178" s="1075">
        <f t="shared" si="111"/>
        <v>1</v>
      </c>
      <c r="AB178" s="1075">
        <f t="shared" si="111"/>
        <v>1</v>
      </c>
      <c r="AC178" s="1075">
        <f t="shared" si="111"/>
        <v>1</v>
      </c>
    </row>
    <row r="179" spans="2:29">
      <c r="B179" s="1005"/>
      <c r="C179" s="976"/>
      <c r="D179" s="976"/>
      <c r="E179" s="1076"/>
      <c r="F179" s="983"/>
      <c r="G179" s="976"/>
      <c r="H179" s="976"/>
      <c r="I179" s="983"/>
      <c r="J179" s="983"/>
      <c r="K179" s="976"/>
      <c r="L179" s="983"/>
      <c r="M179" s="976"/>
      <c r="N179" s="976"/>
      <c r="O179" s="976"/>
      <c r="P179" s="976"/>
      <c r="Q179" s="976"/>
      <c r="R179" s="976"/>
      <c r="S179" s="976"/>
      <c r="T179" s="976"/>
      <c r="U179" s="976"/>
      <c r="V179" s="976"/>
      <c r="W179" s="976"/>
      <c r="X179" s="976"/>
      <c r="Y179" s="976"/>
      <c r="Z179" s="976"/>
      <c r="AA179" s="976"/>
      <c r="AB179" s="976"/>
      <c r="AC179" s="976"/>
    </row>
    <row r="180" spans="2:29" ht="12">
      <c r="B180" s="1006" t="s">
        <v>526</v>
      </c>
      <c r="C180" s="976"/>
      <c r="D180" s="976"/>
      <c r="E180" s="1077"/>
      <c r="F180" s="983"/>
      <c r="G180" s="976"/>
      <c r="H180" s="976"/>
      <c r="I180" s="983"/>
      <c r="J180" s="983"/>
      <c r="K180" s="976"/>
      <c r="L180" s="983"/>
      <c r="M180" s="976"/>
      <c r="N180" s="976"/>
      <c r="O180" s="976"/>
      <c r="P180" s="976"/>
      <c r="Q180" s="976"/>
      <c r="R180" s="976"/>
      <c r="S180" s="976"/>
      <c r="T180" s="976"/>
      <c r="U180" s="976"/>
      <c r="V180" s="976"/>
      <c r="W180" s="976"/>
      <c r="X180" s="976"/>
      <c r="Y180" s="976"/>
      <c r="Z180" s="976"/>
      <c r="AA180" s="976"/>
      <c r="AB180" s="976"/>
      <c r="AC180" s="976"/>
    </row>
    <row r="181" spans="2:29">
      <c r="B181" s="1007" t="s">
        <v>481</v>
      </c>
      <c r="C181" s="1021"/>
      <c r="D181" s="1078">
        <f>D167*D$109</f>
        <v>0</v>
      </c>
      <c r="E181" s="1078">
        <f t="shared" ref="E181:AC181" si="112">E167*E$109</f>
        <v>0</v>
      </c>
      <c r="F181" s="1078">
        <f t="shared" si="112"/>
        <v>0</v>
      </c>
      <c r="G181" s="1078">
        <f t="shared" si="112"/>
        <v>0</v>
      </c>
      <c r="H181" s="1078">
        <f t="shared" si="112"/>
        <v>0</v>
      </c>
      <c r="I181" s="1078">
        <f t="shared" si="112"/>
        <v>0</v>
      </c>
      <c r="J181" s="1078">
        <f t="shared" si="112"/>
        <v>0</v>
      </c>
      <c r="K181" s="1078">
        <f t="shared" si="112"/>
        <v>6.9823352631563216</v>
      </c>
      <c r="L181" s="1078">
        <f t="shared" si="112"/>
        <v>104.19232516486314</v>
      </c>
      <c r="M181" s="1078">
        <f t="shared" si="112"/>
        <v>290.89709421082199</v>
      </c>
      <c r="N181" s="1078">
        <f t="shared" si="112"/>
        <v>451.43595852792993</v>
      </c>
      <c r="O181" s="1078">
        <f t="shared" si="112"/>
        <v>533.21790248345087</v>
      </c>
      <c r="P181" s="1078">
        <f t="shared" si="112"/>
        <v>664.20088898835024</v>
      </c>
      <c r="Q181" s="1078">
        <f t="shared" si="112"/>
        <v>764.74442853161645</v>
      </c>
      <c r="R181" s="1078">
        <f t="shared" si="112"/>
        <v>933.10534434558281</v>
      </c>
      <c r="S181" s="1078">
        <f t="shared" si="112"/>
        <v>1375.3638467673275</v>
      </c>
      <c r="T181" s="1078">
        <f t="shared" si="112"/>
        <v>1281.6654882239723</v>
      </c>
      <c r="U181" s="1078">
        <f t="shared" si="112"/>
        <v>1278.5467254002574</v>
      </c>
      <c r="V181" s="1078">
        <f t="shared" si="112"/>
        <v>1142.298206210073</v>
      </c>
      <c r="W181" s="1078">
        <f t="shared" si="112"/>
        <v>1289.2125819717153</v>
      </c>
      <c r="X181" s="1078">
        <f t="shared" si="112"/>
        <v>1145.4377663317425</v>
      </c>
      <c r="Y181" s="1078">
        <f t="shared" si="112"/>
        <v>1129.8567007554041</v>
      </c>
      <c r="Z181" s="1078">
        <f t="shared" si="112"/>
        <v>1147.5380650765858</v>
      </c>
      <c r="AA181" s="1078">
        <f t="shared" si="112"/>
        <v>1037.325569780264</v>
      </c>
      <c r="AB181" s="1078">
        <f t="shared" si="112"/>
        <v>800.35245578877709</v>
      </c>
      <c r="AC181" s="1078">
        <f t="shared" si="112"/>
        <v>810.96358342297617</v>
      </c>
    </row>
    <row r="182" spans="2:29">
      <c r="B182" s="925" t="s">
        <v>482</v>
      </c>
      <c r="C182" s="926"/>
      <c r="D182" s="1079">
        <f>D$181*D168</f>
        <v>0</v>
      </c>
      <c r="E182" s="1079">
        <f t="shared" ref="E182:AC182" si="113">E$181*E168</f>
        <v>0</v>
      </c>
      <c r="F182" s="1079">
        <f t="shared" si="113"/>
        <v>0</v>
      </c>
      <c r="G182" s="1079">
        <f t="shared" si="113"/>
        <v>0</v>
      </c>
      <c r="H182" s="1079">
        <f t="shared" si="113"/>
        <v>0</v>
      </c>
      <c r="I182" s="1079">
        <f t="shared" si="113"/>
        <v>0</v>
      </c>
      <c r="J182" s="1079">
        <f t="shared" si="113"/>
        <v>0</v>
      </c>
      <c r="K182" s="1079">
        <f t="shared" si="113"/>
        <v>6.9823352631563216</v>
      </c>
      <c r="L182" s="1079">
        <f t="shared" si="113"/>
        <v>104.19232516486314</v>
      </c>
      <c r="M182" s="1079">
        <f t="shared" si="113"/>
        <v>290.89709421082199</v>
      </c>
      <c r="N182" s="1079">
        <f t="shared" si="113"/>
        <v>451.43595852792993</v>
      </c>
      <c r="O182" s="1079">
        <f t="shared" si="113"/>
        <v>533.21790248345087</v>
      </c>
      <c r="P182" s="1079">
        <f t="shared" si="113"/>
        <v>664.20088898835024</v>
      </c>
      <c r="Q182" s="1079">
        <f t="shared" si="113"/>
        <v>764.74442853161645</v>
      </c>
      <c r="R182" s="1079">
        <f t="shared" si="113"/>
        <v>653.17374104190787</v>
      </c>
      <c r="S182" s="1079">
        <f t="shared" si="113"/>
        <v>550.14553870693101</v>
      </c>
      <c r="T182" s="1079">
        <f t="shared" si="113"/>
        <v>320.41637205599307</v>
      </c>
      <c r="U182" s="1079">
        <f t="shared" si="113"/>
        <v>127.85467254002575</v>
      </c>
      <c r="V182" s="1079">
        <f t="shared" si="113"/>
        <v>11.422982062100729</v>
      </c>
      <c r="W182" s="1079">
        <f t="shared" si="113"/>
        <v>12.892125819717153</v>
      </c>
      <c r="X182" s="1079">
        <f t="shared" si="113"/>
        <v>2.2908755326634851</v>
      </c>
      <c r="Y182" s="1079">
        <f t="shared" si="113"/>
        <v>1.1298567007554041</v>
      </c>
      <c r="Z182" s="1079">
        <f t="shared" si="113"/>
        <v>1.1475380650765858</v>
      </c>
      <c r="AA182" s="1079">
        <f t="shared" si="113"/>
        <v>1.0373255697802641</v>
      </c>
      <c r="AB182" s="1079">
        <f t="shared" si="113"/>
        <v>0.80035245578877712</v>
      </c>
      <c r="AC182" s="1079">
        <f t="shared" si="113"/>
        <v>0.81096358342297614</v>
      </c>
    </row>
    <row r="183" spans="2:29">
      <c r="B183" s="928" t="s">
        <v>483</v>
      </c>
      <c r="C183" s="929"/>
      <c r="D183" s="1080">
        <f t="shared" ref="D183:AC183" si="114">D$181*D169</f>
        <v>0</v>
      </c>
      <c r="E183" s="1080">
        <f t="shared" si="114"/>
        <v>0</v>
      </c>
      <c r="F183" s="1080">
        <f t="shared" si="114"/>
        <v>0</v>
      </c>
      <c r="G183" s="1080">
        <f t="shared" si="114"/>
        <v>0</v>
      </c>
      <c r="H183" s="1080">
        <f t="shared" si="114"/>
        <v>0</v>
      </c>
      <c r="I183" s="1080">
        <f t="shared" si="114"/>
        <v>0</v>
      </c>
      <c r="J183" s="1080">
        <f t="shared" si="114"/>
        <v>0</v>
      </c>
      <c r="K183" s="1080">
        <f t="shared" si="114"/>
        <v>0</v>
      </c>
      <c r="L183" s="1080">
        <f t="shared" si="114"/>
        <v>0</v>
      </c>
      <c r="M183" s="1080">
        <f t="shared" si="114"/>
        <v>0</v>
      </c>
      <c r="N183" s="1080">
        <f t="shared" si="114"/>
        <v>0</v>
      </c>
      <c r="O183" s="1080">
        <f t="shared" si="114"/>
        <v>0</v>
      </c>
      <c r="P183" s="1080">
        <f t="shared" si="114"/>
        <v>0</v>
      </c>
      <c r="Q183" s="1080">
        <f t="shared" si="114"/>
        <v>0</v>
      </c>
      <c r="R183" s="1080">
        <f t="shared" si="114"/>
        <v>0</v>
      </c>
      <c r="S183" s="1080">
        <f t="shared" si="114"/>
        <v>0</v>
      </c>
      <c r="T183" s="1080">
        <f t="shared" si="114"/>
        <v>0</v>
      </c>
      <c r="U183" s="1080">
        <f t="shared" si="114"/>
        <v>0</v>
      </c>
      <c r="V183" s="1080">
        <f t="shared" si="114"/>
        <v>0</v>
      </c>
      <c r="W183" s="1080">
        <f t="shared" si="114"/>
        <v>0</v>
      </c>
      <c r="X183" s="1080">
        <f t="shared" si="114"/>
        <v>57.27188831658713</v>
      </c>
      <c r="Y183" s="1080">
        <f t="shared" si="114"/>
        <v>112.98567007554041</v>
      </c>
      <c r="Z183" s="1080">
        <f t="shared" si="114"/>
        <v>172.13070976148785</v>
      </c>
      <c r="AA183" s="1080">
        <f t="shared" si="114"/>
        <v>207.46511395605282</v>
      </c>
      <c r="AB183" s="1080">
        <f t="shared" si="114"/>
        <v>200.08811394719427</v>
      </c>
      <c r="AC183" s="1080">
        <f t="shared" si="114"/>
        <v>202.74089585574404</v>
      </c>
    </row>
    <row r="184" spans="2:29" s="957" customFormat="1">
      <c r="B184" s="925" t="s">
        <v>484</v>
      </c>
      <c r="C184" s="926"/>
      <c r="D184" s="1079">
        <f t="shared" ref="D184:AC184" si="115">D$181*D170</f>
        <v>0</v>
      </c>
      <c r="E184" s="1079">
        <f t="shared" si="115"/>
        <v>0</v>
      </c>
      <c r="F184" s="1079">
        <f t="shared" si="115"/>
        <v>0</v>
      </c>
      <c r="G184" s="1079">
        <f t="shared" si="115"/>
        <v>0</v>
      </c>
      <c r="H184" s="1079">
        <f t="shared" si="115"/>
        <v>0</v>
      </c>
      <c r="I184" s="1079">
        <f t="shared" si="115"/>
        <v>0</v>
      </c>
      <c r="J184" s="1079">
        <f t="shared" si="115"/>
        <v>0</v>
      </c>
      <c r="K184" s="1079">
        <f t="shared" si="115"/>
        <v>0</v>
      </c>
      <c r="L184" s="1079">
        <f t="shared" si="115"/>
        <v>0</v>
      </c>
      <c r="M184" s="1079">
        <f t="shared" si="115"/>
        <v>0</v>
      </c>
      <c r="N184" s="1079">
        <f t="shared" si="115"/>
        <v>0</v>
      </c>
      <c r="O184" s="1079">
        <f t="shared" si="115"/>
        <v>0</v>
      </c>
      <c r="P184" s="1079">
        <f t="shared" si="115"/>
        <v>0</v>
      </c>
      <c r="Q184" s="1079">
        <f t="shared" si="115"/>
        <v>0</v>
      </c>
      <c r="R184" s="1079">
        <f t="shared" si="115"/>
        <v>93.310534434558292</v>
      </c>
      <c r="S184" s="1079">
        <f t="shared" si="115"/>
        <v>275.0727693534655</v>
      </c>
      <c r="T184" s="1079">
        <f t="shared" si="115"/>
        <v>320.41637205599307</v>
      </c>
      <c r="U184" s="1079">
        <f t="shared" si="115"/>
        <v>383.56401762007721</v>
      </c>
      <c r="V184" s="1079">
        <f t="shared" si="115"/>
        <v>376.95840804932408</v>
      </c>
      <c r="W184" s="1079">
        <f t="shared" si="115"/>
        <v>425.44015205066609</v>
      </c>
      <c r="X184" s="1079">
        <f t="shared" si="115"/>
        <v>345.92220543218622</v>
      </c>
      <c r="Y184" s="1079">
        <f t="shared" si="115"/>
        <v>326.52858651831173</v>
      </c>
      <c r="Z184" s="1079">
        <f t="shared" si="115"/>
        <v>310.98281563575478</v>
      </c>
      <c r="AA184" s="1079">
        <f t="shared" si="115"/>
        <v>270.74197371264893</v>
      </c>
      <c r="AB184" s="1079">
        <f t="shared" si="115"/>
        <v>176.07754027353096</v>
      </c>
      <c r="AC184" s="1079">
        <f t="shared" si="115"/>
        <v>39.737215587725835</v>
      </c>
    </row>
    <row r="185" spans="2:29">
      <c r="B185" s="928" t="s">
        <v>485</v>
      </c>
      <c r="C185" s="929"/>
      <c r="D185" s="1080">
        <f t="shared" ref="D185:AC185" si="116">D$181*D171</f>
        <v>0</v>
      </c>
      <c r="E185" s="1080">
        <f t="shared" si="116"/>
        <v>0</v>
      </c>
      <c r="F185" s="1080">
        <f t="shared" si="116"/>
        <v>0</v>
      </c>
      <c r="G185" s="1080">
        <f t="shared" si="116"/>
        <v>0</v>
      </c>
      <c r="H185" s="1080">
        <f t="shared" si="116"/>
        <v>0</v>
      </c>
      <c r="I185" s="1080">
        <f t="shared" si="116"/>
        <v>0</v>
      </c>
      <c r="J185" s="1080">
        <f t="shared" si="116"/>
        <v>0</v>
      </c>
      <c r="K185" s="1080">
        <f t="shared" si="116"/>
        <v>0</v>
      </c>
      <c r="L185" s="1080">
        <f t="shared" si="116"/>
        <v>0</v>
      </c>
      <c r="M185" s="1080">
        <f t="shared" si="116"/>
        <v>0</v>
      </c>
      <c r="N185" s="1080">
        <f t="shared" si="116"/>
        <v>0</v>
      </c>
      <c r="O185" s="1080">
        <f t="shared" si="116"/>
        <v>0</v>
      </c>
      <c r="P185" s="1080">
        <f t="shared" si="116"/>
        <v>0</v>
      </c>
      <c r="Q185" s="1080">
        <f t="shared" si="116"/>
        <v>0</v>
      </c>
      <c r="R185" s="1080">
        <f t="shared" si="116"/>
        <v>93.310534434558292</v>
      </c>
      <c r="S185" s="1080">
        <f t="shared" si="116"/>
        <v>275.0727693534655</v>
      </c>
      <c r="T185" s="1080">
        <f t="shared" si="116"/>
        <v>320.41637205599307</v>
      </c>
      <c r="U185" s="1080">
        <f t="shared" si="116"/>
        <v>383.56401762007721</v>
      </c>
      <c r="V185" s="1080">
        <f t="shared" si="116"/>
        <v>376.95840804932408</v>
      </c>
      <c r="W185" s="1080">
        <f t="shared" si="116"/>
        <v>425.44015205066609</v>
      </c>
      <c r="X185" s="1080">
        <f t="shared" si="116"/>
        <v>369.97639852515283</v>
      </c>
      <c r="Y185" s="1080">
        <f t="shared" si="116"/>
        <v>344.60629373039825</v>
      </c>
      <c r="Z185" s="1080">
        <f t="shared" si="116"/>
        <v>331.63850080713325</v>
      </c>
      <c r="AA185" s="1080">
        <f t="shared" si="116"/>
        <v>279.04057827089105</v>
      </c>
      <c r="AB185" s="1080">
        <f t="shared" si="116"/>
        <v>200.08811394719427</v>
      </c>
      <c r="AC185" s="1080">
        <f t="shared" si="116"/>
        <v>182.46680627016966</v>
      </c>
    </row>
    <row r="186" spans="2:29">
      <c r="B186" s="925" t="s">
        <v>486</v>
      </c>
      <c r="C186" s="926"/>
      <c r="D186" s="1079">
        <f t="shared" ref="D186:AC186" si="117">D$181*D172</f>
        <v>0</v>
      </c>
      <c r="E186" s="1079">
        <f t="shared" si="117"/>
        <v>0</v>
      </c>
      <c r="F186" s="1079">
        <f t="shared" si="117"/>
        <v>0</v>
      </c>
      <c r="G186" s="1079">
        <f t="shared" si="117"/>
        <v>0</v>
      </c>
      <c r="H186" s="1079">
        <f t="shared" si="117"/>
        <v>0</v>
      </c>
      <c r="I186" s="1079">
        <f t="shared" si="117"/>
        <v>0</v>
      </c>
      <c r="J186" s="1079">
        <f t="shared" si="117"/>
        <v>0</v>
      </c>
      <c r="K186" s="1079">
        <f t="shared" si="117"/>
        <v>0</v>
      </c>
      <c r="L186" s="1079">
        <f t="shared" si="117"/>
        <v>0</v>
      </c>
      <c r="M186" s="1079">
        <f t="shared" si="117"/>
        <v>0</v>
      </c>
      <c r="N186" s="1079">
        <f t="shared" si="117"/>
        <v>0</v>
      </c>
      <c r="O186" s="1079">
        <f t="shared" si="117"/>
        <v>0</v>
      </c>
      <c r="P186" s="1079">
        <f t="shared" si="117"/>
        <v>0</v>
      </c>
      <c r="Q186" s="1079">
        <f t="shared" si="117"/>
        <v>0</v>
      </c>
      <c r="R186" s="1079">
        <f t="shared" si="117"/>
        <v>93.310534434558292</v>
      </c>
      <c r="S186" s="1079">
        <f t="shared" si="117"/>
        <v>275.0727693534655</v>
      </c>
      <c r="T186" s="1079">
        <f t="shared" si="117"/>
        <v>320.41637205599307</v>
      </c>
      <c r="U186" s="1079">
        <f t="shared" si="117"/>
        <v>383.56401762007721</v>
      </c>
      <c r="V186" s="1079">
        <f t="shared" si="117"/>
        <v>376.95840804932408</v>
      </c>
      <c r="W186" s="1079">
        <f t="shared" si="117"/>
        <v>425.44015205066609</v>
      </c>
      <c r="X186" s="1079">
        <f t="shared" si="117"/>
        <v>369.97639852515283</v>
      </c>
      <c r="Y186" s="1079">
        <f t="shared" si="117"/>
        <v>344.60629373039825</v>
      </c>
      <c r="Z186" s="1079">
        <f t="shared" si="117"/>
        <v>331.63850080713325</v>
      </c>
      <c r="AA186" s="1079">
        <f t="shared" si="117"/>
        <v>279.04057827089105</v>
      </c>
      <c r="AB186" s="1079">
        <f t="shared" si="117"/>
        <v>200.08811394719427</v>
      </c>
      <c r="AC186" s="1079">
        <f t="shared" si="117"/>
        <v>182.46680627016966</v>
      </c>
    </row>
    <row r="187" spans="2:29">
      <c r="B187" s="931" t="s">
        <v>487</v>
      </c>
      <c r="C187" s="929"/>
      <c r="D187" s="1080">
        <f t="shared" ref="D187:AC187" si="118">D$181*D173</f>
        <v>0</v>
      </c>
      <c r="E187" s="1080">
        <f t="shared" si="118"/>
        <v>0</v>
      </c>
      <c r="F187" s="1080">
        <f t="shared" si="118"/>
        <v>0</v>
      </c>
      <c r="G187" s="1080">
        <f t="shared" si="118"/>
        <v>0</v>
      </c>
      <c r="H187" s="1080">
        <f t="shared" si="118"/>
        <v>0</v>
      </c>
      <c r="I187" s="1080">
        <f t="shared" si="118"/>
        <v>0</v>
      </c>
      <c r="J187" s="1080">
        <f t="shared" si="118"/>
        <v>0</v>
      </c>
      <c r="K187" s="1080">
        <f t="shared" si="118"/>
        <v>0</v>
      </c>
      <c r="L187" s="1080">
        <f t="shared" si="118"/>
        <v>0</v>
      </c>
      <c r="M187" s="1080">
        <f t="shared" si="118"/>
        <v>0</v>
      </c>
      <c r="N187" s="1080">
        <f t="shared" si="118"/>
        <v>0</v>
      </c>
      <c r="O187" s="1080">
        <f t="shared" si="118"/>
        <v>0</v>
      </c>
      <c r="P187" s="1080">
        <f t="shared" si="118"/>
        <v>0</v>
      </c>
      <c r="Q187" s="1080">
        <f t="shared" si="118"/>
        <v>0</v>
      </c>
      <c r="R187" s="1080">
        <f t="shared" si="118"/>
        <v>0</v>
      </c>
      <c r="S187" s="1080">
        <f t="shared" si="118"/>
        <v>0</v>
      </c>
      <c r="T187" s="1080">
        <f t="shared" si="118"/>
        <v>0</v>
      </c>
      <c r="U187" s="1080">
        <f t="shared" si="118"/>
        <v>0</v>
      </c>
      <c r="V187" s="1080">
        <f t="shared" si="118"/>
        <v>0</v>
      </c>
      <c r="W187" s="1080">
        <f t="shared" si="118"/>
        <v>0</v>
      </c>
      <c r="X187" s="1080">
        <f t="shared" si="118"/>
        <v>0</v>
      </c>
      <c r="Y187" s="1080">
        <f t="shared" si="118"/>
        <v>0</v>
      </c>
      <c r="Z187" s="1080">
        <f t="shared" si="118"/>
        <v>0</v>
      </c>
      <c r="AA187" s="1080">
        <f t="shared" si="118"/>
        <v>0</v>
      </c>
      <c r="AB187" s="1080">
        <f t="shared" si="118"/>
        <v>23.210221217874537</v>
      </c>
      <c r="AC187" s="1080">
        <f t="shared" si="118"/>
        <v>202.74089585574404</v>
      </c>
    </row>
    <row r="188" spans="2:29" s="941" customFormat="1" ht="12">
      <c r="B188" s="1011" t="s">
        <v>488</v>
      </c>
      <c r="C188" s="1012"/>
      <c r="D188" s="1081">
        <f t="shared" ref="D188:AC188" si="119">D174*D$109</f>
        <v>2653.6563004582958</v>
      </c>
      <c r="E188" s="1082">
        <f t="shared" si="119"/>
        <v>2728.2789876042443</v>
      </c>
      <c r="F188" s="1082">
        <f t="shared" si="119"/>
        <v>2804.0744960171501</v>
      </c>
      <c r="G188" s="1082">
        <f t="shared" si="119"/>
        <v>2900.2859738402772</v>
      </c>
      <c r="H188" s="1082">
        <f t="shared" si="119"/>
        <v>2998.2467151132414</v>
      </c>
      <c r="I188" s="1082">
        <f t="shared" si="119"/>
        <v>3096.04970872187</v>
      </c>
      <c r="J188" s="1082">
        <f t="shared" si="119"/>
        <v>3197.8984965653767</v>
      </c>
      <c r="K188" s="1082">
        <f t="shared" si="119"/>
        <v>3316.6092499992524</v>
      </c>
      <c r="L188" s="1082">
        <f t="shared" si="119"/>
        <v>3264.6928551657115</v>
      </c>
      <c r="M188" s="1082">
        <f t="shared" si="119"/>
        <v>3308.9544466481002</v>
      </c>
      <c r="N188" s="1082">
        <f t="shared" si="119"/>
        <v>3272.9106993274922</v>
      </c>
      <c r="O188" s="1082">
        <f t="shared" si="119"/>
        <v>3237.3944079352373</v>
      </c>
      <c r="P188" s="1082">
        <f t="shared" si="119"/>
        <v>3203.7925233555716</v>
      </c>
      <c r="Q188" s="1082">
        <f t="shared" si="119"/>
        <v>3020.7404926998852</v>
      </c>
      <c r="R188" s="1082">
        <f t="shared" si="119"/>
        <v>2687.3433917152784</v>
      </c>
      <c r="S188" s="1082">
        <f t="shared" si="119"/>
        <v>1974.881420999239</v>
      </c>
      <c r="T188" s="1082">
        <f t="shared" si="119"/>
        <v>1807.4769705722686</v>
      </c>
      <c r="U188" s="1082">
        <f t="shared" si="119"/>
        <v>1621.5714566052047</v>
      </c>
      <c r="V188" s="1082">
        <f t="shared" si="119"/>
        <v>1448.7684566566777</v>
      </c>
      <c r="W188" s="1082">
        <f t="shared" si="119"/>
        <v>1188.0978696602081</v>
      </c>
      <c r="X188" s="1082">
        <f t="shared" si="119"/>
        <v>1055.5995101488606</v>
      </c>
      <c r="Y188" s="1082">
        <f t="shared" si="119"/>
        <v>999.48861989901116</v>
      </c>
      <c r="Z188" s="1082">
        <f t="shared" si="119"/>
        <v>1015.129826798518</v>
      </c>
      <c r="AA188" s="1082">
        <f t="shared" si="119"/>
        <v>908.2802835875035</v>
      </c>
      <c r="AB188" s="1082">
        <f t="shared" si="119"/>
        <v>1045.166148147697</v>
      </c>
      <c r="AC188" s="1082">
        <f t="shared" si="119"/>
        <v>1048.0874382250161</v>
      </c>
    </row>
    <row r="189" spans="2:29">
      <c r="B189" s="928" t="s">
        <v>489</v>
      </c>
      <c r="C189" s="929"/>
      <c r="D189" s="1080">
        <f t="shared" ref="D189:M190" si="120">D188*D$175</f>
        <v>2653.6563004582958</v>
      </c>
      <c r="E189" s="1080">
        <f t="shared" si="120"/>
        <v>2728.2789876042443</v>
      </c>
      <c r="F189" s="1080">
        <f t="shared" si="120"/>
        <v>2804.0744960171501</v>
      </c>
      <c r="G189" s="1080">
        <f t="shared" si="120"/>
        <v>2900.2859738402772</v>
      </c>
      <c r="H189" s="1080">
        <f t="shared" si="120"/>
        <v>2998.2467151132414</v>
      </c>
      <c r="I189" s="1080">
        <f t="shared" si="120"/>
        <v>3096.04970872187</v>
      </c>
      <c r="J189" s="1080">
        <f t="shared" si="120"/>
        <v>3197.8984965653767</v>
      </c>
      <c r="K189" s="1080">
        <f t="shared" si="120"/>
        <v>3316.6092499992524</v>
      </c>
      <c r="L189" s="1080">
        <f t="shared" si="120"/>
        <v>3264.6928551657115</v>
      </c>
      <c r="M189" s="1080">
        <f t="shared" si="120"/>
        <v>3308.9544466481002</v>
      </c>
      <c r="N189" s="1080">
        <f t="shared" ref="N189:W190" si="121">N188*N$175</f>
        <v>3272.9106993274922</v>
      </c>
      <c r="O189" s="1080">
        <f t="shared" si="121"/>
        <v>3237.3944079352373</v>
      </c>
      <c r="P189" s="1080">
        <f t="shared" si="121"/>
        <v>3203.7925233555716</v>
      </c>
      <c r="Q189" s="1080">
        <f t="shared" si="121"/>
        <v>3020.7404926998852</v>
      </c>
      <c r="R189" s="1080">
        <f t="shared" si="121"/>
        <v>2418.6090525437507</v>
      </c>
      <c r="S189" s="1080">
        <f t="shared" si="121"/>
        <v>1481.1610657494293</v>
      </c>
      <c r="T189" s="1080">
        <f t="shared" si="121"/>
        <v>1174.8600308719747</v>
      </c>
      <c r="U189" s="1080">
        <f t="shared" si="121"/>
        <v>891.86430113286269</v>
      </c>
      <c r="V189" s="1080">
        <f t="shared" si="121"/>
        <v>579.50738266267115</v>
      </c>
      <c r="W189" s="1080">
        <f t="shared" si="121"/>
        <v>356.42936089806238</v>
      </c>
      <c r="X189" s="1080">
        <f t="shared" ref="X189:AC190" si="122">X188*X$175</f>
        <v>211.11990202977213</v>
      </c>
      <c r="Y189" s="1080">
        <f t="shared" si="122"/>
        <v>99.948861989901118</v>
      </c>
      <c r="Z189" s="1080">
        <f t="shared" si="122"/>
        <v>71.059087875896267</v>
      </c>
      <c r="AA189" s="1080">
        <f t="shared" si="122"/>
        <v>45.414014179375179</v>
      </c>
      <c r="AB189" s="1080">
        <f t="shared" si="122"/>
        <v>41.80664592590788</v>
      </c>
      <c r="AC189" s="1080">
        <f t="shared" si="122"/>
        <v>31.442623146750481</v>
      </c>
    </row>
    <row r="190" spans="2:29">
      <c r="B190" s="934" t="s">
        <v>490</v>
      </c>
      <c r="C190" s="935"/>
      <c r="D190" s="1083">
        <f t="shared" si="120"/>
        <v>2653.6563004582958</v>
      </c>
      <c r="E190" s="1083">
        <f t="shared" si="120"/>
        <v>2728.2789876042443</v>
      </c>
      <c r="F190" s="1083">
        <f t="shared" si="120"/>
        <v>2804.0744960171501</v>
      </c>
      <c r="G190" s="1083">
        <f t="shared" si="120"/>
        <v>2900.2859738402772</v>
      </c>
      <c r="H190" s="1083">
        <f t="shared" si="120"/>
        <v>2998.2467151132414</v>
      </c>
      <c r="I190" s="1083">
        <f t="shared" si="120"/>
        <v>3096.04970872187</v>
      </c>
      <c r="J190" s="1083">
        <f t="shared" si="120"/>
        <v>3197.8984965653767</v>
      </c>
      <c r="K190" s="1083">
        <f t="shared" si="120"/>
        <v>3316.6092499992524</v>
      </c>
      <c r="L190" s="1083">
        <f t="shared" si="120"/>
        <v>3264.6928551657115</v>
      </c>
      <c r="M190" s="1083">
        <f t="shared" si="120"/>
        <v>3308.9544466481002</v>
      </c>
      <c r="N190" s="1083">
        <f t="shared" si="121"/>
        <v>3272.9106993274922</v>
      </c>
      <c r="O190" s="1083">
        <f t="shared" si="121"/>
        <v>3237.3944079352373</v>
      </c>
      <c r="P190" s="1083">
        <f t="shared" si="121"/>
        <v>3203.7925233555716</v>
      </c>
      <c r="Q190" s="1083">
        <f t="shared" si="121"/>
        <v>3020.7404926998852</v>
      </c>
      <c r="R190" s="1083">
        <f t="shared" si="121"/>
        <v>2176.7481472893755</v>
      </c>
      <c r="S190" s="1083">
        <f t="shared" si="121"/>
        <v>1110.870799312072</v>
      </c>
      <c r="T190" s="1083">
        <f t="shared" si="121"/>
        <v>763.65902006678357</v>
      </c>
      <c r="U190" s="1083">
        <f t="shared" si="121"/>
        <v>490.52536562307449</v>
      </c>
      <c r="V190" s="1083">
        <f t="shared" si="121"/>
        <v>231.80295306506846</v>
      </c>
      <c r="W190" s="1083">
        <f t="shared" si="121"/>
        <v>106.92880826941871</v>
      </c>
      <c r="X190" s="1083">
        <f t="shared" si="122"/>
        <v>42.223980405954428</v>
      </c>
      <c r="Y190" s="1083">
        <f t="shared" si="122"/>
        <v>9.9948861989901125</v>
      </c>
      <c r="Z190" s="1083">
        <f t="shared" si="122"/>
        <v>4.9741361513127389</v>
      </c>
      <c r="AA190" s="1083">
        <f t="shared" si="122"/>
        <v>2.270700708968759</v>
      </c>
      <c r="AB190" s="1083">
        <f t="shared" si="122"/>
        <v>1.6722658370363153</v>
      </c>
      <c r="AC190" s="1083">
        <f t="shared" si="122"/>
        <v>0.94327869440251444</v>
      </c>
    </row>
    <row r="191" spans="2:29" ht="12" thickBot="1">
      <c r="B191" s="1015" t="s">
        <v>491</v>
      </c>
      <c r="C191" s="1027"/>
      <c r="D191" s="1084">
        <f t="shared" ref="D191:AC191" si="123">D177*D$109</f>
        <v>139.66612107675243</v>
      </c>
      <c r="E191" s="1085">
        <f t="shared" si="123"/>
        <v>143.59363092653919</v>
      </c>
      <c r="F191" s="1085">
        <f t="shared" si="123"/>
        <v>147.58286821142897</v>
      </c>
      <c r="G191" s="1085">
        <f t="shared" si="123"/>
        <v>152.64663020211987</v>
      </c>
      <c r="H191" s="1085">
        <f t="shared" si="123"/>
        <v>157.80245869017062</v>
      </c>
      <c r="I191" s="1085">
        <f t="shared" si="123"/>
        <v>162.94998466957213</v>
      </c>
      <c r="J191" s="1085">
        <f t="shared" si="123"/>
        <v>168.31044718765142</v>
      </c>
      <c r="K191" s="1085">
        <f t="shared" si="123"/>
        <v>167.57604631575171</v>
      </c>
      <c r="L191" s="1085">
        <f t="shared" si="123"/>
        <v>104.19232516486314</v>
      </c>
      <c r="M191" s="1085">
        <f t="shared" si="123"/>
        <v>36.362136776352749</v>
      </c>
      <c r="N191" s="1085">
        <f t="shared" si="123"/>
        <v>37.619663210660832</v>
      </c>
      <c r="O191" s="1085">
        <f t="shared" si="123"/>
        <v>38.086993034532206</v>
      </c>
      <c r="P191" s="1085">
        <f t="shared" si="123"/>
        <v>39.070640528726486</v>
      </c>
      <c r="Q191" s="1085">
        <f t="shared" si="123"/>
        <v>38.237221426580824</v>
      </c>
      <c r="R191" s="1085">
        <f t="shared" si="123"/>
        <v>111.97264132146994</v>
      </c>
      <c r="S191" s="1085">
        <f t="shared" si="123"/>
        <v>176.32869830350353</v>
      </c>
      <c r="T191" s="1085">
        <f t="shared" si="123"/>
        <v>197.17930588061108</v>
      </c>
      <c r="U191" s="1085">
        <f t="shared" si="123"/>
        <v>218.28846531223911</v>
      </c>
      <c r="V191" s="1085">
        <f t="shared" si="123"/>
        <v>195.02652301147586</v>
      </c>
      <c r="W191" s="1085">
        <f t="shared" si="123"/>
        <v>50.557356155753546</v>
      </c>
      <c r="X191" s="1085">
        <f t="shared" si="123"/>
        <v>44.919128091440882</v>
      </c>
      <c r="Y191" s="1085">
        <f t="shared" si="123"/>
        <v>43.456026952130927</v>
      </c>
      <c r="Z191" s="1085">
        <f t="shared" si="123"/>
        <v>44.136079426022526</v>
      </c>
      <c r="AA191" s="1085">
        <f t="shared" si="123"/>
        <v>39.706241905464644</v>
      </c>
      <c r="AB191" s="1085">
        <f t="shared" si="123"/>
        <v>37.663644978295387</v>
      </c>
      <c r="AC191" s="1085">
        <f t="shared" si="123"/>
        <v>37.939816768326374</v>
      </c>
    </row>
    <row r="192" spans="2:29" ht="12" thickTop="1">
      <c r="B192" s="1005"/>
      <c r="C192" s="976"/>
      <c r="D192" s="976"/>
      <c r="E192" s="1076"/>
      <c r="F192" s="983"/>
      <c r="G192" s="976"/>
      <c r="H192" s="976"/>
      <c r="I192" s="983"/>
      <c r="J192" s="983"/>
      <c r="K192" s="976"/>
      <c r="L192" s="983"/>
      <c r="M192" s="983"/>
      <c r="N192" s="983"/>
      <c r="O192" s="983"/>
      <c r="P192" s="983"/>
      <c r="Q192" s="983"/>
      <c r="R192" s="983"/>
      <c r="S192" s="983"/>
      <c r="T192" s="983"/>
      <c r="U192" s="983"/>
      <c r="V192" s="983"/>
      <c r="W192" s="983"/>
      <c r="X192" s="983"/>
      <c r="Y192" s="983"/>
      <c r="Z192" s="983"/>
      <c r="AA192" s="983"/>
      <c r="AB192" s="983"/>
      <c r="AC192" s="983"/>
    </row>
    <row r="193" spans="2:29" ht="12">
      <c r="B193" s="1006" t="s">
        <v>527</v>
      </c>
      <c r="C193" s="976"/>
      <c r="D193" s="976"/>
      <c r="E193" s="1077"/>
      <c r="F193" s="983"/>
      <c r="G193" s="976"/>
      <c r="H193" s="976"/>
      <c r="I193" s="983"/>
      <c r="J193" s="983"/>
      <c r="K193" s="976"/>
      <c r="L193" s="983"/>
      <c r="M193" s="976"/>
      <c r="N193" s="976"/>
      <c r="O193" s="976"/>
      <c r="P193" s="976"/>
      <c r="Q193" s="976"/>
      <c r="R193" s="976"/>
      <c r="S193" s="976">
        <f>(S194-R194)/(S96-R96)</f>
        <v>2.127847472943357</v>
      </c>
      <c r="T193" s="976"/>
      <c r="U193" s="976"/>
      <c r="V193" s="976"/>
      <c r="W193" s="976"/>
      <c r="X193" s="976"/>
      <c r="Y193" s="976"/>
      <c r="Z193" s="976"/>
      <c r="AA193" s="976"/>
      <c r="AB193" s="976"/>
      <c r="AC193" s="976"/>
    </row>
    <row r="194" spans="2:29">
      <c r="B194" s="1007" t="s">
        <v>481</v>
      </c>
      <c r="C194" s="1021"/>
      <c r="D194" s="1078">
        <f t="shared" ref="D194:AC194" si="124">SUM(D195:D200)</f>
        <v>0</v>
      </c>
      <c r="E194" s="1078">
        <f t="shared" si="124"/>
        <v>0</v>
      </c>
      <c r="F194" s="1078">
        <f t="shared" si="124"/>
        <v>0</v>
      </c>
      <c r="G194" s="1078">
        <f t="shared" si="124"/>
        <v>0</v>
      </c>
      <c r="H194" s="1078">
        <f t="shared" si="124"/>
        <v>0</v>
      </c>
      <c r="I194" s="1078">
        <f t="shared" si="124"/>
        <v>0</v>
      </c>
      <c r="J194" s="1078">
        <f t="shared" si="124"/>
        <v>0</v>
      </c>
      <c r="K194" s="1078">
        <f t="shared" si="124"/>
        <v>205.97889026311145</v>
      </c>
      <c r="L194" s="1078">
        <f t="shared" si="124"/>
        <v>2166.3320940527792</v>
      </c>
      <c r="M194" s="1078">
        <f t="shared" si="124"/>
        <v>4671.6255223419184</v>
      </c>
      <c r="N194" s="1078">
        <f t="shared" si="124"/>
        <v>6389.0728019438966</v>
      </c>
      <c r="O194" s="1078">
        <f t="shared" si="124"/>
        <v>7439.9294265966</v>
      </c>
      <c r="P194" s="1078">
        <f t="shared" si="124"/>
        <v>10285.770800062561</v>
      </c>
      <c r="Q194" s="1078">
        <f t="shared" si="124"/>
        <v>14167.335157401991</v>
      </c>
      <c r="R194" s="1078">
        <f t="shared" si="124"/>
        <v>29785.655696855356</v>
      </c>
      <c r="S194" s="1078">
        <f t="shared" si="124"/>
        <v>39679.834741565079</v>
      </c>
      <c r="T194" s="1078">
        <f t="shared" si="124"/>
        <v>49729.237128421002</v>
      </c>
      <c r="U194" s="1078">
        <f t="shared" si="124"/>
        <v>66500.559410368485</v>
      </c>
      <c r="V194" s="1078">
        <f t="shared" si="124"/>
        <v>78555.569031748135</v>
      </c>
      <c r="W194" s="1078">
        <f t="shared" si="124"/>
        <v>80668.857869791682</v>
      </c>
      <c r="X194" s="1078">
        <f t="shared" si="124"/>
        <v>82449.059611839737</v>
      </c>
      <c r="Y194" s="1078">
        <f t="shared" si="124"/>
        <v>84022.228111945165</v>
      </c>
      <c r="Z194" s="1078">
        <f t="shared" si="124"/>
        <v>84540.208136133588</v>
      </c>
      <c r="AA194" s="1078">
        <f t="shared" si="124"/>
        <v>84158.868702703781</v>
      </c>
      <c r="AB194" s="1078">
        <f t="shared" si="124"/>
        <v>84601.962532496022</v>
      </c>
      <c r="AC194" s="1078">
        <f t="shared" si="124"/>
        <v>84942.507267186709</v>
      </c>
    </row>
    <row r="195" spans="2:29">
      <c r="B195" s="925" t="s">
        <v>482</v>
      </c>
      <c r="C195" s="926"/>
      <c r="D195" s="1079">
        <f t="shared" ref="D195:AC195" si="125">D127+D155+D182</f>
        <v>0</v>
      </c>
      <c r="E195" s="1079">
        <f t="shared" si="125"/>
        <v>0</v>
      </c>
      <c r="F195" s="1079">
        <f t="shared" si="125"/>
        <v>0</v>
      </c>
      <c r="G195" s="1079">
        <f t="shared" si="125"/>
        <v>0</v>
      </c>
      <c r="H195" s="1079">
        <f t="shared" si="125"/>
        <v>0</v>
      </c>
      <c r="I195" s="1079">
        <f t="shared" si="125"/>
        <v>0</v>
      </c>
      <c r="J195" s="1079">
        <f t="shared" si="125"/>
        <v>0</v>
      </c>
      <c r="K195" s="1079">
        <f t="shared" si="125"/>
        <v>205.97889026311145</v>
      </c>
      <c r="L195" s="1079">
        <f t="shared" si="125"/>
        <v>2166.3320940527792</v>
      </c>
      <c r="M195" s="1079">
        <f t="shared" si="125"/>
        <v>4671.6255223419184</v>
      </c>
      <c r="N195" s="1079">
        <f t="shared" si="125"/>
        <v>6389.0728019438966</v>
      </c>
      <c r="O195" s="1079">
        <f t="shared" si="125"/>
        <v>7439.9294265966</v>
      </c>
      <c r="P195" s="1079">
        <f t="shared" si="125"/>
        <v>10285.770800062561</v>
      </c>
      <c r="Q195" s="1079">
        <f t="shared" si="125"/>
        <v>14167.335157401991</v>
      </c>
      <c r="R195" s="1079">
        <f t="shared" si="125"/>
        <v>20849.958987798749</v>
      </c>
      <c r="S195" s="1079">
        <f t="shared" si="125"/>
        <v>15871.933896626031</v>
      </c>
      <c r="T195" s="1079">
        <f t="shared" si="125"/>
        <v>12432.309282105251</v>
      </c>
      <c r="U195" s="1079">
        <f t="shared" si="125"/>
        <v>6650.0559410368487</v>
      </c>
      <c r="V195" s="1079">
        <f t="shared" si="125"/>
        <v>785.55569031748132</v>
      </c>
      <c r="W195" s="1079">
        <f t="shared" si="125"/>
        <v>806.6885786979168</v>
      </c>
      <c r="X195" s="1079">
        <f t="shared" si="125"/>
        <v>164.89811922367946</v>
      </c>
      <c r="Y195" s="1079">
        <f t="shared" si="125"/>
        <v>84.022228111945168</v>
      </c>
      <c r="Z195" s="1079">
        <f t="shared" si="125"/>
        <v>84.5402081361336</v>
      </c>
      <c r="AA195" s="1079">
        <f t="shared" si="125"/>
        <v>84.158868702703785</v>
      </c>
      <c r="AB195" s="1079">
        <f t="shared" si="125"/>
        <v>84.601962532496032</v>
      </c>
      <c r="AC195" s="1079">
        <f t="shared" si="125"/>
        <v>84.942507267186713</v>
      </c>
    </row>
    <row r="196" spans="2:29">
      <c r="B196" s="928" t="s">
        <v>483</v>
      </c>
      <c r="C196" s="929"/>
      <c r="D196" s="1080">
        <f t="shared" ref="D196:X204" si="126">D128+D156+D183</f>
        <v>0</v>
      </c>
      <c r="E196" s="1080">
        <f t="shared" si="126"/>
        <v>0</v>
      </c>
      <c r="F196" s="1080">
        <f t="shared" si="126"/>
        <v>0</v>
      </c>
      <c r="G196" s="1080">
        <f t="shared" si="126"/>
        <v>0</v>
      </c>
      <c r="H196" s="1080">
        <f t="shared" si="126"/>
        <v>0</v>
      </c>
      <c r="I196" s="1080">
        <f t="shared" si="126"/>
        <v>0</v>
      </c>
      <c r="J196" s="1080">
        <f t="shared" si="126"/>
        <v>0</v>
      </c>
      <c r="K196" s="1080">
        <f t="shared" si="126"/>
        <v>0</v>
      </c>
      <c r="L196" s="1080">
        <f t="shared" si="126"/>
        <v>0</v>
      </c>
      <c r="M196" s="1080">
        <f t="shared" si="126"/>
        <v>0</v>
      </c>
      <c r="N196" s="1080">
        <f t="shared" si="126"/>
        <v>0</v>
      </c>
      <c r="O196" s="1080">
        <f t="shared" si="126"/>
        <v>0</v>
      </c>
      <c r="P196" s="1080">
        <f t="shared" si="126"/>
        <v>0</v>
      </c>
      <c r="Q196" s="1080">
        <f t="shared" si="126"/>
        <v>0</v>
      </c>
      <c r="R196" s="1080">
        <f t="shared" si="126"/>
        <v>0</v>
      </c>
      <c r="S196" s="1080">
        <f t="shared" si="126"/>
        <v>0</v>
      </c>
      <c r="T196" s="1080">
        <f t="shared" si="126"/>
        <v>0</v>
      </c>
      <c r="U196" s="1080">
        <f t="shared" si="126"/>
        <v>0</v>
      </c>
      <c r="V196" s="1080">
        <f t="shared" si="126"/>
        <v>0</v>
      </c>
      <c r="W196" s="1080">
        <f t="shared" si="126"/>
        <v>0</v>
      </c>
      <c r="X196" s="1080">
        <f t="shared" si="126"/>
        <v>4122.4529805919865</v>
      </c>
      <c r="Y196" s="1080">
        <f t="shared" ref="Y196:AC204" si="127">Y128+Y156+Y183</f>
        <v>8402.2228111945169</v>
      </c>
      <c r="Z196" s="1080">
        <f t="shared" si="127"/>
        <v>12681.03122042004</v>
      </c>
      <c r="AA196" s="1080">
        <f t="shared" si="127"/>
        <v>16831.773740540757</v>
      </c>
      <c r="AB196" s="1080">
        <f t="shared" si="127"/>
        <v>21150.490633124005</v>
      </c>
      <c r="AC196" s="1080">
        <f t="shared" si="127"/>
        <v>21235.626816796677</v>
      </c>
    </row>
    <row r="197" spans="2:29" s="957" customFormat="1">
      <c r="B197" s="925" t="s">
        <v>484</v>
      </c>
      <c r="C197" s="926"/>
      <c r="D197" s="1079">
        <f t="shared" si="126"/>
        <v>0</v>
      </c>
      <c r="E197" s="1079">
        <f t="shared" si="126"/>
        <v>0</v>
      </c>
      <c r="F197" s="1079">
        <f t="shared" si="126"/>
        <v>0</v>
      </c>
      <c r="G197" s="1079">
        <f t="shared" si="126"/>
        <v>0</v>
      </c>
      <c r="H197" s="1079">
        <f t="shared" si="126"/>
        <v>0</v>
      </c>
      <c r="I197" s="1079">
        <f t="shared" si="126"/>
        <v>0</v>
      </c>
      <c r="J197" s="1079">
        <f t="shared" si="126"/>
        <v>0</v>
      </c>
      <c r="K197" s="1079">
        <f t="shared" si="126"/>
        <v>0</v>
      </c>
      <c r="L197" s="1079">
        <f t="shared" si="126"/>
        <v>0</v>
      </c>
      <c r="M197" s="1079">
        <f t="shared" si="126"/>
        <v>0</v>
      </c>
      <c r="N197" s="1079">
        <f t="shared" si="126"/>
        <v>0</v>
      </c>
      <c r="O197" s="1079">
        <f t="shared" si="126"/>
        <v>0</v>
      </c>
      <c r="P197" s="1079">
        <f t="shared" si="126"/>
        <v>0</v>
      </c>
      <c r="Q197" s="1079">
        <f t="shared" si="126"/>
        <v>0</v>
      </c>
      <c r="R197" s="1079">
        <f t="shared" si="126"/>
        <v>2978.5655696855356</v>
      </c>
      <c r="S197" s="1079">
        <f t="shared" si="126"/>
        <v>7935.9669483130156</v>
      </c>
      <c r="T197" s="1079">
        <f t="shared" si="126"/>
        <v>12432.309282105251</v>
      </c>
      <c r="U197" s="1079">
        <f t="shared" si="126"/>
        <v>19950.167823110543</v>
      </c>
      <c r="V197" s="1079">
        <f t="shared" si="126"/>
        <v>25923.337780476882</v>
      </c>
      <c r="W197" s="1079">
        <f t="shared" si="126"/>
        <v>26620.723097031256</v>
      </c>
      <c r="X197" s="1079">
        <f t="shared" si="126"/>
        <v>24899.616002775601</v>
      </c>
      <c r="Y197" s="1079">
        <f t="shared" si="127"/>
        <v>24282.423924352148</v>
      </c>
      <c r="Z197" s="1079">
        <f t="shared" si="127"/>
        <v>22910.396404892206</v>
      </c>
      <c r="AA197" s="1079">
        <f t="shared" si="127"/>
        <v>21965.464731405686</v>
      </c>
      <c r="AB197" s="1079">
        <f t="shared" si="127"/>
        <v>18612.431757149126</v>
      </c>
      <c r="AC197" s="1079">
        <f t="shared" si="127"/>
        <v>4162.1828560921485</v>
      </c>
    </row>
    <row r="198" spans="2:29">
      <c r="B198" s="928" t="s">
        <v>485</v>
      </c>
      <c r="C198" s="929"/>
      <c r="D198" s="1080">
        <f t="shared" si="126"/>
        <v>0</v>
      </c>
      <c r="E198" s="1080">
        <f t="shared" si="126"/>
        <v>0</v>
      </c>
      <c r="F198" s="1080">
        <f t="shared" si="126"/>
        <v>0</v>
      </c>
      <c r="G198" s="1080">
        <f t="shared" si="126"/>
        <v>0</v>
      </c>
      <c r="H198" s="1080">
        <f t="shared" si="126"/>
        <v>0</v>
      </c>
      <c r="I198" s="1080">
        <f t="shared" si="126"/>
        <v>0</v>
      </c>
      <c r="J198" s="1080">
        <f t="shared" si="126"/>
        <v>0</v>
      </c>
      <c r="K198" s="1080">
        <f t="shared" si="126"/>
        <v>0</v>
      </c>
      <c r="L198" s="1080">
        <f t="shared" si="126"/>
        <v>0</v>
      </c>
      <c r="M198" s="1080">
        <f t="shared" si="126"/>
        <v>0</v>
      </c>
      <c r="N198" s="1080">
        <f t="shared" si="126"/>
        <v>0</v>
      </c>
      <c r="O198" s="1080">
        <f t="shared" si="126"/>
        <v>0</v>
      </c>
      <c r="P198" s="1080">
        <f t="shared" si="126"/>
        <v>0</v>
      </c>
      <c r="Q198" s="1080">
        <f t="shared" si="126"/>
        <v>0</v>
      </c>
      <c r="R198" s="1080">
        <f t="shared" si="126"/>
        <v>2978.5655696855356</v>
      </c>
      <c r="S198" s="1080">
        <f t="shared" si="126"/>
        <v>7935.9669483130156</v>
      </c>
      <c r="T198" s="1080">
        <f t="shared" si="126"/>
        <v>12432.309282105251</v>
      </c>
      <c r="U198" s="1080">
        <f t="shared" si="126"/>
        <v>19950.167823110543</v>
      </c>
      <c r="V198" s="1080">
        <f t="shared" si="126"/>
        <v>25923.337780476882</v>
      </c>
      <c r="W198" s="1080">
        <f t="shared" si="126"/>
        <v>26620.723097031256</v>
      </c>
      <c r="X198" s="1080">
        <f t="shared" si="126"/>
        <v>26631.046254624234</v>
      </c>
      <c r="Y198" s="1080">
        <f t="shared" si="127"/>
        <v>25626.779574143275</v>
      </c>
      <c r="Z198" s="1080">
        <f t="shared" si="127"/>
        <v>24432.120151342609</v>
      </c>
      <c r="AA198" s="1080">
        <f t="shared" si="127"/>
        <v>22638.73568102732</v>
      </c>
      <c r="AB198" s="1080">
        <f t="shared" si="127"/>
        <v>21150.490633124005</v>
      </c>
      <c r="AC198" s="1080">
        <f t="shared" si="127"/>
        <v>19112.064135117012</v>
      </c>
    </row>
    <row r="199" spans="2:29">
      <c r="B199" s="925" t="s">
        <v>486</v>
      </c>
      <c r="C199" s="926"/>
      <c r="D199" s="1079">
        <f t="shared" si="126"/>
        <v>0</v>
      </c>
      <c r="E199" s="1079">
        <f t="shared" si="126"/>
        <v>0</v>
      </c>
      <c r="F199" s="1079">
        <f t="shared" si="126"/>
        <v>0</v>
      </c>
      <c r="G199" s="1079">
        <f t="shared" si="126"/>
        <v>0</v>
      </c>
      <c r="H199" s="1079">
        <f t="shared" si="126"/>
        <v>0</v>
      </c>
      <c r="I199" s="1079">
        <f t="shared" si="126"/>
        <v>0</v>
      </c>
      <c r="J199" s="1079">
        <f t="shared" si="126"/>
        <v>0</v>
      </c>
      <c r="K199" s="1079">
        <f t="shared" si="126"/>
        <v>0</v>
      </c>
      <c r="L199" s="1079">
        <f t="shared" si="126"/>
        <v>0</v>
      </c>
      <c r="M199" s="1079">
        <f t="shared" si="126"/>
        <v>0</v>
      </c>
      <c r="N199" s="1079">
        <f t="shared" si="126"/>
        <v>0</v>
      </c>
      <c r="O199" s="1079">
        <f t="shared" si="126"/>
        <v>0</v>
      </c>
      <c r="P199" s="1079">
        <f t="shared" si="126"/>
        <v>0</v>
      </c>
      <c r="Q199" s="1079">
        <f t="shared" si="126"/>
        <v>0</v>
      </c>
      <c r="R199" s="1079">
        <f t="shared" si="126"/>
        <v>2978.5655696855356</v>
      </c>
      <c r="S199" s="1079">
        <f t="shared" si="126"/>
        <v>7935.9669483130156</v>
      </c>
      <c r="T199" s="1079">
        <f t="shared" si="126"/>
        <v>12432.309282105251</v>
      </c>
      <c r="U199" s="1079">
        <f t="shared" si="126"/>
        <v>19950.167823110543</v>
      </c>
      <c r="V199" s="1079">
        <f t="shared" si="126"/>
        <v>25923.337780476882</v>
      </c>
      <c r="W199" s="1079">
        <f t="shared" si="126"/>
        <v>26620.723097031256</v>
      </c>
      <c r="X199" s="1079">
        <f t="shared" si="126"/>
        <v>26631.046254624234</v>
      </c>
      <c r="Y199" s="1079">
        <f t="shared" si="127"/>
        <v>25626.779574143275</v>
      </c>
      <c r="Z199" s="1079">
        <f t="shared" si="127"/>
        <v>24432.120151342609</v>
      </c>
      <c r="AA199" s="1079">
        <f t="shared" si="127"/>
        <v>22638.73568102732</v>
      </c>
      <c r="AB199" s="1079">
        <f t="shared" si="127"/>
        <v>21150.490633124005</v>
      </c>
      <c r="AC199" s="1079">
        <f t="shared" si="127"/>
        <v>19112.064135117012</v>
      </c>
    </row>
    <row r="200" spans="2:29">
      <c r="B200" s="931" t="s">
        <v>487</v>
      </c>
      <c r="C200" s="929"/>
      <c r="D200" s="1080">
        <f t="shared" si="126"/>
        <v>0</v>
      </c>
      <c r="E200" s="1080">
        <f t="shared" si="126"/>
        <v>0</v>
      </c>
      <c r="F200" s="1080">
        <f t="shared" si="126"/>
        <v>0</v>
      </c>
      <c r="G200" s="1080">
        <f t="shared" si="126"/>
        <v>0</v>
      </c>
      <c r="H200" s="1080">
        <f t="shared" si="126"/>
        <v>0</v>
      </c>
      <c r="I200" s="1080">
        <f t="shared" si="126"/>
        <v>0</v>
      </c>
      <c r="J200" s="1080">
        <f t="shared" si="126"/>
        <v>0</v>
      </c>
      <c r="K200" s="1080">
        <f t="shared" si="126"/>
        <v>0</v>
      </c>
      <c r="L200" s="1080">
        <f t="shared" si="126"/>
        <v>0</v>
      </c>
      <c r="M200" s="1080">
        <f t="shared" si="126"/>
        <v>0</v>
      </c>
      <c r="N200" s="1080">
        <f t="shared" si="126"/>
        <v>0</v>
      </c>
      <c r="O200" s="1080">
        <f t="shared" si="126"/>
        <v>0</v>
      </c>
      <c r="P200" s="1080">
        <f t="shared" si="126"/>
        <v>0</v>
      </c>
      <c r="Q200" s="1080">
        <f t="shared" si="126"/>
        <v>0</v>
      </c>
      <c r="R200" s="1080">
        <f t="shared" si="126"/>
        <v>0</v>
      </c>
      <c r="S200" s="1080">
        <f t="shared" si="126"/>
        <v>0</v>
      </c>
      <c r="T200" s="1080">
        <f t="shared" si="126"/>
        <v>0</v>
      </c>
      <c r="U200" s="1080">
        <f t="shared" si="126"/>
        <v>0</v>
      </c>
      <c r="V200" s="1080">
        <f t="shared" si="126"/>
        <v>0</v>
      </c>
      <c r="W200" s="1080">
        <f t="shared" si="126"/>
        <v>0</v>
      </c>
      <c r="X200" s="1080">
        <f t="shared" si="126"/>
        <v>0</v>
      </c>
      <c r="Y200" s="1080">
        <f t="shared" si="127"/>
        <v>0</v>
      </c>
      <c r="Z200" s="1080">
        <f t="shared" si="127"/>
        <v>0</v>
      </c>
      <c r="AA200" s="1080">
        <f t="shared" si="127"/>
        <v>0</v>
      </c>
      <c r="AB200" s="1080">
        <f t="shared" si="127"/>
        <v>2453.456913442385</v>
      </c>
      <c r="AC200" s="1080">
        <f t="shared" si="127"/>
        <v>21235.626816796677</v>
      </c>
    </row>
    <row r="201" spans="2:29" ht="12">
      <c r="B201" s="1011" t="s">
        <v>488</v>
      </c>
      <c r="C201" s="1012"/>
      <c r="D201" s="1081">
        <f t="shared" si="126"/>
        <v>29190.219305041253</v>
      </c>
      <c r="E201" s="1082">
        <f t="shared" si="126"/>
        <v>30011.068863646688</v>
      </c>
      <c r="F201" s="1082">
        <f t="shared" si="126"/>
        <v>30844.819456188652</v>
      </c>
      <c r="G201" s="1082">
        <f t="shared" si="126"/>
        <v>31903.14571224304</v>
      </c>
      <c r="H201" s="1082">
        <f t="shared" si="126"/>
        <v>32980.713866245649</v>
      </c>
      <c r="I201" s="1082">
        <f t="shared" si="126"/>
        <v>34056.546795940565</v>
      </c>
      <c r="J201" s="1082">
        <f t="shared" si="126"/>
        <v>35176.883462219135</v>
      </c>
      <c r="K201" s="1082">
        <f t="shared" si="126"/>
        <v>36482.701749991771</v>
      </c>
      <c r="L201" s="1082">
        <f t="shared" si="126"/>
        <v>37763.92940975372</v>
      </c>
      <c r="M201" s="1082">
        <f t="shared" si="126"/>
        <v>38015.250419547679</v>
      </c>
      <c r="N201" s="1082">
        <f t="shared" si="126"/>
        <v>38544.479931256232</v>
      </c>
      <c r="O201" s="1082">
        <f t="shared" si="126"/>
        <v>39079.28075731486</v>
      </c>
      <c r="P201" s="1082">
        <f t="shared" si="126"/>
        <v>38428.523045254376</v>
      </c>
      <c r="Q201" s="1082">
        <f t="shared" si="126"/>
        <v>37687.672523287169</v>
      </c>
      <c r="R201" s="1082">
        <f t="shared" si="126"/>
        <v>36925.777791787754</v>
      </c>
      <c r="S201" s="1082">
        <f t="shared" si="126"/>
        <v>33124.325580192606</v>
      </c>
      <c r="T201" s="1082">
        <f t="shared" si="126"/>
        <v>32380.539137581607</v>
      </c>
      <c r="U201" s="1082">
        <f t="shared" si="126"/>
        <v>27956.515593203192</v>
      </c>
      <c r="V201" s="1082">
        <f t="shared" si="126"/>
        <v>25019.116809186478</v>
      </c>
      <c r="W201" s="1082">
        <f t="shared" si="126"/>
        <v>28366.698411253768</v>
      </c>
      <c r="X201" s="1082">
        <f t="shared" si="126"/>
        <v>29736.462796533866</v>
      </c>
      <c r="Y201" s="1082">
        <f t="shared" si="127"/>
        <v>32797.229230261044</v>
      </c>
      <c r="Z201" s="1082">
        <f t="shared" si="127"/>
        <v>33968.84312935573</v>
      </c>
      <c r="AA201" s="1082">
        <f t="shared" si="127"/>
        <v>35755.967163894733</v>
      </c>
      <c r="AB201" s="1082">
        <f t="shared" si="127"/>
        <v>36838.183425854419</v>
      </c>
      <c r="AC201" s="1082">
        <f t="shared" si="127"/>
        <v>37260.377883033594</v>
      </c>
    </row>
    <row r="202" spans="2:29">
      <c r="B202" s="928" t="s">
        <v>489</v>
      </c>
      <c r="C202" s="929"/>
      <c r="D202" s="1080">
        <f t="shared" si="126"/>
        <v>29190.219305041253</v>
      </c>
      <c r="E202" s="1080">
        <f t="shared" si="126"/>
        <v>30011.068863646688</v>
      </c>
      <c r="F202" s="1080">
        <f t="shared" si="126"/>
        <v>30844.819456188652</v>
      </c>
      <c r="G202" s="1080">
        <f t="shared" si="126"/>
        <v>31903.14571224304</v>
      </c>
      <c r="H202" s="1080">
        <f t="shared" si="126"/>
        <v>32980.713866245649</v>
      </c>
      <c r="I202" s="1080">
        <f t="shared" si="126"/>
        <v>34056.546795940565</v>
      </c>
      <c r="J202" s="1080">
        <f t="shared" si="126"/>
        <v>35176.883462219135</v>
      </c>
      <c r="K202" s="1080">
        <f t="shared" si="126"/>
        <v>36482.701749991771</v>
      </c>
      <c r="L202" s="1080">
        <f t="shared" si="126"/>
        <v>37763.92940975372</v>
      </c>
      <c r="M202" s="1080">
        <f t="shared" si="126"/>
        <v>38015.250419547679</v>
      </c>
      <c r="N202" s="1080">
        <f t="shared" si="126"/>
        <v>38544.479931256232</v>
      </c>
      <c r="O202" s="1080">
        <f t="shared" si="126"/>
        <v>39079.28075731486</v>
      </c>
      <c r="P202" s="1080">
        <f t="shared" si="126"/>
        <v>38428.523045254376</v>
      </c>
      <c r="Q202" s="1080">
        <f t="shared" si="126"/>
        <v>37687.672523287169</v>
      </c>
      <c r="R202" s="1080">
        <f t="shared" si="126"/>
        <v>33233.200012608984</v>
      </c>
      <c r="S202" s="1080">
        <f t="shared" si="126"/>
        <v>24843.244185144453</v>
      </c>
      <c r="T202" s="1080">
        <f t="shared" si="126"/>
        <v>21047.350439428046</v>
      </c>
      <c r="U202" s="1080">
        <f t="shared" si="126"/>
        <v>15376.083576261755</v>
      </c>
      <c r="V202" s="1080">
        <f t="shared" si="126"/>
        <v>10007.64672367459</v>
      </c>
      <c r="W202" s="1080">
        <f t="shared" si="126"/>
        <v>8510.0095233761294</v>
      </c>
      <c r="X202" s="1080">
        <f t="shared" si="126"/>
        <v>5947.292559306773</v>
      </c>
      <c r="Y202" s="1080">
        <f t="shared" si="127"/>
        <v>3279.7229230261046</v>
      </c>
      <c r="Z202" s="1080">
        <f t="shared" si="127"/>
        <v>2377.8190190549012</v>
      </c>
      <c r="AA202" s="1080">
        <f t="shared" si="127"/>
        <v>1787.7983581947367</v>
      </c>
      <c r="AB202" s="1080">
        <f t="shared" si="127"/>
        <v>1473.5273370341765</v>
      </c>
      <c r="AC202" s="1080">
        <f t="shared" si="127"/>
        <v>1117.8113364910078</v>
      </c>
    </row>
    <row r="203" spans="2:29">
      <c r="B203" s="934" t="s">
        <v>490</v>
      </c>
      <c r="C203" s="935"/>
      <c r="D203" s="1083">
        <f t="shared" si="126"/>
        <v>2653.6563004582958</v>
      </c>
      <c r="E203" s="1083">
        <f t="shared" si="126"/>
        <v>2728.2789876042443</v>
      </c>
      <c r="F203" s="1083">
        <f t="shared" si="126"/>
        <v>2804.0744960171501</v>
      </c>
      <c r="G203" s="1083">
        <f t="shared" si="126"/>
        <v>2900.2859738402772</v>
      </c>
      <c r="H203" s="1083">
        <f t="shared" si="126"/>
        <v>2998.2467151132414</v>
      </c>
      <c r="I203" s="1083">
        <f t="shared" si="126"/>
        <v>3096.04970872187</v>
      </c>
      <c r="J203" s="1083">
        <f t="shared" si="126"/>
        <v>3197.8984965653767</v>
      </c>
      <c r="K203" s="1083">
        <f t="shared" si="126"/>
        <v>3316.6092499992524</v>
      </c>
      <c r="L203" s="1083">
        <f t="shared" si="126"/>
        <v>3264.6928551657115</v>
      </c>
      <c r="M203" s="1083">
        <f t="shared" si="126"/>
        <v>3308.9544466481002</v>
      </c>
      <c r="N203" s="1083">
        <f t="shared" si="126"/>
        <v>3272.9106993274922</v>
      </c>
      <c r="O203" s="1083">
        <f t="shared" si="126"/>
        <v>3237.3944079352373</v>
      </c>
      <c r="P203" s="1083">
        <f t="shared" si="126"/>
        <v>3203.7925233555716</v>
      </c>
      <c r="Q203" s="1083">
        <f t="shared" si="126"/>
        <v>3020.7404926998852</v>
      </c>
      <c r="R203" s="1083">
        <f t="shared" si="126"/>
        <v>5600.5915872966234</v>
      </c>
      <c r="S203" s="1083">
        <f t="shared" si="126"/>
        <v>8898.2318391104145</v>
      </c>
      <c r="T203" s="1083">
        <f t="shared" si="126"/>
        <v>11464.23077852005</v>
      </c>
      <c r="U203" s="1083">
        <f t="shared" si="126"/>
        <v>12341.250227092169</v>
      </c>
      <c r="V203" s="1083">
        <f t="shared" si="126"/>
        <v>14374.011964582949</v>
      </c>
      <c r="W203" s="1083">
        <f t="shared" si="126"/>
        <v>19131.949187384911</v>
      </c>
      <c r="X203" s="1083">
        <f t="shared" si="126"/>
        <v>22986.914609513959</v>
      </c>
      <c r="Y203" s="1083">
        <f t="shared" si="127"/>
        <v>28627.96143552482</v>
      </c>
      <c r="Z203" s="1083">
        <f t="shared" si="127"/>
        <v>30651.927507529519</v>
      </c>
      <c r="AA203" s="1083">
        <f t="shared" si="127"/>
        <v>33107.573237000834</v>
      </c>
      <c r="AB203" s="1083">
        <f t="shared" si="127"/>
        <v>34362.968852435486</v>
      </c>
      <c r="AC203" s="1083">
        <f t="shared" si="127"/>
        <v>35126.865010158719</v>
      </c>
    </row>
    <row r="204" spans="2:29" ht="12" thickBot="1">
      <c r="B204" s="1015" t="s">
        <v>491</v>
      </c>
      <c r="C204" s="1027"/>
      <c r="D204" s="1084">
        <f t="shared" si="126"/>
        <v>26676.229125659709</v>
      </c>
      <c r="E204" s="1085">
        <f t="shared" si="126"/>
        <v>27426.383506968981</v>
      </c>
      <c r="F204" s="1085">
        <f t="shared" si="126"/>
        <v>28188.327828382931</v>
      </c>
      <c r="G204" s="1085">
        <f t="shared" si="126"/>
        <v>29155.506368604882</v>
      </c>
      <c r="H204" s="1085">
        <f t="shared" si="126"/>
        <v>30140.269609822579</v>
      </c>
      <c r="I204" s="1085">
        <f t="shared" si="126"/>
        <v>31123.447071888269</v>
      </c>
      <c r="J204" s="1085">
        <f t="shared" si="126"/>
        <v>32147.295412841409</v>
      </c>
      <c r="K204" s="1085">
        <f t="shared" si="126"/>
        <v>33134.671991308314</v>
      </c>
      <c r="L204" s="1085">
        <f t="shared" si="126"/>
        <v>32700.471829866834</v>
      </c>
      <c r="M204" s="1085">
        <f t="shared" si="126"/>
        <v>33105.452901320648</v>
      </c>
      <c r="N204" s="1085">
        <f t="shared" si="126"/>
        <v>33479.932771521017</v>
      </c>
      <c r="O204" s="1085">
        <f t="shared" si="126"/>
        <v>34638.499441799184</v>
      </c>
      <c r="P204" s="1085">
        <f t="shared" si="126"/>
        <v>36221.881217131951</v>
      </c>
      <c r="Q204" s="1085">
        <f t="shared" si="126"/>
        <v>37068.763078801108</v>
      </c>
      <c r="R204" s="1085">
        <f t="shared" si="126"/>
        <v>26599.10094591519</v>
      </c>
      <c r="S204" s="1085">
        <f t="shared" si="126"/>
        <v>25156.227624633175</v>
      </c>
      <c r="T204" s="1085">
        <f t="shared" si="126"/>
        <v>20587.778880149013</v>
      </c>
      <c r="U204" s="1085">
        <f t="shared" si="126"/>
        <v>13074.188697038713</v>
      </c>
      <c r="V204" s="1085">
        <f t="shared" si="126"/>
        <v>7869.0415941944639</v>
      </c>
      <c r="W204" s="1085">
        <f t="shared" si="126"/>
        <v>5867.525891121717</v>
      </c>
      <c r="X204" s="1085">
        <f t="shared" si="126"/>
        <v>6022.7094112076657</v>
      </c>
      <c r="Y204" s="1085">
        <f t="shared" si="127"/>
        <v>3946.0486696254452</v>
      </c>
      <c r="Z204" s="1085">
        <f t="shared" si="127"/>
        <v>3968.5691417231924</v>
      </c>
      <c r="AA204" s="1085">
        <f t="shared" si="127"/>
        <v>3974.3466507251019</v>
      </c>
      <c r="AB204" s="1085">
        <f t="shared" si="127"/>
        <v>3979.791819373213</v>
      </c>
      <c r="AC204" s="1085">
        <f t="shared" si="127"/>
        <v>4010.2386324120976</v>
      </c>
    </row>
    <row r="205" spans="2:29" ht="12" thickTop="1">
      <c r="B205" s="1005"/>
      <c r="C205" s="976"/>
      <c r="D205" s="976"/>
      <c r="E205" s="1076"/>
      <c r="F205" s="983"/>
      <c r="G205" s="976"/>
      <c r="H205" s="976"/>
      <c r="I205" s="983"/>
      <c r="J205" s="983"/>
      <c r="K205" s="976"/>
      <c r="L205" s="983"/>
      <c r="M205" s="983"/>
      <c r="N205" s="983"/>
      <c r="O205" s="983"/>
      <c r="P205" s="983"/>
      <c r="Q205" s="983"/>
      <c r="R205" s="983"/>
      <c r="S205" s="983"/>
      <c r="T205" s="983"/>
      <c r="U205" s="983"/>
      <c r="V205" s="983"/>
      <c r="W205" s="983"/>
      <c r="X205" s="983"/>
      <c r="Y205" s="983"/>
      <c r="Z205" s="983"/>
      <c r="AA205" s="983"/>
      <c r="AB205" s="983"/>
      <c r="AC205" s="983"/>
    </row>
    <row r="206" spans="2:29" ht="12">
      <c r="B206" s="1017" t="s">
        <v>513</v>
      </c>
      <c r="C206" s="1018"/>
      <c r="D206" s="1018"/>
      <c r="E206" s="1018"/>
      <c r="F206" s="1019"/>
      <c r="G206" s="1018"/>
      <c r="H206" s="1018"/>
      <c r="I206" s="1019"/>
      <c r="J206" s="1019"/>
      <c r="K206" s="1018"/>
      <c r="L206" s="1019"/>
      <c r="M206" s="1019"/>
      <c r="N206" s="1019"/>
      <c r="O206" s="1019"/>
      <c r="P206" s="1019"/>
      <c r="Q206" s="1019"/>
      <c r="R206" s="1019"/>
      <c r="S206" s="1019"/>
      <c r="T206" s="1019"/>
      <c r="U206" s="1019"/>
      <c r="V206" s="1019"/>
      <c r="W206" s="1019"/>
      <c r="X206" s="1019"/>
      <c r="Y206" s="1019"/>
      <c r="Z206" s="1019"/>
      <c r="AA206" s="1019"/>
      <c r="AB206" s="1019"/>
      <c r="AC206" s="1019"/>
    </row>
    <row r="207" spans="2:29">
      <c r="B207" s="1007" t="s">
        <v>481</v>
      </c>
      <c r="C207" s="1021"/>
      <c r="D207" s="1022"/>
      <c r="E207" s="1022"/>
      <c r="F207" s="1022"/>
      <c r="G207" s="1022"/>
      <c r="H207" s="1022"/>
      <c r="I207" s="1022"/>
      <c r="J207" s="1022"/>
      <c r="K207" s="1022"/>
      <c r="L207" s="1022"/>
      <c r="M207" s="1022"/>
      <c r="N207" s="1022"/>
      <c r="O207" s="1022"/>
      <c r="P207" s="1022"/>
      <c r="Q207" s="1022"/>
      <c r="R207" s="1022"/>
      <c r="S207" s="1022"/>
      <c r="T207" s="1022"/>
      <c r="U207" s="1022"/>
      <c r="V207" s="1022"/>
      <c r="W207" s="1022"/>
      <c r="X207" s="1022"/>
      <c r="Y207" s="1022"/>
      <c r="Z207" s="1022"/>
      <c r="AA207" s="1022"/>
      <c r="AB207" s="1022"/>
      <c r="AC207" s="1022"/>
    </row>
    <row r="208" spans="2:29">
      <c r="B208" s="925" t="s">
        <v>482</v>
      </c>
      <c r="C208" s="926"/>
      <c r="D208" s="1018">
        <f t="shared" ref="D208:AC217" si="128">D65</f>
        <v>0</v>
      </c>
      <c r="E208" s="1018">
        <f t="shared" si="128"/>
        <v>0</v>
      </c>
      <c r="F208" s="1018">
        <f t="shared" si="128"/>
        <v>0</v>
      </c>
      <c r="G208" s="1018">
        <f t="shared" si="128"/>
        <v>0</v>
      </c>
      <c r="H208" s="1018">
        <f t="shared" si="128"/>
        <v>0</v>
      </c>
      <c r="I208" s="1018">
        <f t="shared" si="128"/>
        <v>0</v>
      </c>
      <c r="J208" s="1018">
        <f t="shared" si="128"/>
        <v>0</v>
      </c>
      <c r="K208" s="1018">
        <f t="shared" si="128"/>
        <v>23427</v>
      </c>
      <c r="L208" s="1018">
        <f t="shared" si="128"/>
        <v>23427</v>
      </c>
      <c r="M208" s="1018">
        <f t="shared" si="128"/>
        <v>24548.400000000001</v>
      </c>
      <c r="N208" s="1018">
        <f t="shared" si="128"/>
        <v>29127.600000000002</v>
      </c>
      <c r="O208" s="1018">
        <f t="shared" si="128"/>
        <v>34225.200000000004</v>
      </c>
      <c r="P208" s="1018">
        <f t="shared" si="128"/>
        <v>35594.208000000006</v>
      </c>
      <c r="Q208" s="1018">
        <f t="shared" si="128"/>
        <v>37017.976320000009</v>
      </c>
      <c r="R208" s="1018">
        <f t="shared" si="128"/>
        <v>38498.695372800008</v>
      </c>
      <c r="S208" s="1018">
        <f t="shared" si="128"/>
        <v>39268.669280256006</v>
      </c>
      <c r="T208" s="1018">
        <f t="shared" si="128"/>
        <v>40054.042665861125</v>
      </c>
      <c r="U208" s="1018">
        <f t="shared" si="128"/>
        <v>40855.123519178349</v>
      </c>
      <c r="V208" s="1018">
        <f t="shared" si="128"/>
        <v>41672.225989561914</v>
      </c>
      <c r="W208" s="1018">
        <f t="shared" si="128"/>
        <v>42505.670509353149</v>
      </c>
      <c r="X208" s="1018">
        <f t="shared" si="128"/>
        <v>43355.783919540212</v>
      </c>
      <c r="Y208" s="1018">
        <f t="shared" si="128"/>
        <v>44222.89959793102</v>
      </c>
      <c r="Z208" s="1018">
        <f t="shared" si="128"/>
        <v>44886.243091899982</v>
      </c>
      <c r="AA208" s="1018">
        <f t="shared" si="128"/>
        <v>45559.536738278475</v>
      </c>
      <c r="AB208" s="1018">
        <f t="shared" si="128"/>
        <v>46242.929789352645</v>
      </c>
      <c r="AC208" s="1018">
        <f t="shared" si="128"/>
        <v>46936.573736192928</v>
      </c>
    </row>
    <row r="209" spans="2:29">
      <c r="B209" s="928" t="s">
        <v>483</v>
      </c>
      <c r="C209" s="929"/>
      <c r="D209" s="1023">
        <f t="shared" si="128"/>
        <v>0</v>
      </c>
      <c r="E209" s="1023">
        <f t="shared" si="128"/>
        <v>0</v>
      </c>
      <c r="F209" s="1023">
        <f t="shared" si="128"/>
        <v>0</v>
      </c>
      <c r="G209" s="1023">
        <f t="shared" si="128"/>
        <v>0</v>
      </c>
      <c r="H209" s="1023">
        <f t="shared" si="128"/>
        <v>0</v>
      </c>
      <c r="I209" s="1023">
        <f t="shared" si="128"/>
        <v>0</v>
      </c>
      <c r="J209" s="1023">
        <f t="shared" si="128"/>
        <v>0</v>
      </c>
      <c r="K209" s="1023">
        <f t="shared" si="128"/>
        <v>0</v>
      </c>
      <c r="L209" s="1023">
        <f t="shared" si="128"/>
        <v>0</v>
      </c>
      <c r="M209" s="1023">
        <f t="shared" si="128"/>
        <v>0</v>
      </c>
      <c r="N209" s="1023">
        <f t="shared" si="128"/>
        <v>0</v>
      </c>
      <c r="O209" s="1023">
        <f t="shared" si="128"/>
        <v>0</v>
      </c>
      <c r="P209" s="1023">
        <f t="shared" si="128"/>
        <v>0</v>
      </c>
      <c r="Q209" s="1023">
        <f t="shared" si="128"/>
        <v>0</v>
      </c>
      <c r="R209" s="1023">
        <f t="shared" si="128"/>
        <v>0</v>
      </c>
      <c r="S209" s="1023">
        <f t="shared" si="128"/>
        <v>0</v>
      </c>
      <c r="T209" s="1023">
        <f t="shared" si="128"/>
        <v>0</v>
      </c>
      <c r="U209" s="1023">
        <f t="shared" si="128"/>
        <v>0</v>
      </c>
      <c r="V209" s="1023">
        <f t="shared" si="128"/>
        <v>0</v>
      </c>
      <c r="W209" s="1023">
        <f t="shared" si="128"/>
        <v>0</v>
      </c>
      <c r="X209" s="1023">
        <f t="shared" si="128"/>
        <v>6503.3675879310313</v>
      </c>
      <c r="Y209" s="1023">
        <f t="shared" si="128"/>
        <v>6633.4349396896532</v>
      </c>
      <c r="Z209" s="1023">
        <f t="shared" si="128"/>
        <v>6732.9364637849967</v>
      </c>
      <c r="AA209" s="1023">
        <f t="shared" si="128"/>
        <v>6833.9305107417713</v>
      </c>
      <c r="AB209" s="1023">
        <f t="shared" si="128"/>
        <v>6936.4394684028966</v>
      </c>
      <c r="AC209" s="1023">
        <f t="shared" si="128"/>
        <v>7040.4860604289388</v>
      </c>
    </row>
    <row r="210" spans="2:29">
      <c r="B210" s="925" t="s">
        <v>484</v>
      </c>
      <c r="C210" s="926"/>
      <c r="D210" s="1018">
        <f t="shared" si="128"/>
        <v>0</v>
      </c>
      <c r="E210" s="1018">
        <f t="shared" si="128"/>
        <v>0</v>
      </c>
      <c r="F210" s="1018">
        <f t="shared" si="128"/>
        <v>0</v>
      </c>
      <c r="G210" s="1018">
        <f t="shared" si="128"/>
        <v>0</v>
      </c>
      <c r="H210" s="1018">
        <f t="shared" si="128"/>
        <v>0</v>
      </c>
      <c r="I210" s="1018">
        <f t="shared" si="128"/>
        <v>0</v>
      </c>
      <c r="J210" s="1018">
        <f t="shared" si="128"/>
        <v>0</v>
      </c>
      <c r="K210" s="1018">
        <f t="shared" si="128"/>
        <v>0</v>
      </c>
      <c r="L210" s="1018">
        <f t="shared" si="128"/>
        <v>0</v>
      </c>
      <c r="M210" s="1018">
        <f t="shared" si="128"/>
        <v>0</v>
      </c>
      <c r="N210" s="1018">
        <f t="shared" si="128"/>
        <v>0</v>
      </c>
      <c r="O210" s="1018">
        <f t="shared" si="128"/>
        <v>6160.536000000001</v>
      </c>
      <c r="P210" s="1018">
        <f t="shared" si="128"/>
        <v>32034.787200000006</v>
      </c>
      <c r="Q210" s="1018">
        <f t="shared" si="128"/>
        <v>33316.178688000007</v>
      </c>
      <c r="R210" s="1018">
        <f t="shared" si="128"/>
        <v>34648.825835520009</v>
      </c>
      <c r="S210" s="1018">
        <f t="shared" si="128"/>
        <v>35341.802352230407</v>
      </c>
      <c r="T210" s="1018">
        <f t="shared" si="128"/>
        <v>36048.638399275012</v>
      </c>
      <c r="U210" s="1018">
        <f t="shared" si="128"/>
        <v>36769.611167260518</v>
      </c>
      <c r="V210" s="1018">
        <f t="shared" si="128"/>
        <v>37505.003390605722</v>
      </c>
      <c r="W210" s="1018">
        <f t="shared" si="128"/>
        <v>38255.103458417834</v>
      </c>
      <c r="X210" s="1018">
        <f t="shared" si="128"/>
        <v>39020.205527586193</v>
      </c>
      <c r="Y210" s="1018">
        <f t="shared" si="128"/>
        <v>39800.609638137917</v>
      </c>
      <c r="Z210" s="1018">
        <f t="shared" si="128"/>
        <v>40397.618782709986</v>
      </c>
      <c r="AA210" s="1018">
        <f t="shared" si="128"/>
        <v>41003.583064450628</v>
      </c>
      <c r="AB210" s="1018">
        <f t="shared" si="128"/>
        <v>41618.636810417382</v>
      </c>
      <c r="AC210" s="1018">
        <f t="shared" si="128"/>
        <v>42242.916362573633</v>
      </c>
    </row>
    <row r="211" spans="2:29">
      <c r="B211" s="928" t="s">
        <v>485</v>
      </c>
      <c r="C211" s="929"/>
      <c r="D211" s="1024">
        <f t="shared" si="128"/>
        <v>0</v>
      </c>
      <c r="E211" s="1024">
        <f t="shared" si="128"/>
        <v>0</v>
      </c>
      <c r="F211" s="1024">
        <f t="shared" si="128"/>
        <v>0</v>
      </c>
      <c r="G211" s="1024">
        <f t="shared" si="128"/>
        <v>0</v>
      </c>
      <c r="H211" s="1024">
        <f t="shared" si="128"/>
        <v>0</v>
      </c>
      <c r="I211" s="1024">
        <f t="shared" si="128"/>
        <v>0</v>
      </c>
      <c r="J211" s="1024">
        <f t="shared" si="128"/>
        <v>0</v>
      </c>
      <c r="K211" s="1024">
        <f t="shared" si="128"/>
        <v>0</v>
      </c>
      <c r="L211" s="1024">
        <f t="shared" si="128"/>
        <v>0</v>
      </c>
      <c r="M211" s="1024">
        <f t="shared" si="128"/>
        <v>0</v>
      </c>
      <c r="N211" s="1024">
        <f t="shared" si="128"/>
        <v>0</v>
      </c>
      <c r="O211" s="1024">
        <f t="shared" si="128"/>
        <v>0</v>
      </c>
      <c r="P211" s="1024">
        <f t="shared" si="128"/>
        <v>32034.787200000006</v>
      </c>
      <c r="Q211" s="1024">
        <f t="shared" si="128"/>
        <v>33316.178688000007</v>
      </c>
      <c r="R211" s="1024">
        <f t="shared" si="128"/>
        <v>34648.825835520009</v>
      </c>
      <c r="S211" s="1024">
        <f t="shared" si="128"/>
        <v>35341.802352230407</v>
      </c>
      <c r="T211" s="1024">
        <f t="shared" si="128"/>
        <v>36048.638399275012</v>
      </c>
      <c r="U211" s="1024">
        <f t="shared" si="128"/>
        <v>36769.611167260518</v>
      </c>
      <c r="V211" s="1024">
        <f t="shared" si="128"/>
        <v>37505.003390605722</v>
      </c>
      <c r="W211" s="1024">
        <f t="shared" si="128"/>
        <v>38255.103458417834</v>
      </c>
      <c r="X211" s="1024">
        <f t="shared" si="128"/>
        <v>39020.205527586193</v>
      </c>
      <c r="Y211" s="1024">
        <f t="shared" si="128"/>
        <v>39800.609638137917</v>
      </c>
      <c r="Z211" s="1024">
        <f t="shared" si="128"/>
        <v>40397.618782709986</v>
      </c>
      <c r="AA211" s="1024">
        <f t="shared" si="128"/>
        <v>41003.583064450628</v>
      </c>
      <c r="AB211" s="1024">
        <f t="shared" si="128"/>
        <v>41618.636810417382</v>
      </c>
      <c r="AC211" s="1024">
        <f t="shared" si="128"/>
        <v>42242.916362573633</v>
      </c>
    </row>
    <row r="212" spans="2:29">
      <c r="B212" s="925" t="s">
        <v>486</v>
      </c>
      <c r="C212" s="926"/>
      <c r="D212" s="1018">
        <f t="shared" si="128"/>
        <v>0</v>
      </c>
      <c r="E212" s="1018">
        <f t="shared" si="128"/>
        <v>0</v>
      </c>
      <c r="F212" s="1018">
        <f t="shared" si="128"/>
        <v>0</v>
      </c>
      <c r="G212" s="1018">
        <f t="shared" si="128"/>
        <v>0</v>
      </c>
      <c r="H212" s="1018">
        <f t="shared" si="128"/>
        <v>0</v>
      </c>
      <c r="I212" s="1018">
        <f t="shared" si="128"/>
        <v>0</v>
      </c>
      <c r="J212" s="1018">
        <f t="shared" si="128"/>
        <v>0</v>
      </c>
      <c r="K212" s="1018">
        <f t="shared" si="128"/>
        <v>0</v>
      </c>
      <c r="L212" s="1018">
        <f t="shared" si="128"/>
        <v>0</v>
      </c>
      <c r="M212" s="1018">
        <f t="shared" si="128"/>
        <v>0</v>
      </c>
      <c r="N212" s="1018">
        <f t="shared" si="128"/>
        <v>0</v>
      </c>
      <c r="O212" s="1018">
        <f t="shared" si="128"/>
        <v>0</v>
      </c>
      <c r="P212" s="1018">
        <f t="shared" si="128"/>
        <v>32034.787200000006</v>
      </c>
      <c r="Q212" s="1018">
        <f t="shared" si="128"/>
        <v>33316.178688000007</v>
      </c>
      <c r="R212" s="1018">
        <f t="shared" si="128"/>
        <v>34648.825835520009</v>
      </c>
      <c r="S212" s="1018">
        <f t="shared" si="128"/>
        <v>35341.802352230407</v>
      </c>
      <c r="T212" s="1018">
        <f t="shared" si="128"/>
        <v>36048.638399275012</v>
      </c>
      <c r="U212" s="1018">
        <f t="shared" si="128"/>
        <v>36769.611167260518</v>
      </c>
      <c r="V212" s="1018">
        <f t="shared" si="128"/>
        <v>37505.003390605722</v>
      </c>
      <c r="W212" s="1018">
        <f t="shared" si="128"/>
        <v>38255.103458417834</v>
      </c>
      <c r="X212" s="1018">
        <f t="shared" si="128"/>
        <v>39020.205527586193</v>
      </c>
      <c r="Y212" s="1018">
        <f t="shared" si="128"/>
        <v>39800.609638137917</v>
      </c>
      <c r="Z212" s="1018">
        <f t="shared" si="128"/>
        <v>40397.618782709986</v>
      </c>
      <c r="AA212" s="1018">
        <f t="shared" si="128"/>
        <v>41003.583064450628</v>
      </c>
      <c r="AB212" s="1018">
        <f t="shared" si="128"/>
        <v>41618.636810417382</v>
      </c>
      <c r="AC212" s="1018">
        <f t="shared" si="128"/>
        <v>42242.916362573633</v>
      </c>
    </row>
    <row r="213" spans="2:29">
      <c r="B213" s="931" t="s">
        <v>487</v>
      </c>
      <c r="C213" s="929"/>
      <c r="D213" s="1023">
        <f t="shared" si="128"/>
        <v>0</v>
      </c>
      <c r="E213" s="1023">
        <f t="shared" si="128"/>
        <v>0</v>
      </c>
      <c r="F213" s="1023">
        <f t="shared" si="128"/>
        <v>0</v>
      </c>
      <c r="G213" s="1023">
        <f t="shared" si="128"/>
        <v>0</v>
      </c>
      <c r="H213" s="1023">
        <f t="shared" si="128"/>
        <v>0</v>
      </c>
      <c r="I213" s="1023">
        <f t="shared" si="128"/>
        <v>0</v>
      </c>
      <c r="J213" s="1023">
        <f t="shared" si="128"/>
        <v>0</v>
      </c>
      <c r="K213" s="1023">
        <f t="shared" si="128"/>
        <v>0</v>
      </c>
      <c r="L213" s="1023">
        <f t="shared" si="128"/>
        <v>0</v>
      </c>
      <c r="M213" s="1023">
        <f t="shared" si="128"/>
        <v>0</v>
      </c>
      <c r="N213" s="1023">
        <f t="shared" si="128"/>
        <v>0</v>
      </c>
      <c r="O213" s="1023">
        <f t="shared" si="128"/>
        <v>0</v>
      </c>
      <c r="P213" s="1023">
        <f t="shared" si="128"/>
        <v>0</v>
      </c>
      <c r="Q213" s="1023">
        <f t="shared" si="128"/>
        <v>0</v>
      </c>
      <c r="R213" s="1023">
        <f t="shared" si="128"/>
        <v>0</v>
      </c>
      <c r="S213" s="1023">
        <f t="shared" si="128"/>
        <v>0</v>
      </c>
      <c r="T213" s="1023">
        <f t="shared" si="128"/>
        <v>0</v>
      </c>
      <c r="U213" s="1023">
        <f t="shared" si="128"/>
        <v>0</v>
      </c>
      <c r="V213" s="1023">
        <f t="shared" si="128"/>
        <v>0</v>
      </c>
      <c r="W213" s="1023">
        <f t="shared" si="128"/>
        <v>0</v>
      </c>
      <c r="X213" s="1023">
        <f t="shared" si="128"/>
        <v>0</v>
      </c>
      <c r="Y213" s="1023">
        <f t="shared" si="128"/>
        <v>0</v>
      </c>
      <c r="Z213" s="1023">
        <f t="shared" si="128"/>
        <v>0</v>
      </c>
      <c r="AA213" s="1023">
        <f t="shared" si="128"/>
        <v>0</v>
      </c>
      <c r="AB213" s="1023">
        <f t="shared" si="128"/>
        <v>12485.591043125214</v>
      </c>
      <c r="AC213" s="1023">
        <f t="shared" si="128"/>
        <v>10560.729090643408</v>
      </c>
    </row>
    <row r="214" spans="2:29" s="1032" customFormat="1" ht="12">
      <c r="B214" s="1011" t="s">
        <v>488</v>
      </c>
      <c r="C214" s="1012"/>
      <c r="D214" s="1025">
        <f t="shared" si="128"/>
        <v>0</v>
      </c>
      <c r="E214" s="1025">
        <f t="shared" si="128"/>
        <v>0</v>
      </c>
      <c r="F214" s="1025">
        <f t="shared" si="128"/>
        <v>0</v>
      </c>
      <c r="G214" s="1025">
        <f t="shared" si="128"/>
        <v>0</v>
      </c>
      <c r="H214" s="1025">
        <f t="shared" si="128"/>
        <v>0</v>
      </c>
      <c r="I214" s="1025">
        <f t="shared" si="128"/>
        <v>0</v>
      </c>
      <c r="J214" s="1025">
        <f t="shared" si="128"/>
        <v>0</v>
      </c>
      <c r="K214" s="1025">
        <f t="shared" si="128"/>
        <v>0</v>
      </c>
      <c r="L214" s="1025">
        <f t="shared" si="128"/>
        <v>0</v>
      </c>
      <c r="M214" s="1025">
        <f t="shared" si="128"/>
        <v>0</v>
      </c>
      <c r="N214" s="1025">
        <f t="shared" si="128"/>
        <v>0</v>
      </c>
      <c r="O214" s="1025">
        <f t="shared" si="128"/>
        <v>0</v>
      </c>
      <c r="P214" s="1025">
        <f t="shared" si="128"/>
        <v>0</v>
      </c>
      <c r="Q214" s="1025">
        <f t="shared" si="128"/>
        <v>0</v>
      </c>
      <c r="R214" s="1025">
        <f t="shared" si="128"/>
        <v>0</v>
      </c>
      <c r="S214" s="1025">
        <f t="shared" si="128"/>
        <v>0</v>
      </c>
      <c r="T214" s="1025">
        <f t="shared" si="128"/>
        <v>0</v>
      </c>
      <c r="U214" s="1025">
        <f t="shared" si="128"/>
        <v>0</v>
      </c>
      <c r="V214" s="1025">
        <f t="shared" si="128"/>
        <v>0</v>
      </c>
      <c r="W214" s="1025">
        <f t="shared" si="128"/>
        <v>0</v>
      </c>
      <c r="X214" s="1025">
        <f t="shared" si="128"/>
        <v>0</v>
      </c>
      <c r="Y214" s="1025">
        <f t="shared" si="128"/>
        <v>0</v>
      </c>
      <c r="Z214" s="1025">
        <f t="shared" si="128"/>
        <v>0</v>
      </c>
      <c r="AA214" s="1025">
        <f t="shared" si="128"/>
        <v>0</v>
      </c>
      <c r="AB214" s="1025">
        <f t="shared" si="128"/>
        <v>0</v>
      </c>
      <c r="AC214" s="1025">
        <f t="shared" si="128"/>
        <v>0</v>
      </c>
    </row>
    <row r="215" spans="2:29" s="1032" customFormat="1" ht="12">
      <c r="B215" s="928" t="s">
        <v>489</v>
      </c>
      <c r="C215" s="929"/>
      <c r="D215" s="1023">
        <f t="shared" si="128"/>
        <v>15028</v>
      </c>
      <c r="E215" s="1023">
        <f t="shared" si="128"/>
        <v>15444</v>
      </c>
      <c r="F215" s="1023">
        <f t="shared" si="128"/>
        <v>16224</v>
      </c>
      <c r="G215" s="1023">
        <f t="shared" si="128"/>
        <v>17082</v>
      </c>
      <c r="H215" s="1023">
        <f t="shared" si="128"/>
        <v>18174</v>
      </c>
      <c r="I215" s="1023">
        <f t="shared" si="128"/>
        <v>19240</v>
      </c>
      <c r="J215" s="1023">
        <f t="shared" si="128"/>
        <v>20774</v>
      </c>
      <c r="K215" s="1023">
        <f t="shared" si="128"/>
        <v>23036</v>
      </c>
      <c r="L215" s="1023">
        <f t="shared" si="128"/>
        <v>26052</v>
      </c>
      <c r="M215" s="1023">
        <f t="shared" si="128"/>
        <v>29380</v>
      </c>
      <c r="N215" s="1023">
        <f t="shared" si="128"/>
        <v>34970</v>
      </c>
      <c r="O215" s="1023">
        <f t="shared" si="128"/>
        <v>36368.800000000003</v>
      </c>
      <c r="P215" s="1023">
        <f t="shared" si="128"/>
        <v>37823.551999999996</v>
      </c>
      <c r="Q215" s="1023">
        <f t="shared" si="128"/>
        <v>39336.494080000004</v>
      </c>
      <c r="R215" s="1023">
        <f t="shared" si="128"/>
        <v>40532.089528320001</v>
      </c>
      <c r="S215" s="1023">
        <f t="shared" si="128"/>
        <v>41767.951508275204</v>
      </c>
      <c r="T215" s="1023">
        <f t="shared" si="128"/>
        <v>43045.539535405056</v>
      </c>
      <c r="U215" s="1023">
        <f t="shared" si="128"/>
        <v>44121.678023790184</v>
      </c>
      <c r="V215" s="1023">
        <f t="shared" si="128"/>
        <v>45224.719974384934</v>
      </c>
      <c r="W215" s="1023">
        <f t="shared" si="128"/>
        <v>46355.33797374455</v>
      </c>
      <c r="X215" s="1023">
        <f t="shared" si="128"/>
        <v>47514.221423088151</v>
      </c>
      <c r="Y215" s="1023">
        <f t="shared" si="128"/>
        <v>48702.076958665355</v>
      </c>
      <c r="Z215" s="1023">
        <f t="shared" si="128"/>
        <v>49919.62888263198</v>
      </c>
      <c r="AA215" s="1023">
        <f t="shared" si="128"/>
        <v>51167.619604697778</v>
      </c>
      <c r="AB215" s="1023">
        <f t="shared" si="128"/>
        <v>52446.810094815221</v>
      </c>
      <c r="AC215" s="1023">
        <f t="shared" si="128"/>
        <v>53757.980347185599</v>
      </c>
    </row>
    <row r="216" spans="2:29" s="1032" customFormat="1" ht="12">
      <c r="B216" s="934" t="s">
        <v>490</v>
      </c>
      <c r="C216" s="935"/>
      <c r="D216" s="1026">
        <f t="shared" si="128"/>
        <v>0</v>
      </c>
      <c r="E216" s="1026">
        <f t="shared" si="128"/>
        <v>0</v>
      </c>
      <c r="F216" s="1026">
        <f t="shared" si="128"/>
        <v>0</v>
      </c>
      <c r="G216" s="1026">
        <f t="shared" si="128"/>
        <v>0</v>
      </c>
      <c r="H216" s="1026">
        <f t="shared" si="128"/>
        <v>0</v>
      </c>
      <c r="I216" s="1026">
        <f t="shared" si="128"/>
        <v>0</v>
      </c>
      <c r="J216" s="1026">
        <f t="shared" si="128"/>
        <v>0</v>
      </c>
      <c r="K216" s="1026">
        <f t="shared" si="128"/>
        <v>0</v>
      </c>
      <c r="L216" s="1026">
        <f t="shared" si="128"/>
        <v>0</v>
      </c>
      <c r="M216" s="1026">
        <f t="shared" si="128"/>
        <v>0</v>
      </c>
      <c r="N216" s="1026">
        <f t="shared" si="128"/>
        <v>0</v>
      </c>
      <c r="O216" s="1026">
        <f t="shared" si="128"/>
        <v>0</v>
      </c>
      <c r="P216" s="1026">
        <f t="shared" si="128"/>
        <v>0</v>
      </c>
      <c r="Q216" s="1026">
        <f t="shared" si="128"/>
        <v>0</v>
      </c>
      <c r="R216" s="1026">
        <f t="shared" si="128"/>
        <v>26345.858193408003</v>
      </c>
      <c r="S216" s="1026">
        <f t="shared" si="128"/>
        <v>27149.168480378885</v>
      </c>
      <c r="T216" s="1026">
        <f t="shared" si="128"/>
        <v>25827.323721243032</v>
      </c>
      <c r="U216" s="1026">
        <f t="shared" si="128"/>
        <v>26473.006814274111</v>
      </c>
      <c r="V216" s="1026">
        <f t="shared" si="128"/>
        <v>27134.831984630961</v>
      </c>
      <c r="W216" s="1026">
        <f t="shared" si="128"/>
        <v>27813.202784246729</v>
      </c>
      <c r="X216" s="1026">
        <f t="shared" si="128"/>
        <v>28508.532853852888</v>
      </c>
      <c r="Y216" s="1026">
        <f t="shared" si="128"/>
        <v>29221.246175199212</v>
      </c>
      <c r="Z216" s="1026">
        <f t="shared" si="128"/>
        <v>29951.777329579185</v>
      </c>
      <c r="AA216" s="1026">
        <f t="shared" si="128"/>
        <v>30700.571762818665</v>
      </c>
      <c r="AB216" s="1026">
        <f t="shared" si="128"/>
        <v>31468.086056889129</v>
      </c>
      <c r="AC216" s="1026">
        <f t="shared" si="128"/>
        <v>32254.788208311358</v>
      </c>
    </row>
    <row r="217" spans="2:29" s="1032" customFormat="1" ht="12.75" thickBot="1">
      <c r="B217" s="1015" t="s">
        <v>491</v>
      </c>
      <c r="C217" s="1027"/>
      <c r="D217" s="1028">
        <f t="shared" si="128"/>
        <v>18785</v>
      </c>
      <c r="E217" s="1028">
        <f t="shared" si="128"/>
        <v>19305</v>
      </c>
      <c r="F217" s="1028">
        <f t="shared" si="128"/>
        <v>20280</v>
      </c>
      <c r="G217" s="1028">
        <f t="shared" si="128"/>
        <v>21352.5</v>
      </c>
      <c r="H217" s="1028">
        <f t="shared" si="128"/>
        <v>22717.5</v>
      </c>
      <c r="I217" s="1028">
        <f t="shared" si="128"/>
        <v>24050</v>
      </c>
      <c r="J217" s="1028">
        <f t="shared" si="128"/>
        <v>25967.5</v>
      </c>
      <c r="K217" s="1028">
        <f t="shared" si="128"/>
        <v>28795</v>
      </c>
      <c r="L217" s="1028">
        <f t="shared" si="128"/>
        <v>32565</v>
      </c>
      <c r="M217" s="1028">
        <f t="shared" si="128"/>
        <v>36725</v>
      </c>
      <c r="N217" s="1028">
        <f t="shared" si="128"/>
        <v>43712.5</v>
      </c>
      <c r="O217" s="1028">
        <f t="shared" si="128"/>
        <v>45461</v>
      </c>
      <c r="P217" s="1028">
        <f t="shared" si="128"/>
        <v>47279.439999999995</v>
      </c>
      <c r="Q217" s="1028">
        <f t="shared" si="128"/>
        <v>49170.617600000005</v>
      </c>
      <c r="R217" s="1028">
        <f t="shared" si="128"/>
        <v>50665.111910400003</v>
      </c>
      <c r="S217" s="1028">
        <f t="shared" si="128"/>
        <v>52209.939385344005</v>
      </c>
      <c r="T217" s="1028">
        <f t="shared" si="128"/>
        <v>53806.92441925632</v>
      </c>
      <c r="U217" s="1028">
        <f t="shared" si="128"/>
        <v>55152.09752973773</v>
      </c>
      <c r="V217" s="1028">
        <f t="shared" si="128"/>
        <v>56530.899967981168</v>
      </c>
      <c r="W217" s="1028">
        <f t="shared" si="128"/>
        <v>57944.172467180688</v>
      </c>
      <c r="X217" s="1028">
        <f t="shared" si="128"/>
        <v>59392.776778860192</v>
      </c>
      <c r="Y217" s="1028">
        <f>Y74</f>
        <v>60877.596198331696</v>
      </c>
      <c r="Z217" s="1028">
        <f>Z74</f>
        <v>62399.536103289975</v>
      </c>
      <c r="AA217" s="1028">
        <f>AA74</f>
        <v>63959.524505872221</v>
      </c>
      <c r="AB217" s="1028">
        <f>AB74</f>
        <v>65558.512618519031</v>
      </c>
      <c r="AC217" s="1028">
        <f>AC74</f>
        <v>67197.475433982007</v>
      </c>
    </row>
    <row r="218" spans="2:29" ht="12" thickTop="1">
      <c r="B218" s="1087"/>
      <c r="C218" s="976"/>
      <c r="D218" s="1079"/>
      <c r="E218" s="1079"/>
      <c r="F218" s="1079"/>
      <c r="G218" s="1079"/>
      <c r="H218" s="1079"/>
      <c r="I218" s="1079"/>
      <c r="J218" s="1079"/>
      <c r="K218" s="1079"/>
      <c r="L218" s="1079"/>
      <c r="M218" s="1079"/>
      <c r="N218" s="1079"/>
      <c r="O218" s="1079"/>
      <c r="P218" s="1079"/>
      <c r="Q218" s="1079"/>
      <c r="R218" s="1079"/>
      <c r="S218" s="1079"/>
      <c r="T218" s="1079"/>
      <c r="U218" s="1079"/>
      <c r="V218" s="1079"/>
      <c r="W218" s="1079"/>
      <c r="X218" s="1079"/>
      <c r="Y218" s="1079"/>
      <c r="Z218" s="1079"/>
      <c r="AA218" s="1079"/>
      <c r="AB218" s="1079"/>
      <c r="AC218" s="1079"/>
    </row>
    <row r="219" spans="2:29" ht="12">
      <c r="B219" s="1006" t="s">
        <v>528</v>
      </c>
      <c r="C219" s="976"/>
      <c r="D219" s="976"/>
      <c r="E219" s="976"/>
      <c r="F219" s="983"/>
      <c r="G219" s="976"/>
      <c r="H219" s="983"/>
      <c r="I219" s="976"/>
      <c r="J219" s="983"/>
      <c r="K219" s="983"/>
      <c r="L219" s="976"/>
      <c r="M219" s="983"/>
      <c r="N219" s="983"/>
      <c r="O219" s="983"/>
      <c r="P219" s="983"/>
      <c r="Q219" s="983"/>
      <c r="R219" s="983"/>
      <c r="S219" s="983"/>
      <c r="T219" s="983"/>
      <c r="U219" s="983"/>
      <c r="V219" s="983"/>
      <c r="W219" s="983"/>
      <c r="X219" s="983"/>
      <c r="Y219" s="983"/>
      <c r="Z219" s="983"/>
      <c r="AA219" s="983"/>
      <c r="AB219" s="983"/>
      <c r="AC219" s="983"/>
    </row>
    <row r="220" spans="2:29">
      <c r="B220" s="1007" t="s">
        <v>481</v>
      </c>
      <c r="C220" s="1021"/>
      <c r="D220" s="1078">
        <f t="shared" ref="D220:AC220" si="129">SUM(D221:D226)</f>
        <v>0</v>
      </c>
      <c r="E220" s="1078">
        <f t="shared" si="129"/>
        <v>0</v>
      </c>
      <c r="F220" s="1078">
        <f t="shared" si="129"/>
        <v>0</v>
      </c>
      <c r="G220" s="1078">
        <f t="shared" si="129"/>
        <v>0</v>
      </c>
      <c r="H220" s="1078">
        <f t="shared" si="129"/>
        <v>0</v>
      </c>
      <c r="I220" s="1078">
        <f t="shared" si="129"/>
        <v>0</v>
      </c>
      <c r="J220" s="1078">
        <f t="shared" si="129"/>
        <v>0</v>
      </c>
      <c r="K220" s="1078">
        <f t="shared" si="129"/>
        <v>4825467.4621939119</v>
      </c>
      <c r="L220" s="1078">
        <f t="shared" si="129"/>
        <v>50750661.967374459</v>
      </c>
      <c r="M220" s="1078">
        <f t="shared" si="129"/>
        <v>114680931.97265835</v>
      </c>
      <c r="N220" s="1078">
        <f t="shared" si="129"/>
        <v>186098356.94590107</v>
      </c>
      <c r="O220" s="1078">
        <f t="shared" si="129"/>
        <v>254633072.61115399</v>
      </c>
      <c r="P220" s="1078">
        <f t="shared" si="129"/>
        <v>366113865.29775327</v>
      </c>
      <c r="Q220" s="1078">
        <f t="shared" si="129"/>
        <v>524446077.37421048</v>
      </c>
      <c r="R220" s="1078">
        <f t="shared" si="129"/>
        <v>1112307618.5977693</v>
      </c>
      <c r="S220" s="1078">
        <f t="shared" si="129"/>
        <v>1464683849.1080277</v>
      </c>
      <c r="T220" s="1078">
        <f t="shared" si="129"/>
        <v>1842467711.7563126</v>
      </c>
      <c r="U220" s="1078">
        <f t="shared" si="129"/>
        <v>2472368597.612607</v>
      </c>
      <c r="V220" s="1078">
        <f t="shared" si="129"/>
        <v>2949500468.3121052</v>
      </c>
      <c r="W220" s="1078">
        <f t="shared" si="129"/>
        <v>3089424387.5742636</v>
      </c>
      <c r="X220" s="1078">
        <f t="shared" si="129"/>
        <v>3083845044.8490143</v>
      </c>
      <c r="Y220" s="1078">
        <f t="shared" si="129"/>
        <v>3065829480.8317103</v>
      </c>
      <c r="Z220" s="1078">
        <f t="shared" si="129"/>
        <v>2988699681.8160157</v>
      </c>
      <c r="AA220" s="1078">
        <f t="shared" si="129"/>
        <v>2876062726.7916422</v>
      </c>
      <c r="AB220" s="1078">
        <f t="shared" si="129"/>
        <v>2716387413.7840023</v>
      </c>
      <c r="AC220" s="1078">
        <f t="shared" si="129"/>
        <v>2168281142.5534244</v>
      </c>
    </row>
    <row r="221" spans="2:29">
      <c r="B221" s="925" t="s">
        <v>482</v>
      </c>
      <c r="C221" s="926"/>
      <c r="D221" s="1079">
        <f t="shared" ref="D221:AC221" si="130">D208*D195</f>
        <v>0</v>
      </c>
      <c r="E221" s="1079">
        <f t="shared" si="130"/>
        <v>0</v>
      </c>
      <c r="F221" s="1079">
        <f t="shared" si="130"/>
        <v>0</v>
      </c>
      <c r="G221" s="1079">
        <f t="shared" si="130"/>
        <v>0</v>
      </c>
      <c r="H221" s="1079">
        <f t="shared" si="130"/>
        <v>0</v>
      </c>
      <c r="I221" s="1079">
        <f t="shared" si="130"/>
        <v>0</v>
      </c>
      <c r="J221" s="1079">
        <f t="shared" si="130"/>
        <v>0</v>
      </c>
      <c r="K221" s="1079">
        <f t="shared" si="130"/>
        <v>4825467.4621939119</v>
      </c>
      <c r="L221" s="1079">
        <f t="shared" si="130"/>
        <v>50750661.967374459</v>
      </c>
      <c r="M221" s="1079">
        <f t="shared" si="130"/>
        <v>114680931.97265835</v>
      </c>
      <c r="N221" s="1079">
        <f t="shared" si="130"/>
        <v>186098356.94590107</v>
      </c>
      <c r="O221" s="1079">
        <f t="shared" si="130"/>
        <v>254633072.61115399</v>
      </c>
      <c r="P221" s="1079">
        <f t="shared" si="130"/>
        <v>366113865.29775327</v>
      </c>
      <c r="Q221" s="1079">
        <f t="shared" si="130"/>
        <v>524446077.37421048</v>
      </c>
      <c r="R221" s="1079">
        <f t="shared" si="130"/>
        <v>802696219.6066376</v>
      </c>
      <c r="S221" s="1079">
        <f t="shared" si="130"/>
        <v>623269723.02469265</v>
      </c>
      <c r="T221" s="1079">
        <f t="shared" si="130"/>
        <v>497964246.42062497</v>
      </c>
      <c r="U221" s="1079">
        <f t="shared" si="130"/>
        <v>271688856.88050628</v>
      </c>
      <c r="V221" s="1079">
        <f t="shared" si="130"/>
        <v>32735854.254296396</v>
      </c>
      <c r="W221" s="1079">
        <f t="shared" si="130"/>
        <v>34288838.929792047</v>
      </c>
      <c r="X221" s="1079">
        <f t="shared" si="130"/>
        <v>7149287.2258004267</v>
      </c>
      <c r="Y221" s="1079">
        <f t="shared" si="130"/>
        <v>3715706.5577890086</v>
      </c>
      <c r="Z221" s="1079">
        <f t="shared" si="130"/>
        <v>3794692.3334383136</v>
      </c>
      <c r="AA221" s="1079">
        <f t="shared" si="130"/>
        <v>3834239.0705127874</v>
      </c>
      <c r="AB221" s="1079">
        <f t="shared" si="130"/>
        <v>3912242.6134316572</v>
      </c>
      <c r="AC221" s="1079">
        <f t="shared" si="130"/>
        <v>3986910.2556834128</v>
      </c>
    </row>
    <row r="222" spans="2:29">
      <c r="B222" s="928" t="s">
        <v>483</v>
      </c>
      <c r="C222" s="929"/>
      <c r="D222" s="1080">
        <f t="shared" ref="D222:AC222" si="131">D209*D196</f>
        <v>0</v>
      </c>
      <c r="E222" s="1080">
        <f t="shared" si="131"/>
        <v>0</v>
      </c>
      <c r="F222" s="1080">
        <f t="shared" si="131"/>
        <v>0</v>
      </c>
      <c r="G222" s="1080">
        <f t="shared" si="131"/>
        <v>0</v>
      </c>
      <c r="H222" s="1080">
        <f t="shared" si="131"/>
        <v>0</v>
      </c>
      <c r="I222" s="1080">
        <f t="shared" si="131"/>
        <v>0</v>
      </c>
      <c r="J222" s="1080">
        <f t="shared" si="131"/>
        <v>0</v>
      </c>
      <c r="K222" s="1080">
        <f t="shared" si="131"/>
        <v>0</v>
      </c>
      <c r="L222" s="1080">
        <f t="shared" si="131"/>
        <v>0</v>
      </c>
      <c r="M222" s="1080">
        <f t="shared" si="131"/>
        <v>0</v>
      </c>
      <c r="N222" s="1080">
        <f t="shared" si="131"/>
        <v>0</v>
      </c>
      <c r="O222" s="1080">
        <f t="shared" si="131"/>
        <v>0</v>
      </c>
      <c r="P222" s="1080">
        <f t="shared" si="131"/>
        <v>0</v>
      </c>
      <c r="Q222" s="1080">
        <f t="shared" si="131"/>
        <v>0</v>
      </c>
      <c r="R222" s="1080">
        <f t="shared" si="131"/>
        <v>0</v>
      </c>
      <c r="S222" s="1080">
        <f t="shared" si="131"/>
        <v>0</v>
      </c>
      <c r="T222" s="1080">
        <f t="shared" si="131"/>
        <v>0</v>
      </c>
      <c r="U222" s="1080">
        <f t="shared" si="131"/>
        <v>0</v>
      </c>
      <c r="V222" s="1080">
        <f t="shared" si="131"/>
        <v>0</v>
      </c>
      <c r="W222" s="1080">
        <f t="shared" si="131"/>
        <v>0</v>
      </c>
      <c r="X222" s="1080">
        <f t="shared" si="131"/>
        <v>26809827.096751597</v>
      </c>
      <c r="Y222" s="1080">
        <f t="shared" si="131"/>
        <v>55735598.366835132</v>
      </c>
      <c r="Z222" s="1080">
        <f t="shared" si="131"/>
        <v>85380577.502362043</v>
      </c>
      <c r="AA222" s="1080">
        <f t="shared" si="131"/>
        <v>115027172.11538363</v>
      </c>
      <c r="AB222" s="1080">
        <f t="shared" si="131"/>
        <v>146709098.00368711</v>
      </c>
      <c r="AC222" s="1080">
        <f t="shared" si="131"/>
        <v>149509134.58812797</v>
      </c>
    </row>
    <row r="223" spans="2:29">
      <c r="B223" s="925" t="s">
        <v>484</v>
      </c>
      <c r="C223" s="926"/>
      <c r="D223" s="1079">
        <f t="shared" ref="D223:AC223" si="132">D210*D197</f>
        <v>0</v>
      </c>
      <c r="E223" s="1079">
        <f t="shared" si="132"/>
        <v>0</v>
      </c>
      <c r="F223" s="1079">
        <f t="shared" si="132"/>
        <v>0</v>
      </c>
      <c r="G223" s="1079">
        <f t="shared" si="132"/>
        <v>0</v>
      </c>
      <c r="H223" s="1079">
        <f t="shared" si="132"/>
        <v>0</v>
      </c>
      <c r="I223" s="1079">
        <f t="shared" si="132"/>
        <v>0</v>
      </c>
      <c r="J223" s="1079">
        <f t="shared" si="132"/>
        <v>0</v>
      </c>
      <c r="K223" s="1079">
        <f t="shared" si="132"/>
        <v>0</v>
      </c>
      <c r="L223" s="1079">
        <f t="shared" si="132"/>
        <v>0</v>
      </c>
      <c r="M223" s="1079">
        <f t="shared" si="132"/>
        <v>0</v>
      </c>
      <c r="N223" s="1079">
        <f t="shared" si="132"/>
        <v>0</v>
      </c>
      <c r="O223" s="1079">
        <f t="shared" si="132"/>
        <v>0</v>
      </c>
      <c r="P223" s="1079">
        <f t="shared" si="132"/>
        <v>0</v>
      </c>
      <c r="Q223" s="1079">
        <f t="shared" si="132"/>
        <v>0</v>
      </c>
      <c r="R223" s="1079">
        <f t="shared" si="132"/>
        <v>103203799.66371056</v>
      </c>
      <c r="S223" s="1079">
        <f t="shared" si="132"/>
        <v>280471375.3611117</v>
      </c>
      <c r="T223" s="1079">
        <f t="shared" si="132"/>
        <v>448167821.77856249</v>
      </c>
      <c r="U223" s="1079">
        <f t="shared" si="132"/>
        <v>733559913.57736695</v>
      </c>
      <c r="V223" s="1079">
        <f t="shared" si="132"/>
        <v>972254871.35260284</v>
      </c>
      <c r="W223" s="1079">
        <f t="shared" si="132"/>
        <v>1018378516.214824</v>
      </c>
      <c r="X223" s="1079">
        <f t="shared" si="132"/>
        <v>971588133.98627818</v>
      </c>
      <c r="Y223" s="1079">
        <f t="shared" si="132"/>
        <v>966455275.68092084</v>
      </c>
      <c r="Z223" s="1079">
        <f t="shared" si="132"/>
        <v>925525460.12560475</v>
      </c>
      <c r="AA223" s="1079">
        <f t="shared" si="132"/>
        <v>900662757.6634537</v>
      </c>
      <c r="AB223" s="1079">
        <f t="shared" si="132"/>
        <v>774624037.45946813</v>
      </c>
      <c r="AC223" s="1079">
        <f t="shared" si="132"/>
        <v>175822742.27563849</v>
      </c>
    </row>
    <row r="224" spans="2:29">
      <c r="B224" s="928" t="s">
        <v>485</v>
      </c>
      <c r="C224" s="929"/>
      <c r="D224" s="1080">
        <f t="shared" ref="D224:AC224" si="133">D211*D198</f>
        <v>0</v>
      </c>
      <c r="E224" s="1080">
        <f t="shared" si="133"/>
        <v>0</v>
      </c>
      <c r="F224" s="1080">
        <f t="shared" si="133"/>
        <v>0</v>
      </c>
      <c r="G224" s="1080">
        <f t="shared" si="133"/>
        <v>0</v>
      </c>
      <c r="H224" s="1080">
        <f t="shared" si="133"/>
        <v>0</v>
      </c>
      <c r="I224" s="1080">
        <f t="shared" si="133"/>
        <v>0</v>
      </c>
      <c r="J224" s="1080">
        <f t="shared" si="133"/>
        <v>0</v>
      </c>
      <c r="K224" s="1080">
        <f t="shared" si="133"/>
        <v>0</v>
      </c>
      <c r="L224" s="1080">
        <f t="shared" si="133"/>
        <v>0</v>
      </c>
      <c r="M224" s="1080">
        <f t="shared" si="133"/>
        <v>0</v>
      </c>
      <c r="N224" s="1080">
        <f t="shared" si="133"/>
        <v>0</v>
      </c>
      <c r="O224" s="1080">
        <f t="shared" si="133"/>
        <v>0</v>
      </c>
      <c r="P224" s="1080">
        <f t="shared" si="133"/>
        <v>0</v>
      </c>
      <c r="Q224" s="1080">
        <f t="shared" si="133"/>
        <v>0</v>
      </c>
      <c r="R224" s="1080">
        <f t="shared" si="133"/>
        <v>103203799.66371056</v>
      </c>
      <c r="S224" s="1080">
        <f t="shared" si="133"/>
        <v>280471375.3611117</v>
      </c>
      <c r="T224" s="1080">
        <f t="shared" si="133"/>
        <v>448167821.77856249</v>
      </c>
      <c r="U224" s="1080">
        <f t="shared" si="133"/>
        <v>733559913.57736695</v>
      </c>
      <c r="V224" s="1080">
        <f t="shared" si="133"/>
        <v>972254871.35260284</v>
      </c>
      <c r="W224" s="1080">
        <f t="shared" si="133"/>
        <v>1018378516.214824</v>
      </c>
      <c r="X224" s="1080">
        <f t="shared" si="133"/>
        <v>1039148898.2700921</v>
      </c>
      <c r="Y224" s="1080">
        <f t="shared" si="133"/>
        <v>1019961450.1130828</v>
      </c>
      <c r="Z224" s="1080">
        <f t="shared" si="133"/>
        <v>986999475.92730534</v>
      </c>
      <c r="AA224" s="1080">
        <f t="shared" si="133"/>
        <v>928269278.97114599</v>
      </c>
      <c r="AB224" s="1080">
        <f t="shared" si="133"/>
        <v>880254588.02212274</v>
      </c>
      <c r="AC224" s="1080">
        <f t="shared" si="133"/>
        <v>807349326.77589118</v>
      </c>
    </row>
    <row r="225" spans="2:29" s="1038" customFormat="1">
      <c r="B225" s="925" t="s">
        <v>486</v>
      </c>
      <c r="C225" s="926"/>
      <c r="D225" s="1079">
        <f t="shared" ref="D225:AC225" si="134">D212*D199</f>
        <v>0</v>
      </c>
      <c r="E225" s="1079">
        <f t="shared" si="134"/>
        <v>0</v>
      </c>
      <c r="F225" s="1079">
        <f t="shared" si="134"/>
        <v>0</v>
      </c>
      <c r="G225" s="1079">
        <f t="shared" si="134"/>
        <v>0</v>
      </c>
      <c r="H225" s="1079">
        <f t="shared" si="134"/>
        <v>0</v>
      </c>
      <c r="I225" s="1079">
        <f t="shared" si="134"/>
        <v>0</v>
      </c>
      <c r="J225" s="1079">
        <f t="shared" si="134"/>
        <v>0</v>
      </c>
      <c r="K225" s="1079">
        <f t="shared" si="134"/>
        <v>0</v>
      </c>
      <c r="L225" s="1079">
        <f t="shared" si="134"/>
        <v>0</v>
      </c>
      <c r="M225" s="1079">
        <f t="shared" si="134"/>
        <v>0</v>
      </c>
      <c r="N225" s="1079">
        <f t="shared" si="134"/>
        <v>0</v>
      </c>
      <c r="O225" s="1079">
        <f t="shared" si="134"/>
        <v>0</v>
      </c>
      <c r="P225" s="1079">
        <f t="shared" si="134"/>
        <v>0</v>
      </c>
      <c r="Q225" s="1079">
        <f t="shared" si="134"/>
        <v>0</v>
      </c>
      <c r="R225" s="1079">
        <f t="shared" si="134"/>
        <v>103203799.66371056</v>
      </c>
      <c r="S225" s="1079">
        <f t="shared" si="134"/>
        <v>280471375.3611117</v>
      </c>
      <c r="T225" s="1079">
        <f t="shared" si="134"/>
        <v>448167821.77856249</v>
      </c>
      <c r="U225" s="1079">
        <f t="shared" si="134"/>
        <v>733559913.57736695</v>
      </c>
      <c r="V225" s="1079">
        <f t="shared" si="134"/>
        <v>972254871.35260284</v>
      </c>
      <c r="W225" s="1079">
        <f t="shared" si="134"/>
        <v>1018378516.214824</v>
      </c>
      <c r="X225" s="1079">
        <f t="shared" si="134"/>
        <v>1039148898.2700921</v>
      </c>
      <c r="Y225" s="1079">
        <f t="shared" si="134"/>
        <v>1019961450.1130828</v>
      </c>
      <c r="Z225" s="1079">
        <f t="shared" si="134"/>
        <v>986999475.92730534</v>
      </c>
      <c r="AA225" s="1079">
        <f t="shared" si="134"/>
        <v>928269278.97114599</v>
      </c>
      <c r="AB225" s="1079">
        <f t="shared" si="134"/>
        <v>880254588.02212274</v>
      </c>
      <c r="AC225" s="1079">
        <f t="shared" si="134"/>
        <v>807349326.77589118</v>
      </c>
    </row>
    <row r="226" spans="2:29">
      <c r="B226" s="931" t="s">
        <v>487</v>
      </c>
      <c r="C226" s="929"/>
      <c r="D226" s="1080">
        <f t="shared" ref="D226:AC226" si="135">D213*D200</f>
        <v>0</v>
      </c>
      <c r="E226" s="1080">
        <f t="shared" si="135"/>
        <v>0</v>
      </c>
      <c r="F226" s="1080">
        <f t="shared" si="135"/>
        <v>0</v>
      </c>
      <c r="G226" s="1080">
        <f t="shared" si="135"/>
        <v>0</v>
      </c>
      <c r="H226" s="1080">
        <f t="shared" si="135"/>
        <v>0</v>
      </c>
      <c r="I226" s="1080">
        <f t="shared" si="135"/>
        <v>0</v>
      </c>
      <c r="J226" s="1080">
        <f t="shared" si="135"/>
        <v>0</v>
      </c>
      <c r="K226" s="1080">
        <f t="shared" si="135"/>
        <v>0</v>
      </c>
      <c r="L226" s="1080">
        <f t="shared" si="135"/>
        <v>0</v>
      </c>
      <c r="M226" s="1080">
        <f t="shared" si="135"/>
        <v>0</v>
      </c>
      <c r="N226" s="1080">
        <f t="shared" si="135"/>
        <v>0</v>
      </c>
      <c r="O226" s="1080">
        <f t="shared" si="135"/>
        <v>0</v>
      </c>
      <c r="P226" s="1080">
        <f t="shared" si="135"/>
        <v>0</v>
      </c>
      <c r="Q226" s="1080">
        <f t="shared" si="135"/>
        <v>0</v>
      </c>
      <c r="R226" s="1080">
        <f t="shared" si="135"/>
        <v>0</v>
      </c>
      <c r="S226" s="1080">
        <f t="shared" si="135"/>
        <v>0</v>
      </c>
      <c r="T226" s="1080">
        <f t="shared" si="135"/>
        <v>0</v>
      </c>
      <c r="U226" s="1080">
        <f t="shared" si="135"/>
        <v>0</v>
      </c>
      <c r="V226" s="1080">
        <f t="shared" si="135"/>
        <v>0</v>
      </c>
      <c r="W226" s="1080">
        <f t="shared" si="135"/>
        <v>0</v>
      </c>
      <c r="X226" s="1080">
        <f t="shared" si="135"/>
        <v>0</v>
      </c>
      <c r="Y226" s="1080">
        <f t="shared" si="135"/>
        <v>0</v>
      </c>
      <c r="Z226" s="1080">
        <f t="shared" si="135"/>
        <v>0</v>
      </c>
      <c r="AA226" s="1080">
        <f t="shared" si="135"/>
        <v>0</v>
      </c>
      <c r="AB226" s="1080">
        <f t="shared" si="135"/>
        <v>30632859.663169876</v>
      </c>
      <c r="AC226" s="1080">
        <f t="shared" si="135"/>
        <v>224263701.88219196</v>
      </c>
    </row>
    <row r="227" spans="2:29" s="1090" customFormat="1" ht="12">
      <c r="B227" s="1011" t="s">
        <v>488</v>
      </c>
      <c r="C227" s="1031"/>
      <c r="D227" s="1081">
        <f>SUM(D228:D229)</f>
        <v>438670615.71615994</v>
      </c>
      <c r="E227" s="1082">
        <f>SUM(E228:E229)</f>
        <v>463490947.53015941</v>
      </c>
      <c r="F227" s="1082">
        <f>SUM(F228:F229)</f>
        <v>500426350.85720468</v>
      </c>
      <c r="G227" s="1082">
        <f t="shared" ref="G227:X227" si="136">SUM(G228:G229)</f>
        <v>544969535.0565356</v>
      </c>
      <c r="H227" s="1082">
        <f t="shared" si="136"/>
        <v>599391493.80514848</v>
      </c>
      <c r="I227" s="1082">
        <f t="shared" si="136"/>
        <v>655247960.3538965</v>
      </c>
      <c r="J227" s="1082">
        <f t="shared" si="136"/>
        <v>730764577.04414034</v>
      </c>
      <c r="K227" s="1082">
        <f t="shared" si="136"/>
        <v>840415517.51281047</v>
      </c>
      <c r="L227" s="1082">
        <f t="shared" si="136"/>
        <v>983825888.98290396</v>
      </c>
      <c r="M227" s="1082">
        <f t="shared" si="136"/>
        <v>1116888057.3263109</v>
      </c>
      <c r="N227" s="1082">
        <f t="shared" si="136"/>
        <v>1347900463.1960304</v>
      </c>
      <c r="O227" s="1082">
        <f t="shared" si="136"/>
        <v>1421266546.0066328</v>
      </c>
      <c r="P227" s="1082">
        <f t="shared" si="136"/>
        <v>1453503239.6853771</v>
      </c>
      <c r="Q227" s="1082">
        <f t="shared" si="136"/>
        <v>1482500907.1012645</v>
      </c>
      <c r="R227" s="1082">
        <f t="shared" si="136"/>
        <v>1494563429.9817436</v>
      </c>
      <c r="S227" s="1082">
        <f t="shared" si="136"/>
        <v>1279231013.8108337</v>
      </c>
      <c r="T227" s="1082">
        <f t="shared" si="136"/>
        <v>1202084954.9878004</v>
      </c>
      <c r="U227" s="1082">
        <f t="shared" si="136"/>
        <v>1005128610.1771824</v>
      </c>
      <c r="V227" s="1082">
        <f t="shared" si="136"/>
        <v>842629420.28478765</v>
      </c>
      <c r="W227" s="1082">
        <f t="shared" si="136"/>
        <v>926605150.02252626</v>
      </c>
      <c r="X227" s="1082">
        <f t="shared" si="136"/>
        <v>937904185.8848263</v>
      </c>
      <c r="Y227" s="1082">
        <f>SUM(Y228:Y229)</f>
        <v>996274026.80189633</v>
      </c>
      <c r="Z227" s="1082">
        <f>SUM(Z228:Z229)</f>
        <v>1036779550.409212</v>
      </c>
      <c r="AA227" s="1082">
        <f>SUM(AA228:AA229)</f>
        <v>1107898814.3773303</v>
      </c>
      <c r="AB227" s="1082">
        <f>SUM(AB228:AB229)</f>
        <v>1158618669.4335907</v>
      </c>
      <c r="AC227" s="1082">
        <f>SUM(AC228:AC229)</f>
        <v>1193100871.1835573</v>
      </c>
    </row>
    <row r="228" spans="2:29" s="1090" customFormat="1" ht="12">
      <c r="B228" s="928" t="s">
        <v>489</v>
      </c>
      <c r="C228" s="929"/>
      <c r="D228" s="1080">
        <f t="shared" ref="D228:AC228" si="137">D215*D202</f>
        <v>438670615.71615994</v>
      </c>
      <c r="E228" s="1080">
        <f t="shared" si="137"/>
        <v>463490947.53015941</v>
      </c>
      <c r="F228" s="1080">
        <f t="shared" si="137"/>
        <v>500426350.85720468</v>
      </c>
      <c r="G228" s="1080">
        <f t="shared" si="137"/>
        <v>544969535.0565356</v>
      </c>
      <c r="H228" s="1080">
        <f t="shared" si="137"/>
        <v>599391493.80514848</v>
      </c>
      <c r="I228" s="1080">
        <f t="shared" si="137"/>
        <v>655247960.3538965</v>
      </c>
      <c r="J228" s="1080">
        <f t="shared" si="137"/>
        <v>730764577.04414034</v>
      </c>
      <c r="K228" s="1080">
        <f t="shared" si="137"/>
        <v>840415517.51281047</v>
      </c>
      <c r="L228" s="1080">
        <f t="shared" si="137"/>
        <v>983825888.98290396</v>
      </c>
      <c r="M228" s="1080">
        <f t="shared" si="137"/>
        <v>1116888057.3263109</v>
      </c>
      <c r="N228" s="1080">
        <f t="shared" si="137"/>
        <v>1347900463.1960304</v>
      </c>
      <c r="O228" s="1080">
        <f t="shared" si="137"/>
        <v>1421266546.0066328</v>
      </c>
      <c r="P228" s="1080">
        <f t="shared" si="137"/>
        <v>1453503239.6853771</v>
      </c>
      <c r="Q228" s="1080">
        <f t="shared" si="137"/>
        <v>1482500907.1012645</v>
      </c>
      <c r="R228" s="1080">
        <f t="shared" si="137"/>
        <v>1347011038.2236328</v>
      </c>
      <c r="S228" s="1080">
        <f t="shared" si="137"/>
        <v>1037651418.4333534</v>
      </c>
      <c r="T228" s="1080">
        <f t="shared" si="137"/>
        <v>905994555.45592499</v>
      </c>
      <c r="U228" s="1080">
        <f t="shared" si="137"/>
        <v>678418608.81870949</v>
      </c>
      <c r="V228" s="1080">
        <f t="shared" si="137"/>
        <v>452593020.68075418</v>
      </c>
      <c r="W228" s="1080">
        <f t="shared" si="137"/>
        <v>394484367.61588526</v>
      </c>
      <c r="X228" s="1080">
        <f t="shared" si="137"/>
        <v>282580975.53078663</v>
      </c>
      <c r="Y228" s="1080">
        <f t="shared" si="137"/>
        <v>159729318.20031625</v>
      </c>
      <c r="Z228" s="1080">
        <f t="shared" si="137"/>
        <v>118699842.98128469</v>
      </c>
      <c r="AA228" s="1080">
        <f t="shared" si="137"/>
        <v>91477386.322011515</v>
      </c>
      <c r="AB228" s="1080">
        <f t="shared" si="137"/>
        <v>77281808.414950237</v>
      </c>
      <c r="AC228" s="1080">
        <f t="shared" si="137"/>
        <v>60091279.858944863</v>
      </c>
    </row>
    <row r="229" spans="2:29" s="1090" customFormat="1" ht="12">
      <c r="B229" s="934" t="s">
        <v>490</v>
      </c>
      <c r="C229" s="935"/>
      <c r="D229" s="1083">
        <f t="shared" ref="D229:AC229" si="138">D216*D203</f>
        <v>0</v>
      </c>
      <c r="E229" s="1083">
        <f t="shared" si="138"/>
        <v>0</v>
      </c>
      <c r="F229" s="1083">
        <f t="shared" si="138"/>
        <v>0</v>
      </c>
      <c r="G229" s="1083">
        <f t="shared" si="138"/>
        <v>0</v>
      </c>
      <c r="H229" s="1083">
        <f t="shared" si="138"/>
        <v>0</v>
      </c>
      <c r="I229" s="1083">
        <f t="shared" si="138"/>
        <v>0</v>
      </c>
      <c r="J229" s="1083">
        <f t="shared" si="138"/>
        <v>0</v>
      </c>
      <c r="K229" s="1083">
        <f t="shared" si="138"/>
        <v>0</v>
      </c>
      <c r="L229" s="1083">
        <f t="shared" si="138"/>
        <v>0</v>
      </c>
      <c r="M229" s="1083">
        <f t="shared" si="138"/>
        <v>0</v>
      </c>
      <c r="N229" s="1083">
        <f t="shared" si="138"/>
        <v>0</v>
      </c>
      <c r="O229" s="1083">
        <f t="shared" si="138"/>
        <v>0</v>
      </c>
      <c r="P229" s="1083">
        <f t="shared" si="138"/>
        <v>0</v>
      </c>
      <c r="Q229" s="1083">
        <f t="shared" si="138"/>
        <v>0</v>
      </c>
      <c r="R229" s="1083">
        <f t="shared" si="138"/>
        <v>147552391.75811067</v>
      </c>
      <c r="S229" s="1083">
        <f t="shared" si="138"/>
        <v>241579595.3774803</v>
      </c>
      <c r="T229" s="1083">
        <f t="shared" si="138"/>
        <v>296090399.53187537</v>
      </c>
      <c r="U229" s="1083">
        <f t="shared" si="138"/>
        <v>326710001.35847288</v>
      </c>
      <c r="V229" s="1083">
        <f t="shared" si="138"/>
        <v>390036399.60403353</v>
      </c>
      <c r="W229" s="1083">
        <f t="shared" si="138"/>
        <v>532120782.40664095</v>
      </c>
      <c r="X229" s="1083">
        <f t="shared" si="138"/>
        <v>655323210.35403967</v>
      </c>
      <c r="Y229" s="1083">
        <f t="shared" si="138"/>
        <v>836544708.60158014</v>
      </c>
      <c r="Z229" s="1083">
        <f t="shared" si="138"/>
        <v>918079707.42792726</v>
      </c>
      <c r="AA229" s="1083">
        <f t="shared" si="138"/>
        <v>1016421428.0553187</v>
      </c>
      <c r="AB229" s="1083">
        <f t="shared" si="138"/>
        <v>1081336861.0186405</v>
      </c>
      <c r="AC229" s="1083">
        <f t="shared" si="138"/>
        <v>1133009591.3246124</v>
      </c>
    </row>
    <row r="230" spans="2:29" s="1090" customFormat="1" ht="12.75" thickBot="1">
      <c r="B230" s="1015" t="s">
        <v>491</v>
      </c>
      <c r="C230" s="1027"/>
      <c r="D230" s="1085">
        <f t="shared" ref="D230:AC230" si="139">D217*D204</f>
        <v>501112964.12551761</v>
      </c>
      <c r="E230" s="1085">
        <f t="shared" si="139"/>
        <v>529466333.60203618</v>
      </c>
      <c r="F230" s="1085">
        <f t="shared" si="139"/>
        <v>571659288.35960579</v>
      </c>
      <c r="G230" s="1085">
        <f t="shared" si="139"/>
        <v>622542949.73563576</v>
      </c>
      <c r="H230" s="1085">
        <f t="shared" si="139"/>
        <v>684711574.86114442</v>
      </c>
      <c r="I230" s="1085">
        <f t="shared" si="139"/>
        <v>748518902.07891285</v>
      </c>
      <c r="J230" s="1085">
        <f t="shared" si="139"/>
        <v>834784893.63295925</v>
      </c>
      <c r="K230" s="1085">
        <f t="shared" si="139"/>
        <v>954112879.98972297</v>
      </c>
      <c r="L230" s="1085">
        <f t="shared" si="139"/>
        <v>1064890865.1396135</v>
      </c>
      <c r="M230" s="1085">
        <f t="shared" si="139"/>
        <v>1215797757.8010008</v>
      </c>
      <c r="N230" s="1085">
        <f t="shared" si="139"/>
        <v>1463491561.2751124</v>
      </c>
      <c r="O230" s="1085">
        <f t="shared" si="139"/>
        <v>1574700823.1236327</v>
      </c>
      <c r="P230" s="1085">
        <f t="shared" si="139"/>
        <v>1712550259.6925168</v>
      </c>
      <c r="Q230" s="1085">
        <f t="shared" si="139"/>
        <v>1822693974.2527282</v>
      </c>
      <c r="R230" s="1085">
        <f t="shared" si="139"/>
        <v>1347646426.1408198</v>
      </c>
      <c r="S230" s="1085">
        <f t="shared" si="139"/>
        <v>1313405119.4460144</v>
      </c>
      <c r="T230" s="1085">
        <f t="shared" si="139"/>
        <v>1107765062.1645396</v>
      </c>
      <c r="U230" s="1085">
        <f t="shared" si="139"/>
        <v>721068930.14127374</v>
      </c>
      <c r="V230" s="1085">
        <f t="shared" si="139"/>
        <v>444844003.20529032</v>
      </c>
      <c r="W230" s="1085">
        <f t="shared" si="139"/>
        <v>339988932.19080484</v>
      </c>
      <c r="X230" s="1085">
        <f t="shared" si="139"/>
        <v>357705435.66379738</v>
      </c>
      <c r="Y230" s="1085">
        <f t="shared" si="139"/>
        <v>240225957.48842186</v>
      </c>
      <c r="Z230" s="1085">
        <f t="shared" si="139"/>
        <v>247636873.43735886</v>
      </c>
      <c r="AA230" s="1085">
        <f t="shared" si="139"/>
        <v>254197322.00188333</v>
      </c>
      <c r="AB230" s="1085">
        <f t="shared" si="139"/>
        <v>260909232.20945761</v>
      </c>
      <c r="AC230" s="1085">
        <f t="shared" si="139"/>
        <v>269477911.98591751</v>
      </c>
    </row>
    <row r="231" spans="2:29" ht="12" thickTop="1">
      <c r="B231" s="1035" t="s">
        <v>263</v>
      </c>
      <c r="C231" s="1036"/>
      <c r="D231" s="1036">
        <f>D220+D227+D230</f>
        <v>939783579.84167755</v>
      </c>
      <c r="E231" s="1036">
        <f>E220+E227+E230</f>
        <v>992957281.13219559</v>
      </c>
      <c r="F231" s="1036">
        <f>F220+F227+F230</f>
        <v>1072085639.2168105</v>
      </c>
      <c r="G231" s="1036">
        <f t="shared" ref="G231:X231" si="140">G220+G227+G230</f>
        <v>1167512484.7921715</v>
      </c>
      <c r="H231" s="1036">
        <f t="shared" si="140"/>
        <v>1284103068.6662929</v>
      </c>
      <c r="I231" s="1036">
        <f t="shared" si="140"/>
        <v>1403766862.4328094</v>
      </c>
      <c r="J231" s="1036">
        <f t="shared" si="140"/>
        <v>1565549470.6770997</v>
      </c>
      <c r="K231" s="1036">
        <f t="shared" si="140"/>
        <v>1799353864.9647274</v>
      </c>
      <c r="L231" s="1036">
        <f t="shared" si="140"/>
        <v>2099467416.0898919</v>
      </c>
      <c r="M231" s="1036">
        <f t="shared" si="140"/>
        <v>2447366747.0999699</v>
      </c>
      <c r="N231" s="1036">
        <f t="shared" si="140"/>
        <v>2997490381.4170437</v>
      </c>
      <c r="O231" s="1036">
        <f t="shared" si="140"/>
        <v>3250600441.7414198</v>
      </c>
      <c r="P231" s="1036">
        <f t="shared" si="140"/>
        <v>3532167364.6756473</v>
      </c>
      <c r="Q231" s="1036">
        <f t="shared" si="140"/>
        <v>3829640958.7282028</v>
      </c>
      <c r="R231" s="1036">
        <f t="shared" si="140"/>
        <v>3954517474.7203321</v>
      </c>
      <c r="S231" s="1036">
        <f t="shared" si="140"/>
        <v>4057319982.3648758</v>
      </c>
      <c r="T231" s="1036">
        <f t="shared" si="140"/>
        <v>4152317728.9086523</v>
      </c>
      <c r="U231" s="1036">
        <f t="shared" si="140"/>
        <v>4198566137.9310627</v>
      </c>
      <c r="V231" s="1036">
        <f t="shared" si="140"/>
        <v>4236973891.8021832</v>
      </c>
      <c r="W231" s="1036">
        <f t="shared" si="140"/>
        <v>4356018469.7875948</v>
      </c>
      <c r="X231" s="1036">
        <f t="shared" si="140"/>
        <v>4379454666.3976383</v>
      </c>
      <c r="Y231" s="1036">
        <f>Y220+Y227+Y230</f>
        <v>4302329465.1220284</v>
      </c>
      <c r="Z231" s="1036">
        <f>Z220+Z227+Z230</f>
        <v>4273116105.6625867</v>
      </c>
      <c r="AA231" s="1036">
        <f>AA220+AA227+AA230</f>
        <v>4238158863.170856</v>
      </c>
      <c r="AB231" s="1036">
        <f>AB220+AB227+AB230</f>
        <v>4135915315.4270506</v>
      </c>
      <c r="AC231" s="1036">
        <f>AC220+AC227+AC230</f>
        <v>3630859925.722899</v>
      </c>
    </row>
    <row r="232" spans="2:29">
      <c r="B232" s="1091"/>
      <c r="C232" s="1039" t="s">
        <v>493</v>
      </c>
      <c r="D232" s="1039"/>
      <c r="E232" s="1039"/>
      <c r="F232" s="1039"/>
      <c r="G232" s="1039"/>
      <c r="H232" s="1039"/>
      <c r="I232" s="1039"/>
      <c r="J232" s="1039"/>
      <c r="K232" s="1039"/>
      <c r="L232" s="1039"/>
      <c r="M232" s="1039"/>
      <c r="N232" s="1039"/>
      <c r="O232" s="1039"/>
      <c r="P232" s="1039"/>
      <c r="Q232" s="1039"/>
      <c r="R232" s="1039"/>
      <c r="S232" s="1039"/>
      <c r="T232" s="1039"/>
      <c r="U232" s="1039"/>
      <c r="V232" s="1039"/>
      <c r="W232" s="1039"/>
      <c r="X232" s="1039"/>
      <c r="Y232" s="1039"/>
      <c r="Z232" s="1039"/>
      <c r="AA232" s="1039"/>
      <c r="AB232" s="1039"/>
      <c r="AC232" s="1039"/>
    </row>
    <row r="233" spans="2:29" ht="5.25" customHeight="1">
      <c r="B233" s="1092"/>
      <c r="C233" s="1093"/>
      <c r="D233" s="1093"/>
      <c r="E233" s="1093"/>
      <c r="F233" s="1093"/>
      <c r="G233" s="1093"/>
      <c r="H233" s="1093"/>
      <c r="I233" s="1093"/>
      <c r="J233" s="1093"/>
      <c r="K233" s="1093"/>
      <c r="L233" s="1093"/>
      <c r="M233" s="1093"/>
      <c r="N233" s="1093"/>
      <c r="O233" s="1093"/>
      <c r="P233" s="1093"/>
      <c r="Q233" s="1093"/>
      <c r="R233" s="1093"/>
      <c r="S233" s="1093"/>
      <c r="T233" s="1093"/>
      <c r="U233" s="1093"/>
      <c r="V233" s="1093"/>
      <c r="W233" s="1093"/>
      <c r="X233" s="1093"/>
      <c r="Y233" s="1093"/>
      <c r="Z233" s="1093"/>
      <c r="AA233" s="1093"/>
      <c r="AB233" s="1093"/>
      <c r="AC233" s="1093"/>
    </row>
    <row r="234" spans="2:29" ht="12.75">
      <c r="B234" s="979"/>
      <c r="C234" s="979"/>
      <c r="D234" s="979"/>
      <c r="E234" s="979"/>
      <c r="F234" s="979"/>
      <c r="G234" s="979"/>
      <c r="H234" s="979"/>
      <c r="I234" s="979"/>
      <c r="J234" s="979"/>
      <c r="K234" s="979"/>
      <c r="L234" s="979"/>
      <c r="M234" s="979"/>
      <c r="N234" s="979"/>
      <c r="O234" s="979"/>
      <c r="P234" s="979"/>
      <c r="Q234" s="979"/>
      <c r="R234" s="979"/>
      <c r="S234" s="979"/>
      <c r="T234" s="979"/>
      <c r="U234" s="979"/>
      <c r="V234" s="979"/>
      <c r="W234" s="979"/>
      <c r="X234" s="979"/>
      <c r="Y234" s="979"/>
      <c r="Z234" s="979"/>
      <c r="AA234" s="979"/>
      <c r="AB234" s="979"/>
      <c r="AC234" s="979"/>
    </row>
    <row r="235" spans="2:29" ht="12.75" thickBot="1">
      <c r="B235" s="1042" t="s">
        <v>529</v>
      </c>
      <c r="C235" s="1043"/>
      <c r="D235" s="977">
        <f t="shared" ref="D235:AC235" si="141">D2</f>
        <v>2005</v>
      </c>
      <c r="E235" s="977">
        <f t="shared" si="141"/>
        <v>2006</v>
      </c>
      <c r="F235" s="977">
        <f t="shared" si="141"/>
        <v>2007</v>
      </c>
      <c r="G235" s="977">
        <f t="shared" si="141"/>
        <v>2008</v>
      </c>
      <c r="H235" s="977">
        <f t="shared" si="141"/>
        <v>2009</v>
      </c>
      <c r="I235" s="977">
        <f t="shared" si="141"/>
        <v>2010</v>
      </c>
      <c r="J235" s="977">
        <f t="shared" si="141"/>
        <v>2011</v>
      </c>
      <c r="K235" s="977">
        <f t="shared" si="141"/>
        <v>2012</v>
      </c>
      <c r="L235" s="977">
        <f t="shared" si="141"/>
        <v>2013</v>
      </c>
      <c r="M235" s="977">
        <f t="shared" si="141"/>
        <v>2014</v>
      </c>
      <c r="N235" s="977">
        <f t="shared" si="141"/>
        <v>2015</v>
      </c>
      <c r="O235" s="977">
        <f t="shared" si="141"/>
        <v>2016</v>
      </c>
      <c r="P235" s="977">
        <f t="shared" si="141"/>
        <v>2017</v>
      </c>
      <c r="Q235" s="977">
        <f t="shared" si="141"/>
        <v>2018</v>
      </c>
      <c r="R235" s="977">
        <f t="shared" si="141"/>
        <v>2019</v>
      </c>
      <c r="S235" s="977">
        <f t="shared" si="141"/>
        <v>2020</v>
      </c>
      <c r="T235" s="977">
        <f t="shared" si="141"/>
        <v>2021</v>
      </c>
      <c r="U235" s="977">
        <f t="shared" si="141"/>
        <v>2022</v>
      </c>
      <c r="V235" s="977">
        <f t="shared" si="141"/>
        <v>2023</v>
      </c>
      <c r="W235" s="977">
        <f t="shared" si="141"/>
        <v>2024</v>
      </c>
      <c r="X235" s="977">
        <f t="shared" si="141"/>
        <v>2025</v>
      </c>
      <c r="Y235" s="977">
        <f t="shared" si="141"/>
        <v>2026</v>
      </c>
      <c r="Z235" s="977">
        <f t="shared" si="141"/>
        <v>2027</v>
      </c>
      <c r="AA235" s="977">
        <f t="shared" si="141"/>
        <v>2028</v>
      </c>
      <c r="AB235" s="977">
        <f t="shared" si="141"/>
        <v>2029</v>
      </c>
      <c r="AC235" s="977">
        <f t="shared" si="141"/>
        <v>2030</v>
      </c>
    </row>
    <row r="236" spans="2:29" ht="12" thickTop="1">
      <c r="B236" s="1044" t="s">
        <v>530</v>
      </c>
      <c r="C236" s="1045"/>
      <c r="D236" s="1046">
        <v>0.35</v>
      </c>
      <c r="E236" s="1046">
        <v>0.35</v>
      </c>
      <c r="F236" s="1046">
        <f>E236</f>
        <v>0.35</v>
      </c>
      <c r="G236" s="1046">
        <f t="shared" ref="G236:X236" si="142">F236</f>
        <v>0.35</v>
      </c>
      <c r="H236" s="1046">
        <f t="shared" si="142"/>
        <v>0.35</v>
      </c>
      <c r="I236" s="1046">
        <f t="shared" si="142"/>
        <v>0.35</v>
      </c>
      <c r="J236" s="1046">
        <f t="shared" si="142"/>
        <v>0.35</v>
      </c>
      <c r="K236" s="1046">
        <f t="shared" si="142"/>
        <v>0.35</v>
      </c>
      <c r="L236" s="1046">
        <f t="shared" si="142"/>
        <v>0.35</v>
      </c>
      <c r="M236" s="1046">
        <f t="shared" si="142"/>
        <v>0.35</v>
      </c>
      <c r="N236" s="1046">
        <f t="shared" si="142"/>
        <v>0.35</v>
      </c>
      <c r="O236" s="1046">
        <f t="shared" si="142"/>
        <v>0.35</v>
      </c>
      <c r="P236" s="1046">
        <f t="shared" si="142"/>
        <v>0.35</v>
      </c>
      <c r="Q236" s="1046">
        <f t="shared" si="142"/>
        <v>0.35</v>
      </c>
      <c r="R236" s="1046">
        <f t="shared" si="142"/>
        <v>0.35</v>
      </c>
      <c r="S236" s="1046">
        <f t="shared" si="142"/>
        <v>0.35</v>
      </c>
      <c r="T236" s="1046">
        <f t="shared" si="142"/>
        <v>0.35</v>
      </c>
      <c r="U236" s="1046">
        <f t="shared" si="142"/>
        <v>0.35</v>
      </c>
      <c r="V236" s="1046">
        <f t="shared" si="142"/>
        <v>0.35</v>
      </c>
      <c r="W236" s="1046">
        <f t="shared" si="142"/>
        <v>0.35</v>
      </c>
      <c r="X236" s="1046">
        <f t="shared" si="142"/>
        <v>0.35</v>
      </c>
      <c r="Y236" s="1046">
        <f>X236</f>
        <v>0.35</v>
      </c>
      <c r="Z236" s="1046">
        <f>Y236</f>
        <v>0.35</v>
      </c>
      <c r="AA236" s="1046">
        <f>Z236</f>
        <v>0.35</v>
      </c>
      <c r="AB236" s="1046">
        <f>AA236</f>
        <v>0.35</v>
      </c>
      <c r="AC236" s="1046">
        <f>AB236</f>
        <v>0.35</v>
      </c>
    </row>
    <row r="237" spans="2:29">
      <c r="B237" s="1047" t="s">
        <v>531</v>
      </c>
      <c r="C237" s="1048"/>
      <c r="D237" s="1049">
        <f t="shared" ref="D237:AC237" si="143">D236*D96</f>
        <v>19553.256950745337</v>
      </c>
      <c r="E237" s="1049">
        <f t="shared" si="143"/>
        <v>20103.108329715484</v>
      </c>
      <c r="F237" s="1049">
        <f t="shared" si="143"/>
        <v>20661.601549600055</v>
      </c>
      <c r="G237" s="1049">
        <f t="shared" si="143"/>
        <v>21370.528228296778</v>
      </c>
      <c r="H237" s="1049">
        <f t="shared" si="143"/>
        <v>22092.344216623878</v>
      </c>
      <c r="I237" s="1049">
        <f t="shared" si="143"/>
        <v>22812.997853740093</v>
      </c>
      <c r="J237" s="1049">
        <f t="shared" si="143"/>
        <v>23563.46260627119</v>
      </c>
      <c r="K237" s="1049">
        <f t="shared" si="143"/>
        <v>24438.173421047126</v>
      </c>
      <c r="L237" s="1049">
        <f t="shared" si="143"/>
        <v>25324.5234775709</v>
      </c>
      <c r="M237" s="1049">
        <f t="shared" si="143"/>
        <v>26514.058066090543</v>
      </c>
      <c r="N237" s="1049">
        <f t="shared" si="143"/>
        <v>27431.004424440191</v>
      </c>
      <c r="O237" s="1049">
        <f t="shared" si="143"/>
        <v>28362.654387417599</v>
      </c>
      <c r="P237" s="1049">
        <f t="shared" si="143"/>
        <v>29727.661271857109</v>
      </c>
      <c r="Q237" s="1049">
        <f t="shared" si="143"/>
        <v>31123.319765821598</v>
      </c>
      <c r="R237" s="1049">
        <f t="shared" si="143"/>
        <v>32658.687052095396</v>
      </c>
      <c r="S237" s="1049">
        <f t="shared" si="143"/>
        <v>34286.135781236793</v>
      </c>
      <c r="T237" s="1049">
        <f t="shared" si="143"/>
        <v>35944.144301153065</v>
      </c>
      <c r="U237" s="1049">
        <f t="shared" si="143"/>
        <v>37635.94229521363</v>
      </c>
      <c r="V237" s="1049">
        <f t="shared" si="143"/>
        <v>39005.304602295175</v>
      </c>
      <c r="W237" s="1049">
        <f t="shared" si="143"/>
        <v>40216.078760258504</v>
      </c>
      <c r="X237" s="1049">
        <f t="shared" si="143"/>
        <v>41372.881136853444</v>
      </c>
      <c r="Y237" s="1049">
        <f t="shared" si="143"/>
        <v>42248.915092349511</v>
      </c>
      <c r="Z237" s="1049">
        <f t="shared" si="143"/>
        <v>42910.077219744126</v>
      </c>
      <c r="AA237" s="1049">
        <f t="shared" si="143"/>
        <v>43428.702084101948</v>
      </c>
      <c r="AB237" s="1049">
        <f t="shared" si="143"/>
        <v>43940.919141344617</v>
      </c>
      <c r="AC237" s="1049">
        <f t="shared" si="143"/>
        <v>44263.119563047432</v>
      </c>
    </row>
    <row r="238" spans="2:29">
      <c r="B238" s="1047" t="s">
        <v>518</v>
      </c>
      <c r="C238" s="1048"/>
      <c r="D238" s="1050">
        <v>0.1</v>
      </c>
      <c r="E238" s="1050">
        <v>0.1</v>
      </c>
      <c r="F238" s="1050">
        <f>E238</f>
        <v>0.1</v>
      </c>
      <c r="G238" s="1050">
        <f t="shared" ref="G238:X238" si="144">F238</f>
        <v>0.1</v>
      </c>
      <c r="H238" s="1050">
        <f t="shared" si="144"/>
        <v>0.1</v>
      </c>
      <c r="I238" s="1050">
        <f t="shared" si="144"/>
        <v>0.1</v>
      </c>
      <c r="J238" s="1050">
        <f t="shared" si="144"/>
        <v>0.1</v>
      </c>
      <c r="K238" s="1050">
        <f t="shared" si="144"/>
        <v>0.1</v>
      </c>
      <c r="L238" s="1050">
        <f t="shared" si="144"/>
        <v>0.1</v>
      </c>
      <c r="M238" s="1050">
        <f t="shared" si="144"/>
        <v>0.1</v>
      </c>
      <c r="N238" s="1050">
        <f t="shared" si="144"/>
        <v>0.1</v>
      </c>
      <c r="O238" s="1050">
        <f t="shared" si="144"/>
        <v>0.1</v>
      </c>
      <c r="P238" s="1050">
        <f t="shared" si="144"/>
        <v>0.1</v>
      </c>
      <c r="Q238" s="1050">
        <f t="shared" si="144"/>
        <v>0.1</v>
      </c>
      <c r="R238" s="1050">
        <f t="shared" si="144"/>
        <v>0.1</v>
      </c>
      <c r="S238" s="1050">
        <f t="shared" si="144"/>
        <v>0.1</v>
      </c>
      <c r="T238" s="1050">
        <f t="shared" si="144"/>
        <v>0.1</v>
      </c>
      <c r="U238" s="1050">
        <f t="shared" si="144"/>
        <v>0.1</v>
      </c>
      <c r="V238" s="1050">
        <f t="shared" si="144"/>
        <v>0.1</v>
      </c>
      <c r="W238" s="1050">
        <f t="shared" si="144"/>
        <v>0.1</v>
      </c>
      <c r="X238" s="1050">
        <f t="shared" si="144"/>
        <v>0.1</v>
      </c>
      <c r="Y238" s="1050">
        <f>X238</f>
        <v>0.1</v>
      </c>
      <c r="Z238" s="1050">
        <f>Y238</f>
        <v>0.1</v>
      </c>
      <c r="AA238" s="1050">
        <f>Z238</f>
        <v>0.1</v>
      </c>
      <c r="AB238" s="1050">
        <f>AA238</f>
        <v>0.1</v>
      </c>
      <c r="AC238" s="1050">
        <f>AB238</f>
        <v>0.1</v>
      </c>
    </row>
    <row r="239" spans="2:29" ht="12" thickBot="1">
      <c r="B239" s="1051" t="s">
        <v>532</v>
      </c>
      <c r="C239" s="1052"/>
      <c r="D239" s="1053">
        <f>D237*(1-D238)</f>
        <v>17597.931255670803</v>
      </c>
      <c r="E239" s="1053">
        <f>E237*(1-E238)</f>
        <v>18092.797496743937</v>
      </c>
      <c r="F239" s="1053">
        <f>F237*(1-F238)</f>
        <v>18595.441394640049</v>
      </c>
      <c r="G239" s="1053">
        <f t="shared" ref="G239:X239" si="145">G237*(1-G238)</f>
        <v>19233.475405467099</v>
      </c>
      <c r="H239" s="1053">
        <f t="shared" si="145"/>
        <v>19883.109794961492</v>
      </c>
      <c r="I239" s="1053">
        <f t="shared" si="145"/>
        <v>20531.698068366084</v>
      </c>
      <c r="J239" s="1053">
        <f t="shared" si="145"/>
        <v>21207.116345644074</v>
      </c>
      <c r="K239" s="1053">
        <f t="shared" si="145"/>
        <v>21994.356078942415</v>
      </c>
      <c r="L239" s="1053">
        <f t="shared" si="145"/>
        <v>22792.071129813809</v>
      </c>
      <c r="M239" s="1053">
        <f t="shared" si="145"/>
        <v>23862.652259481489</v>
      </c>
      <c r="N239" s="1053">
        <f t="shared" si="145"/>
        <v>24687.903981996173</v>
      </c>
      <c r="O239" s="1053">
        <f t="shared" si="145"/>
        <v>25526.388948675838</v>
      </c>
      <c r="P239" s="1053">
        <f t="shared" si="145"/>
        <v>26754.895144671398</v>
      </c>
      <c r="Q239" s="1053">
        <f t="shared" si="145"/>
        <v>28010.98778923944</v>
      </c>
      <c r="R239" s="1053">
        <f t="shared" si="145"/>
        <v>29392.818346885859</v>
      </c>
      <c r="S239" s="1053">
        <f t="shared" si="145"/>
        <v>30857.522203113116</v>
      </c>
      <c r="T239" s="1053">
        <f t="shared" si="145"/>
        <v>32349.729871037758</v>
      </c>
      <c r="U239" s="1053">
        <f t="shared" si="145"/>
        <v>33872.348065692269</v>
      </c>
      <c r="V239" s="1053">
        <f t="shared" si="145"/>
        <v>35104.77414206566</v>
      </c>
      <c r="W239" s="1053">
        <f t="shared" si="145"/>
        <v>36194.470884232658</v>
      </c>
      <c r="X239" s="1053">
        <f t="shared" si="145"/>
        <v>37235.593023168098</v>
      </c>
      <c r="Y239" s="1053">
        <f>Y237*(1-Y238)</f>
        <v>38024.023583114562</v>
      </c>
      <c r="Z239" s="1053">
        <f>Z237*(1-Z238)</f>
        <v>38619.069497769713</v>
      </c>
      <c r="AA239" s="1053">
        <f>AA237*(1-AA238)</f>
        <v>39085.831875691751</v>
      </c>
      <c r="AB239" s="1053">
        <f>AB237*(1-AB238)</f>
        <v>39546.827227210153</v>
      </c>
      <c r="AC239" s="1053">
        <f>AC237*(1-AC238)</f>
        <v>39836.807606742688</v>
      </c>
    </row>
    <row r="240" spans="2:29" ht="12" thickTop="1">
      <c r="B240" s="1005"/>
      <c r="C240" s="976"/>
      <c r="D240" s="976"/>
      <c r="E240" s="976"/>
      <c r="F240" s="983"/>
      <c r="G240" s="976"/>
      <c r="H240" s="976"/>
      <c r="I240" s="983"/>
      <c r="J240" s="983"/>
      <c r="K240" s="976"/>
      <c r="L240" s="983"/>
      <c r="M240" s="983"/>
      <c r="N240" s="983"/>
      <c r="O240" s="983"/>
      <c r="P240" s="983"/>
      <c r="Q240" s="983"/>
      <c r="R240" s="983"/>
      <c r="S240" s="983"/>
      <c r="T240" s="983"/>
      <c r="U240" s="983"/>
      <c r="V240" s="983"/>
      <c r="W240" s="983"/>
      <c r="X240" s="983"/>
      <c r="Y240" s="983"/>
      <c r="Z240" s="983"/>
      <c r="AA240" s="983"/>
      <c r="AB240" s="983"/>
      <c r="AC240" s="983"/>
    </row>
    <row r="241" spans="2:31" ht="12">
      <c r="B241" s="1006" t="s">
        <v>533</v>
      </c>
      <c r="C241" s="976"/>
      <c r="D241" s="976"/>
      <c r="E241" s="976"/>
      <c r="F241" s="983"/>
      <c r="G241" s="976"/>
      <c r="H241" s="976"/>
      <c r="I241" s="983"/>
      <c r="J241" s="983"/>
      <c r="K241" s="976"/>
      <c r="L241" s="983"/>
      <c r="M241" s="983"/>
      <c r="N241" s="983"/>
      <c r="O241" s="983"/>
      <c r="P241" s="983"/>
      <c r="Q241" s="983"/>
      <c r="R241" s="983"/>
      <c r="S241" s="983"/>
      <c r="T241" s="983"/>
      <c r="U241" s="983"/>
      <c r="V241" s="983"/>
      <c r="W241" s="983"/>
      <c r="X241" s="983"/>
      <c r="Y241" s="983"/>
      <c r="Z241" s="983"/>
      <c r="AA241" s="983"/>
      <c r="AB241" s="983"/>
      <c r="AC241" s="983"/>
    </row>
    <row r="242" spans="2:31">
      <c r="B242" s="1007" t="s">
        <v>534</v>
      </c>
      <c r="C242" s="1008"/>
      <c r="D242" s="1054">
        <f t="shared" ref="D242:AC242" si="146">(((D58+D61)*D93*(1-D95))-(D194))*(D236*(1-D238))</f>
        <v>17597.931255670803</v>
      </c>
      <c r="E242" s="1054">
        <f t="shared" si="146"/>
        <v>18092.797496743937</v>
      </c>
      <c r="F242" s="1054">
        <f t="shared" si="146"/>
        <v>18595.441394640049</v>
      </c>
      <c r="G242" s="1054">
        <f t="shared" si="146"/>
        <v>19233.475405467096</v>
      </c>
      <c r="H242" s="1054">
        <f t="shared" si="146"/>
        <v>19883.109794961492</v>
      </c>
      <c r="I242" s="1054">
        <f t="shared" si="146"/>
        <v>20531.698068366088</v>
      </c>
      <c r="J242" s="1054">
        <f t="shared" si="146"/>
        <v>21207.116345644074</v>
      </c>
      <c r="K242" s="1054">
        <f t="shared" si="146"/>
        <v>21929.472728509529</v>
      </c>
      <c r="L242" s="1054">
        <f t="shared" si="146"/>
        <v>22064.092377927558</v>
      </c>
      <c r="M242" s="1054">
        <f t="shared" si="146"/>
        <v>22295.639610905859</v>
      </c>
      <c r="N242" s="1054">
        <f t="shared" si="146"/>
        <v>22551.906529473858</v>
      </c>
      <c r="O242" s="1054">
        <f t="shared" si="146"/>
        <v>23029.652845605855</v>
      </c>
      <c r="P242" s="1054">
        <f t="shared" si="146"/>
        <v>23247.328391204977</v>
      </c>
      <c r="Q242" s="1054">
        <f t="shared" si="146"/>
        <v>23128.112397819219</v>
      </c>
      <c r="R242" s="1054">
        <f t="shared" si="146"/>
        <v>19334.30198039805</v>
      </c>
      <c r="S242" s="1054">
        <f t="shared" si="146"/>
        <v>17340.076026817384</v>
      </c>
      <c r="T242" s="1054">
        <f t="shared" si="146"/>
        <v>15293.981791130524</v>
      </c>
      <c r="U242" s="1054">
        <f t="shared" si="146"/>
        <v>11163.309752010209</v>
      </c>
      <c r="V242" s="1054">
        <f t="shared" si="146"/>
        <v>8218.3786743989949</v>
      </c>
      <c r="W242" s="1054">
        <f t="shared" si="146"/>
        <v>8286.3621642362195</v>
      </c>
      <c r="X242" s="1054">
        <f t="shared" si="146"/>
        <v>8434.2341756778042</v>
      </c>
      <c r="Y242" s="1054">
        <f t="shared" si="146"/>
        <v>8439.0517940364389</v>
      </c>
      <c r="Z242" s="1054">
        <f t="shared" si="146"/>
        <v>8629.0448885816677</v>
      </c>
      <c r="AA242" s="1054">
        <f t="shared" si="146"/>
        <v>8979.891701776427</v>
      </c>
      <c r="AB242" s="1054">
        <f t="shared" si="146"/>
        <v>9140.2604428889463</v>
      </c>
      <c r="AC242" s="1054">
        <f t="shared" si="146"/>
        <v>9175.9106721180979</v>
      </c>
    </row>
    <row r="243" spans="2:31">
      <c r="B243" s="925" t="s">
        <v>482</v>
      </c>
      <c r="C243" s="926"/>
      <c r="D243" s="1046"/>
      <c r="E243" s="1046"/>
      <c r="F243" s="1046"/>
      <c r="G243" s="1046"/>
      <c r="H243" s="1046"/>
      <c r="I243" s="1046"/>
      <c r="J243" s="1046"/>
      <c r="K243" s="1046"/>
      <c r="L243" s="1046"/>
      <c r="M243" s="1046"/>
      <c r="N243" s="1046"/>
      <c r="O243" s="1046"/>
      <c r="P243" s="1046"/>
      <c r="Q243" s="1046"/>
      <c r="R243" s="1046"/>
      <c r="S243" s="1046"/>
      <c r="T243" s="1046"/>
      <c r="U243" s="1046"/>
      <c r="V243" s="1046"/>
      <c r="W243" s="1046"/>
      <c r="X243" s="1046"/>
      <c r="Y243" s="1046"/>
      <c r="Z243" s="1046"/>
      <c r="AA243" s="1046"/>
      <c r="AB243" s="1046"/>
      <c r="AC243" s="1046"/>
    </row>
    <row r="244" spans="2:31">
      <c r="B244" s="928" t="s">
        <v>483</v>
      </c>
      <c r="C244" s="929"/>
      <c r="D244" s="1094"/>
      <c r="E244" s="1094"/>
      <c r="F244" s="1094"/>
      <c r="G244" s="1094"/>
      <c r="H244" s="1094"/>
      <c r="I244" s="1094"/>
      <c r="J244" s="1094"/>
      <c r="K244" s="1094"/>
      <c r="L244" s="1094"/>
      <c r="M244" s="1094"/>
      <c r="N244" s="1094"/>
      <c r="O244" s="1094"/>
      <c r="P244" s="1094"/>
      <c r="Q244" s="1094"/>
      <c r="R244" s="1094"/>
      <c r="S244" s="1094"/>
      <c r="T244" s="1094"/>
      <c r="U244" s="1094"/>
      <c r="V244" s="1094"/>
      <c r="W244" s="1094"/>
      <c r="X244" s="1094"/>
      <c r="Y244" s="1094"/>
      <c r="Z244" s="1094"/>
      <c r="AA244" s="1094"/>
      <c r="AB244" s="1094"/>
      <c r="AC244" s="1094"/>
    </row>
    <row r="245" spans="2:31">
      <c r="B245" s="925" t="s">
        <v>484</v>
      </c>
      <c r="C245" s="926"/>
      <c r="D245" s="1095"/>
      <c r="E245" s="1095"/>
      <c r="F245" s="1095"/>
      <c r="G245" s="1095"/>
      <c r="H245" s="1095"/>
      <c r="I245" s="1095"/>
      <c r="J245" s="1095"/>
      <c r="K245" s="1095"/>
      <c r="L245" s="1095"/>
      <c r="M245" s="1095"/>
      <c r="N245" s="1095"/>
      <c r="O245" s="1095"/>
      <c r="P245" s="1095"/>
      <c r="Q245" s="1095"/>
      <c r="R245" s="1095"/>
      <c r="S245" s="1095"/>
      <c r="T245" s="1095"/>
      <c r="U245" s="1095"/>
      <c r="V245" s="1095"/>
      <c r="W245" s="1095"/>
      <c r="X245" s="1095"/>
      <c r="Y245" s="1095"/>
      <c r="Z245" s="1095"/>
      <c r="AA245" s="1095"/>
      <c r="AB245" s="1095"/>
      <c r="AC245" s="1095"/>
      <c r="AE245" s="914" t="s">
        <v>4</v>
      </c>
    </row>
    <row r="246" spans="2:31">
      <c r="B246" s="928" t="s">
        <v>485</v>
      </c>
      <c r="C246" s="929"/>
      <c r="D246" s="1094"/>
      <c r="E246" s="1094"/>
      <c r="F246" s="1094"/>
      <c r="G246" s="1094"/>
      <c r="H246" s="1094"/>
      <c r="I246" s="1094"/>
      <c r="J246" s="1094"/>
      <c r="K246" s="1094"/>
      <c r="L246" s="1094"/>
      <c r="M246" s="1094"/>
      <c r="N246" s="1094"/>
      <c r="O246" s="1094"/>
      <c r="P246" s="1094"/>
      <c r="Q246" s="1094"/>
      <c r="R246" s="1094"/>
      <c r="S246" s="1094"/>
      <c r="T246" s="1094"/>
      <c r="U246" s="1094"/>
      <c r="V246" s="1094"/>
      <c r="W246" s="1094"/>
      <c r="X246" s="1094"/>
      <c r="Y246" s="1094"/>
      <c r="Z246" s="1094"/>
      <c r="AA246" s="1094"/>
      <c r="AB246" s="1094"/>
      <c r="AC246" s="1094"/>
    </row>
    <row r="247" spans="2:31">
      <c r="B247" s="925" t="s">
        <v>486</v>
      </c>
      <c r="C247" s="926"/>
      <c r="D247" s="1046"/>
      <c r="E247" s="1046"/>
      <c r="F247" s="1046"/>
      <c r="G247" s="1046"/>
      <c r="H247" s="1046"/>
      <c r="I247" s="1046"/>
      <c r="J247" s="1046"/>
      <c r="K247" s="1046"/>
      <c r="L247" s="1046"/>
      <c r="M247" s="1046"/>
      <c r="N247" s="1046"/>
      <c r="O247" s="1046"/>
      <c r="P247" s="1046"/>
      <c r="Q247" s="1046"/>
      <c r="R247" s="1046"/>
      <c r="S247" s="1046"/>
      <c r="T247" s="1046"/>
      <c r="U247" s="1046"/>
      <c r="V247" s="1046"/>
      <c r="W247" s="1046"/>
      <c r="X247" s="1046"/>
      <c r="Y247" s="1046"/>
      <c r="Z247" s="1046"/>
      <c r="AA247" s="1046"/>
      <c r="AB247" s="1046"/>
      <c r="AC247" s="1046"/>
    </row>
    <row r="248" spans="2:31">
      <c r="B248" s="931" t="s">
        <v>487</v>
      </c>
      <c r="C248" s="929"/>
      <c r="D248" s="1094"/>
      <c r="E248" s="1094"/>
      <c r="F248" s="1094"/>
      <c r="G248" s="1094"/>
      <c r="H248" s="1094"/>
      <c r="I248" s="1094"/>
      <c r="J248" s="1094"/>
      <c r="K248" s="1094"/>
      <c r="L248" s="1094"/>
      <c r="M248" s="1094"/>
      <c r="N248" s="1094"/>
      <c r="O248" s="1094"/>
      <c r="P248" s="1094"/>
      <c r="Q248" s="1094"/>
      <c r="R248" s="1094"/>
      <c r="S248" s="1094"/>
      <c r="T248" s="1094"/>
      <c r="U248" s="1094"/>
      <c r="V248" s="1094"/>
      <c r="W248" s="1094"/>
      <c r="X248" s="1094"/>
      <c r="Y248" s="1094"/>
      <c r="Z248" s="1094"/>
      <c r="AA248" s="1094"/>
      <c r="AB248" s="1094"/>
      <c r="AC248" s="1094"/>
    </row>
    <row r="249" spans="2:31" ht="12">
      <c r="B249" s="1011" t="s">
        <v>488</v>
      </c>
      <c r="C249" s="1012"/>
      <c r="D249" s="1061"/>
      <c r="E249" s="1061"/>
      <c r="F249" s="1061"/>
      <c r="G249" s="1061"/>
      <c r="H249" s="1061"/>
      <c r="I249" s="1061"/>
      <c r="J249" s="1061"/>
      <c r="K249" s="1061"/>
      <c r="L249" s="1061"/>
      <c r="M249" s="1061"/>
      <c r="N249" s="1061"/>
      <c r="O249" s="1061"/>
      <c r="P249" s="1061"/>
      <c r="Q249" s="1061"/>
      <c r="R249" s="1061"/>
      <c r="S249" s="1061"/>
      <c r="T249" s="1061"/>
      <c r="U249" s="1061"/>
      <c r="V249" s="1061"/>
      <c r="W249" s="1061"/>
      <c r="X249" s="1061"/>
      <c r="Y249" s="1061"/>
      <c r="Z249" s="1061"/>
      <c r="AA249" s="1061"/>
      <c r="AB249" s="1061"/>
      <c r="AC249" s="1061"/>
    </row>
    <row r="250" spans="2:31" s="961" customFormat="1">
      <c r="B250" s="928" t="s">
        <v>489</v>
      </c>
      <c r="C250" s="929"/>
      <c r="D250" s="1096"/>
      <c r="E250" s="1096"/>
      <c r="F250" s="1096"/>
      <c r="G250" s="1096"/>
      <c r="H250" s="1096"/>
      <c r="I250" s="1096"/>
      <c r="J250" s="1096"/>
      <c r="K250" s="1096"/>
      <c r="L250" s="1096"/>
      <c r="M250" s="1096"/>
      <c r="N250" s="1096"/>
      <c r="O250" s="1096"/>
      <c r="P250" s="1096"/>
      <c r="Q250" s="1096"/>
      <c r="R250" s="1096"/>
      <c r="S250" s="1096"/>
      <c r="T250" s="1096"/>
      <c r="U250" s="1096"/>
      <c r="V250" s="1096"/>
      <c r="W250" s="1096"/>
      <c r="X250" s="1096"/>
      <c r="Y250" s="1096"/>
      <c r="Z250" s="1096"/>
      <c r="AA250" s="1096"/>
      <c r="AB250" s="1096"/>
      <c r="AC250" s="1096"/>
    </row>
    <row r="251" spans="2:31" s="961" customFormat="1">
      <c r="B251" s="934" t="s">
        <v>490</v>
      </c>
      <c r="C251" s="935"/>
      <c r="D251" s="1097"/>
      <c r="E251" s="1097"/>
      <c r="F251" s="1097"/>
      <c r="G251" s="1097"/>
      <c r="H251" s="1097"/>
      <c r="I251" s="1097"/>
      <c r="J251" s="1097"/>
      <c r="K251" s="1097"/>
      <c r="L251" s="1097"/>
      <c r="M251" s="1097"/>
      <c r="N251" s="1097"/>
      <c r="O251" s="1097"/>
      <c r="P251" s="1097"/>
      <c r="Q251" s="1097"/>
      <c r="R251" s="1097"/>
      <c r="S251" s="1097"/>
      <c r="T251" s="1097"/>
      <c r="U251" s="1097"/>
      <c r="V251" s="1097"/>
      <c r="W251" s="1097"/>
      <c r="X251" s="1097"/>
      <c r="Y251" s="1097"/>
      <c r="Z251" s="1097"/>
      <c r="AA251" s="1097"/>
      <c r="AB251" s="1097"/>
      <c r="AC251" s="1097"/>
    </row>
    <row r="252" spans="2:31" s="961" customFormat="1" ht="12" thickBot="1">
      <c r="B252" s="1015" t="s">
        <v>491</v>
      </c>
      <c r="C252" s="1027"/>
      <c r="D252" s="1084"/>
      <c r="E252" s="1084"/>
      <c r="F252" s="1084"/>
      <c r="G252" s="1084"/>
      <c r="H252" s="1084"/>
      <c r="I252" s="1084"/>
      <c r="J252" s="1084"/>
      <c r="K252" s="1084"/>
      <c r="L252" s="1084"/>
      <c r="M252" s="1084"/>
      <c r="N252" s="1084"/>
      <c r="O252" s="1084"/>
      <c r="P252" s="1084"/>
      <c r="Q252" s="1084"/>
      <c r="R252" s="1084"/>
      <c r="S252" s="1084"/>
      <c r="T252" s="1084"/>
      <c r="U252" s="1084"/>
      <c r="V252" s="1084"/>
      <c r="W252" s="1084"/>
      <c r="X252" s="1084"/>
      <c r="Y252" s="1084"/>
      <c r="Z252" s="1084"/>
      <c r="AA252" s="1084"/>
      <c r="AB252" s="1084"/>
      <c r="AC252" s="1084"/>
    </row>
    <row r="253" spans="2:31" ht="12" thickTop="1">
      <c r="B253" s="1005"/>
      <c r="C253" s="976"/>
      <c r="D253" s="976"/>
      <c r="E253" s="976"/>
      <c r="F253" s="983"/>
      <c r="G253" s="976"/>
      <c r="H253" s="976"/>
      <c r="I253" s="983"/>
      <c r="J253" s="983"/>
      <c r="K253" s="976"/>
      <c r="L253" s="983"/>
      <c r="M253" s="983"/>
      <c r="N253" s="983"/>
      <c r="O253" s="983"/>
      <c r="P253" s="983"/>
      <c r="Q253" s="983"/>
      <c r="R253" s="983"/>
      <c r="S253" s="983"/>
      <c r="T253" s="983"/>
      <c r="U253" s="983"/>
      <c r="V253" s="983"/>
      <c r="W253" s="983"/>
      <c r="X253" s="983"/>
      <c r="Y253" s="983"/>
      <c r="Z253" s="983"/>
      <c r="AA253" s="983"/>
      <c r="AB253" s="983"/>
      <c r="AC253" s="983"/>
    </row>
    <row r="254" spans="2:31" ht="12">
      <c r="B254" s="1006" t="s">
        <v>535</v>
      </c>
      <c r="C254" s="976"/>
      <c r="D254" s="976"/>
      <c r="E254" s="976"/>
      <c r="F254" s="983"/>
      <c r="G254" s="976"/>
      <c r="H254" s="976"/>
      <c r="I254" s="983"/>
      <c r="J254" s="983"/>
      <c r="K254" s="976"/>
      <c r="L254" s="983"/>
      <c r="M254" s="976"/>
      <c r="N254" s="976"/>
      <c r="O254" s="976"/>
      <c r="P254" s="976"/>
      <c r="Q254" s="976"/>
      <c r="R254" s="976"/>
      <c r="S254" s="976"/>
      <c r="T254" s="976"/>
      <c r="U254" s="976"/>
      <c r="V254" s="976"/>
      <c r="W254" s="976"/>
      <c r="X254" s="976"/>
      <c r="Y254" s="976"/>
      <c r="Z254" s="976"/>
      <c r="AA254" s="976"/>
      <c r="AB254" s="976"/>
      <c r="AC254" s="976"/>
    </row>
    <row r="255" spans="2:31">
      <c r="B255" s="1007" t="s">
        <v>481</v>
      </c>
      <c r="C255" s="1008"/>
      <c r="D255" s="1066">
        <f t="shared" ref="D255:J255" si="147">SUM(D256:D261)</f>
        <v>0</v>
      </c>
      <c r="E255" s="1066">
        <f t="shared" si="147"/>
        <v>0</v>
      </c>
      <c r="F255" s="1066">
        <f t="shared" si="147"/>
        <v>0</v>
      </c>
      <c r="G255" s="1066">
        <f t="shared" si="147"/>
        <v>0</v>
      </c>
      <c r="H255" s="1066">
        <f t="shared" si="147"/>
        <v>0</v>
      </c>
      <c r="I255" s="1066">
        <f t="shared" si="147"/>
        <v>0</v>
      </c>
      <c r="J255" s="1066">
        <f t="shared" si="147"/>
        <v>0</v>
      </c>
      <c r="K255" s="1418">
        <v>2E-3</v>
      </c>
      <c r="L255" s="1066">
        <v>9.5000000000000001E-2</v>
      </c>
      <c r="M255" s="1066">
        <v>0.16</v>
      </c>
      <c r="N255" s="1066">
        <v>0.22</v>
      </c>
      <c r="O255" s="1066">
        <v>0.26</v>
      </c>
      <c r="P255" s="1066">
        <v>0.32</v>
      </c>
      <c r="Q255" s="1066">
        <v>0.38</v>
      </c>
      <c r="R255" s="1066">
        <v>0.44</v>
      </c>
      <c r="S255" s="1066">
        <v>0.5</v>
      </c>
      <c r="T255" s="1066">
        <v>0.56000000000000005</v>
      </c>
      <c r="U255" s="1066">
        <v>0.62</v>
      </c>
      <c r="V255" s="1066">
        <v>0.67</v>
      </c>
      <c r="W255" s="1066">
        <v>0.7</v>
      </c>
      <c r="X255" s="1066">
        <v>0.75</v>
      </c>
      <c r="Y255" s="1066">
        <v>0.79</v>
      </c>
      <c r="Z255" s="1066">
        <v>0.83</v>
      </c>
      <c r="AA255" s="1066">
        <v>0.84</v>
      </c>
      <c r="AB255" s="1066">
        <v>0.85</v>
      </c>
      <c r="AC255" s="1066">
        <v>0.86</v>
      </c>
    </row>
    <row r="256" spans="2:31">
      <c r="B256" s="925" t="s">
        <v>482</v>
      </c>
      <c r="C256" s="926"/>
      <c r="D256" s="1067"/>
      <c r="E256" s="1067"/>
      <c r="F256" s="1067"/>
      <c r="G256" s="1067"/>
      <c r="H256" s="1067"/>
      <c r="I256" s="1067"/>
      <c r="J256" s="1067"/>
      <c r="K256" s="1067">
        <v>1</v>
      </c>
      <c r="L256" s="989">
        <f>L38</f>
        <v>1</v>
      </c>
      <c r="M256" s="989">
        <f t="shared" ref="M256:AC256" si="148">M38</f>
        <v>1</v>
      </c>
      <c r="N256" s="989">
        <f t="shared" si="148"/>
        <v>1</v>
      </c>
      <c r="O256" s="989">
        <f t="shared" si="148"/>
        <v>1</v>
      </c>
      <c r="P256" s="989">
        <f t="shared" si="148"/>
        <v>1</v>
      </c>
      <c r="Q256" s="989">
        <f t="shared" si="148"/>
        <v>1</v>
      </c>
      <c r="R256" s="989">
        <v>0.7</v>
      </c>
      <c r="S256" s="989">
        <f t="shared" si="148"/>
        <v>0.4</v>
      </c>
      <c r="T256" s="989">
        <f t="shared" si="148"/>
        <v>0.25</v>
      </c>
      <c r="U256" s="989">
        <f t="shared" si="148"/>
        <v>0.1</v>
      </c>
      <c r="V256" s="989">
        <f t="shared" si="148"/>
        <v>0.01</v>
      </c>
      <c r="W256" s="989">
        <f t="shared" si="148"/>
        <v>0.01</v>
      </c>
      <c r="X256" s="989">
        <f t="shared" si="148"/>
        <v>2E-3</v>
      </c>
      <c r="Y256" s="989">
        <f t="shared" si="148"/>
        <v>1E-3</v>
      </c>
      <c r="Z256" s="989">
        <f t="shared" si="148"/>
        <v>1E-3</v>
      </c>
      <c r="AA256" s="989">
        <f t="shared" si="148"/>
        <v>1E-3</v>
      </c>
      <c r="AB256" s="989">
        <f t="shared" si="148"/>
        <v>1E-3</v>
      </c>
      <c r="AC256" s="989">
        <f t="shared" si="148"/>
        <v>1E-3</v>
      </c>
    </row>
    <row r="257" spans="1:31">
      <c r="B257" s="928" t="s">
        <v>483</v>
      </c>
      <c r="C257" s="929"/>
      <c r="D257" s="1068"/>
      <c r="E257" s="1068"/>
      <c r="F257" s="1068"/>
      <c r="G257" s="1068"/>
      <c r="H257" s="1068"/>
      <c r="I257" s="1068"/>
      <c r="J257" s="1068"/>
      <c r="K257" s="1068"/>
      <c r="L257" s="991">
        <f t="shared" ref="L257:AC257" si="149">L39</f>
        <v>0</v>
      </c>
      <c r="M257" s="991">
        <f t="shared" si="149"/>
        <v>0</v>
      </c>
      <c r="N257" s="991">
        <f t="shared" si="149"/>
        <v>0</v>
      </c>
      <c r="O257" s="991">
        <f t="shared" si="149"/>
        <v>0</v>
      </c>
      <c r="P257" s="991">
        <f t="shared" si="149"/>
        <v>0</v>
      </c>
      <c r="Q257" s="991">
        <f t="shared" si="149"/>
        <v>0</v>
      </c>
      <c r="R257" s="991">
        <f t="shared" si="149"/>
        <v>0</v>
      </c>
      <c r="S257" s="991">
        <f t="shared" si="149"/>
        <v>0</v>
      </c>
      <c r="T257" s="991">
        <f t="shared" si="149"/>
        <v>0</v>
      </c>
      <c r="U257" s="991">
        <f t="shared" si="149"/>
        <v>0</v>
      </c>
      <c r="V257" s="991">
        <f t="shared" si="149"/>
        <v>0</v>
      </c>
      <c r="W257" s="991">
        <f t="shared" si="149"/>
        <v>0</v>
      </c>
      <c r="X257" s="991">
        <f t="shared" si="149"/>
        <v>0.05</v>
      </c>
      <c r="Y257" s="991">
        <f t="shared" si="149"/>
        <v>0.1</v>
      </c>
      <c r="Z257" s="991">
        <f t="shared" si="149"/>
        <v>0.15</v>
      </c>
      <c r="AA257" s="991">
        <f t="shared" si="149"/>
        <v>0.2</v>
      </c>
      <c r="AB257" s="991">
        <f t="shared" si="149"/>
        <v>0.25</v>
      </c>
      <c r="AC257" s="991">
        <f t="shared" si="149"/>
        <v>0.25</v>
      </c>
    </row>
    <row r="258" spans="1:31">
      <c r="B258" s="925" t="s">
        <v>484</v>
      </c>
      <c r="C258" s="926"/>
      <c r="D258" s="1067"/>
      <c r="E258" s="1067"/>
      <c r="F258" s="1067"/>
      <c r="G258" s="1067"/>
      <c r="H258" s="1067"/>
      <c r="I258" s="1067"/>
      <c r="J258" s="1067"/>
      <c r="K258" s="1067"/>
      <c r="L258" s="992">
        <f t="shared" ref="L258:AC258" si="150">L40</f>
        <v>0</v>
      </c>
      <c r="M258" s="992">
        <f t="shared" si="150"/>
        <v>0</v>
      </c>
      <c r="N258" s="992">
        <f t="shared" si="150"/>
        <v>0</v>
      </c>
      <c r="O258" s="992">
        <f t="shared" si="150"/>
        <v>0</v>
      </c>
      <c r="P258" s="992">
        <f t="shared" si="150"/>
        <v>0</v>
      </c>
      <c r="Q258" s="992">
        <f t="shared" si="150"/>
        <v>0</v>
      </c>
      <c r="R258" s="992">
        <v>0.1</v>
      </c>
      <c r="S258" s="992">
        <f t="shared" si="150"/>
        <v>0.2</v>
      </c>
      <c r="T258" s="992">
        <f t="shared" si="150"/>
        <v>0.25</v>
      </c>
      <c r="U258" s="992">
        <f t="shared" si="150"/>
        <v>0.3</v>
      </c>
      <c r="V258" s="992">
        <f t="shared" si="150"/>
        <v>0.33</v>
      </c>
      <c r="W258" s="992">
        <f t="shared" si="150"/>
        <v>0.33</v>
      </c>
      <c r="X258" s="992">
        <f t="shared" si="150"/>
        <v>0.30199999999999999</v>
      </c>
      <c r="Y258" s="992">
        <f t="shared" si="150"/>
        <v>0.28899999999999998</v>
      </c>
      <c r="Z258" s="992">
        <f t="shared" si="150"/>
        <v>0.27100000000000002</v>
      </c>
      <c r="AA258" s="992">
        <f t="shared" si="150"/>
        <v>0.26100000000000001</v>
      </c>
      <c r="AB258" s="992">
        <f t="shared" si="150"/>
        <v>0.22</v>
      </c>
      <c r="AC258" s="992">
        <f t="shared" si="150"/>
        <v>4.9000000000000002E-2</v>
      </c>
    </row>
    <row r="259" spans="1:31">
      <c r="B259" s="928" t="s">
        <v>485</v>
      </c>
      <c r="C259" s="929"/>
      <c r="D259" s="1068"/>
      <c r="E259" s="1068"/>
      <c r="F259" s="1068"/>
      <c r="G259" s="1068"/>
      <c r="H259" s="1068"/>
      <c r="I259" s="1068"/>
      <c r="J259" s="1068"/>
      <c r="K259" s="1068"/>
      <c r="L259" s="991">
        <f t="shared" ref="L259:AC259" si="151">L41</f>
        <v>0</v>
      </c>
      <c r="M259" s="991">
        <f t="shared" si="151"/>
        <v>0</v>
      </c>
      <c r="N259" s="991">
        <f t="shared" si="151"/>
        <v>0</v>
      </c>
      <c r="O259" s="991">
        <f t="shared" si="151"/>
        <v>0</v>
      </c>
      <c r="P259" s="991">
        <f t="shared" si="151"/>
        <v>0</v>
      </c>
      <c r="Q259" s="991">
        <f t="shared" si="151"/>
        <v>0</v>
      </c>
      <c r="R259" s="991">
        <f t="shared" si="151"/>
        <v>0.1</v>
      </c>
      <c r="S259" s="991">
        <f t="shared" si="151"/>
        <v>0.2</v>
      </c>
      <c r="T259" s="991">
        <f t="shared" si="151"/>
        <v>0.25</v>
      </c>
      <c r="U259" s="991">
        <f t="shared" si="151"/>
        <v>0.3</v>
      </c>
      <c r="V259" s="991">
        <f t="shared" si="151"/>
        <v>0.33</v>
      </c>
      <c r="W259" s="991">
        <f t="shared" si="151"/>
        <v>0.33</v>
      </c>
      <c r="X259" s="991">
        <f t="shared" si="151"/>
        <v>0.32300000000000001</v>
      </c>
      <c r="Y259" s="991">
        <f t="shared" si="151"/>
        <v>0.30499999999999999</v>
      </c>
      <c r="Z259" s="991">
        <f t="shared" si="151"/>
        <v>0.28899999999999998</v>
      </c>
      <c r="AA259" s="991">
        <f t="shared" si="151"/>
        <v>0.26900000000000002</v>
      </c>
      <c r="AB259" s="991">
        <f t="shared" si="151"/>
        <v>0.25</v>
      </c>
      <c r="AC259" s="991">
        <f t="shared" si="151"/>
        <v>0.22500000000000001</v>
      </c>
    </row>
    <row r="260" spans="1:31">
      <c r="B260" s="925" t="s">
        <v>486</v>
      </c>
      <c r="C260" s="926"/>
      <c r="D260" s="1067"/>
      <c r="E260" s="1067"/>
      <c r="F260" s="1067"/>
      <c r="G260" s="1067"/>
      <c r="H260" s="1067"/>
      <c r="I260" s="1067"/>
      <c r="J260" s="1067"/>
      <c r="K260" s="1067"/>
      <c r="L260" s="992">
        <f t="shared" ref="L260:AC260" si="152">L42</f>
        <v>0</v>
      </c>
      <c r="M260" s="992">
        <f t="shared" si="152"/>
        <v>0</v>
      </c>
      <c r="N260" s="992">
        <f t="shared" si="152"/>
        <v>0</v>
      </c>
      <c r="O260" s="992">
        <f t="shared" si="152"/>
        <v>0</v>
      </c>
      <c r="P260" s="992">
        <f t="shared" si="152"/>
        <v>0</v>
      </c>
      <c r="Q260" s="992">
        <f t="shared" si="152"/>
        <v>0</v>
      </c>
      <c r="R260" s="992">
        <f t="shared" si="152"/>
        <v>0.1</v>
      </c>
      <c r="S260" s="992">
        <f t="shared" si="152"/>
        <v>0.2</v>
      </c>
      <c r="T260" s="992">
        <f t="shared" si="152"/>
        <v>0.25</v>
      </c>
      <c r="U260" s="992">
        <f t="shared" si="152"/>
        <v>0.3</v>
      </c>
      <c r="V260" s="992">
        <f t="shared" si="152"/>
        <v>0.33</v>
      </c>
      <c r="W260" s="992">
        <f t="shared" si="152"/>
        <v>0.33</v>
      </c>
      <c r="X260" s="992">
        <f t="shared" si="152"/>
        <v>0.32300000000000001</v>
      </c>
      <c r="Y260" s="992">
        <f t="shared" si="152"/>
        <v>0.30499999999999999</v>
      </c>
      <c r="Z260" s="992">
        <f t="shared" si="152"/>
        <v>0.28899999999999998</v>
      </c>
      <c r="AA260" s="992">
        <f t="shared" si="152"/>
        <v>0.26900000000000002</v>
      </c>
      <c r="AB260" s="992">
        <f t="shared" si="152"/>
        <v>0.25</v>
      </c>
      <c r="AC260" s="992">
        <f t="shared" si="152"/>
        <v>0.22500000000000001</v>
      </c>
    </row>
    <row r="261" spans="1:31">
      <c r="B261" s="931" t="s">
        <v>487</v>
      </c>
      <c r="C261" s="929"/>
      <c r="D261" s="1068"/>
      <c r="E261" s="1068"/>
      <c r="F261" s="1068"/>
      <c r="G261" s="1068"/>
      <c r="H261" s="1068"/>
      <c r="I261" s="1068"/>
      <c r="J261" s="1068"/>
      <c r="K261" s="1068"/>
      <c r="L261" s="991">
        <f t="shared" ref="L261:AC261" si="153">L43</f>
        <v>0</v>
      </c>
      <c r="M261" s="991">
        <f t="shared" si="153"/>
        <v>0</v>
      </c>
      <c r="N261" s="991">
        <f t="shared" si="153"/>
        <v>0</v>
      </c>
      <c r="O261" s="991">
        <f t="shared" si="153"/>
        <v>0</v>
      </c>
      <c r="P261" s="991">
        <f t="shared" si="153"/>
        <v>0</v>
      </c>
      <c r="Q261" s="991">
        <f t="shared" si="153"/>
        <v>0</v>
      </c>
      <c r="R261" s="991">
        <f t="shared" si="153"/>
        <v>0</v>
      </c>
      <c r="S261" s="991">
        <f t="shared" si="153"/>
        <v>0</v>
      </c>
      <c r="T261" s="991">
        <f t="shared" si="153"/>
        <v>0</v>
      </c>
      <c r="U261" s="991">
        <f t="shared" si="153"/>
        <v>0</v>
      </c>
      <c r="V261" s="991">
        <f t="shared" si="153"/>
        <v>0</v>
      </c>
      <c r="W261" s="991">
        <f t="shared" si="153"/>
        <v>0</v>
      </c>
      <c r="X261" s="991">
        <f t="shared" si="153"/>
        <v>0</v>
      </c>
      <c r="Y261" s="991">
        <f t="shared" si="153"/>
        <v>0</v>
      </c>
      <c r="Z261" s="991">
        <f t="shared" si="153"/>
        <v>0</v>
      </c>
      <c r="AA261" s="991">
        <f t="shared" si="153"/>
        <v>0</v>
      </c>
      <c r="AB261" s="991">
        <f t="shared" si="153"/>
        <v>2.9000000000000001E-2</v>
      </c>
      <c r="AC261" s="991">
        <f t="shared" si="153"/>
        <v>0.25</v>
      </c>
    </row>
    <row r="262" spans="1:31" ht="12">
      <c r="A262" s="1098"/>
      <c r="B262" s="1011" t="s">
        <v>488</v>
      </c>
      <c r="C262" s="1012"/>
      <c r="D262" s="1414">
        <v>0.2</v>
      </c>
      <c r="E262" s="1069">
        <v>0.19500000000000001</v>
      </c>
      <c r="F262" s="1069">
        <v>0.19</v>
      </c>
      <c r="G262" s="1069">
        <v>0.185</v>
      </c>
      <c r="H262" s="1069">
        <v>0.18</v>
      </c>
      <c r="I262" s="1069">
        <v>0.17749999999999999</v>
      </c>
      <c r="J262" s="1069">
        <v>0.17499999999999999</v>
      </c>
      <c r="K262" s="1069">
        <v>0.17199999999999999</v>
      </c>
      <c r="L262" s="1069">
        <v>0.13</v>
      </c>
      <c r="M262" s="1069">
        <v>0.12</v>
      </c>
      <c r="N262" s="1069">
        <v>0.11</v>
      </c>
      <c r="O262" s="1069">
        <v>0.1</v>
      </c>
      <c r="P262" s="1069">
        <v>0.09</v>
      </c>
      <c r="Q262" s="1069">
        <v>0.08</v>
      </c>
      <c r="R262" s="1069">
        <v>0.06</v>
      </c>
      <c r="S262" s="1069">
        <v>0.06</v>
      </c>
      <c r="T262" s="1069">
        <v>7.0000000000000007E-2</v>
      </c>
      <c r="U262" s="1069">
        <v>0.08</v>
      </c>
      <c r="V262" s="1069">
        <v>0.09</v>
      </c>
      <c r="W262" s="1069">
        <v>0.1</v>
      </c>
      <c r="X262" s="1069">
        <v>0.1</v>
      </c>
      <c r="Y262" s="1069">
        <v>0.1</v>
      </c>
      <c r="Z262" s="1069">
        <v>0.1</v>
      </c>
      <c r="AA262" s="1069">
        <v>0.1</v>
      </c>
      <c r="AB262" s="1069">
        <v>0.1</v>
      </c>
      <c r="AC262" s="1069">
        <v>0.1</v>
      </c>
    </row>
    <row r="263" spans="1:31">
      <c r="B263" s="928" t="s">
        <v>489</v>
      </c>
      <c r="C263" s="929"/>
      <c r="D263" s="1068">
        <v>1</v>
      </c>
      <c r="E263" s="1068">
        <v>1</v>
      </c>
      <c r="F263" s="1068">
        <v>1</v>
      </c>
      <c r="G263" s="1068">
        <v>1</v>
      </c>
      <c r="H263" s="1068">
        <v>1</v>
      </c>
      <c r="I263" s="1068">
        <v>1</v>
      </c>
      <c r="J263" s="1068">
        <v>1</v>
      </c>
      <c r="K263" s="1068">
        <v>1</v>
      </c>
      <c r="L263" s="1068">
        <v>1</v>
      </c>
      <c r="M263" s="1068">
        <v>1</v>
      </c>
      <c r="N263" s="1068">
        <v>1</v>
      </c>
      <c r="O263" s="1388">
        <v>1</v>
      </c>
      <c r="P263" s="1388">
        <v>1</v>
      </c>
      <c r="Q263" s="1388">
        <v>1</v>
      </c>
      <c r="R263" s="990">
        <v>0.9</v>
      </c>
      <c r="S263" s="990">
        <v>0.75</v>
      </c>
      <c r="T263" s="990">
        <v>0.65</v>
      </c>
      <c r="U263" s="990">
        <v>0.55000000000000004</v>
      </c>
      <c r="V263" s="990">
        <v>0.4</v>
      </c>
      <c r="W263" s="990">
        <v>0.3</v>
      </c>
      <c r="X263" s="990">
        <v>0.2</v>
      </c>
      <c r="Y263" s="990">
        <v>0.1</v>
      </c>
      <c r="Z263" s="990">
        <v>7.0000000000000007E-2</v>
      </c>
      <c r="AA263" s="990">
        <v>0.05</v>
      </c>
      <c r="AB263" s="990">
        <v>0.04</v>
      </c>
      <c r="AC263" s="990">
        <v>0.03</v>
      </c>
    </row>
    <row r="264" spans="1:31">
      <c r="B264" s="934" t="s">
        <v>490</v>
      </c>
      <c r="C264" s="935"/>
      <c r="D264" s="1071"/>
      <c r="E264" s="1071"/>
      <c r="F264" s="1071"/>
      <c r="G264" s="1071"/>
      <c r="H264" s="1071"/>
      <c r="I264" s="1071"/>
      <c r="J264" s="1071"/>
      <c r="K264" s="1071"/>
      <c r="L264" s="1071"/>
      <c r="M264" s="1071"/>
      <c r="N264" s="1071"/>
      <c r="O264" s="989"/>
      <c r="P264" s="989"/>
      <c r="Q264" s="989"/>
      <c r="R264" s="988">
        <v>0.1</v>
      </c>
      <c r="S264" s="988">
        <v>0.25</v>
      </c>
      <c r="T264" s="988">
        <v>0.35</v>
      </c>
      <c r="U264" s="988">
        <v>0.45</v>
      </c>
      <c r="V264" s="988">
        <v>0.6</v>
      </c>
      <c r="W264" s="988">
        <v>0.7</v>
      </c>
      <c r="X264" s="988">
        <v>0.8</v>
      </c>
      <c r="Y264" s="988">
        <v>0.9</v>
      </c>
      <c r="Z264" s="988">
        <v>0.93</v>
      </c>
      <c r="AA264" s="988">
        <v>0.95</v>
      </c>
      <c r="AB264" s="988">
        <v>0.96</v>
      </c>
      <c r="AC264" s="988">
        <v>0.97</v>
      </c>
    </row>
    <row r="265" spans="1:31" ht="12" thickBot="1">
      <c r="B265" s="1015" t="s">
        <v>491</v>
      </c>
      <c r="C265" s="1016"/>
      <c r="D265" s="1416">
        <v>0.8</v>
      </c>
      <c r="E265" s="1073">
        <v>0.80500000000000005</v>
      </c>
      <c r="F265" s="1073">
        <v>0.81</v>
      </c>
      <c r="G265" s="1073">
        <v>0.81499999999999995</v>
      </c>
      <c r="H265" s="1073">
        <v>0.82</v>
      </c>
      <c r="I265" s="1073">
        <v>0.82250000000000001</v>
      </c>
      <c r="J265" s="1073">
        <v>0.82499999999999996</v>
      </c>
      <c r="K265" s="1073">
        <v>0.82599999999999996</v>
      </c>
      <c r="L265" s="1073">
        <v>0.77500000000000002</v>
      </c>
      <c r="M265" s="1073">
        <v>0.72</v>
      </c>
      <c r="N265" s="1073">
        <v>0.67</v>
      </c>
      <c r="O265" s="1073">
        <v>0.64</v>
      </c>
      <c r="P265" s="1073">
        <v>0.59</v>
      </c>
      <c r="Q265" s="1073">
        <v>0.54</v>
      </c>
      <c r="R265" s="1073">
        <v>0.5</v>
      </c>
      <c r="S265" s="1073">
        <v>0.44</v>
      </c>
      <c r="T265" s="1073">
        <v>0.37</v>
      </c>
      <c r="U265" s="1073">
        <v>0.3</v>
      </c>
      <c r="V265" s="1073">
        <v>0.24</v>
      </c>
      <c r="W265" s="1073">
        <v>0.2</v>
      </c>
      <c r="X265" s="1073">
        <v>0.15</v>
      </c>
      <c r="Y265" s="1073">
        <v>0.11</v>
      </c>
      <c r="Z265" s="1073">
        <v>7.0000000000000007E-2</v>
      </c>
      <c r="AA265" s="1073">
        <v>0.06</v>
      </c>
      <c r="AB265" s="1073">
        <v>0.05</v>
      </c>
      <c r="AC265" s="1073">
        <v>0.04</v>
      </c>
    </row>
    <row r="266" spans="1:31" s="1099" customFormat="1" ht="12" thickTop="1">
      <c r="B266" s="1100"/>
      <c r="C266" s="1101"/>
      <c r="D266" s="1102">
        <f>D255+D262+D265</f>
        <v>1</v>
      </c>
      <c r="E266" s="1102">
        <f t="shared" ref="E266:X266" si="154">E255+E262+E265</f>
        <v>1</v>
      </c>
      <c r="F266" s="1103">
        <f t="shared" si="154"/>
        <v>1</v>
      </c>
      <c r="G266" s="1102">
        <f t="shared" si="154"/>
        <v>1</v>
      </c>
      <c r="H266" s="1102">
        <f t="shared" si="154"/>
        <v>1</v>
      </c>
      <c r="I266" s="1103">
        <f t="shared" si="154"/>
        <v>1</v>
      </c>
      <c r="J266" s="1103">
        <f t="shared" si="154"/>
        <v>1</v>
      </c>
      <c r="K266" s="1102">
        <f t="shared" si="154"/>
        <v>1</v>
      </c>
      <c r="L266" s="1102">
        <f t="shared" si="154"/>
        <v>1</v>
      </c>
      <c r="M266" s="1102">
        <f t="shared" si="154"/>
        <v>1</v>
      </c>
      <c r="N266" s="1102">
        <f t="shared" si="154"/>
        <v>1</v>
      </c>
      <c r="O266" s="1102">
        <f t="shared" si="154"/>
        <v>1</v>
      </c>
      <c r="P266" s="1102">
        <f t="shared" si="154"/>
        <v>1</v>
      </c>
      <c r="Q266" s="1102">
        <f t="shared" si="154"/>
        <v>1</v>
      </c>
      <c r="R266" s="1102">
        <f t="shared" si="154"/>
        <v>1</v>
      </c>
      <c r="S266" s="1102">
        <f t="shared" si="154"/>
        <v>1</v>
      </c>
      <c r="T266" s="1102">
        <f t="shared" si="154"/>
        <v>1</v>
      </c>
      <c r="U266" s="1102">
        <f t="shared" si="154"/>
        <v>1</v>
      </c>
      <c r="V266" s="1102">
        <f t="shared" si="154"/>
        <v>1</v>
      </c>
      <c r="W266" s="1102">
        <f t="shared" si="154"/>
        <v>1</v>
      </c>
      <c r="X266" s="1102">
        <f t="shared" si="154"/>
        <v>1</v>
      </c>
      <c r="Y266" s="1102">
        <f>Y255+Y262+Y265</f>
        <v>1</v>
      </c>
      <c r="Z266" s="1102">
        <f>Z255+Z262+Z265</f>
        <v>1</v>
      </c>
      <c r="AA266" s="1102">
        <f>AA255+AA262+AA265</f>
        <v>1</v>
      </c>
      <c r="AB266" s="1102">
        <f>AB255+AB262+AB265</f>
        <v>1</v>
      </c>
      <c r="AC266" s="1102">
        <f>AC255+AC262+AC265</f>
        <v>1</v>
      </c>
    </row>
    <row r="267" spans="1:31" ht="12">
      <c r="B267" s="1006" t="s">
        <v>536</v>
      </c>
      <c r="C267" s="976"/>
      <c r="D267" s="976"/>
      <c r="E267" s="976"/>
      <c r="F267" s="983"/>
      <c r="G267" s="976"/>
      <c r="H267" s="976"/>
      <c r="I267" s="983"/>
      <c r="J267" s="983"/>
      <c r="K267" s="976"/>
      <c r="L267" s="983"/>
      <c r="M267" s="983"/>
      <c r="N267" s="983"/>
      <c r="O267" s="983"/>
      <c r="P267" s="1401"/>
      <c r="Q267" s="983"/>
      <c r="R267" s="983"/>
      <c r="S267" s="983"/>
      <c r="T267" s="983"/>
      <c r="U267" s="983"/>
      <c r="V267" s="983"/>
      <c r="W267" s="983"/>
      <c r="X267" s="983"/>
      <c r="Y267" s="983"/>
      <c r="Z267" s="983"/>
      <c r="AA267" s="983"/>
      <c r="AB267" s="983"/>
      <c r="AC267" s="983"/>
    </row>
    <row r="268" spans="1:31">
      <c r="B268" s="1007" t="s">
        <v>481</v>
      </c>
      <c r="C268" s="1008"/>
      <c r="D268" s="1054">
        <f>D255*D$242</f>
        <v>0</v>
      </c>
      <c r="E268" s="1054">
        <f t="shared" ref="E268:AC268" si="155">E255*E$242</f>
        <v>0</v>
      </c>
      <c r="F268" s="1054">
        <f t="shared" si="155"/>
        <v>0</v>
      </c>
      <c r="G268" s="1054">
        <f t="shared" si="155"/>
        <v>0</v>
      </c>
      <c r="H268" s="1054">
        <f t="shared" si="155"/>
        <v>0</v>
      </c>
      <c r="I268" s="1054">
        <f t="shared" si="155"/>
        <v>0</v>
      </c>
      <c r="J268" s="1054">
        <f t="shared" si="155"/>
        <v>0</v>
      </c>
      <c r="K268" s="1054">
        <f t="shared" si="155"/>
        <v>43.858945457019061</v>
      </c>
      <c r="L268" s="1054">
        <f t="shared" si="155"/>
        <v>2096.0887759031179</v>
      </c>
      <c r="M268" s="1054">
        <f t="shared" si="155"/>
        <v>3567.3023377449376</v>
      </c>
      <c r="N268" s="1054">
        <f t="shared" si="155"/>
        <v>4961.4194364842488</v>
      </c>
      <c r="O268" s="1054">
        <f t="shared" si="155"/>
        <v>5987.7097398575224</v>
      </c>
      <c r="P268" s="1054">
        <f t="shared" si="155"/>
        <v>7439.1450851855925</v>
      </c>
      <c r="Q268" s="1054">
        <f t="shared" si="155"/>
        <v>8788.6827111713028</v>
      </c>
      <c r="R268" s="1054">
        <f t="shared" si="155"/>
        <v>8507.0928713751418</v>
      </c>
      <c r="S268" s="1054">
        <f t="shared" si="155"/>
        <v>8670.0380134086918</v>
      </c>
      <c r="T268" s="1054">
        <f t="shared" si="155"/>
        <v>8564.6298030330945</v>
      </c>
      <c r="U268" s="1054">
        <f t="shared" si="155"/>
        <v>6921.2520462463299</v>
      </c>
      <c r="V268" s="1054">
        <f t="shared" si="155"/>
        <v>5506.3137118473269</v>
      </c>
      <c r="W268" s="1054">
        <f t="shared" si="155"/>
        <v>5800.453514965353</v>
      </c>
      <c r="X268" s="1054">
        <f t="shared" si="155"/>
        <v>6325.6756317583531</v>
      </c>
      <c r="Y268" s="1054">
        <f t="shared" si="155"/>
        <v>6666.8509172887871</v>
      </c>
      <c r="Z268" s="1054">
        <f t="shared" si="155"/>
        <v>7162.1072575227836</v>
      </c>
      <c r="AA268" s="1054">
        <f t="shared" si="155"/>
        <v>7543.1090294921987</v>
      </c>
      <c r="AB268" s="1054">
        <f t="shared" si="155"/>
        <v>7769.2213764556045</v>
      </c>
      <c r="AC268" s="1054">
        <f t="shared" si="155"/>
        <v>7891.2831780215638</v>
      </c>
    </row>
    <row r="269" spans="1:31">
      <c r="B269" s="925" t="s">
        <v>482</v>
      </c>
      <c r="C269" s="926"/>
      <c r="D269" s="1056">
        <f>D$268*D256</f>
        <v>0</v>
      </c>
      <c r="E269" s="1056">
        <f t="shared" ref="E269:AC269" si="156">E$268*E256</f>
        <v>0</v>
      </c>
      <c r="F269" s="1056">
        <f t="shared" si="156"/>
        <v>0</v>
      </c>
      <c r="G269" s="1056">
        <f t="shared" si="156"/>
        <v>0</v>
      </c>
      <c r="H269" s="1056">
        <f t="shared" si="156"/>
        <v>0</v>
      </c>
      <c r="I269" s="1056">
        <f t="shared" si="156"/>
        <v>0</v>
      </c>
      <c r="J269" s="1056">
        <f t="shared" si="156"/>
        <v>0</v>
      </c>
      <c r="K269" s="1056">
        <f t="shared" si="156"/>
        <v>43.858945457019061</v>
      </c>
      <c r="L269" s="1056">
        <f t="shared" si="156"/>
        <v>2096.0887759031179</v>
      </c>
      <c r="M269" s="1056">
        <f t="shared" si="156"/>
        <v>3567.3023377449376</v>
      </c>
      <c r="N269" s="1056">
        <f t="shared" si="156"/>
        <v>4961.4194364842488</v>
      </c>
      <c r="O269" s="1056">
        <f t="shared" si="156"/>
        <v>5987.7097398575224</v>
      </c>
      <c r="P269" s="1056">
        <f t="shared" si="156"/>
        <v>7439.1450851855925</v>
      </c>
      <c r="Q269" s="1056">
        <f t="shared" si="156"/>
        <v>8788.6827111713028</v>
      </c>
      <c r="R269" s="1056">
        <f t="shared" si="156"/>
        <v>5954.9650099625987</v>
      </c>
      <c r="S269" s="1056">
        <f t="shared" si="156"/>
        <v>3468.015205363477</v>
      </c>
      <c r="T269" s="1056">
        <f t="shared" si="156"/>
        <v>2141.1574507582736</v>
      </c>
      <c r="U269" s="1056">
        <f t="shared" si="156"/>
        <v>692.12520462463306</v>
      </c>
      <c r="V269" s="1056">
        <f t="shared" si="156"/>
        <v>55.063137118473271</v>
      </c>
      <c r="W269" s="1056">
        <f t="shared" si="156"/>
        <v>58.004535149653528</v>
      </c>
      <c r="X269" s="1056">
        <f t="shared" si="156"/>
        <v>12.651351263516707</v>
      </c>
      <c r="Y269" s="1056">
        <f t="shared" si="156"/>
        <v>6.6668509172887873</v>
      </c>
      <c r="Z269" s="1056">
        <f t="shared" si="156"/>
        <v>7.1621072575227833</v>
      </c>
      <c r="AA269" s="1056">
        <f t="shared" si="156"/>
        <v>7.5431090294921992</v>
      </c>
      <c r="AB269" s="1056">
        <f t="shared" si="156"/>
        <v>7.7692213764556044</v>
      </c>
      <c r="AC269" s="1056">
        <f t="shared" si="156"/>
        <v>7.8912831780215642</v>
      </c>
    </row>
    <row r="270" spans="1:31">
      <c r="B270" s="928" t="s">
        <v>483</v>
      </c>
      <c r="C270" s="929"/>
      <c r="D270" s="1058">
        <f t="shared" ref="D270:AC270" si="157">D$268*D257</f>
        <v>0</v>
      </c>
      <c r="E270" s="1058">
        <f t="shared" si="157"/>
        <v>0</v>
      </c>
      <c r="F270" s="1058">
        <f t="shared" si="157"/>
        <v>0</v>
      </c>
      <c r="G270" s="1058">
        <f t="shared" si="157"/>
        <v>0</v>
      </c>
      <c r="H270" s="1058">
        <f t="shared" si="157"/>
        <v>0</v>
      </c>
      <c r="I270" s="1058">
        <f t="shared" si="157"/>
        <v>0</v>
      </c>
      <c r="J270" s="1058">
        <f t="shared" si="157"/>
        <v>0</v>
      </c>
      <c r="K270" s="1058">
        <f t="shared" si="157"/>
        <v>0</v>
      </c>
      <c r="L270" s="1058">
        <f t="shared" si="157"/>
        <v>0</v>
      </c>
      <c r="M270" s="1058">
        <f t="shared" si="157"/>
        <v>0</v>
      </c>
      <c r="N270" s="1058">
        <f t="shared" si="157"/>
        <v>0</v>
      </c>
      <c r="O270" s="1058">
        <f t="shared" si="157"/>
        <v>0</v>
      </c>
      <c r="P270" s="1058">
        <f t="shared" si="157"/>
        <v>0</v>
      </c>
      <c r="Q270" s="1058">
        <f t="shared" si="157"/>
        <v>0</v>
      </c>
      <c r="R270" s="1058">
        <f t="shared" si="157"/>
        <v>0</v>
      </c>
      <c r="S270" s="1058">
        <f t="shared" si="157"/>
        <v>0</v>
      </c>
      <c r="T270" s="1058">
        <f t="shared" si="157"/>
        <v>0</v>
      </c>
      <c r="U270" s="1058">
        <f t="shared" si="157"/>
        <v>0</v>
      </c>
      <c r="V270" s="1058">
        <f t="shared" si="157"/>
        <v>0</v>
      </c>
      <c r="W270" s="1058">
        <f t="shared" si="157"/>
        <v>0</v>
      </c>
      <c r="X270" s="1058">
        <f t="shared" si="157"/>
        <v>316.2837815879177</v>
      </c>
      <c r="Y270" s="1058">
        <f t="shared" si="157"/>
        <v>666.68509172887877</v>
      </c>
      <c r="Z270" s="1058">
        <f t="shared" si="157"/>
        <v>1074.3160886284174</v>
      </c>
      <c r="AA270" s="1058">
        <f t="shared" si="157"/>
        <v>1508.6218058984398</v>
      </c>
      <c r="AB270" s="1058">
        <f t="shared" si="157"/>
        <v>1942.3053441139011</v>
      </c>
      <c r="AC270" s="1058">
        <f t="shared" si="157"/>
        <v>1972.8207945053909</v>
      </c>
    </row>
    <row r="271" spans="1:31">
      <c r="B271" s="925" t="s">
        <v>484</v>
      </c>
      <c r="C271" s="926"/>
      <c r="D271" s="1056">
        <f t="shared" ref="D271:AC271" si="158">D$268*D258</f>
        <v>0</v>
      </c>
      <c r="E271" s="1056">
        <f t="shared" si="158"/>
        <v>0</v>
      </c>
      <c r="F271" s="1056">
        <f t="shared" si="158"/>
        <v>0</v>
      </c>
      <c r="G271" s="1056">
        <f t="shared" si="158"/>
        <v>0</v>
      </c>
      <c r="H271" s="1056">
        <f t="shared" si="158"/>
        <v>0</v>
      </c>
      <c r="I271" s="1056">
        <f t="shared" si="158"/>
        <v>0</v>
      </c>
      <c r="J271" s="1056">
        <f t="shared" si="158"/>
        <v>0</v>
      </c>
      <c r="K271" s="1056">
        <f t="shared" si="158"/>
        <v>0</v>
      </c>
      <c r="L271" s="1056">
        <f t="shared" si="158"/>
        <v>0</v>
      </c>
      <c r="M271" s="1056">
        <f t="shared" si="158"/>
        <v>0</v>
      </c>
      <c r="N271" s="1056">
        <f t="shared" si="158"/>
        <v>0</v>
      </c>
      <c r="O271" s="1056">
        <f t="shared" si="158"/>
        <v>0</v>
      </c>
      <c r="P271" s="1056">
        <f t="shared" si="158"/>
        <v>0</v>
      </c>
      <c r="Q271" s="1056">
        <f t="shared" si="158"/>
        <v>0</v>
      </c>
      <c r="R271" s="1056">
        <f t="shared" si="158"/>
        <v>850.70928713751425</v>
      </c>
      <c r="S271" s="1056">
        <f t="shared" si="158"/>
        <v>1734.0076026817385</v>
      </c>
      <c r="T271" s="1056">
        <f t="shared" si="158"/>
        <v>2141.1574507582736</v>
      </c>
      <c r="U271" s="1056">
        <f t="shared" si="158"/>
        <v>2076.3756138738991</v>
      </c>
      <c r="V271" s="1056">
        <f t="shared" si="158"/>
        <v>1817.0835249096181</v>
      </c>
      <c r="W271" s="1056">
        <f t="shared" si="158"/>
        <v>1914.1496599385666</v>
      </c>
      <c r="X271" s="1056">
        <f t="shared" si="158"/>
        <v>1910.3540407910225</v>
      </c>
      <c r="Y271" s="1056">
        <f t="shared" si="158"/>
        <v>1926.7199150964593</v>
      </c>
      <c r="Z271" s="1056">
        <f t="shared" si="158"/>
        <v>1940.9310667886746</v>
      </c>
      <c r="AA271" s="1056">
        <f t="shared" si="158"/>
        <v>1968.7514566974639</v>
      </c>
      <c r="AB271" s="1056">
        <f t="shared" si="158"/>
        <v>1709.2287028202329</v>
      </c>
      <c r="AC271" s="1056">
        <f t="shared" si="158"/>
        <v>386.67287572305662</v>
      </c>
      <c r="AE271" s="914" t="s">
        <v>4</v>
      </c>
    </row>
    <row r="272" spans="1:31">
      <c r="B272" s="928" t="s">
        <v>485</v>
      </c>
      <c r="C272" s="929"/>
      <c r="D272" s="1058">
        <f t="shared" ref="D272:AC272" si="159">D$268*D259</f>
        <v>0</v>
      </c>
      <c r="E272" s="1058">
        <f t="shared" si="159"/>
        <v>0</v>
      </c>
      <c r="F272" s="1058">
        <f t="shared" si="159"/>
        <v>0</v>
      </c>
      <c r="G272" s="1058">
        <f t="shared" si="159"/>
        <v>0</v>
      </c>
      <c r="H272" s="1058">
        <f t="shared" si="159"/>
        <v>0</v>
      </c>
      <c r="I272" s="1058">
        <f t="shared" si="159"/>
        <v>0</v>
      </c>
      <c r="J272" s="1058">
        <f t="shared" si="159"/>
        <v>0</v>
      </c>
      <c r="K272" s="1058">
        <f t="shared" si="159"/>
        <v>0</v>
      </c>
      <c r="L272" s="1058">
        <f t="shared" si="159"/>
        <v>0</v>
      </c>
      <c r="M272" s="1058">
        <f t="shared" si="159"/>
        <v>0</v>
      </c>
      <c r="N272" s="1058">
        <f t="shared" si="159"/>
        <v>0</v>
      </c>
      <c r="O272" s="1058">
        <f t="shared" si="159"/>
        <v>0</v>
      </c>
      <c r="P272" s="1058">
        <f t="shared" si="159"/>
        <v>0</v>
      </c>
      <c r="Q272" s="1058">
        <f t="shared" si="159"/>
        <v>0</v>
      </c>
      <c r="R272" s="1058">
        <f t="shared" si="159"/>
        <v>850.70928713751425</v>
      </c>
      <c r="S272" s="1058">
        <f t="shared" si="159"/>
        <v>1734.0076026817385</v>
      </c>
      <c r="T272" s="1058">
        <f t="shared" si="159"/>
        <v>2141.1574507582736</v>
      </c>
      <c r="U272" s="1058">
        <f t="shared" si="159"/>
        <v>2076.3756138738991</v>
      </c>
      <c r="V272" s="1058">
        <f t="shared" si="159"/>
        <v>1817.0835249096181</v>
      </c>
      <c r="W272" s="1058">
        <f t="shared" si="159"/>
        <v>1914.1496599385666</v>
      </c>
      <c r="X272" s="1058">
        <f t="shared" si="159"/>
        <v>2043.1932290579482</v>
      </c>
      <c r="Y272" s="1058">
        <f t="shared" si="159"/>
        <v>2033.3895297730801</v>
      </c>
      <c r="Z272" s="1058">
        <f t="shared" si="159"/>
        <v>2069.8489974240842</v>
      </c>
      <c r="AA272" s="1058">
        <f t="shared" si="159"/>
        <v>2029.0963289334015</v>
      </c>
      <c r="AB272" s="1058">
        <f t="shared" si="159"/>
        <v>1942.3053441139011</v>
      </c>
      <c r="AC272" s="1058">
        <f t="shared" si="159"/>
        <v>1775.538715054852</v>
      </c>
    </row>
    <row r="273" spans="2:29">
      <c r="B273" s="925" t="s">
        <v>486</v>
      </c>
      <c r="C273" s="926"/>
      <c r="D273" s="1056">
        <f t="shared" ref="D273:AC273" si="160">D$268*D260</f>
        <v>0</v>
      </c>
      <c r="E273" s="1056">
        <f t="shared" si="160"/>
        <v>0</v>
      </c>
      <c r="F273" s="1056">
        <f t="shared" si="160"/>
        <v>0</v>
      </c>
      <c r="G273" s="1056">
        <f t="shared" si="160"/>
        <v>0</v>
      </c>
      <c r="H273" s="1056">
        <f t="shared" si="160"/>
        <v>0</v>
      </c>
      <c r="I273" s="1056">
        <f t="shared" si="160"/>
        <v>0</v>
      </c>
      <c r="J273" s="1056">
        <f t="shared" si="160"/>
        <v>0</v>
      </c>
      <c r="K273" s="1056">
        <f t="shared" si="160"/>
        <v>0</v>
      </c>
      <c r="L273" s="1056">
        <f t="shared" si="160"/>
        <v>0</v>
      </c>
      <c r="M273" s="1056">
        <f t="shared" si="160"/>
        <v>0</v>
      </c>
      <c r="N273" s="1056">
        <f t="shared" si="160"/>
        <v>0</v>
      </c>
      <c r="O273" s="1056">
        <f t="shared" si="160"/>
        <v>0</v>
      </c>
      <c r="P273" s="1056">
        <f t="shared" si="160"/>
        <v>0</v>
      </c>
      <c r="Q273" s="1056">
        <f t="shared" si="160"/>
        <v>0</v>
      </c>
      <c r="R273" s="1056">
        <f t="shared" si="160"/>
        <v>850.70928713751425</v>
      </c>
      <c r="S273" s="1056">
        <f t="shared" si="160"/>
        <v>1734.0076026817385</v>
      </c>
      <c r="T273" s="1056">
        <f t="shared" si="160"/>
        <v>2141.1574507582736</v>
      </c>
      <c r="U273" s="1056">
        <f t="shared" si="160"/>
        <v>2076.3756138738991</v>
      </c>
      <c r="V273" s="1056">
        <f t="shared" si="160"/>
        <v>1817.0835249096181</v>
      </c>
      <c r="W273" s="1056">
        <f t="shared" si="160"/>
        <v>1914.1496599385666</v>
      </c>
      <c r="X273" s="1056">
        <f t="shared" si="160"/>
        <v>2043.1932290579482</v>
      </c>
      <c r="Y273" s="1056">
        <f t="shared" si="160"/>
        <v>2033.3895297730801</v>
      </c>
      <c r="Z273" s="1056">
        <f t="shared" si="160"/>
        <v>2069.8489974240842</v>
      </c>
      <c r="AA273" s="1056">
        <f t="shared" si="160"/>
        <v>2029.0963289334015</v>
      </c>
      <c r="AB273" s="1056">
        <f t="shared" si="160"/>
        <v>1942.3053441139011</v>
      </c>
      <c r="AC273" s="1056">
        <f t="shared" si="160"/>
        <v>1775.538715054852</v>
      </c>
    </row>
    <row r="274" spans="2:29">
      <c r="B274" s="931" t="s">
        <v>487</v>
      </c>
      <c r="C274" s="929"/>
      <c r="D274" s="1058">
        <f t="shared" ref="D274:AC274" si="161">D$268*D261</f>
        <v>0</v>
      </c>
      <c r="E274" s="1058">
        <f t="shared" si="161"/>
        <v>0</v>
      </c>
      <c r="F274" s="1058">
        <f t="shared" si="161"/>
        <v>0</v>
      </c>
      <c r="G274" s="1058">
        <f t="shared" si="161"/>
        <v>0</v>
      </c>
      <c r="H274" s="1058">
        <f t="shared" si="161"/>
        <v>0</v>
      </c>
      <c r="I274" s="1058">
        <f t="shared" si="161"/>
        <v>0</v>
      </c>
      <c r="J274" s="1058">
        <f t="shared" si="161"/>
        <v>0</v>
      </c>
      <c r="K274" s="1058">
        <f t="shared" si="161"/>
        <v>0</v>
      </c>
      <c r="L274" s="1058">
        <f t="shared" si="161"/>
        <v>0</v>
      </c>
      <c r="M274" s="1058">
        <f t="shared" si="161"/>
        <v>0</v>
      </c>
      <c r="N274" s="1058">
        <f t="shared" si="161"/>
        <v>0</v>
      </c>
      <c r="O274" s="1058">
        <f t="shared" si="161"/>
        <v>0</v>
      </c>
      <c r="P274" s="1058">
        <f t="shared" si="161"/>
        <v>0</v>
      </c>
      <c r="Q274" s="1058">
        <f t="shared" si="161"/>
        <v>0</v>
      </c>
      <c r="R274" s="1058">
        <f t="shared" si="161"/>
        <v>0</v>
      </c>
      <c r="S274" s="1058">
        <f t="shared" si="161"/>
        <v>0</v>
      </c>
      <c r="T274" s="1058">
        <f t="shared" si="161"/>
        <v>0</v>
      </c>
      <c r="U274" s="1058">
        <f t="shared" si="161"/>
        <v>0</v>
      </c>
      <c r="V274" s="1058">
        <f t="shared" si="161"/>
        <v>0</v>
      </c>
      <c r="W274" s="1058">
        <f t="shared" si="161"/>
        <v>0</v>
      </c>
      <c r="X274" s="1058">
        <f t="shared" si="161"/>
        <v>0</v>
      </c>
      <c r="Y274" s="1058">
        <f t="shared" si="161"/>
        <v>0</v>
      </c>
      <c r="Z274" s="1058">
        <f t="shared" si="161"/>
        <v>0</v>
      </c>
      <c r="AA274" s="1058">
        <f t="shared" si="161"/>
        <v>0</v>
      </c>
      <c r="AB274" s="1058">
        <f t="shared" si="161"/>
        <v>225.30741991721254</v>
      </c>
      <c r="AC274" s="1058">
        <f t="shared" si="161"/>
        <v>1972.8207945053909</v>
      </c>
    </row>
    <row r="275" spans="2:29" ht="12">
      <c r="B275" s="1011" t="s">
        <v>488</v>
      </c>
      <c r="C275" s="1031"/>
      <c r="D275" s="1061">
        <f t="shared" ref="D275:AC275" si="162">D262*D$242</f>
        <v>3519.5862511341606</v>
      </c>
      <c r="E275" s="1061">
        <f t="shared" si="162"/>
        <v>3528.0955118650677</v>
      </c>
      <c r="F275" s="1061">
        <f t="shared" si="162"/>
        <v>3533.1338649816093</v>
      </c>
      <c r="G275" s="1061">
        <f t="shared" si="162"/>
        <v>3558.1929500114124</v>
      </c>
      <c r="H275" s="1061">
        <f t="shared" si="162"/>
        <v>3578.9597630930684</v>
      </c>
      <c r="I275" s="1061">
        <f t="shared" si="162"/>
        <v>3644.3764071349806</v>
      </c>
      <c r="J275" s="1061">
        <f t="shared" si="162"/>
        <v>3711.2453604877128</v>
      </c>
      <c r="K275" s="1061">
        <f t="shared" si="162"/>
        <v>3771.8693093036386</v>
      </c>
      <c r="L275" s="1061">
        <f t="shared" si="162"/>
        <v>2868.3320091305827</v>
      </c>
      <c r="M275" s="1061">
        <f t="shared" si="162"/>
        <v>2675.4767533087029</v>
      </c>
      <c r="N275" s="1061">
        <f t="shared" si="162"/>
        <v>2480.7097182421244</v>
      </c>
      <c r="O275" s="1061">
        <f t="shared" si="162"/>
        <v>2302.9652845605856</v>
      </c>
      <c r="P275" s="1061">
        <f t="shared" si="162"/>
        <v>2092.2595552084481</v>
      </c>
      <c r="Q275" s="1061">
        <f t="shared" si="162"/>
        <v>1850.2489918255376</v>
      </c>
      <c r="R275" s="1061">
        <f t="shared" si="162"/>
        <v>1160.058118823883</v>
      </c>
      <c r="S275" s="1061">
        <f t="shared" si="162"/>
        <v>1040.404561609043</v>
      </c>
      <c r="T275" s="1061">
        <f t="shared" si="162"/>
        <v>1070.5787253791368</v>
      </c>
      <c r="U275" s="1061">
        <f t="shared" si="162"/>
        <v>893.06478016081678</v>
      </c>
      <c r="V275" s="1061">
        <f t="shared" si="162"/>
        <v>739.65408069590956</v>
      </c>
      <c r="W275" s="1061">
        <f t="shared" si="162"/>
        <v>828.63621642362205</v>
      </c>
      <c r="X275" s="1061">
        <f t="shared" si="162"/>
        <v>843.42341756778046</v>
      </c>
      <c r="Y275" s="1061">
        <f t="shared" si="162"/>
        <v>843.90517940364396</v>
      </c>
      <c r="Z275" s="1061">
        <f t="shared" si="162"/>
        <v>862.90448885816681</v>
      </c>
      <c r="AA275" s="1061">
        <f t="shared" si="162"/>
        <v>897.98917017764279</v>
      </c>
      <c r="AB275" s="1061">
        <f t="shared" si="162"/>
        <v>914.0260442888947</v>
      </c>
      <c r="AC275" s="1061">
        <f t="shared" si="162"/>
        <v>917.59106721180979</v>
      </c>
    </row>
    <row r="276" spans="2:29" s="961" customFormat="1">
      <c r="B276" s="928" t="s">
        <v>489</v>
      </c>
      <c r="C276" s="929"/>
      <c r="D276" s="1010">
        <f>D$275*D263</f>
        <v>3519.5862511341606</v>
      </c>
      <c r="E276" s="1010">
        <f t="shared" ref="E276:AC276" si="163">E$275*E263</f>
        <v>3528.0955118650677</v>
      </c>
      <c r="F276" s="1010">
        <f t="shared" si="163"/>
        <v>3533.1338649816093</v>
      </c>
      <c r="G276" s="1010">
        <f t="shared" si="163"/>
        <v>3558.1929500114124</v>
      </c>
      <c r="H276" s="1010">
        <f t="shared" si="163"/>
        <v>3578.9597630930684</v>
      </c>
      <c r="I276" s="1010">
        <f t="shared" si="163"/>
        <v>3644.3764071349806</v>
      </c>
      <c r="J276" s="1010">
        <f t="shared" si="163"/>
        <v>3711.2453604877128</v>
      </c>
      <c r="K276" s="1010">
        <f t="shared" si="163"/>
        <v>3771.8693093036386</v>
      </c>
      <c r="L276" s="1010">
        <f t="shared" si="163"/>
        <v>2868.3320091305827</v>
      </c>
      <c r="M276" s="1010">
        <f t="shared" si="163"/>
        <v>2675.4767533087029</v>
      </c>
      <c r="N276" s="1010">
        <f t="shared" si="163"/>
        <v>2480.7097182421244</v>
      </c>
      <c r="O276" s="1010">
        <f t="shared" si="163"/>
        <v>2302.9652845605856</v>
      </c>
      <c r="P276" s="1010">
        <f t="shared" si="163"/>
        <v>2092.2595552084481</v>
      </c>
      <c r="Q276" s="1010">
        <f t="shared" si="163"/>
        <v>1850.2489918255376</v>
      </c>
      <c r="R276" s="1010">
        <f t="shared" si="163"/>
        <v>1044.0523069414946</v>
      </c>
      <c r="S276" s="1010">
        <f t="shared" si="163"/>
        <v>780.30342120678222</v>
      </c>
      <c r="T276" s="1010">
        <f t="shared" si="163"/>
        <v>695.87617149643893</v>
      </c>
      <c r="U276" s="1010">
        <f t="shared" si="163"/>
        <v>491.18562908844928</v>
      </c>
      <c r="V276" s="1010">
        <f t="shared" si="163"/>
        <v>295.86163227836386</v>
      </c>
      <c r="W276" s="1010">
        <f t="shared" si="163"/>
        <v>248.59086492708661</v>
      </c>
      <c r="X276" s="1010">
        <f t="shared" si="163"/>
        <v>168.68468351355611</v>
      </c>
      <c r="Y276" s="1010">
        <f t="shared" si="163"/>
        <v>84.390517940364404</v>
      </c>
      <c r="Z276" s="1010">
        <f t="shared" si="163"/>
        <v>60.403314220071685</v>
      </c>
      <c r="AA276" s="1010">
        <f t="shared" si="163"/>
        <v>44.899458508882141</v>
      </c>
      <c r="AB276" s="1010">
        <f t="shared" si="163"/>
        <v>36.561041771555786</v>
      </c>
      <c r="AC276" s="1010">
        <f t="shared" si="163"/>
        <v>27.527732016354292</v>
      </c>
    </row>
    <row r="277" spans="2:29" s="961" customFormat="1">
      <c r="B277" s="934" t="s">
        <v>490</v>
      </c>
      <c r="C277" s="935"/>
      <c r="D277" s="1063">
        <f t="shared" ref="D277:AC277" si="164">D$275*D264</f>
        <v>0</v>
      </c>
      <c r="E277" s="1063">
        <f t="shared" si="164"/>
        <v>0</v>
      </c>
      <c r="F277" s="1063">
        <f t="shared" si="164"/>
        <v>0</v>
      </c>
      <c r="G277" s="1063">
        <f t="shared" si="164"/>
        <v>0</v>
      </c>
      <c r="H277" s="1063">
        <f t="shared" si="164"/>
        <v>0</v>
      </c>
      <c r="I277" s="1063">
        <f t="shared" si="164"/>
        <v>0</v>
      </c>
      <c r="J277" s="1063">
        <f t="shared" si="164"/>
        <v>0</v>
      </c>
      <c r="K277" s="1063">
        <f t="shared" si="164"/>
        <v>0</v>
      </c>
      <c r="L277" s="1063">
        <f t="shared" si="164"/>
        <v>0</v>
      </c>
      <c r="M277" s="1063">
        <f t="shared" si="164"/>
        <v>0</v>
      </c>
      <c r="N277" s="1063">
        <f t="shared" si="164"/>
        <v>0</v>
      </c>
      <c r="O277" s="1063">
        <f t="shared" si="164"/>
        <v>0</v>
      </c>
      <c r="P277" s="1063">
        <f t="shared" si="164"/>
        <v>0</v>
      </c>
      <c r="Q277" s="1063">
        <f t="shared" si="164"/>
        <v>0</v>
      </c>
      <c r="R277" s="1063">
        <f t="shared" si="164"/>
        <v>116.0058118823883</v>
      </c>
      <c r="S277" s="1063">
        <f t="shared" si="164"/>
        <v>260.10114040226074</v>
      </c>
      <c r="T277" s="1063">
        <f t="shared" si="164"/>
        <v>374.70255388269788</v>
      </c>
      <c r="U277" s="1063">
        <f t="shared" si="164"/>
        <v>401.87915107236756</v>
      </c>
      <c r="V277" s="1063">
        <f t="shared" si="164"/>
        <v>443.7924484175457</v>
      </c>
      <c r="W277" s="1063">
        <f t="shared" si="164"/>
        <v>580.04535149653543</v>
      </c>
      <c r="X277" s="1063">
        <f t="shared" si="164"/>
        <v>674.73873405422444</v>
      </c>
      <c r="Y277" s="1063">
        <f t="shared" si="164"/>
        <v>759.51466146327959</v>
      </c>
      <c r="Z277" s="1063">
        <f t="shared" si="164"/>
        <v>802.50117463809522</v>
      </c>
      <c r="AA277" s="1063">
        <f t="shared" si="164"/>
        <v>853.08971166876063</v>
      </c>
      <c r="AB277" s="1063">
        <f t="shared" si="164"/>
        <v>877.46500251733892</v>
      </c>
      <c r="AC277" s="1063">
        <f t="shared" si="164"/>
        <v>890.06333519545547</v>
      </c>
    </row>
    <row r="278" spans="2:29" s="961" customFormat="1" ht="12" thickBot="1">
      <c r="B278" s="1015" t="s">
        <v>491</v>
      </c>
      <c r="C278" s="1016"/>
      <c r="D278" s="1084">
        <f t="shared" ref="D278:AC278" si="165">D265*D$242</f>
        <v>14078.345004536643</v>
      </c>
      <c r="E278" s="1084">
        <f t="shared" si="165"/>
        <v>14564.70198487887</v>
      </c>
      <c r="F278" s="1084">
        <f t="shared" si="165"/>
        <v>15062.307529658441</v>
      </c>
      <c r="G278" s="1084">
        <f t="shared" si="165"/>
        <v>15675.282455455683</v>
      </c>
      <c r="H278" s="1084">
        <f t="shared" si="165"/>
        <v>16304.150031868423</v>
      </c>
      <c r="I278" s="1084">
        <f t="shared" si="165"/>
        <v>16887.321661231108</v>
      </c>
      <c r="J278" s="1084">
        <f t="shared" si="165"/>
        <v>17495.870985156358</v>
      </c>
      <c r="K278" s="1084">
        <f t="shared" si="165"/>
        <v>18113.744473748869</v>
      </c>
      <c r="L278" s="1084">
        <f t="shared" si="165"/>
        <v>17099.671592893857</v>
      </c>
      <c r="M278" s="1084">
        <f t="shared" si="165"/>
        <v>16052.860519852218</v>
      </c>
      <c r="N278" s="1084">
        <f t="shared" si="165"/>
        <v>15109.777374747486</v>
      </c>
      <c r="O278" s="1084">
        <f t="shared" si="165"/>
        <v>14738.977821187747</v>
      </c>
      <c r="P278" s="1084">
        <f t="shared" si="165"/>
        <v>13715.923750810936</v>
      </c>
      <c r="Q278" s="1084">
        <f t="shared" si="165"/>
        <v>12489.180694822378</v>
      </c>
      <c r="R278" s="1084">
        <f t="shared" si="165"/>
        <v>9667.1509901990248</v>
      </c>
      <c r="S278" s="1084">
        <f t="shared" si="165"/>
        <v>7629.6334517996484</v>
      </c>
      <c r="T278" s="1084">
        <f t="shared" si="165"/>
        <v>5658.7732627182941</v>
      </c>
      <c r="U278" s="1084">
        <f t="shared" si="165"/>
        <v>3348.9929256030628</v>
      </c>
      <c r="V278" s="1084">
        <f t="shared" si="165"/>
        <v>1972.4108818557588</v>
      </c>
      <c r="W278" s="1084">
        <f t="shared" si="165"/>
        <v>1657.2724328472441</v>
      </c>
      <c r="X278" s="1084">
        <f t="shared" si="165"/>
        <v>1265.1351263516706</v>
      </c>
      <c r="Y278" s="1084">
        <f t="shared" si="165"/>
        <v>928.29569734400832</v>
      </c>
      <c r="Z278" s="1084">
        <f t="shared" si="165"/>
        <v>604.03314220071684</v>
      </c>
      <c r="AA278" s="1084">
        <f t="shared" si="165"/>
        <v>538.79350210658561</v>
      </c>
      <c r="AB278" s="1084">
        <f t="shared" si="165"/>
        <v>457.01302214444735</v>
      </c>
      <c r="AC278" s="1084">
        <f t="shared" si="165"/>
        <v>367.03642688472394</v>
      </c>
    </row>
    <row r="279" spans="2:29" ht="12" thickTop="1">
      <c r="B279" s="1005"/>
      <c r="C279" s="976"/>
      <c r="D279" s="976"/>
      <c r="E279" s="976"/>
      <c r="F279" s="983"/>
      <c r="G279" s="976"/>
      <c r="H279" s="976"/>
      <c r="I279" s="983"/>
      <c r="J279" s="983"/>
      <c r="K279" s="976"/>
      <c r="L279" s="983"/>
      <c r="M279" s="983"/>
      <c r="N279" s="983"/>
      <c r="O279" s="983"/>
      <c r="P279" s="983"/>
      <c r="Q279" s="983"/>
      <c r="R279" s="983"/>
      <c r="S279" s="983"/>
      <c r="T279" s="983"/>
      <c r="U279" s="983"/>
      <c r="V279" s="983"/>
      <c r="W279" s="983"/>
      <c r="X279" s="983"/>
      <c r="Y279" s="983"/>
      <c r="Z279" s="983"/>
      <c r="AA279" s="983"/>
      <c r="AB279" s="983"/>
      <c r="AC279" s="983"/>
    </row>
    <row r="280" spans="2:29" ht="12" hidden="1" outlineLevel="1">
      <c r="B280" s="1006" t="s">
        <v>537</v>
      </c>
      <c r="C280" s="976"/>
      <c r="D280" s="976"/>
      <c r="E280" s="976"/>
      <c r="F280" s="983"/>
      <c r="G280" s="976"/>
      <c r="H280" s="976"/>
      <c r="I280" s="983"/>
      <c r="J280" s="983"/>
      <c r="K280" s="976"/>
      <c r="L280" s="983"/>
      <c r="M280" s="976"/>
      <c r="N280" s="976"/>
      <c r="O280" s="976"/>
      <c r="P280" s="976"/>
      <c r="Q280" s="976"/>
      <c r="R280" s="976"/>
      <c r="S280" s="976"/>
      <c r="T280" s="976"/>
      <c r="U280" s="976"/>
      <c r="V280" s="976"/>
      <c r="W280" s="976"/>
      <c r="X280" s="976"/>
      <c r="Y280" s="976"/>
      <c r="Z280" s="976"/>
      <c r="AA280" s="976"/>
      <c r="AB280" s="976"/>
      <c r="AC280" s="976"/>
    </row>
    <row r="281" spans="2:29" hidden="1" outlineLevel="1">
      <c r="B281" s="920" t="s">
        <v>481</v>
      </c>
      <c r="C281" s="929"/>
      <c r="D281" s="1068"/>
      <c r="E281" s="1068"/>
      <c r="F281" s="1068"/>
      <c r="G281" s="1068"/>
      <c r="H281" s="1068"/>
      <c r="I281" s="1068"/>
      <c r="J281" s="1068"/>
      <c r="K281" s="1068"/>
      <c r="L281" s="1068"/>
      <c r="M281" s="1068"/>
      <c r="N281" s="1068"/>
      <c r="O281" s="1068"/>
      <c r="P281" s="1068"/>
      <c r="Q281" s="1068"/>
      <c r="R281" s="1068"/>
      <c r="S281" s="1068"/>
      <c r="T281" s="1068"/>
      <c r="U281" s="1068"/>
      <c r="V281" s="1068"/>
      <c r="W281" s="1068"/>
      <c r="X281" s="1068"/>
      <c r="Y281" s="1068"/>
      <c r="Z281" s="1068"/>
      <c r="AA281" s="1068"/>
      <c r="AB281" s="1068"/>
      <c r="AC281" s="1068"/>
    </row>
    <row r="282" spans="2:29" hidden="1" outlineLevel="1">
      <c r="B282" s="925" t="s">
        <v>482</v>
      </c>
      <c r="C282" s="926"/>
      <c r="D282" s="1067"/>
      <c r="E282" s="1067"/>
      <c r="F282" s="1067"/>
      <c r="G282" s="1067"/>
      <c r="H282" s="1067"/>
      <c r="I282" s="1067"/>
      <c r="J282" s="1067"/>
      <c r="K282" s="1067"/>
      <c r="L282" s="1067"/>
      <c r="M282" s="1067"/>
      <c r="N282" s="1067"/>
      <c r="O282" s="1067"/>
      <c r="P282" s="1067"/>
      <c r="Q282" s="1067"/>
      <c r="R282" s="1067"/>
      <c r="S282" s="1067"/>
      <c r="T282" s="1067"/>
      <c r="U282" s="1067"/>
      <c r="V282" s="1067"/>
      <c r="W282" s="1067"/>
      <c r="X282" s="1067"/>
      <c r="Y282" s="1067"/>
      <c r="Z282" s="1067"/>
      <c r="AA282" s="1067"/>
      <c r="AB282" s="1067"/>
      <c r="AC282" s="1067"/>
    </row>
    <row r="283" spans="2:29" hidden="1" outlineLevel="1">
      <c r="B283" s="928" t="s">
        <v>483</v>
      </c>
      <c r="C283" s="929"/>
      <c r="D283" s="1068"/>
      <c r="E283" s="1068"/>
      <c r="F283" s="1068"/>
      <c r="G283" s="1068"/>
      <c r="H283" s="1068"/>
      <c r="I283" s="1068"/>
      <c r="J283" s="1068"/>
      <c r="K283" s="1068"/>
      <c r="L283" s="1068"/>
      <c r="M283" s="1068"/>
      <c r="N283" s="1068"/>
      <c r="O283" s="1068"/>
      <c r="P283" s="1068"/>
      <c r="Q283" s="1068"/>
      <c r="R283" s="1068"/>
      <c r="S283" s="1068"/>
      <c r="T283" s="1068"/>
      <c r="U283" s="1068"/>
      <c r="V283" s="1068"/>
      <c r="W283" s="1068"/>
      <c r="X283" s="1068"/>
      <c r="Y283" s="1068"/>
      <c r="Z283" s="1068"/>
      <c r="AA283" s="1068"/>
      <c r="AB283" s="1068"/>
      <c r="AC283" s="1068"/>
    </row>
    <row r="284" spans="2:29" hidden="1" outlineLevel="1">
      <c r="B284" s="925" t="s">
        <v>484</v>
      </c>
      <c r="C284" s="926"/>
      <c r="D284" s="1067"/>
      <c r="E284" s="1067"/>
      <c r="F284" s="1067"/>
      <c r="G284" s="1067"/>
      <c r="H284" s="1067"/>
      <c r="I284" s="1067"/>
      <c r="J284" s="1067"/>
      <c r="K284" s="1067"/>
      <c r="L284" s="1067"/>
      <c r="M284" s="1067"/>
      <c r="N284" s="1067"/>
      <c r="O284" s="1067"/>
      <c r="P284" s="1067"/>
      <c r="Q284" s="1067"/>
      <c r="R284" s="1067"/>
      <c r="S284" s="1067"/>
      <c r="T284" s="1067"/>
      <c r="U284" s="1067"/>
      <c r="V284" s="1067"/>
      <c r="W284" s="1067"/>
      <c r="X284" s="1067"/>
      <c r="Y284" s="1067"/>
      <c r="Z284" s="1067"/>
      <c r="AA284" s="1067"/>
      <c r="AB284" s="1067"/>
      <c r="AC284" s="1067"/>
    </row>
    <row r="285" spans="2:29" hidden="1" outlineLevel="1">
      <c r="B285" s="928" t="s">
        <v>485</v>
      </c>
      <c r="C285" s="929"/>
      <c r="D285" s="1068"/>
      <c r="E285" s="1068"/>
      <c r="F285" s="1068"/>
      <c r="G285" s="1068"/>
      <c r="H285" s="1068"/>
      <c r="I285" s="1068"/>
      <c r="J285" s="1068"/>
      <c r="K285" s="1068"/>
      <c r="L285" s="1068"/>
      <c r="M285" s="1068"/>
      <c r="N285" s="1068"/>
      <c r="O285" s="1068"/>
      <c r="P285" s="1068"/>
      <c r="Q285" s="1068"/>
      <c r="R285" s="1068"/>
      <c r="S285" s="1068"/>
      <c r="T285" s="1068"/>
      <c r="U285" s="1068"/>
      <c r="V285" s="1068"/>
      <c r="W285" s="1068"/>
      <c r="X285" s="1068"/>
      <c r="Y285" s="1068"/>
      <c r="Z285" s="1068"/>
      <c r="AA285" s="1068"/>
      <c r="AB285" s="1068"/>
      <c r="AC285" s="1068"/>
    </row>
    <row r="286" spans="2:29" hidden="1" outlineLevel="1">
      <c r="B286" s="925" t="s">
        <v>486</v>
      </c>
      <c r="C286" s="926"/>
      <c r="D286" s="1067"/>
      <c r="E286" s="1067"/>
      <c r="F286" s="1067"/>
      <c r="G286" s="1067"/>
      <c r="H286" s="1067"/>
      <c r="I286" s="1067"/>
      <c r="J286" s="1067"/>
      <c r="K286" s="1067"/>
      <c r="L286" s="1067"/>
      <c r="M286" s="1067"/>
      <c r="N286" s="1067"/>
      <c r="O286" s="1067"/>
      <c r="P286" s="1067"/>
      <c r="Q286" s="1067"/>
      <c r="R286" s="1067"/>
      <c r="S286" s="1067"/>
      <c r="T286" s="1067"/>
      <c r="U286" s="1067"/>
      <c r="V286" s="1067"/>
      <c r="W286" s="1067"/>
      <c r="X286" s="1067"/>
      <c r="Y286" s="1067"/>
      <c r="Z286" s="1067"/>
      <c r="AA286" s="1067"/>
      <c r="AB286" s="1067"/>
      <c r="AC286" s="1067"/>
    </row>
    <row r="287" spans="2:29" hidden="1" outlineLevel="1">
      <c r="B287" s="928" t="s">
        <v>538</v>
      </c>
      <c r="C287" s="929"/>
      <c r="D287" s="1068"/>
      <c r="E287" s="1068"/>
      <c r="F287" s="1068"/>
      <c r="G287" s="1068"/>
      <c r="H287" s="1068"/>
      <c r="I287" s="1068"/>
      <c r="J287" s="1068"/>
      <c r="K287" s="1068"/>
      <c r="L287" s="1068"/>
      <c r="M287" s="1068"/>
      <c r="N287" s="1068"/>
      <c r="O287" s="1068"/>
      <c r="P287" s="1068"/>
      <c r="Q287" s="1068"/>
      <c r="R287" s="1068"/>
      <c r="S287" s="1068"/>
      <c r="T287" s="1068"/>
      <c r="U287" s="1068"/>
      <c r="V287" s="1068"/>
      <c r="W287" s="1068"/>
      <c r="X287" s="1068"/>
      <c r="Y287" s="1068"/>
      <c r="Z287" s="1068"/>
      <c r="AA287" s="1068"/>
      <c r="AB287" s="1068"/>
      <c r="AC287" s="1068"/>
    </row>
    <row r="288" spans="2:29" ht="12" hidden="1" outlineLevel="1">
      <c r="B288" s="932" t="s">
        <v>488</v>
      </c>
      <c r="C288" s="926"/>
      <c r="D288" s="1104"/>
      <c r="E288" s="1105"/>
      <c r="F288" s="1105"/>
      <c r="G288" s="1105"/>
      <c r="H288" s="1105"/>
      <c r="I288" s="1105"/>
      <c r="J288" s="1105"/>
      <c r="K288" s="1105"/>
      <c r="L288" s="1105"/>
      <c r="M288" s="1105"/>
      <c r="N288" s="1105"/>
      <c r="O288" s="1105"/>
      <c r="P288" s="1105"/>
      <c r="Q288" s="1105"/>
      <c r="R288" s="1105"/>
      <c r="S288" s="1105"/>
      <c r="T288" s="1105"/>
      <c r="U288" s="1105"/>
      <c r="V288" s="1105"/>
      <c r="W288" s="1105"/>
      <c r="X288" s="1105"/>
      <c r="Y288" s="1105"/>
      <c r="Z288" s="1105"/>
      <c r="AA288" s="1105"/>
      <c r="AB288" s="1105"/>
      <c r="AC288" s="1105"/>
    </row>
    <row r="289" spans="2:29" hidden="1" outlineLevel="1">
      <c r="B289" s="928" t="s">
        <v>489</v>
      </c>
      <c r="C289" s="929"/>
      <c r="D289" s="1068"/>
      <c r="E289" s="1068"/>
      <c r="F289" s="1068"/>
      <c r="G289" s="1068"/>
      <c r="H289" s="1068"/>
      <c r="I289" s="1068"/>
      <c r="J289" s="1068"/>
      <c r="K289" s="1068"/>
      <c r="L289" s="1068"/>
      <c r="M289" s="1068"/>
      <c r="N289" s="1068"/>
      <c r="O289" s="1068"/>
      <c r="P289" s="1068"/>
      <c r="Q289" s="1068"/>
      <c r="R289" s="1068"/>
      <c r="S289" s="1068"/>
      <c r="T289" s="1068"/>
      <c r="U289" s="1068"/>
      <c r="V289" s="1068"/>
      <c r="W289" s="1068"/>
      <c r="X289" s="1068"/>
      <c r="Y289" s="1068"/>
      <c r="Z289" s="1068"/>
      <c r="AA289" s="1068"/>
      <c r="AB289" s="1068"/>
      <c r="AC289" s="1068"/>
    </row>
    <row r="290" spans="2:29" hidden="1" outlineLevel="1">
      <c r="B290" s="934" t="s">
        <v>539</v>
      </c>
      <c r="C290" s="935"/>
      <c r="D290" s="1071"/>
      <c r="E290" s="1071"/>
      <c r="F290" s="1071"/>
      <c r="G290" s="1071"/>
      <c r="H290" s="1071"/>
      <c r="I290" s="1071"/>
      <c r="J290" s="1071"/>
      <c r="K290" s="1071"/>
      <c r="L290" s="1071"/>
      <c r="M290" s="1071"/>
      <c r="N290" s="1071"/>
      <c r="O290" s="1071"/>
      <c r="P290" s="1071"/>
      <c r="Q290" s="1071"/>
      <c r="R290" s="1071"/>
      <c r="S290" s="1071"/>
      <c r="T290" s="1071"/>
      <c r="U290" s="1071"/>
      <c r="V290" s="1071"/>
      <c r="W290" s="1071"/>
      <c r="X290" s="1071"/>
      <c r="Y290" s="1071"/>
      <c r="Z290" s="1071"/>
      <c r="AA290" s="1071"/>
      <c r="AB290" s="1071"/>
      <c r="AC290" s="1071"/>
    </row>
    <row r="291" spans="2:29" ht="12" hidden="1" outlineLevel="1" thickBot="1">
      <c r="B291" s="936" t="s">
        <v>491</v>
      </c>
      <c r="C291" s="937"/>
      <c r="D291" s="1106"/>
      <c r="E291" s="1107"/>
      <c r="F291" s="1107"/>
      <c r="G291" s="1107"/>
      <c r="H291" s="1107"/>
      <c r="I291" s="1107"/>
      <c r="J291" s="1107"/>
      <c r="K291" s="1107"/>
      <c r="L291" s="1107"/>
      <c r="M291" s="1107"/>
      <c r="N291" s="1107"/>
      <c r="O291" s="1107"/>
      <c r="P291" s="1107"/>
      <c r="Q291" s="1107"/>
      <c r="R291" s="1107"/>
      <c r="S291" s="1107"/>
      <c r="T291" s="1107"/>
      <c r="U291" s="1107"/>
      <c r="V291" s="1107"/>
      <c r="W291" s="1107"/>
      <c r="X291" s="1107"/>
      <c r="Y291" s="1107"/>
      <c r="Z291" s="1107"/>
      <c r="AA291" s="1107"/>
      <c r="AB291" s="1107"/>
      <c r="AC291" s="1107"/>
    </row>
    <row r="292" spans="2:29" ht="12" hidden="1" outlineLevel="1" thickTop="1">
      <c r="B292" s="1005"/>
      <c r="C292" s="976"/>
      <c r="D292" s="976"/>
      <c r="E292" s="1076"/>
      <c r="F292" s="983"/>
      <c r="G292" s="976"/>
      <c r="H292" s="976"/>
      <c r="I292" s="983"/>
      <c r="J292" s="983"/>
      <c r="K292" s="976"/>
      <c r="L292" s="983"/>
      <c r="M292" s="976"/>
      <c r="N292" s="976"/>
      <c r="O292" s="976"/>
      <c r="P292" s="976"/>
      <c r="Q292" s="976"/>
      <c r="R292" s="976"/>
      <c r="S292" s="976"/>
      <c r="T292" s="976"/>
      <c r="U292" s="976"/>
      <c r="V292" s="976"/>
      <c r="W292" s="976"/>
      <c r="X292" s="976"/>
      <c r="Y292" s="976"/>
      <c r="Z292" s="976"/>
      <c r="AA292" s="976"/>
      <c r="AB292" s="976"/>
      <c r="AC292" s="976"/>
    </row>
    <row r="293" spans="2:29" ht="12" hidden="1" outlineLevel="1">
      <c r="B293" s="1006" t="s">
        <v>540</v>
      </c>
      <c r="C293" s="976"/>
      <c r="D293" s="976"/>
      <c r="E293" s="1077"/>
      <c r="F293" s="983"/>
      <c r="G293" s="976"/>
      <c r="H293" s="976"/>
      <c r="I293" s="983"/>
      <c r="J293" s="983"/>
      <c r="K293" s="976"/>
      <c r="L293" s="983"/>
      <c r="M293" s="976"/>
      <c r="N293" s="976"/>
      <c r="O293" s="976"/>
      <c r="P293" s="976"/>
      <c r="Q293" s="976"/>
      <c r="R293" s="976"/>
      <c r="S293" s="976"/>
      <c r="T293" s="976"/>
      <c r="U293" s="976"/>
      <c r="V293" s="976"/>
      <c r="W293" s="976"/>
      <c r="X293" s="976"/>
      <c r="Y293" s="976"/>
      <c r="Z293" s="976"/>
      <c r="AA293" s="976"/>
      <c r="AB293" s="976"/>
      <c r="AC293" s="976"/>
    </row>
    <row r="294" spans="2:29" hidden="1" outlineLevel="1">
      <c r="B294" s="920" t="s">
        <v>481</v>
      </c>
      <c r="C294" s="929"/>
      <c r="D294" s="1108">
        <f>SUM(D295:D300)</f>
        <v>0</v>
      </c>
      <c r="E294" s="1108">
        <f t="shared" ref="E294:X294" si="166">SUM(E295:E300)</f>
        <v>0</v>
      </c>
      <c r="F294" s="1108">
        <f t="shared" si="166"/>
        <v>0</v>
      </c>
      <c r="G294" s="1108">
        <f t="shared" si="166"/>
        <v>0</v>
      </c>
      <c r="H294" s="1108">
        <f t="shared" si="166"/>
        <v>0</v>
      </c>
      <c r="I294" s="1108">
        <f t="shared" si="166"/>
        <v>0</v>
      </c>
      <c r="J294" s="1108">
        <f t="shared" si="166"/>
        <v>0</v>
      </c>
      <c r="K294" s="1108">
        <f t="shared" si="166"/>
        <v>0</v>
      </c>
      <c r="L294" s="1108">
        <f t="shared" si="166"/>
        <v>0</v>
      </c>
      <c r="M294" s="1108">
        <f t="shared" si="166"/>
        <v>0</v>
      </c>
      <c r="N294" s="1108">
        <f t="shared" si="166"/>
        <v>0</v>
      </c>
      <c r="O294" s="1108">
        <f t="shared" si="166"/>
        <v>0</v>
      </c>
      <c r="P294" s="1108">
        <f t="shared" si="166"/>
        <v>0</v>
      </c>
      <c r="Q294" s="1108">
        <f t="shared" si="166"/>
        <v>0</v>
      </c>
      <c r="R294" s="1108">
        <f t="shared" si="166"/>
        <v>0</v>
      </c>
      <c r="S294" s="1108">
        <f t="shared" si="166"/>
        <v>0</v>
      </c>
      <c r="T294" s="1108">
        <f t="shared" si="166"/>
        <v>0</v>
      </c>
      <c r="U294" s="1108">
        <f t="shared" si="166"/>
        <v>0</v>
      </c>
      <c r="V294" s="1108">
        <f t="shared" si="166"/>
        <v>0</v>
      </c>
      <c r="W294" s="1108">
        <f t="shared" si="166"/>
        <v>0</v>
      </c>
      <c r="X294" s="1108">
        <f t="shared" si="166"/>
        <v>0</v>
      </c>
      <c r="Y294" s="1108">
        <f>SUM(Y295:Y300)</f>
        <v>0</v>
      </c>
      <c r="Z294" s="1108">
        <f>SUM(Z295:Z300)</f>
        <v>0</v>
      </c>
      <c r="AA294" s="1108">
        <f>SUM(AA295:AA300)</f>
        <v>0</v>
      </c>
      <c r="AB294" s="1108">
        <f>SUM(AB295:AB300)</f>
        <v>0</v>
      </c>
      <c r="AC294" s="1108">
        <f>SUM(AC295:AC300)</f>
        <v>0</v>
      </c>
    </row>
    <row r="295" spans="2:29" hidden="1" outlineLevel="1">
      <c r="B295" s="925" t="s">
        <v>482</v>
      </c>
      <c r="C295" s="926"/>
      <c r="D295" s="1056">
        <f t="shared" ref="D295:AC300" si="167">D$249*D282</f>
        <v>0</v>
      </c>
      <c r="E295" s="1056">
        <f t="shared" si="167"/>
        <v>0</v>
      </c>
      <c r="F295" s="1056">
        <f t="shared" si="167"/>
        <v>0</v>
      </c>
      <c r="G295" s="1056">
        <f t="shared" si="167"/>
        <v>0</v>
      </c>
      <c r="H295" s="1056">
        <f t="shared" si="167"/>
        <v>0</v>
      </c>
      <c r="I295" s="1056">
        <f t="shared" si="167"/>
        <v>0</v>
      </c>
      <c r="J295" s="1056">
        <f t="shared" si="167"/>
        <v>0</v>
      </c>
      <c r="K295" s="1056">
        <f t="shared" si="167"/>
        <v>0</v>
      </c>
      <c r="L295" s="1056">
        <f t="shared" si="167"/>
        <v>0</v>
      </c>
      <c r="M295" s="1056">
        <f t="shared" si="167"/>
        <v>0</v>
      </c>
      <c r="N295" s="1056">
        <f t="shared" si="167"/>
        <v>0</v>
      </c>
      <c r="O295" s="1056">
        <f t="shared" si="167"/>
        <v>0</v>
      </c>
      <c r="P295" s="1056">
        <f t="shared" si="167"/>
        <v>0</v>
      </c>
      <c r="Q295" s="1056">
        <f t="shared" si="167"/>
        <v>0</v>
      </c>
      <c r="R295" s="1056">
        <f t="shared" si="167"/>
        <v>0</v>
      </c>
      <c r="S295" s="1056">
        <f t="shared" si="167"/>
        <v>0</v>
      </c>
      <c r="T295" s="1056">
        <f t="shared" si="167"/>
        <v>0</v>
      </c>
      <c r="U295" s="1056">
        <f t="shared" si="167"/>
        <v>0</v>
      </c>
      <c r="V295" s="1056">
        <f t="shared" si="167"/>
        <v>0</v>
      </c>
      <c r="W295" s="1056">
        <f t="shared" si="167"/>
        <v>0</v>
      </c>
      <c r="X295" s="1056">
        <f t="shared" si="167"/>
        <v>0</v>
      </c>
      <c r="Y295" s="1056">
        <f t="shared" si="167"/>
        <v>0</v>
      </c>
      <c r="Z295" s="1056">
        <f t="shared" si="167"/>
        <v>0</v>
      </c>
      <c r="AA295" s="1056">
        <f t="shared" si="167"/>
        <v>0</v>
      </c>
      <c r="AB295" s="1056">
        <f t="shared" si="167"/>
        <v>0</v>
      </c>
      <c r="AC295" s="1056">
        <f t="shared" si="167"/>
        <v>0</v>
      </c>
    </row>
    <row r="296" spans="2:29" hidden="1" outlineLevel="1">
      <c r="B296" s="928" t="s">
        <v>483</v>
      </c>
      <c r="C296" s="929"/>
      <c r="D296" s="1058">
        <f t="shared" si="167"/>
        <v>0</v>
      </c>
      <c r="E296" s="1058">
        <f t="shared" si="167"/>
        <v>0</v>
      </c>
      <c r="F296" s="1058">
        <f t="shared" si="167"/>
        <v>0</v>
      </c>
      <c r="G296" s="1058">
        <f t="shared" si="167"/>
        <v>0</v>
      </c>
      <c r="H296" s="1058">
        <f t="shared" si="167"/>
        <v>0</v>
      </c>
      <c r="I296" s="1058">
        <f t="shared" si="167"/>
        <v>0</v>
      </c>
      <c r="J296" s="1058">
        <f t="shared" si="167"/>
        <v>0</v>
      </c>
      <c r="K296" s="1058">
        <f t="shared" si="167"/>
        <v>0</v>
      </c>
      <c r="L296" s="1058">
        <f t="shared" si="167"/>
        <v>0</v>
      </c>
      <c r="M296" s="1058">
        <f t="shared" si="167"/>
        <v>0</v>
      </c>
      <c r="N296" s="1058">
        <f t="shared" si="167"/>
        <v>0</v>
      </c>
      <c r="O296" s="1058">
        <f t="shared" si="167"/>
        <v>0</v>
      </c>
      <c r="P296" s="1058">
        <f t="shared" si="167"/>
        <v>0</v>
      </c>
      <c r="Q296" s="1058">
        <f t="shared" si="167"/>
        <v>0</v>
      </c>
      <c r="R296" s="1058">
        <f t="shared" si="167"/>
        <v>0</v>
      </c>
      <c r="S296" s="1058">
        <f t="shared" si="167"/>
        <v>0</v>
      </c>
      <c r="T296" s="1058">
        <f t="shared" si="167"/>
        <v>0</v>
      </c>
      <c r="U296" s="1058">
        <f t="shared" si="167"/>
        <v>0</v>
      </c>
      <c r="V296" s="1058">
        <f t="shared" si="167"/>
        <v>0</v>
      </c>
      <c r="W296" s="1058">
        <f t="shared" si="167"/>
        <v>0</v>
      </c>
      <c r="X296" s="1058">
        <f t="shared" si="167"/>
        <v>0</v>
      </c>
      <c r="Y296" s="1058">
        <f t="shared" si="167"/>
        <v>0</v>
      </c>
      <c r="Z296" s="1058">
        <f t="shared" si="167"/>
        <v>0</v>
      </c>
      <c r="AA296" s="1058">
        <f t="shared" si="167"/>
        <v>0</v>
      </c>
      <c r="AB296" s="1058">
        <f t="shared" si="167"/>
        <v>0</v>
      </c>
      <c r="AC296" s="1058">
        <f t="shared" si="167"/>
        <v>0</v>
      </c>
    </row>
    <row r="297" spans="2:29" s="957" customFormat="1" hidden="1" outlineLevel="1">
      <c r="B297" s="925" t="s">
        <v>484</v>
      </c>
      <c r="C297" s="926"/>
      <c r="D297" s="1056">
        <f t="shared" si="167"/>
        <v>0</v>
      </c>
      <c r="E297" s="1056">
        <f t="shared" si="167"/>
        <v>0</v>
      </c>
      <c r="F297" s="1056">
        <f t="shared" si="167"/>
        <v>0</v>
      </c>
      <c r="G297" s="1056">
        <f t="shared" si="167"/>
        <v>0</v>
      </c>
      <c r="H297" s="1056">
        <f t="shared" si="167"/>
        <v>0</v>
      </c>
      <c r="I297" s="1056">
        <f t="shared" si="167"/>
        <v>0</v>
      </c>
      <c r="J297" s="1056">
        <f t="shared" si="167"/>
        <v>0</v>
      </c>
      <c r="K297" s="1056">
        <f t="shared" si="167"/>
        <v>0</v>
      </c>
      <c r="L297" s="1056">
        <f t="shared" si="167"/>
        <v>0</v>
      </c>
      <c r="M297" s="1056">
        <f t="shared" si="167"/>
        <v>0</v>
      </c>
      <c r="N297" s="1056">
        <f t="shared" si="167"/>
        <v>0</v>
      </c>
      <c r="O297" s="1056">
        <f t="shared" si="167"/>
        <v>0</v>
      </c>
      <c r="P297" s="1056">
        <f t="shared" si="167"/>
        <v>0</v>
      </c>
      <c r="Q297" s="1056">
        <f t="shared" si="167"/>
        <v>0</v>
      </c>
      <c r="R297" s="1056">
        <f t="shared" si="167"/>
        <v>0</v>
      </c>
      <c r="S297" s="1056">
        <f t="shared" si="167"/>
        <v>0</v>
      </c>
      <c r="T297" s="1056">
        <f t="shared" si="167"/>
        <v>0</v>
      </c>
      <c r="U297" s="1056">
        <f t="shared" si="167"/>
        <v>0</v>
      </c>
      <c r="V297" s="1056">
        <f t="shared" si="167"/>
        <v>0</v>
      </c>
      <c r="W297" s="1056">
        <f t="shared" si="167"/>
        <v>0</v>
      </c>
      <c r="X297" s="1056">
        <f t="shared" si="167"/>
        <v>0</v>
      </c>
      <c r="Y297" s="1056">
        <f t="shared" si="167"/>
        <v>0</v>
      </c>
      <c r="Z297" s="1056">
        <f t="shared" si="167"/>
        <v>0</v>
      </c>
      <c r="AA297" s="1056">
        <f t="shared" si="167"/>
        <v>0</v>
      </c>
      <c r="AB297" s="1056">
        <f t="shared" si="167"/>
        <v>0</v>
      </c>
      <c r="AC297" s="1056">
        <f t="shared" si="167"/>
        <v>0</v>
      </c>
    </row>
    <row r="298" spans="2:29" hidden="1" outlineLevel="1">
      <c r="B298" s="928" t="s">
        <v>485</v>
      </c>
      <c r="C298" s="929"/>
      <c r="D298" s="1058">
        <f t="shared" si="167"/>
        <v>0</v>
      </c>
      <c r="E298" s="1058">
        <f t="shared" si="167"/>
        <v>0</v>
      </c>
      <c r="F298" s="1058">
        <f t="shared" si="167"/>
        <v>0</v>
      </c>
      <c r="G298" s="1058">
        <f t="shared" si="167"/>
        <v>0</v>
      </c>
      <c r="H298" s="1058">
        <f t="shared" si="167"/>
        <v>0</v>
      </c>
      <c r="I298" s="1058">
        <f t="shared" si="167"/>
        <v>0</v>
      </c>
      <c r="J298" s="1058">
        <f t="shared" si="167"/>
        <v>0</v>
      </c>
      <c r="K298" s="1058">
        <f t="shared" si="167"/>
        <v>0</v>
      </c>
      <c r="L298" s="1058">
        <f t="shared" si="167"/>
        <v>0</v>
      </c>
      <c r="M298" s="1058">
        <f t="shared" si="167"/>
        <v>0</v>
      </c>
      <c r="N298" s="1058">
        <f t="shared" si="167"/>
        <v>0</v>
      </c>
      <c r="O298" s="1058">
        <f t="shared" si="167"/>
        <v>0</v>
      </c>
      <c r="P298" s="1058">
        <f t="shared" si="167"/>
        <v>0</v>
      </c>
      <c r="Q298" s="1058">
        <f t="shared" si="167"/>
        <v>0</v>
      </c>
      <c r="R298" s="1058">
        <f t="shared" si="167"/>
        <v>0</v>
      </c>
      <c r="S298" s="1058">
        <f t="shared" si="167"/>
        <v>0</v>
      </c>
      <c r="T298" s="1058">
        <f t="shared" si="167"/>
        <v>0</v>
      </c>
      <c r="U298" s="1058">
        <f t="shared" si="167"/>
        <v>0</v>
      </c>
      <c r="V298" s="1058">
        <f t="shared" si="167"/>
        <v>0</v>
      </c>
      <c r="W298" s="1058">
        <f t="shared" si="167"/>
        <v>0</v>
      </c>
      <c r="X298" s="1058">
        <f t="shared" si="167"/>
        <v>0</v>
      </c>
      <c r="Y298" s="1058">
        <f t="shared" si="167"/>
        <v>0</v>
      </c>
      <c r="Z298" s="1058">
        <f t="shared" si="167"/>
        <v>0</v>
      </c>
      <c r="AA298" s="1058">
        <f t="shared" si="167"/>
        <v>0</v>
      </c>
      <c r="AB298" s="1058">
        <f t="shared" si="167"/>
        <v>0</v>
      </c>
      <c r="AC298" s="1058">
        <f t="shared" si="167"/>
        <v>0</v>
      </c>
    </row>
    <row r="299" spans="2:29" hidden="1" outlineLevel="1">
      <c r="B299" s="925" t="s">
        <v>486</v>
      </c>
      <c r="C299" s="926"/>
      <c r="D299" s="1056">
        <f t="shared" si="167"/>
        <v>0</v>
      </c>
      <c r="E299" s="1056">
        <f t="shared" si="167"/>
        <v>0</v>
      </c>
      <c r="F299" s="1056">
        <f t="shared" si="167"/>
        <v>0</v>
      </c>
      <c r="G299" s="1056">
        <f t="shared" si="167"/>
        <v>0</v>
      </c>
      <c r="H299" s="1056">
        <f t="shared" si="167"/>
        <v>0</v>
      </c>
      <c r="I299" s="1056">
        <f t="shared" si="167"/>
        <v>0</v>
      </c>
      <c r="J299" s="1056">
        <f t="shared" si="167"/>
        <v>0</v>
      </c>
      <c r="K299" s="1056">
        <f t="shared" si="167"/>
        <v>0</v>
      </c>
      <c r="L299" s="1056">
        <f t="shared" si="167"/>
        <v>0</v>
      </c>
      <c r="M299" s="1056">
        <f t="shared" si="167"/>
        <v>0</v>
      </c>
      <c r="N299" s="1056">
        <f t="shared" si="167"/>
        <v>0</v>
      </c>
      <c r="O299" s="1056">
        <f t="shared" si="167"/>
        <v>0</v>
      </c>
      <c r="P299" s="1056">
        <f t="shared" si="167"/>
        <v>0</v>
      </c>
      <c r="Q299" s="1056">
        <f t="shared" si="167"/>
        <v>0</v>
      </c>
      <c r="R299" s="1056">
        <f t="shared" si="167"/>
        <v>0</v>
      </c>
      <c r="S299" s="1056">
        <f t="shared" si="167"/>
        <v>0</v>
      </c>
      <c r="T299" s="1056">
        <f t="shared" si="167"/>
        <v>0</v>
      </c>
      <c r="U299" s="1056">
        <f t="shared" si="167"/>
        <v>0</v>
      </c>
      <c r="V299" s="1056">
        <f t="shared" si="167"/>
        <v>0</v>
      </c>
      <c r="W299" s="1056">
        <f t="shared" si="167"/>
        <v>0</v>
      </c>
      <c r="X299" s="1056">
        <f t="shared" si="167"/>
        <v>0</v>
      </c>
      <c r="Y299" s="1056">
        <f t="shared" si="167"/>
        <v>0</v>
      </c>
      <c r="Z299" s="1056">
        <f t="shared" si="167"/>
        <v>0</v>
      </c>
      <c r="AA299" s="1056">
        <f t="shared" si="167"/>
        <v>0</v>
      </c>
      <c r="AB299" s="1056">
        <f t="shared" si="167"/>
        <v>0</v>
      </c>
      <c r="AC299" s="1056">
        <f t="shared" si="167"/>
        <v>0</v>
      </c>
    </row>
    <row r="300" spans="2:29" hidden="1" outlineLevel="1">
      <c r="B300" s="928" t="s">
        <v>538</v>
      </c>
      <c r="C300" s="929"/>
      <c r="D300" s="1058">
        <f t="shared" si="167"/>
        <v>0</v>
      </c>
      <c r="E300" s="1058">
        <f t="shared" si="167"/>
        <v>0</v>
      </c>
      <c r="F300" s="1058">
        <f t="shared" si="167"/>
        <v>0</v>
      </c>
      <c r="G300" s="1058">
        <f t="shared" si="167"/>
        <v>0</v>
      </c>
      <c r="H300" s="1058">
        <f t="shared" si="167"/>
        <v>0</v>
      </c>
      <c r="I300" s="1058">
        <f t="shared" si="167"/>
        <v>0</v>
      </c>
      <c r="J300" s="1058">
        <f t="shared" si="167"/>
        <v>0</v>
      </c>
      <c r="K300" s="1058">
        <f t="shared" si="167"/>
        <v>0</v>
      </c>
      <c r="L300" s="1058">
        <f t="shared" si="167"/>
        <v>0</v>
      </c>
      <c r="M300" s="1058">
        <f t="shared" si="167"/>
        <v>0</v>
      </c>
      <c r="N300" s="1058">
        <f t="shared" si="167"/>
        <v>0</v>
      </c>
      <c r="O300" s="1058">
        <f t="shared" si="167"/>
        <v>0</v>
      </c>
      <c r="P300" s="1058">
        <f t="shared" si="167"/>
        <v>0</v>
      </c>
      <c r="Q300" s="1058">
        <f t="shared" si="167"/>
        <v>0</v>
      </c>
      <c r="R300" s="1058">
        <f t="shared" si="167"/>
        <v>0</v>
      </c>
      <c r="S300" s="1058">
        <f t="shared" si="167"/>
        <v>0</v>
      </c>
      <c r="T300" s="1058">
        <f t="shared" si="167"/>
        <v>0</v>
      </c>
      <c r="U300" s="1058">
        <f t="shared" si="167"/>
        <v>0</v>
      </c>
      <c r="V300" s="1058">
        <f t="shared" si="167"/>
        <v>0</v>
      </c>
      <c r="W300" s="1058">
        <f t="shared" si="167"/>
        <v>0</v>
      </c>
      <c r="X300" s="1058">
        <f t="shared" si="167"/>
        <v>0</v>
      </c>
      <c r="Y300" s="1058">
        <f t="shared" si="167"/>
        <v>0</v>
      </c>
      <c r="Z300" s="1058">
        <f t="shared" si="167"/>
        <v>0</v>
      </c>
      <c r="AA300" s="1058">
        <f t="shared" si="167"/>
        <v>0</v>
      </c>
      <c r="AB300" s="1058">
        <f t="shared" si="167"/>
        <v>0</v>
      </c>
      <c r="AC300" s="1058">
        <f t="shared" si="167"/>
        <v>0</v>
      </c>
    </row>
    <row r="301" spans="2:29" ht="12" hidden="1" outlineLevel="1">
      <c r="B301" s="932" t="s">
        <v>488</v>
      </c>
      <c r="C301" s="926"/>
      <c r="D301" s="1109">
        <f>D302+D303</f>
        <v>0</v>
      </c>
      <c r="E301" s="1109">
        <f t="shared" ref="E301:X301" si="168">E302+E303</f>
        <v>0</v>
      </c>
      <c r="F301" s="1109">
        <f t="shared" si="168"/>
        <v>0</v>
      </c>
      <c r="G301" s="1109">
        <f t="shared" si="168"/>
        <v>0</v>
      </c>
      <c r="H301" s="1109">
        <f t="shared" si="168"/>
        <v>0</v>
      </c>
      <c r="I301" s="1109">
        <f t="shared" si="168"/>
        <v>0</v>
      </c>
      <c r="J301" s="1109">
        <f t="shared" si="168"/>
        <v>0</v>
      </c>
      <c r="K301" s="1109">
        <f t="shared" si="168"/>
        <v>0</v>
      </c>
      <c r="L301" s="1109">
        <f t="shared" si="168"/>
        <v>0</v>
      </c>
      <c r="M301" s="1109">
        <f t="shared" si="168"/>
        <v>0</v>
      </c>
      <c r="N301" s="1109">
        <f t="shared" si="168"/>
        <v>0</v>
      </c>
      <c r="O301" s="1109">
        <f t="shared" si="168"/>
        <v>0</v>
      </c>
      <c r="P301" s="1109">
        <f t="shared" si="168"/>
        <v>0</v>
      </c>
      <c r="Q301" s="1109">
        <f t="shared" si="168"/>
        <v>0</v>
      </c>
      <c r="R301" s="1109">
        <f t="shared" si="168"/>
        <v>0</v>
      </c>
      <c r="S301" s="1109">
        <f t="shared" si="168"/>
        <v>0</v>
      </c>
      <c r="T301" s="1109">
        <f t="shared" si="168"/>
        <v>0</v>
      </c>
      <c r="U301" s="1109">
        <f t="shared" si="168"/>
        <v>0</v>
      </c>
      <c r="V301" s="1109">
        <f t="shared" si="168"/>
        <v>0</v>
      </c>
      <c r="W301" s="1109">
        <f t="shared" si="168"/>
        <v>0</v>
      </c>
      <c r="X301" s="1109">
        <f t="shared" si="168"/>
        <v>0</v>
      </c>
      <c r="Y301" s="1109">
        <f>Y302+Y303</f>
        <v>0</v>
      </c>
      <c r="Z301" s="1109">
        <f>Z302+Z303</f>
        <v>0</v>
      </c>
      <c r="AA301" s="1109">
        <f>AA302+AA303</f>
        <v>0</v>
      </c>
      <c r="AB301" s="1109">
        <f>AB302+AB303</f>
        <v>0</v>
      </c>
      <c r="AC301" s="1109">
        <f>AC302+AC303</f>
        <v>0</v>
      </c>
    </row>
    <row r="302" spans="2:29" hidden="1" outlineLevel="1">
      <c r="B302" s="928" t="s">
        <v>489</v>
      </c>
      <c r="C302" s="929"/>
      <c r="D302" s="1010">
        <f t="shared" ref="D302:AC304" si="169">D$249*D289</f>
        <v>0</v>
      </c>
      <c r="E302" s="1010">
        <f t="shared" si="169"/>
        <v>0</v>
      </c>
      <c r="F302" s="1010">
        <f t="shared" si="169"/>
        <v>0</v>
      </c>
      <c r="G302" s="1010">
        <f t="shared" si="169"/>
        <v>0</v>
      </c>
      <c r="H302" s="1010">
        <f t="shared" si="169"/>
        <v>0</v>
      </c>
      <c r="I302" s="1010">
        <f t="shared" si="169"/>
        <v>0</v>
      </c>
      <c r="J302" s="1010">
        <f t="shared" si="169"/>
        <v>0</v>
      </c>
      <c r="K302" s="1010">
        <f t="shared" si="169"/>
        <v>0</v>
      </c>
      <c r="L302" s="1010">
        <f t="shared" si="169"/>
        <v>0</v>
      </c>
      <c r="M302" s="1010">
        <f t="shared" si="169"/>
        <v>0</v>
      </c>
      <c r="N302" s="1010">
        <f t="shared" si="169"/>
        <v>0</v>
      </c>
      <c r="O302" s="1010">
        <f t="shared" si="169"/>
        <v>0</v>
      </c>
      <c r="P302" s="1010">
        <f t="shared" si="169"/>
        <v>0</v>
      </c>
      <c r="Q302" s="1010">
        <f t="shared" si="169"/>
        <v>0</v>
      </c>
      <c r="R302" s="1010">
        <f t="shared" si="169"/>
        <v>0</v>
      </c>
      <c r="S302" s="1010">
        <f t="shared" si="169"/>
        <v>0</v>
      </c>
      <c r="T302" s="1010">
        <f t="shared" si="169"/>
        <v>0</v>
      </c>
      <c r="U302" s="1010">
        <f t="shared" si="169"/>
        <v>0</v>
      </c>
      <c r="V302" s="1010">
        <f t="shared" si="169"/>
        <v>0</v>
      </c>
      <c r="W302" s="1010">
        <f t="shared" si="169"/>
        <v>0</v>
      </c>
      <c r="X302" s="1010">
        <f t="shared" si="169"/>
        <v>0</v>
      </c>
      <c r="Y302" s="1010">
        <f t="shared" si="169"/>
        <v>0</v>
      </c>
      <c r="Z302" s="1010">
        <f t="shared" si="169"/>
        <v>0</v>
      </c>
      <c r="AA302" s="1010">
        <f t="shared" si="169"/>
        <v>0</v>
      </c>
      <c r="AB302" s="1010">
        <f t="shared" si="169"/>
        <v>0</v>
      </c>
      <c r="AC302" s="1010">
        <f t="shared" si="169"/>
        <v>0</v>
      </c>
    </row>
    <row r="303" spans="2:29" hidden="1" outlineLevel="1">
      <c r="B303" s="934" t="s">
        <v>539</v>
      </c>
      <c r="C303" s="935"/>
      <c r="D303" s="1063">
        <f>D$249*D290</f>
        <v>0</v>
      </c>
      <c r="E303" s="1063">
        <f t="shared" si="169"/>
        <v>0</v>
      </c>
      <c r="F303" s="1063">
        <f t="shared" si="169"/>
        <v>0</v>
      </c>
      <c r="G303" s="1063">
        <f t="shared" si="169"/>
        <v>0</v>
      </c>
      <c r="H303" s="1063">
        <f t="shared" si="169"/>
        <v>0</v>
      </c>
      <c r="I303" s="1063">
        <f t="shared" si="169"/>
        <v>0</v>
      </c>
      <c r="J303" s="1063">
        <f t="shared" si="169"/>
        <v>0</v>
      </c>
      <c r="K303" s="1063">
        <f t="shared" si="169"/>
        <v>0</v>
      </c>
      <c r="L303" s="1063">
        <f t="shared" si="169"/>
        <v>0</v>
      </c>
      <c r="M303" s="1063">
        <f t="shared" si="169"/>
        <v>0</v>
      </c>
      <c r="N303" s="1063">
        <f t="shared" si="169"/>
        <v>0</v>
      </c>
      <c r="O303" s="1063">
        <f t="shared" si="169"/>
        <v>0</v>
      </c>
      <c r="P303" s="1063">
        <f t="shared" si="169"/>
        <v>0</v>
      </c>
      <c r="Q303" s="1063">
        <f t="shared" si="169"/>
        <v>0</v>
      </c>
      <c r="R303" s="1063">
        <f t="shared" si="169"/>
        <v>0</v>
      </c>
      <c r="S303" s="1063">
        <f t="shared" si="169"/>
        <v>0</v>
      </c>
      <c r="T303" s="1063">
        <f t="shared" si="169"/>
        <v>0</v>
      </c>
      <c r="U303" s="1063">
        <f t="shared" si="169"/>
        <v>0</v>
      </c>
      <c r="V303" s="1063">
        <f t="shared" si="169"/>
        <v>0</v>
      </c>
      <c r="W303" s="1063">
        <f t="shared" si="169"/>
        <v>0</v>
      </c>
      <c r="X303" s="1063">
        <f t="shared" si="169"/>
        <v>0</v>
      </c>
      <c r="Y303" s="1063">
        <f t="shared" si="169"/>
        <v>0</v>
      </c>
      <c r="Z303" s="1063">
        <f t="shared" si="169"/>
        <v>0</v>
      </c>
      <c r="AA303" s="1063">
        <f t="shared" si="169"/>
        <v>0</v>
      </c>
      <c r="AB303" s="1063">
        <f t="shared" si="169"/>
        <v>0</v>
      </c>
      <c r="AC303" s="1063">
        <f t="shared" si="169"/>
        <v>0</v>
      </c>
    </row>
    <row r="304" spans="2:29" ht="12" hidden="1" outlineLevel="1" thickBot="1">
      <c r="B304" s="936" t="s">
        <v>491</v>
      </c>
      <c r="C304" s="937"/>
      <c r="D304" s="1110">
        <f>D$249*D291</f>
        <v>0</v>
      </c>
      <c r="E304" s="1110">
        <f t="shared" si="169"/>
        <v>0</v>
      </c>
      <c r="F304" s="1110">
        <f t="shared" si="169"/>
        <v>0</v>
      </c>
      <c r="G304" s="1110">
        <f t="shared" si="169"/>
        <v>0</v>
      </c>
      <c r="H304" s="1110">
        <f t="shared" si="169"/>
        <v>0</v>
      </c>
      <c r="I304" s="1110">
        <f t="shared" si="169"/>
        <v>0</v>
      </c>
      <c r="J304" s="1110">
        <f t="shared" si="169"/>
        <v>0</v>
      </c>
      <c r="K304" s="1110">
        <f t="shared" si="169"/>
        <v>0</v>
      </c>
      <c r="L304" s="1110">
        <f t="shared" si="169"/>
        <v>0</v>
      </c>
      <c r="M304" s="1110">
        <f t="shared" si="169"/>
        <v>0</v>
      </c>
      <c r="N304" s="1110">
        <f t="shared" si="169"/>
        <v>0</v>
      </c>
      <c r="O304" s="1110">
        <f t="shared" si="169"/>
        <v>0</v>
      </c>
      <c r="P304" s="1110">
        <f t="shared" si="169"/>
        <v>0</v>
      </c>
      <c r="Q304" s="1110">
        <f t="shared" si="169"/>
        <v>0</v>
      </c>
      <c r="R304" s="1110">
        <f t="shared" si="169"/>
        <v>0</v>
      </c>
      <c r="S304" s="1110">
        <f t="shared" si="169"/>
        <v>0</v>
      </c>
      <c r="T304" s="1110">
        <f t="shared" si="169"/>
        <v>0</v>
      </c>
      <c r="U304" s="1110">
        <f t="shared" si="169"/>
        <v>0</v>
      </c>
      <c r="V304" s="1110">
        <f t="shared" si="169"/>
        <v>0</v>
      </c>
      <c r="W304" s="1110">
        <f t="shared" si="169"/>
        <v>0</v>
      </c>
      <c r="X304" s="1110">
        <f t="shared" si="169"/>
        <v>0</v>
      </c>
      <c r="Y304" s="1110">
        <f t="shared" si="169"/>
        <v>0</v>
      </c>
      <c r="Z304" s="1110">
        <f t="shared" si="169"/>
        <v>0</v>
      </c>
      <c r="AA304" s="1110">
        <f t="shared" si="169"/>
        <v>0</v>
      </c>
      <c r="AB304" s="1110">
        <f t="shared" si="169"/>
        <v>0</v>
      </c>
      <c r="AC304" s="1110">
        <f t="shared" si="169"/>
        <v>0</v>
      </c>
    </row>
    <row r="305" spans="2:29" ht="12" hidden="1" outlineLevel="1" thickTop="1">
      <c r="B305" s="1005"/>
      <c r="C305" s="976"/>
      <c r="D305" s="976"/>
      <c r="E305" s="976"/>
      <c r="F305" s="983"/>
      <c r="G305" s="976"/>
      <c r="H305" s="976"/>
      <c r="I305" s="983"/>
      <c r="J305" s="983"/>
      <c r="K305" s="976"/>
      <c r="L305" s="983"/>
      <c r="M305" s="983"/>
      <c r="N305" s="983"/>
      <c r="O305" s="983"/>
      <c r="P305" s="983"/>
      <c r="Q305" s="983"/>
      <c r="R305" s="983"/>
      <c r="S305" s="983"/>
      <c r="T305" s="983"/>
      <c r="U305" s="983"/>
      <c r="V305" s="983"/>
      <c r="W305" s="983"/>
      <c r="X305" s="983"/>
      <c r="Y305" s="983"/>
      <c r="Z305" s="983"/>
      <c r="AA305" s="983"/>
      <c r="AB305" s="983"/>
      <c r="AC305" s="983"/>
    </row>
    <row r="306" spans="2:29" ht="12" hidden="1" outlineLevel="1">
      <c r="B306" s="1006" t="s">
        <v>541</v>
      </c>
      <c r="C306" s="976"/>
      <c r="D306" s="976"/>
      <c r="E306" s="976"/>
      <c r="F306" s="983"/>
      <c r="G306" s="976"/>
      <c r="H306" s="976"/>
      <c r="I306" s="983"/>
      <c r="J306" s="983"/>
      <c r="K306" s="976"/>
      <c r="L306" s="983"/>
      <c r="M306" s="976"/>
      <c r="N306" s="976"/>
      <c r="O306" s="976"/>
      <c r="P306" s="976"/>
      <c r="Q306" s="976"/>
      <c r="R306" s="976"/>
      <c r="S306" s="976"/>
      <c r="T306" s="976"/>
      <c r="U306" s="976"/>
      <c r="V306" s="976"/>
      <c r="W306" s="976"/>
      <c r="X306" s="976"/>
      <c r="Y306" s="976"/>
      <c r="Z306" s="976"/>
      <c r="AA306" s="976"/>
      <c r="AB306" s="976"/>
      <c r="AC306" s="976"/>
    </row>
    <row r="307" spans="2:29" hidden="1" outlineLevel="1">
      <c r="B307" s="920" t="s">
        <v>481</v>
      </c>
      <c r="C307" s="929"/>
      <c r="D307" s="1068"/>
      <c r="E307" s="1068"/>
      <c r="F307" s="1068"/>
      <c r="G307" s="1068"/>
      <c r="H307" s="1068"/>
      <c r="I307" s="1068"/>
      <c r="J307" s="1068"/>
      <c r="K307" s="1068"/>
      <c r="L307" s="1068"/>
      <c r="M307" s="1068"/>
      <c r="N307" s="1068"/>
      <c r="O307" s="1068"/>
      <c r="P307" s="1068"/>
      <c r="Q307" s="1068"/>
      <c r="R307" s="1068"/>
      <c r="S307" s="1068"/>
      <c r="T307" s="1068"/>
      <c r="U307" s="1068"/>
      <c r="V307" s="1068"/>
      <c r="W307" s="1068"/>
      <c r="X307" s="1068"/>
      <c r="Y307" s="1068"/>
      <c r="Z307" s="1068"/>
      <c r="AA307" s="1068"/>
      <c r="AB307" s="1068"/>
      <c r="AC307" s="1068"/>
    </row>
    <row r="308" spans="2:29" hidden="1" outlineLevel="1">
      <c r="B308" s="925" t="s">
        <v>482</v>
      </c>
      <c r="C308" s="926"/>
      <c r="D308" s="1067"/>
      <c r="E308" s="1067"/>
      <c r="F308" s="1067"/>
      <c r="G308" s="1067"/>
      <c r="H308" s="1067"/>
      <c r="I308" s="1067"/>
      <c r="J308" s="1067"/>
      <c r="K308" s="1067"/>
      <c r="L308" s="1067"/>
      <c r="M308" s="1067"/>
      <c r="N308" s="1067"/>
      <c r="O308" s="1067"/>
      <c r="P308" s="1067"/>
      <c r="Q308" s="1067"/>
      <c r="R308" s="1067"/>
      <c r="S308" s="1067"/>
      <c r="T308" s="1067"/>
      <c r="U308" s="1067"/>
      <c r="V308" s="1067"/>
      <c r="W308" s="1067"/>
      <c r="X308" s="1067"/>
      <c r="Y308" s="1067"/>
      <c r="Z308" s="1067"/>
      <c r="AA308" s="1067"/>
      <c r="AB308" s="1067"/>
      <c r="AC308" s="1067"/>
    </row>
    <row r="309" spans="2:29" hidden="1" outlineLevel="1">
      <c r="B309" s="928" t="s">
        <v>483</v>
      </c>
      <c r="C309" s="929"/>
      <c r="D309" s="1068"/>
      <c r="E309" s="1068"/>
      <c r="F309" s="1068"/>
      <c r="G309" s="1068"/>
      <c r="H309" s="1068"/>
      <c r="I309" s="1068"/>
      <c r="J309" s="1068"/>
      <c r="K309" s="1068"/>
      <c r="L309" s="1068"/>
      <c r="M309" s="1068"/>
      <c r="N309" s="1068"/>
      <c r="O309" s="1068"/>
      <c r="P309" s="1068"/>
      <c r="Q309" s="1068"/>
      <c r="R309" s="1068"/>
      <c r="S309" s="1068"/>
      <c r="T309" s="1068"/>
      <c r="U309" s="1068"/>
      <c r="V309" s="1068"/>
      <c r="W309" s="1068"/>
      <c r="X309" s="1068"/>
      <c r="Y309" s="1068"/>
      <c r="Z309" s="1068"/>
      <c r="AA309" s="1068"/>
      <c r="AB309" s="1068"/>
      <c r="AC309" s="1068"/>
    </row>
    <row r="310" spans="2:29" hidden="1" outlineLevel="1">
      <c r="B310" s="925" t="s">
        <v>484</v>
      </c>
      <c r="C310" s="926"/>
      <c r="D310" s="1067"/>
      <c r="E310" s="1067"/>
      <c r="F310" s="1067"/>
      <c r="G310" s="1067"/>
      <c r="H310" s="1067"/>
      <c r="I310" s="1067"/>
      <c r="J310" s="1067"/>
      <c r="K310" s="1067"/>
      <c r="L310" s="1067"/>
      <c r="M310" s="1067"/>
      <c r="N310" s="1067"/>
      <c r="O310" s="1067"/>
      <c r="P310" s="1067"/>
      <c r="Q310" s="1067"/>
      <c r="R310" s="1067"/>
      <c r="S310" s="1067"/>
      <c r="T310" s="1067"/>
      <c r="U310" s="1067"/>
      <c r="V310" s="1067"/>
      <c r="W310" s="1067"/>
      <c r="X310" s="1067"/>
      <c r="Y310" s="1067"/>
      <c r="Z310" s="1067"/>
      <c r="AA310" s="1067"/>
      <c r="AB310" s="1067"/>
      <c r="AC310" s="1067"/>
    </row>
    <row r="311" spans="2:29" hidden="1" outlineLevel="1">
      <c r="B311" s="928" t="s">
        <v>485</v>
      </c>
      <c r="C311" s="929"/>
      <c r="D311" s="1068"/>
      <c r="E311" s="1068"/>
      <c r="F311" s="1068"/>
      <c r="G311" s="1068"/>
      <c r="H311" s="1068"/>
      <c r="I311" s="1068"/>
      <c r="J311" s="1068"/>
      <c r="K311" s="1068"/>
      <c r="L311" s="1068"/>
      <c r="M311" s="1068"/>
      <c r="N311" s="1068"/>
      <c r="O311" s="1068"/>
      <c r="P311" s="1068"/>
      <c r="Q311" s="1068"/>
      <c r="R311" s="1068"/>
      <c r="S311" s="1068"/>
      <c r="T311" s="1068"/>
      <c r="U311" s="1068"/>
      <c r="V311" s="1068"/>
      <c r="W311" s="1068"/>
      <c r="X311" s="1068"/>
      <c r="Y311" s="1068"/>
      <c r="Z311" s="1068"/>
      <c r="AA311" s="1068"/>
      <c r="AB311" s="1068"/>
      <c r="AC311" s="1068"/>
    </row>
    <row r="312" spans="2:29" hidden="1" outlineLevel="1">
      <c r="B312" s="925" t="s">
        <v>486</v>
      </c>
      <c r="C312" s="926"/>
      <c r="D312" s="1067"/>
      <c r="E312" s="1067"/>
      <c r="F312" s="1067"/>
      <c r="G312" s="1067"/>
      <c r="H312" s="1067"/>
      <c r="I312" s="1067"/>
      <c r="J312" s="1067"/>
      <c r="K312" s="1067"/>
      <c r="L312" s="1067"/>
      <c r="M312" s="1067"/>
      <c r="N312" s="1067"/>
      <c r="O312" s="1067"/>
      <c r="P312" s="1067"/>
      <c r="Q312" s="1067"/>
      <c r="R312" s="1067"/>
      <c r="S312" s="1067"/>
      <c r="T312" s="1067"/>
      <c r="U312" s="1067"/>
      <c r="V312" s="1067"/>
      <c r="W312" s="1067"/>
      <c r="X312" s="1067"/>
      <c r="Y312" s="1067"/>
      <c r="Z312" s="1067"/>
      <c r="AA312" s="1067"/>
      <c r="AB312" s="1067"/>
      <c r="AC312" s="1067"/>
    </row>
    <row r="313" spans="2:29" hidden="1" outlineLevel="1">
      <c r="B313" s="928" t="s">
        <v>538</v>
      </c>
      <c r="C313" s="929"/>
      <c r="D313" s="1068"/>
      <c r="E313" s="1068"/>
      <c r="F313" s="1068"/>
      <c r="G313" s="1068"/>
      <c r="H313" s="1068"/>
      <c r="I313" s="1068"/>
      <c r="J313" s="1068"/>
      <c r="K313" s="1068"/>
      <c r="L313" s="1068"/>
      <c r="M313" s="1068"/>
      <c r="N313" s="1068"/>
      <c r="O313" s="1068"/>
      <c r="P313" s="1068"/>
      <c r="Q313" s="1068"/>
      <c r="R313" s="1068"/>
      <c r="S313" s="1068"/>
      <c r="T313" s="1068"/>
      <c r="U313" s="1068"/>
      <c r="V313" s="1068"/>
      <c r="W313" s="1068"/>
      <c r="X313" s="1068"/>
      <c r="Y313" s="1068"/>
      <c r="Z313" s="1068"/>
      <c r="AA313" s="1068"/>
      <c r="AB313" s="1068"/>
      <c r="AC313" s="1068"/>
    </row>
    <row r="314" spans="2:29" ht="12" hidden="1" outlineLevel="1">
      <c r="B314" s="932" t="s">
        <v>488</v>
      </c>
      <c r="C314" s="926"/>
      <c r="D314" s="1104"/>
      <c r="E314" s="1105"/>
      <c r="F314" s="1105"/>
      <c r="G314" s="1105"/>
      <c r="H314" s="1105"/>
      <c r="I314" s="1105"/>
      <c r="J314" s="1105"/>
      <c r="K314" s="1105"/>
      <c r="L314" s="1105"/>
      <c r="M314" s="1105"/>
      <c r="N314" s="1105"/>
      <c r="O314" s="1105"/>
      <c r="P314" s="1105"/>
      <c r="Q314" s="1105"/>
      <c r="R314" s="1105"/>
      <c r="S314" s="1105"/>
      <c r="T314" s="1105"/>
      <c r="U314" s="1105"/>
      <c r="V314" s="1105"/>
      <c r="W314" s="1105"/>
      <c r="X314" s="1105"/>
      <c r="Y314" s="1105"/>
      <c r="Z314" s="1105"/>
      <c r="AA314" s="1105"/>
      <c r="AB314" s="1105"/>
      <c r="AC314" s="1105"/>
    </row>
    <row r="315" spans="2:29" hidden="1" outlineLevel="1">
      <c r="B315" s="928" t="s">
        <v>489</v>
      </c>
      <c r="C315" s="929"/>
      <c r="D315" s="1068"/>
      <c r="E315" s="1068"/>
      <c r="F315" s="1068"/>
      <c r="G315" s="1068"/>
      <c r="H315" s="1068"/>
      <c r="I315" s="1068"/>
      <c r="J315" s="1068"/>
      <c r="K315" s="1068"/>
      <c r="L315" s="1068"/>
      <c r="M315" s="1068"/>
      <c r="N315" s="1068"/>
      <c r="O315" s="1068"/>
      <c r="P315" s="1068"/>
      <c r="Q315" s="1068"/>
      <c r="R315" s="1068"/>
      <c r="S315" s="1068"/>
      <c r="T315" s="1068"/>
      <c r="U315" s="1068"/>
      <c r="V315" s="1068"/>
      <c r="W315" s="1068"/>
      <c r="X315" s="1068"/>
      <c r="Y315" s="1068"/>
      <c r="Z315" s="1068"/>
      <c r="AA315" s="1068"/>
      <c r="AB315" s="1068"/>
      <c r="AC315" s="1068"/>
    </row>
    <row r="316" spans="2:29" hidden="1" outlineLevel="1">
      <c r="B316" s="934" t="s">
        <v>539</v>
      </c>
      <c r="C316" s="935"/>
      <c r="D316" s="1071"/>
      <c r="E316" s="1071"/>
      <c r="F316" s="1071"/>
      <c r="G316" s="1071"/>
      <c r="H316" s="1071"/>
      <c r="I316" s="1071"/>
      <c r="J316" s="1071"/>
      <c r="K316" s="1071"/>
      <c r="L316" s="1071"/>
      <c r="M316" s="1071"/>
      <c r="N316" s="1071"/>
      <c r="O316" s="1071"/>
      <c r="P316" s="1071"/>
      <c r="Q316" s="1071"/>
      <c r="R316" s="1071"/>
      <c r="S316" s="1071"/>
      <c r="T316" s="1071"/>
      <c r="U316" s="1071"/>
      <c r="V316" s="1071"/>
      <c r="W316" s="1071"/>
      <c r="X316" s="1071"/>
      <c r="Y316" s="1071"/>
      <c r="Z316" s="1071"/>
      <c r="AA316" s="1071"/>
      <c r="AB316" s="1071"/>
      <c r="AC316" s="1071"/>
    </row>
    <row r="317" spans="2:29" ht="12" hidden="1" outlineLevel="1" thickBot="1">
      <c r="B317" s="936" t="s">
        <v>491</v>
      </c>
      <c r="C317" s="937"/>
      <c r="D317" s="1106"/>
      <c r="E317" s="1107"/>
      <c r="F317" s="1107"/>
      <c r="G317" s="1107"/>
      <c r="H317" s="1107"/>
      <c r="I317" s="1107"/>
      <c r="J317" s="1107"/>
      <c r="K317" s="1107"/>
      <c r="L317" s="1107"/>
      <c r="M317" s="1107"/>
      <c r="N317" s="1107"/>
      <c r="O317" s="1107"/>
      <c r="P317" s="1107"/>
      <c r="Q317" s="1107"/>
      <c r="R317" s="1107"/>
      <c r="S317" s="1107"/>
      <c r="T317" s="1107"/>
      <c r="U317" s="1107"/>
      <c r="V317" s="1107"/>
      <c r="W317" s="1107"/>
      <c r="X317" s="1107"/>
      <c r="Y317" s="1107"/>
      <c r="Z317" s="1107"/>
      <c r="AA317" s="1107"/>
      <c r="AB317" s="1107"/>
      <c r="AC317" s="1107"/>
    </row>
    <row r="318" spans="2:29" ht="12" hidden="1" outlineLevel="1" thickTop="1">
      <c r="B318" s="1005"/>
      <c r="C318" s="976"/>
      <c r="D318" s="976"/>
      <c r="E318" s="1076"/>
      <c r="F318" s="983"/>
      <c r="G318" s="976"/>
      <c r="H318" s="976"/>
      <c r="I318" s="983"/>
      <c r="J318" s="983"/>
      <c r="K318" s="976"/>
      <c r="L318" s="983"/>
      <c r="M318" s="976"/>
      <c r="N318" s="976"/>
      <c r="O318" s="976"/>
      <c r="P318" s="976"/>
      <c r="Q318" s="976"/>
      <c r="R318" s="976"/>
      <c r="S318" s="976"/>
      <c r="T318" s="976"/>
      <c r="U318" s="976"/>
      <c r="V318" s="976"/>
      <c r="W318" s="976"/>
      <c r="X318" s="976"/>
      <c r="Y318" s="976"/>
      <c r="Z318" s="976"/>
      <c r="AA318" s="976"/>
      <c r="AB318" s="976"/>
      <c r="AC318" s="976"/>
    </row>
    <row r="319" spans="2:29" ht="12" hidden="1" outlineLevel="1">
      <c r="B319" s="1006" t="s">
        <v>542</v>
      </c>
      <c r="C319" s="976"/>
      <c r="D319" s="976"/>
      <c r="E319" s="1077"/>
      <c r="F319" s="983"/>
      <c r="G319" s="976"/>
      <c r="H319" s="976"/>
      <c r="I319" s="983"/>
      <c r="J319" s="983"/>
      <c r="K319" s="976"/>
      <c r="L319" s="983"/>
      <c r="M319" s="976"/>
      <c r="N319" s="976"/>
      <c r="O319" s="976"/>
      <c r="P319" s="976"/>
      <c r="Q319" s="976"/>
      <c r="R319" s="976"/>
      <c r="S319" s="976"/>
      <c r="T319" s="976"/>
      <c r="U319" s="976"/>
      <c r="V319" s="976"/>
      <c r="W319" s="976"/>
      <c r="X319" s="976"/>
      <c r="Y319" s="976"/>
      <c r="Z319" s="976"/>
      <c r="AA319" s="976"/>
      <c r="AB319" s="976"/>
      <c r="AC319" s="976"/>
    </row>
    <row r="320" spans="2:29" hidden="1" outlineLevel="1">
      <c r="B320" s="920" t="s">
        <v>481</v>
      </c>
      <c r="C320" s="929"/>
      <c r="D320" s="1108">
        <f>SUM(D321:D326)</f>
        <v>0</v>
      </c>
      <c r="E320" s="1108">
        <f t="shared" ref="E320:X320" si="170">SUM(E321:E326)</f>
        <v>0</v>
      </c>
      <c r="F320" s="1108">
        <f t="shared" si="170"/>
        <v>0</v>
      </c>
      <c r="G320" s="1108">
        <f t="shared" si="170"/>
        <v>0</v>
      </c>
      <c r="H320" s="1108">
        <f t="shared" si="170"/>
        <v>0</v>
      </c>
      <c r="I320" s="1108">
        <f t="shared" si="170"/>
        <v>0</v>
      </c>
      <c r="J320" s="1108">
        <f t="shared" si="170"/>
        <v>0</v>
      </c>
      <c r="K320" s="1108">
        <f t="shared" si="170"/>
        <v>0</v>
      </c>
      <c r="L320" s="1108">
        <f t="shared" si="170"/>
        <v>0</v>
      </c>
      <c r="M320" s="1108">
        <f t="shared" si="170"/>
        <v>0</v>
      </c>
      <c r="N320" s="1108">
        <f t="shared" si="170"/>
        <v>0</v>
      </c>
      <c r="O320" s="1108">
        <f t="shared" si="170"/>
        <v>0</v>
      </c>
      <c r="P320" s="1108">
        <f t="shared" si="170"/>
        <v>0</v>
      </c>
      <c r="Q320" s="1108">
        <f t="shared" si="170"/>
        <v>0</v>
      </c>
      <c r="R320" s="1108">
        <f t="shared" si="170"/>
        <v>0</v>
      </c>
      <c r="S320" s="1108">
        <f t="shared" si="170"/>
        <v>0</v>
      </c>
      <c r="T320" s="1108">
        <f t="shared" si="170"/>
        <v>0</v>
      </c>
      <c r="U320" s="1108">
        <f t="shared" si="170"/>
        <v>0</v>
      </c>
      <c r="V320" s="1108">
        <f t="shared" si="170"/>
        <v>0</v>
      </c>
      <c r="W320" s="1108">
        <f t="shared" si="170"/>
        <v>0</v>
      </c>
      <c r="X320" s="1108">
        <f t="shared" si="170"/>
        <v>0</v>
      </c>
      <c r="Y320" s="1108">
        <f>SUM(Y321:Y326)</f>
        <v>0</v>
      </c>
      <c r="Z320" s="1108">
        <f>SUM(Z321:Z326)</f>
        <v>0</v>
      </c>
      <c r="AA320" s="1108">
        <f>SUM(AA321:AA326)</f>
        <v>0</v>
      </c>
      <c r="AB320" s="1108">
        <f>SUM(AB321:AB326)</f>
        <v>0</v>
      </c>
      <c r="AC320" s="1108">
        <f>SUM(AC321:AC326)</f>
        <v>0</v>
      </c>
    </row>
    <row r="321" spans="2:29" hidden="1" outlineLevel="1">
      <c r="B321" s="925" t="s">
        <v>482</v>
      </c>
      <c r="C321" s="926"/>
      <c r="D321" s="1056">
        <f t="shared" ref="D321:AC326" si="171">D308*D$252</f>
        <v>0</v>
      </c>
      <c r="E321" s="1056">
        <f t="shared" si="171"/>
        <v>0</v>
      </c>
      <c r="F321" s="1056">
        <f t="shared" si="171"/>
        <v>0</v>
      </c>
      <c r="G321" s="1056">
        <f t="shared" si="171"/>
        <v>0</v>
      </c>
      <c r="H321" s="1056">
        <f t="shared" si="171"/>
        <v>0</v>
      </c>
      <c r="I321" s="1056">
        <f t="shared" si="171"/>
        <v>0</v>
      </c>
      <c r="J321" s="1056">
        <f t="shared" si="171"/>
        <v>0</v>
      </c>
      <c r="K321" s="1056">
        <f t="shared" si="171"/>
        <v>0</v>
      </c>
      <c r="L321" s="1056">
        <f t="shared" si="171"/>
        <v>0</v>
      </c>
      <c r="M321" s="1056">
        <f t="shared" si="171"/>
        <v>0</v>
      </c>
      <c r="N321" s="1056">
        <f t="shared" si="171"/>
        <v>0</v>
      </c>
      <c r="O321" s="1056">
        <f t="shared" si="171"/>
        <v>0</v>
      </c>
      <c r="P321" s="1056">
        <f t="shared" si="171"/>
        <v>0</v>
      </c>
      <c r="Q321" s="1056">
        <f t="shared" si="171"/>
        <v>0</v>
      </c>
      <c r="R321" s="1056">
        <f t="shared" si="171"/>
        <v>0</v>
      </c>
      <c r="S321" s="1056">
        <f t="shared" si="171"/>
        <v>0</v>
      </c>
      <c r="T321" s="1056">
        <f t="shared" si="171"/>
        <v>0</v>
      </c>
      <c r="U321" s="1056">
        <f t="shared" si="171"/>
        <v>0</v>
      </c>
      <c r="V321" s="1056">
        <f t="shared" si="171"/>
        <v>0</v>
      </c>
      <c r="W321" s="1056">
        <f t="shared" si="171"/>
        <v>0</v>
      </c>
      <c r="X321" s="1056">
        <f t="shared" si="171"/>
        <v>0</v>
      </c>
      <c r="Y321" s="1056">
        <f t="shared" si="171"/>
        <v>0</v>
      </c>
      <c r="Z321" s="1056">
        <f t="shared" si="171"/>
        <v>0</v>
      </c>
      <c r="AA321" s="1056">
        <f t="shared" si="171"/>
        <v>0</v>
      </c>
      <c r="AB321" s="1056">
        <f t="shared" si="171"/>
        <v>0</v>
      </c>
      <c r="AC321" s="1056">
        <f t="shared" si="171"/>
        <v>0</v>
      </c>
    </row>
    <row r="322" spans="2:29" hidden="1" outlineLevel="1">
      <c r="B322" s="928" t="s">
        <v>483</v>
      </c>
      <c r="C322" s="929"/>
      <c r="D322" s="1058">
        <f t="shared" si="171"/>
        <v>0</v>
      </c>
      <c r="E322" s="1058">
        <f t="shared" si="171"/>
        <v>0</v>
      </c>
      <c r="F322" s="1058">
        <f t="shared" si="171"/>
        <v>0</v>
      </c>
      <c r="G322" s="1058">
        <f t="shared" si="171"/>
        <v>0</v>
      </c>
      <c r="H322" s="1058">
        <f t="shared" si="171"/>
        <v>0</v>
      </c>
      <c r="I322" s="1058">
        <f t="shared" si="171"/>
        <v>0</v>
      </c>
      <c r="J322" s="1058">
        <f t="shared" si="171"/>
        <v>0</v>
      </c>
      <c r="K322" s="1058">
        <f t="shared" si="171"/>
        <v>0</v>
      </c>
      <c r="L322" s="1058">
        <f t="shared" si="171"/>
        <v>0</v>
      </c>
      <c r="M322" s="1058">
        <f t="shared" si="171"/>
        <v>0</v>
      </c>
      <c r="N322" s="1058">
        <f t="shared" si="171"/>
        <v>0</v>
      </c>
      <c r="O322" s="1058">
        <f t="shared" si="171"/>
        <v>0</v>
      </c>
      <c r="P322" s="1058">
        <f t="shared" si="171"/>
        <v>0</v>
      </c>
      <c r="Q322" s="1058">
        <f t="shared" si="171"/>
        <v>0</v>
      </c>
      <c r="R322" s="1058">
        <f t="shared" si="171"/>
        <v>0</v>
      </c>
      <c r="S322" s="1058">
        <f t="shared" si="171"/>
        <v>0</v>
      </c>
      <c r="T322" s="1058">
        <f t="shared" si="171"/>
        <v>0</v>
      </c>
      <c r="U322" s="1058">
        <f t="shared" si="171"/>
        <v>0</v>
      </c>
      <c r="V322" s="1058">
        <f t="shared" si="171"/>
        <v>0</v>
      </c>
      <c r="W322" s="1058">
        <f t="shared" si="171"/>
        <v>0</v>
      </c>
      <c r="X322" s="1058">
        <f t="shared" si="171"/>
        <v>0</v>
      </c>
      <c r="Y322" s="1058">
        <f t="shared" si="171"/>
        <v>0</v>
      </c>
      <c r="Z322" s="1058">
        <f t="shared" si="171"/>
        <v>0</v>
      </c>
      <c r="AA322" s="1058">
        <f t="shared" si="171"/>
        <v>0</v>
      </c>
      <c r="AB322" s="1058">
        <f t="shared" si="171"/>
        <v>0</v>
      </c>
      <c r="AC322" s="1058">
        <f t="shared" si="171"/>
        <v>0</v>
      </c>
    </row>
    <row r="323" spans="2:29" s="957" customFormat="1" hidden="1" outlineLevel="1">
      <c r="B323" s="925" t="s">
        <v>484</v>
      </c>
      <c r="C323" s="926"/>
      <c r="D323" s="1056">
        <f t="shared" si="171"/>
        <v>0</v>
      </c>
      <c r="E323" s="1056">
        <f t="shared" si="171"/>
        <v>0</v>
      </c>
      <c r="F323" s="1056">
        <f t="shared" si="171"/>
        <v>0</v>
      </c>
      <c r="G323" s="1056">
        <f t="shared" si="171"/>
        <v>0</v>
      </c>
      <c r="H323" s="1056">
        <f t="shared" si="171"/>
        <v>0</v>
      </c>
      <c r="I323" s="1056">
        <f t="shared" si="171"/>
        <v>0</v>
      </c>
      <c r="J323" s="1056">
        <f t="shared" si="171"/>
        <v>0</v>
      </c>
      <c r="K323" s="1056">
        <f t="shared" si="171"/>
        <v>0</v>
      </c>
      <c r="L323" s="1056">
        <f t="shared" si="171"/>
        <v>0</v>
      </c>
      <c r="M323" s="1056">
        <f t="shared" si="171"/>
        <v>0</v>
      </c>
      <c r="N323" s="1056">
        <f t="shared" si="171"/>
        <v>0</v>
      </c>
      <c r="O323" s="1056">
        <f t="shared" si="171"/>
        <v>0</v>
      </c>
      <c r="P323" s="1056">
        <f t="shared" si="171"/>
        <v>0</v>
      </c>
      <c r="Q323" s="1056">
        <f t="shared" si="171"/>
        <v>0</v>
      </c>
      <c r="R323" s="1056">
        <f t="shared" si="171"/>
        <v>0</v>
      </c>
      <c r="S323" s="1056">
        <f t="shared" si="171"/>
        <v>0</v>
      </c>
      <c r="T323" s="1056">
        <f t="shared" si="171"/>
        <v>0</v>
      </c>
      <c r="U323" s="1056">
        <f t="shared" si="171"/>
        <v>0</v>
      </c>
      <c r="V323" s="1056">
        <f t="shared" si="171"/>
        <v>0</v>
      </c>
      <c r="W323" s="1056">
        <f t="shared" si="171"/>
        <v>0</v>
      </c>
      <c r="X323" s="1056">
        <f t="shared" si="171"/>
        <v>0</v>
      </c>
      <c r="Y323" s="1056">
        <f t="shared" si="171"/>
        <v>0</v>
      </c>
      <c r="Z323" s="1056">
        <f t="shared" si="171"/>
        <v>0</v>
      </c>
      <c r="AA323" s="1056">
        <f t="shared" si="171"/>
        <v>0</v>
      </c>
      <c r="AB323" s="1056">
        <f t="shared" si="171"/>
        <v>0</v>
      </c>
      <c r="AC323" s="1056">
        <f t="shared" si="171"/>
        <v>0</v>
      </c>
    </row>
    <row r="324" spans="2:29" hidden="1" outlineLevel="1">
      <c r="B324" s="928" t="s">
        <v>485</v>
      </c>
      <c r="C324" s="929"/>
      <c r="D324" s="1058">
        <f t="shared" si="171"/>
        <v>0</v>
      </c>
      <c r="E324" s="1058">
        <f t="shared" si="171"/>
        <v>0</v>
      </c>
      <c r="F324" s="1058">
        <f t="shared" si="171"/>
        <v>0</v>
      </c>
      <c r="G324" s="1058">
        <f t="shared" si="171"/>
        <v>0</v>
      </c>
      <c r="H324" s="1058">
        <f t="shared" si="171"/>
        <v>0</v>
      </c>
      <c r="I324" s="1058">
        <f t="shared" si="171"/>
        <v>0</v>
      </c>
      <c r="J324" s="1058">
        <f t="shared" si="171"/>
        <v>0</v>
      </c>
      <c r="K324" s="1058">
        <f t="shared" si="171"/>
        <v>0</v>
      </c>
      <c r="L324" s="1058">
        <f t="shared" si="171"/>
        <v>0</v>
      </c>
      <c r="M324" s="1058">
        <f t="shared" si="171"/>
        <v>0</v>
      </c>
      <c r="N324" s="1058">
        <f t="shared" si="171"/>
        <v>0</v>
      </c>
      <c r="O324" s="1058">
        <f t="shared" si="171"/>
        <v>0</v>
      </c>
      <c r="P324" s="1058">
        <f t="shared" si="171"/>
        <v>0</v>
      </c>
      <c r="Q324" s="1058">
        <f t="shared" si="171"/>
        <v>0</v>
      </c>
      <c r="R324" s="1058">
        <f t="shared" si="171"/>
        <v>0</v>
      </c>
      <c r="S324" s="1058">
        <f t="shared" si="171"/>
        <v>0</v>
      </c>
      <c r="T324" s="1058">
        <f t="shared" si="171"/>
        <v>0</v>
      </c>
      <c r="U324" s="1058">
        <f t="shared" si="171"/>
        <v>0</v>
      </c>
      <c r="V324" s="1058">
        <f t="shared" si="171"/>
        <v>0</v>
      </c>
      <c r="W324" s="1058">
        <f t="shared" si="171"/>
        <v>0</v>
      </c>
      <c r="X324" s="1058">
        <f t="shared" si="171"/>
        <v>0</v>
      </c>
      <c r="Y324" s="1058">
        <f t="shared" si="171"/>
        <v>0</v>
      </c>
      <c r="Z324" s="1058">
        <f t="shared" si="171"/>
        <v>0</v>
      </c>
      <c r="AA324" s="1058">
        <f t="shared" si="171"/>
        <v>0</v>
      </c>
      <c r="AB324" s="1058">
        <f t="shared" si="171"/>
        <v>0</v>
      </c>
      <c r="AC324" s="1058">
        <f t="shared" si="171"/>
        <v>0</v>
      </c>
    </row>
    <row r="325" spans="2:29" hidden="1" outlineLevel="1">
      <c r="B325" s="925" t="s">
        <v>486</v>
      </c>
      <c r="C325" s="926"/>
      <c r="D325" s="1056">
        <f t="shared" si="171"/>
        <v>0</v>
      </c>
      <c r="E325" s="1056">
        <f t="shared" si="171"/>
        <v>0</v>
      </c>
      <c r="F325" s="1056">
        <f t="shared" si="171"/>
        <v>0</v>
      </c>
      <c r="G325" s="1056">
        <f t="shared" si="171"/>
        <v>0</v>
      </c>
      <c r="H325" s="1056">
        <f t="shared" si="171"/>
        <v>0</v>
      </c>
      <c r="I325" s="1056">
        <f t="shared" si="171"/>
        <v>0</v>
      </c>
      <c r="J325" s="1056">
        <f t="shared" si="171"/>
        <v>0</v>
      </c>
      <c r="K325" s="1056">
        <f t="shared" si="171"/>
        <v>0</v>
      </c>
      <c r="L325" s="1056">
        <f t="shared" si="171"/>
        <v>0</v>
      </c>
      <c r="M325" s="1056">
        <f t="shared" si="171"/>
        <v>0</v>
      </c>
      <c r="N325" s="1056">
        <f t="shared" si="171"/>
        <v>0</v>
      </c>
      <c r="O325" s="1056">
        <f t="shared" si="171"/>
        <v>0</v>
      </c>
      <c r="P325" s="1056">
        <f t="shared" si="171"/>
        <v>0</v>
      </c>
      <c r="Q325" s="1056">
        <f t="shared" si="171"/>
        <v>0</v>
      </c>
      <c r="R325" s="1056">
        <f t="shared" si="171"/>
        <v>0</v>
      </c>
      <c r="S325" s="1056">
        <f t="shared" si="171"/>
        <v>0</v>
      </c>
      <c r="T325" s="1056">
        <f t="shared" si="171"/>
        <v>0</v>
      </c>
      <c r="U325" s="1056">
        <f t="shared" si="171"/>
        <v>0</v>
      </c>
      <c r="V325" s="1056">
        <f t="shared" si="171"/>
        <v>0</v>
      </c>
      <c r="W325" s="1056">
        <f t="shared" si="171"/>
        <v>0</v>
      </c>
      <c r="X325" s="1056">
        <f t="shared" si="171"/>
        <v>0</v>
      </c>
      <c r="Y325" s="1056">
        <f t="shared" si="171"/>
        <v>0</v>
      </c>
      <c r="Z325" s="1056">
        <f t="shared" si="171"/>
        <v>0</v>
      </c>
      <c r="AA325" s="1056">
        <f t="shared" si="171"/>
        <v>0</v>
      </c>
      <c r="AB325" s="1056">
        <f t="shared" si="171"/>
        <v>0</v>
      </c>
      <c r="AC325" s="1056">
        <f t="shared" si="171"/>
        <v>0</v>
      </c>
    </row>
    <row r="326" spans="2:29" hidden="1" outlineLevel="1">
      <c r="B326" s="928" t="s">
        <v>538</v>
      </c>
      <c r="C326" s="929"/>
      <c r="D326" s="1058">
        <f t="shared" si="171"/>
        <v>0</v>
      </c>
      <c r="E326" s="1058">
        <f t="shared" si="171"/>
        <v>0</v>
      </c>
      <c r="F326" s="1058">
        <f t="shared" si="171"/>
        <v>0</v>
      </c>
      <c r="G326" s="1058">
        <f t="shared" si="171"/>
        <v>0</v>
      </c>
      <c r="H326" s="1058">
        <f t="shared" si="171"/>
        <v>0</v>
      </c>
      <c r="I326" s="1058">
        <f t="shared" si="171"/>
        <v>0</v>
      </c>
      <c r="J326" s="1058">
        <f t="shared" si="171"/>
        <v>0</v>
      </c>
      <c r="K326" s="1058">
        <f t="shared" si="171"/>
        <v>0</v>
      </c>
      <c r="L326" s="1058">
        <f t="shared" si="171"/>
        <v>0</v>
      </c>
      <c r="M326" s="1058">
        <f t="shared" si="171"/>
        <v>0</v>
      </c>
      <c r="N326" s="1058">
        <f t="shared" si="171"/>
        <v>0</v>
      </c>
      <c r="O326" s="1058">
        <f t="shared" si="171"/>
        <v>0</v>
      </c>
      <c r="P326" s="1058">
        <f t="shared" si="171"/>
        <v>0</v>
      </c>
      <c r="Q326" s="1058">
        <f t="shared" si="171"/>
        <v>0</v>
      </c>
      <c r="R326" s="1058">
        <f t="shared" si="171"/>
        <v>0</v>
      </c>
      <c r="S326" s="1058">
        <f t="shared" si="171"/>
        <v>0</v>
      </c>
      <c r="T326" s="1058">
        <f t="shared" si="171"/>
        <v>0</v>
      </c>
      <c r="U326" s="1058">
        <f t="shared" si="171"/>
        <v>0</v>
      </c>
      <c r="V326" s="1058">
        <f t="shared" si="171"/>
        <v>0</v>
      </c>
      <c r="W326" s="1058">
        <f t="shared" si="171"/>
        <v>0</v>
      </c>
      <c r="X326" s="1058">
        <f t="shared" si="171"/>
        <v>0</v>
      </c>
      <c r="Y326" s="1058">
        <f t="shared" si="171"/>
        <v>0</v>
      </c>
      <c r="Z326" s="1058">
        <f t="shared" si="171"/>
        <v>0</v>
      </c>
      <c r="AA326" s="1058">
        <f t="shared" si="171"/>
        <v>0</v>
      </c>
      <c r="AB326" s="1058">
        <f t="shared" si="171"/>
        <v>0</v>
      </c>
      <c r="AC326" s="1058">
        <f t="shared" si="171"/>
        <v>0</v>
      </c>
    </row>
    <row r="327" spans="2:29" ht="12" hidden="1" outlineLevel="1">
      <c r="B327" s="932" t="s">
        <v>488</v>
      </c>
      <c r="C327" s="926"/>
      <c r="D327" s="1109">
        <f>D328+D329</f>
        <v>0</v>
      </c>
      <c r="E327" s="1109">
        <f t="shared" ref="E327:X327" si="172">E328+E329</f>
        <v>0</v>
      </c>
      <c r="F327" s="1109">
        <f t="shared" si="172"/>
        <v>0</v>
      </c>
      <c r="G327" s="1109">
        <f t="shared" si="172"/>
        <v>0</v>
      </c>
      <c r="H327" s="1109">
        <f t="shared" si="172"/>
        <v>0</v>
      </c>
      <c r="I327" s="1109">
        <f t="shared" si="172"/>
        <v>0</v>
      </c>
      <c r="J327" s="1109">
        <f t="shared" si="172"/>
        <v>0</v>
      </c>
      <c r="K327" s="1109">
        <f t="shared" si="172"/>
        <v>0</v>
      </c>
      <c r="L327" s="1109">
        <f t="shared" si="172"/>
        <v>0</v>
      </c>
      <c r="M327" s="1109">
        <f t="shared" si="172"/>
        <v>0</v>
      </c>
      <c r="N327" s="1109">
        <f t="shared" si="172"/>
        <v>0</v>
      </c>
      <c r="O327" s="1109">
        <f t="shared" si="172"/>
        <v>0</v>
      </c>
      <c r="P327" s="1109">
        <f t="shared" si="172"/>
        <v>0</v>
      </c>
      <c r="Q327" s="1109">
        <f t="shared" si="172"/>
        <v>0</v>
      </c>
      <c r="R327" s="1109">
        <f t="shared" si="172"/>
        <v>0</v>
      </c>
      <c r="S327" s="1109">
        <f t="shared" si="172"/>
        <v>0</v>
      </c>
      <c r="T327" s="1109">
        <f t="shared" si="172"/>
        <v>0</v>
      </c>
      <c r="U327" s="1109">
        <f t="shared" si="172"/>
        <v>0</v>
      </c>
      <c r="V327" s="1109">
        <f t="shared" si="172"/>
        <v>0</v>
      </c>
      <c r="W327" s="1109">
        <f t="shared" si="172"/>
        <v>0</v>
      </c>
      <c r="X327" s="1109">
        <f t="shared" si="172"/>
        <v>0</v>
      </c>
      <c r="Y327" s="1109">
        <f>Y328+Y329</f>
        <v>0</v>
      </c>
      <c r="Z327" s="1109">
        <f>Z328+Z329</f>
        <v>0</v>
      </c>
      <c r="AA327" s="1109">
        <f>AA328+AA329</f>
        <v>0</v>
      </c>
      <c r="AB327" s="1109">
        <f>AB328+AB329</f>
        <v>0</v>
      </c>
      <c r="AC327" s="1109">
        <f>AC328+AC329</f>
        <v>0</v>
      </c>
    </row>
    <row r="328" spans="2:29" hidden="1" outlineLevel="1">
      <c r="B328" s="928" t="s">
        <v>489</v>
      </c>
      <c r="C328" s="929"/>
      <c r="D328" s="1010">
        <f t="shared" ref="D328:AC330" si="173">D315*D$252</f>
        <v>0</v>
      </c>
      <c r="E328" s="1010">
        <f t="shared" si="173"/>
        <v>0</v>
      </c>
      <c r="F328" s="1010">
        <f t="shared" si="173"/>
        <v>0</v>
      </c>
      <c r="G328" s="1010">
        <f t="shared" si="173"/>
        <v>0</v>
      </c>
      <c r="H328" s="1010">
        <f t="shared" si="173"/>
        <v>0</v>
      </c>
      <c r="I328" s="1010">
        <f t="shared" si="173"/>
        <v>0</v>
      </c>
      <c r="J328" s="1010">
        <f t="shared" si="173"/>
        <v>0</v>
      </c>
      <c r="K328" s="1010">
        <f t="shared" si="173"/>
        <v>0</v>
      </c>
      <c r="L328" s="1010">
        <f t="shared" si="173"/>
        <v>0</v>
      </c>
      <c r="M328" s="1010">
        <f t="shared" si="173"/>
        <v>0</v>
      </c>
      <c r="N328" s="1010">
        <f t="shared" si="173"/>
        <v>0</v>
      </c>
      <c r="O328" s="1010">
        <f t="shared" si="173"/>
        <v>0</v>
      </c>
      <c r="P328" s="1010">
        <f t="shared" si="173"/>
        <v>0</v>
      </c>
      <c r="Q328" s="1010">
        <f t="shared" si="173"/>
        <v>0</v>
      </c>
      <c r="R328" s="1010">
        <f t="shared" si="173"/>
        <v>0</v>
      </c>
      <c r="S328" s="1010">
        <f t="shared" si="173"/>
        <v>0</v>
      </c>
      <c r="T328" s="1010">
        <f t="shared" si="173"/>
        <v>0</v>
      </c>
      <c r="U328" s="1010">
        <f t="shared" si="173"/>
        <v>0</v>
      </c>
      <c r="V328" s="1010">
        <f t="shared" si="173"/>
        <v>0</v>
      </c>
      <c r="W328" s="1010">
        <f t="shared" si="173"/>
        <v>0</v>
      </c>
      <c r="X328" s="1010">
        <f t="shared" si="173"/>
        <v>0</v>
      </c>
      <c r="Y328" s="1010">
        <f t="shared" si="173"/>
        <v>0</v>
      </c>
      <c r="Z328" s="1010">
        <f t="shared" si="173"/>
        <v>0</v>
      </c>
      <c r="AA328" s="1010">
        <f t="shared" si="173"/>
        <v>0</v>
      </c>
      <c r="AB328" s="1010">
        <f t="shared" si="173"/>
        <v>0</v>
      </c>
      <c r="AC328" s="1010">
        <f t="shared" si="173"/>
        <v>0</v>
      </c>
    </row>
    <row r="329" spans="2:29" hidden="1" outlineLevel="1">
      <c r="B329" s="934" t="s">
        <v>539</v>
      </c>
      <c r="C329" s="935"/>
      <c r="D329" s="1063">
        <f>D316*D$252</f>
        <v>0</v>
      </c>
      <c r="E329" s="1063">
        <f t="shared" si="173"/>
        <v>0</v>
      </c>
      <c r="F329" s="1063">
        <f t="shared" si="173"/>
        <v>0</v>
      </c>
      <c r="G329" s="1063">
        <f t="shared" si="173"/>
        <v>0</v>
      </c>
      <c r="H329" s="1063">
        <f t="shared" si="173"/>
        <v>0</v>
      </c>
      <c r="I329" s="1063">
        <f t="shared" si="173"/>
        <v>0</v>
      </c>
      <c r="J329" s="1063">
        <f t="shared" si="173"/>
        <v>0</v>
      </c>
      <c r="K329" s="1063">
        <f t="shared" si="173"/>
        <v>0</v>
      </c>
      <c r="L329" s="1063">
        <f t="shared" si="173"/>
        <v>0</v>
      </c>
      <c r="M329" s="1063">
        <f t="shared" si="173"/>
        <v>0</v>
      </c>
      <c r="N329" s="1063">
        <f t="shared" si="173"/>
        <v>0</v>
      </c>
      <c r="O329" s="1063">
        <f t="shared" si="173"/>
        <v>0</v>
      </c>
      <c r="P329" s="1063">
        <f t="shared" si="173"/>
        <v>0</v>
      </c>
      <c r="Q329" s="1063">
        <f t="shared" si="173"/>
        <v>0</v>
      </c>
      <c r="R329" s="1063">
        <f t="shared" si="173"/>
        <v>0</v>
      </c>
      <c r="S329" s="1063">
        <f t="shared" si="173"/>
        <v>0</v>
      </c>
      <c r="T329" s="1063">
        <f t="shared" si="173"/>
        <v>0</v>
      </c>
      <c r="U329" s="1063">
        <f t="shared" si="173"/>
        <v>0</v>
      </c>
      <c r="V329" s="1063">
        <f t="shared" si="173"/>
        <v>0</v>
      </c>
      <c r="W329" s="1063">
        <f t="shared" si="173"/>
        <v>0</v>
      </c>
      <c r="X329" s="1063">
        <f t="shared" si="173"/>
        <v>0</v>
      </c>
      <c r="Y329" s="1063">
        <f t="shared" si="173"/>
        <v>0</v>
      </c>
      <c r="Z329" s="1063">
        <f t="shared" si="173"/>
        <v>0</v>
      </c>
      <c r="AA329" s="1063">
        <f t="shared" si="173"/>
        <v>0</v>
      </c>
      <c r="AB329" s="1063">
        <f t="shared" si="173"/>
        <v>0</v>
      </c>
      <c r="AC329" s="1063">
        <f t="shared" si="173"/>
        <v>0</v>
      </c>
    </row>
    <row r="330" spans="2:29" ht="12" hidden="1" outlineLevel="1" thickBot="1">
      <c r="B330" s="936" t="s">
        <v>491</v>
      </c>
      <c r="C330" s="937"/>
      <c r="D330" s="1110">
        <f>D317*D$252</f>
        <v>0</v>
      </c>
      <c r="E330" s="1110">
        <f t="shared" si="173"/>
        <v>0</v>
      </c>
      <c r="F330" s="1110">
        <f t="shared" si="173"/>
        <v>0</v>
      </c>
      <c r="G330" s="1110">
        <f t="shared" si="173"/>
        <v>0</v>
      </c>
      <c r="H330" s="1110">
        <f t="shared" si="173"/>
        <v>0</v>
      </c>
      <c r="I330" s="1110">
        <f t="shared" si="173"/>
        <v>0</v>
      </c>
      <c r="J330" s="1110">
        <f t="shared" si="173"/>
        <v>0</v>
      </c>
      <c r="K330" s="1110">
        <f t="shared" si="173"/>
        <v>0</v>
      </c>
      <c r="L330" s="1110">
        <f t="shared" si="173"/>
        <v>0</v>
      </c>
      <c r="M330" s="1110">
        <f t="shared" si="173"/>
        <v>0</v>
      </c>
      <c r="N330" s="1110">
        <f t="shared" si="173"/>
        <v>0</v>
      </c>
      <c r="O330" s="1110">
        <f t="shared" si="173"/>
        <v>0</v>
      </c>
      <c r="P330" s="1110">
        <f t="shared" si="173"/>
        <v>0</v>
      </c>
      <c r="Q330" s="1110">
        <f t="shared" si="173"/>
        <v>0</v>
      </c>
      <c r="R330" s="1110">
        <f t="shared" si="173"/>
        <v>0</v>
      </c>
      <c r="S330" s="1110">
        <f t="shared" si="173"/>
        <v>0</v>
      </c>
      <c r="T330" s="1110">
        <f t="shared" si="173"/>
        <v>0</v>
      </c>
      <c r="U330" s="1110">
        <f t="shared" si="173"/>
        <v>0</v>
      </c>
      <c r="V330" s="1110">
        <f t="shared" si="173"/>
        <v>0</v>
      </c>
      <c r="W330" s="1110">
        <f t="shared" si="173"/>
        <v>0</v>
      </c>
      <c r="X330" s="1110">
        <f t="shared" si="173"/>
        <v>0</v>
      </c>
      <c r="Y330" s="1110">
        <f t="shared" si="173"/>
        <v>0</v>
      </c>
      <c r="Z330" s="1110">
        <f t="shared" si="173"/>
        <v>0</v>
      </c>
      <c r="AA330" s="1110">
        <f t="shared" si="173"/>
        <v>0</v>
      </c>
      <c r="AB330" s="1110">
        <f t="shared" si="173"/>
        <v>0</v>
      </c>
      <c r="AC330" s="1110">
        <f t="shared" si="173"/>
        <v>0</v>
      </c>
    </row>
    <row r="331" spans="2:29" ht="12" hidden="1" outlineLevel="1" thickTop="1">
      <c r="B331" s="1005"/>
      <c r="C331" s="976"/>
      <c r="D331" s="976"/>
      <c r="E331" s="1076"/>
      <c r="F331" s="983"/>
      <c r="G331" s="976"/>
      <c r="H331" s="976"/>
      <c r="I331" s="983"/>
      <c r="J331" s="983"/>
      <c r="K331" s="976"/>
      <c r="L331" s="983"/>
      <c r="M331" s="976"/>
      <c r="N331" s="976"/>
      <c r="O331" s="976"/>
      <c r="P331" s="976"/>
      <c r="Q331" s="976"/>
      <c r="R331" s="976"/>
      <c r="S331" s="976"/>
      <c r="T331" s="976"/>
      <c r="U331" s="976"/>
      <c r="V331" s="976"/>
      <c r="W331" s="976"/>
      <c r="X331" s="976"/>
      <c r="Y331" s="976"/>
      <c r="Z331" s="976"/>
      <c r="AA331" s="976"/>
      <c r="AB331" s="976"/>
      <c r="AC331" s="976"/>
    </row>
    <row r="332" spans="2:29" ht="12" collapsed="1">
      <c r="B332" s="1006" t="s">
        <v>543</v>
      </c>
      <c r="C332" s="976"/>
      <c r="D332" s="976"/>
      <c r="E332" s="1077"/>
      <c r="F332" s="983"/>
      <c r="G332" s="976"/>
      <c r="H332" s="976"/>
      <c r="I332" s="983"/>
      <c r="J332" s="983"/>
      <c r="K332" s="976"/>
      <c r="L332" s="983"/>
      <c r="M332" s="976"/>
      <c r="N332" s="976"/>
      <c r="O332" s="976"/>
      <c r="P332" s="976"/>
      <c r="Q332" s="976"/>
      <c r="R332" s="976"/>
      <c r="S332" s="976"/>
      <c r="T332" s="976"/>
      <c r="U332" s="976"/>
      <c r="V332" s="976"/>
      <c r="W332" s="976"/>
      <c r="X332" s="976"/>
      <c r="Y332" s="976"/>
      <c r="Z332" s="976"/>
      <c r="AA332" s="976"/>
      <c r="AB332" s="976"/>
      <c r="AC332" s="976"/>
    </row>
    <row r="333" spans="2:29">
      <c r="B333" s="1007" t="s">
        <v>481</v>
      </c>
      <c r="C333" s="1021"/>
      <c r="D333" s="1054">
        <f t="shared" ref="D333:AC333" si="174">SUM(D334:D339)</f>
        <v>0</v>
      </c>
      <c r="E333" s="1054">
        <f t="shared" si="174"/>
        <v>0</v>
      </c>
      <c r="F333" s="1054">
        <f t="shared" si="174"/>
        <v>0</v>
      </c>
      <c r="G333" s="1054">
        <f t="shared" si="174"/>
        <v>0</v>
      </c>
      <c r="H333" s="1054">
        <f t="shared" si="174"/>
        <v>0</v>
      </c>
      <c r="I333" s="1054">
        <f t="shared" si="174"/>
        <v>0</v>
      </c>
      <c r="J333" s="1054">
        <f t="shared" si="174"/>
        <v>0</v>
      </c>
      <c r="K333" s="1054">
        <f t="shared" si="174"/>
        <v>43.858945457019061</v>
      </c>
      <c r="L333" s="1054">
        <f t="shared" si="174"/>
        <v>2096.0887759031179</v>
      </c>
      <c r="M333" s="1054">
        <f t="shared" si="174"/>
        <v>3567.3023377449376</v>
      </c>
      <c r="N333" s="1054">
        <f t="shared" si="174"/>
        <v>4961.4194364842488</v>
      </c>
      <c r="O333" s="1054">
        <f t="shared" si="174"/>
        <v>5987.7097398575224</v>
      </c>
      <c r="P333" s="1054">
        <f t="shared" si="174"/>
        <v>7439.1450851855925</v>
      </c>
      <c r="Q333" s="1054">
        <f t="shared" si="174"/>
        <v>8788.6827111713028</v>
      </c>
      <c r="R333" s="1054">
        <f t="shared" si="174"/>
        <v>8507.0928713751418</v>
      </c>
      <c r="S333" s="1054">
        <f t="shared" si="174"/>
        <v>8670.0380134086918</v>
      </c>
      <c r="T333" s="1054">
        <f t="shared" si="174"/>
        <v>8564.6298030330945</v>
      </c>
      <c r="U333" s="1054">
        <f t="shared" si="174"/>
        <v>6921.2520462463308</v>
      </c>
      <c r="V333" s="1054">
        <f t="shared" si="174"/>
        <v>5506.3137118473278</v>
      </c>
      <c r="W333" s="1054">
        <f t="shared" si="174"/>
        <v>5800.453514965353</v>
      </c>
      <c r="X333" s="1054">
        <f t="shared" si="174"/>
        <v>6325.6756317583531</v>
      </c>
      <c r="Y333" s="1054">
        <f t="shared" si="174"/>
        <v>6666.8509172887861</v>
      </c>
      <c r="Z333" s="1054">
        <f t="shared" si="174"/>
        <v>7162.1072575227827</v>
      </c>
      <c r="AA333" s="1054">
        <f t="shared" si="174"/>
        <v>7543.1090294921987</v>
      </c>
      <c r="AB333" s="1054">
        <f t="shared" si="174"/>
        <v>7769.2213764556036</v>
      </c>
      <c r="AC333" s="1054">
        <f t="shared" si="174"/>
        <v>7891.2831780215638</v>
      </c>
    </row>
    <row r="334" spans="2:29">
      <c r="B334" s="925" t="s">
        <v>482</v>
      </c>
      <c r="C334" s="926"/>
      <c r="D334" s="1056">
        <f t="shared" ref="D334:AC339" si="175">D269+D295+D321</f>
        <v>0</v>
      </c>
      <c r="E334" s="1056">
        <f t="shared" si="175"/>
        <v>0</v>
      </c>
      <c r="F334" s="1056">
        <f t="shared" si="175"/>
        <v>0</v>
      </c>
      <c r="G334" s="1056">
        <f t="shared" si="175"/>
        <v>0</v>
      </c>
      <c r="H334" s="1056">
        <f t="shared" si="175"/>
        <v>0</v>
      </c>
      <c r="I334" s="1056">
        <f t="shared" si="175"/>
        <v>0</v>
      </c>
      <c r="J334" s="1056">
        <f t="shared" si="175"/>
        <v>0</v>
      </c>
      <c r="K334" s="1056">
        <f t="shared" si="175"/>
        <v>43.858945457019061</v>
      </c>
      <c r="L334" s="1056">
        <f t="shared" si="175"/>
        <v>2096.0887759031179</v>
      </c>
      <c r="M334" s="1056">
        <f t="shared" si="175"/>
        <v>3567.3023377449376</v>
      </c>
      <c r="N334" s="1056">
        <f t="shared" si="175"/>
        <v>4961.4194364842488</v>
      </c>
      <c r="O334" s="1056">
        <f t="shared" si="175"/>
        <v>5987.7097398575224</v>
      </c>
      <c r="P334" s="1056">
        <f t="shared" si="175"/>
        <v>7439.1450851855925</v>
      </c>
      <c r="Q334" s="1056">
        <f t="shared" si="175"/>
        <v>8788.6827111713028</v>
      </c>
      <c r="R334" s="1056">
        <f t="shared" si="175"/>
        <v>5954.9650099625987</v>
      </c>
      <c r="S334" s="1056">
        <f t="shared" si="175"/>
        <v>3468.015205363477</v>
      </c>
      <c r="T334" s="1056">
        <f t="shared" si="175"/>
        <v>2141.1574507582736</v>
      </c>
      <c r="U334" s="1056">
        <f t="shared" si="175"/>
        <v>692.12520462463306</v>
      </c>
      <c r="V334" s="1056">
        <f t="shared" si="175"/>
        <v>55.063137118473271</v>
      </c>
      <c r="W334" s="1056">
        <f t="shared" si="175"/>
        <v>58.004535149653528</v>
      </c>
      <c r="X334" s="1056">
        <f t="shared" si="175"/>
        <v>12.651351263516707</v>
      </c>
      <c r="Y334" s="1056">
        <f t="shared" si="175"/>
        <v>6.6668509172887873</v>
      </c>
      <c r="Z334" s="1056">
        <f t="shared" si="175"/>
        <v>7.1621072575227833</v>
      </c>
      <c r="AA334" s="1056">
        <f t="shared" si="175"/>
        <v>7.5431090294921992</v>
      </c>
      <c r="AB334" s="1056">
        <f t="shared" si="175"/>
        <v>7.7692213764556044</v>
      </c>
      <c r="AC334" s="1056">
        <f t="shared" si="175"/>
        <v>7.8912831780215642</v>
      </c>
    </row>
    <row r="335" spans="2:29">
      <c r="B335" s="928" t="s">
        <v>483</v>
      </c>
      <c r="C335" s="929"/>
      <c r="D335" s="1058">
        <f t="shared" si="175"/>
        <v>0</v>
      </c>
      <c r="E335" s="1058">
        <f t="shared" si="175"/>
        <v>0</v>
      </c>
      <c r="F335" s="1058">
        <f t="shared" si="175"/>
        <v>0</v>
      </c>
      <c r="G335" s="1058">
        <f t="shared" si="175"/>
        <v>0</v>
      </c>
      <c r="H335" s="1058">
        <f t="shared" si="175"/>
        <v>0</v>
      </c>
      <c r="I335" s="1058">
        <f t="shared" si="175"/>
        <v>0</v>
      </c>
      <c r="J335" s="1058">
        <f t="shared" si="175"/>
        <v>0</v>
      </c>
      <c r="K335" s="1058">
        <f t="shared" si="175"/>
        <v>0</v>
      </c>
      <c r="L335" s="1058">
        <f t="shared" si="175"/>
        <v>0</v>
      </c>
      <c r="M335" s="1058">
        <f t="shared" si="175"/>
        <v>0</v>
      </c>
      <c r="N335" s="1058">
        <f t="shared" si="175"/>
        <v>0</v>
      </c>
      <c r="O335" s="1058">
        <f t="shared" si="175"/>
        <v>0</v>
      </c>
      <c r="P335" s="1058">
        <f t="shared" si="175"/>
        <v>0</v>
      </c>
      <c r="Q335" s="1058">
        <f t="shared" si="175"/>
        <v>0</v>
      </c>
      <c r="R335" s="1058">
        <f t="shared" si="175"/>
        <v>0</v>
      </c>
      <c r="S335" s="1058">
        <f t="shared" si="175"/>
        <v>0</v>
      </c>
      <c r="T335" s="1058">
        <f t="shared" si="175"/>
        <v>0</v>
      </c>
      <c r="U335" s="1058">
        <f t="shared" si="175"/>
        <v>0</v>
      </c>
      <c r="V335" s="1058">
        <f t="shared" si="175"/>
        <v>0</v>
      </c>
      <c r="W335" s="1058">
        <f t="shared" si="175"/>
        <v>0</v>
      </c>
      <c r="X335" s="1058">
        <f t="shared" si="175"/>
        <v>316.2837815879177</v>
      </c>
      <c r="Y335" s="1058">
        <f t="shared" si="175"/>
        <v>666.68509172887877</v>
      </c>
      <c r="Z335" s="1058">
        <f t="shared" si="175"/>
        <v>1074.3160886284174</v>
      </c>
      <c r="AA335" s="1058">
        <f t="shared" si="175"/>
        <v>1508.6218058984398</v>
      </c>
      <c r="AB335" s="1058">
        <f t="shared" si="175"/>
        <v>1942.3053441139011</v>
      </c>
      <c r="AC335" s="1058">
        <f t="shared" si="175"/>
        <v>1972.8207945053909</v>
      </c>
    </row>
    <row r="336" spans="2:29" s="957" customFormat="1">
      <c r="B336" s="925" t="s">
        <v>484</v>
      </c>
      <c r="C336" s="926"/>
      <c r="D336" s="1056">
        <f t="shared" si="175"/>
        <v>0</v>
      </c>
      <c r="E336" s="1056">
        <f t="shared" si="175"/>
        <v>0</v>
      </c>
      <c r="F336" s="1056">
        <f t="shared" si="175"/>
        <v>0</v>
      </c>
      <c r="G336" s="1056">
        <f t="shared" si="175"/>
        <v>0</v>
      </c>
      <c r="H336" s="1056">
        <f t="shared" si="175"/>
        <v>0</v>
      </c>
      <c r="I336" s="1056">
        <f t="shared" si="175"/>
        <v>0</v>
      </c>
      <c r="J336" s="1056">
        <f t="shared" si="175"/>
        <v>0</v>
      </c>
      <c r="K336" s="1056">
        <f t="shared" si="175"/>
        <v>0</v>
      </c>
      <c r="L336" s="1056">
        <f t="shared" si="175"/>
        <v>0</v>
      </c>
      <c r="M336" s="1056">
        <f t="shared" si="175"/>
        <v>0</v>
      </c>
      <c r="N336" s="1056">
        <f t="shared" si="175"/>
        <v>0</v>
      </c>
      <c r="O336" s="1056">
        <f t="shared" si="175"/>
        <v>0</v>
      </c>
      <c r="P336" s="1056">
        <f t="shared" si="175"/>
        <v>0</v>
      </c>
      <c r="Q336" s="1056">
        <f t="shared" si="175"/>
        <v>0</v>
      </c>
      <c r="R336" s="1056">
        <f t="shared" si="175"/>
        <v>850.70928713751425</v>
      </c>
      <c r="S336" s="1056">
        <f t="shared" si="175"/>
        <v>1734.0076026817385</v>
      </c>
      <c r="T336" s="1056">
        <f t="shared" si="175"/>
        <v>2141.1574507582736</v>
      </c>
      <c r="U336" s="1056">
        <f t="shared" si="175"/>
        <v>2076.3756138738991</v>
      </c>
      <c r="V336" s="1056">
        <f t="shared" si="175"/>
        <v>1817.0835249096181</v>
      </c>
      <c r="W336" s="1056">
        <f t="shared" si="175"/>
        <v>1914.1496599385666</v>
      </c>
      <c r="X336" s="1056">
        <f t="shared" si="175"/>
        <v>1910.3540407910225</v>
      </c>
      <c r="Y336" s="1056">
        <f t="shared" si="175"/>
        <v>1926.7199150964593</v>
      </c>
      <c r="Z336" s="1056">
        <f t="shared" si="175"/>
        <v>1940.9310667886746</v>
      </c>
      <c r="AA336" s="1056">
        <f t="shared" si="175"/>
        <v>1968.7514566974639</v>
      </c>
      <c r="AB336" s="1056">
        <f t="shared" si="175"/>
        <v>1709.2287028202329</v>
      </c>
      <c r="AC336" s="1056">
        <f t="shared" si="175"/>
        <v>386.67287572305662</v>
      </c>
    </row>
    <row r="337" spans="2:29">
      <c r="B337" s="928" t="s">
        <v>485</v>
      </c>
      <c r="C337" s="929"/>
      <c r="D337" s="1058">
        <f t="shared" si="175"/>
        <v>0</v>
      </c>
      <c r="E337" s="1058">
        <f t="shared" si="175"/>
        <v>0</v>
      </c>
      <c r="F337" s="1058">
        <f t="shared" si="175"/>
        <v>0</v>
      </c>
      <c r="G337" s="1058">
        <f t="shared" si="175"/>
        <v>0</v>
      </c>
      <c r="H337" s="1058">
        <f t="shared" si="175"/>
        <v>0</v>
      </c>
      <c r="I337" s="1058">
        <f t="shared" si="175"/>
        <v>0</v>
      </c>
      <c r="J337" s="1058">
        <f t="shared" si="175"/>
        <v>0</v>
      </c>
      <c r="K337" s="1058">
        <f t="shared" si="175"/>
        <v>0</v>
      </c>
      <c r="L337" s="1058">
        <f t="shared" si="175"/>
        <v>0</v>
      </c>
      <c r="M337" s="1058">
        <f t="shared" si="175"/>
        <v>0</v>
      </c>
      <c r="N337" s="1058">
        <f t="shared" si="175"/>
        <v>0</v>
      </c>
      <c r="O337" s="1058">
        <f t="shared" si="175"/>
        <v>0</v>
      </c>
      <c r="P337" s="1058">
        <f t="shared" si="175"/>
        <v>0</v>
      </c>
      <c r="Q337" s="1058">
        <f t="shared" si="175"/>
        <v>0</v>
      </c>
      <c r="R337" s="1058">
        <f t="shared" si="175"/>
        <v>850.70928713751425</v>
      </c>
      <c r="S337" s="1058">
        <f t="shared" si="175"/>
        <v>1734.0076026817385</v>
      </c>
      <c r="T337" s="1058">
        <f t="shared" si="175"/>
        <v>2141.1574507582736</v>
      </c>
      <c r="U337" s="1058">
        <f t="shared" si="175"/>
        <v>2076.3756138738991</v>
      </c>
      <c r="V337" s="1058">
        <f t="shared" si="175"/>
        <v>1817.0835249096181</v>
      </c>
      <c r="W337" s="1058">
        <f t="shared" si="175"/>
        <v>1914.1496599385666</v>
      </c>
      <c r="X337" s="1058">
        <f t="shared" si="175"/>
        <v>2043.1932290579482</v>
      </c>
      <c r="Y337" s="1058">
        <f t="shared" si="175"/>
        <v>2033.3895297730801</v>
      </c>
      <c r="Z337" s="1058">
        <f t="shared" si="175"/>
        <v>2069.8489974240842</v>
      </c>
      <c r="AA337" s="1058">
        <f t="shared" si="175"/>
        <v>2029.0963289334015</v>
      </c>
      <c r="AB337" s="1058">
        <f t="shared" si="175"/>
        <v>1942.3053441139011</v>
      </c>
      <c r="AC337" s="1058">
        <f t="shared" si="175"/>
        <v>1775.538715054852</v>
      </c>
    </row>
    <row r="338" spans="2:29">
      <c r="B338" s="925" t="s">
        <v>486</v>
      </c>
      <c r="C338" s="926"/>
      <c r="D338" s="1056">
        <f t="shared" si="175"/>
        <v>0</v>
      </c>
      <c r="E338" s="1056">
        <f t="shared" si="175"/>
        <v>0</v>
      </c>
      <c r="F338" s="1056">
        <f t="shared" si="175"/>
        <v>0</v>
      </c>
      <c r="G338" s="1056">
        <f t="shared" si="175"/>
        <v>0</v>
      </c>
      <c r="H338" s="1056">
        <f t="shared" si="175"/>
        <v>0</v>
      </c>
      <c r="I338" s="1056">
        <f t="shared" si="175"/>
        <v>0</v>
      </c>
      <c r="J338" s="1056">
        <f t="shared" si="175"/>
        <v>0</v>
      </c>
      <c r="K338" s="1056">
        <f t="shared" si="175"/>
        <v>0</v>
      </c>
      <c r="L338" s="1056">
        <f t="shared" si="175"/>
        <v>0</v>
      </c>
      <c r="M338" s="1056">
        <f t="shared" si="175"/>
        <v>0</v>
      </c>
      <c r="N338" s="1056">
        <f t="shared" si="175"/>
        <v>0</v>
      </c>
      <c r="O338" s="1056">
        <f t="shared" si="175"/>
        <v>0</v>
      </c>
      <c r="P338" s="1056">
        <f t="shared" si="175"/>
        <v>0</v>
      </c>
      <c r="Q338" s="1056">
        <f t="shared" si="175"/>
        <v>0</v>
      </c>
      <c r="R338" s="1056">
        <f t="shared" si="175"/>
        <v>850.70928713751425</v>
      </c>
      <c r="S338" s="1056">
        <f t="shared" si="175"/>
        <v>1734.0076026817385</v>
      </c>
      <c r="T338" s="1056">
        <f t="shared" si="175"/>
        <v>2141.1574507582736</v>
      </c>
      <c r="U338" s="1056">
        <f t="shared" si="175"/>
        <v>2076.3756138738991</v>
      </c>
      <c r="V338" s="1056">
        <f t="shared" si="175"/>
        <v>1817.0835249096181</v>
      </c>
      <c r="W338" s="1056">
        <f t="shared" si="175"/>
        <v>1914.1496599385666</v>
      </c>
      <c r="X338" s="1056">
        <f t="shared" si="175"/>
        <v>2043.1932290579482</v>
      </c>
      <c r="Y338" s="1056">
        <f t="shared" si="175"/>
        <v>2033.3895297730801</v>
      </c>
      <c r="Z338" s="1056">
        <f t="shared" si="175"/>
        <v>2069.8489974240842</v>
      </c>
      <c r="AA338" s="1056">
        <f t="shared" si="175"/>
        <v>2029.0963289334015</v>
      </c>
      <c r="AB338" s="1056">
        <f t="shared" si="175"/>
        <v>1942.3053441139011</v>
      </c>
      <c r="AC338" s="1056">
        <f t="shared" si="175"/>
        <v>1775.538715054852</v>
      </c>
    </row>
    <row r="339" spans="2:29">
      <c r="B339" s="931" t="s">
        <v>487</v>
      </c>
      <c r="C339" s="929"/>
      <c r="D339" s="1058">
        <f t="shared" si="175"/>
        <v>0</v>
      </c>
      <c r="E339" s="1058">
        <f t="shared" si="175"/>
        <v>0</v>
      </c>
      <c r="F339" s="1058">
        <f t="shared" si="175"/>
        <v>0</v>
      </c>
      <c r="G339" s="1058">
        <f t="shared" si="175"/>
        <v>0</v>
      </c>
      <c r="H339" s="1058">
        <f t="shared" si="175"/>
        <v>0</v>
      </c>
      <c r="I339" s="1058">
        <f t="shared" si="175"/>
        <v>0</v>
      </c>
      <c r="J339" s="1058">
        <f t="shared" si="175"/>
        <v>0</v>
      </c>
      <c r="K339" s="1058">
        <f t="shared" si="175"/>
        <v>0</v>
      </c>
      <c r="L339" s="1058">
        <f t="shared" si="175"/>
        <v>0</v>
      </c>
      <c r="M339" s="1058">
        <f t="shared" si="175"/>
        <v>0</v>
      </c>
      <c r="N339" s="1058">
        <f t="shared" si="175"/>
        <v>0</v>
      </c>
      <c r="O339" s="1058">
        <f t="shared" si="175"/>
        <v>0</v>
      </c>
      <c r="P339" s="1058">
        <f t="shared" si="175"/>
        <v>0</v>
      </c>
      <c r="Q339" s="1058">
        <f t="shared" si="175"/>
        <v>0</v>
      </c>
      <c r="R339" s="1058">
        <f t="shared" si="175"/>
        <v>0</v>
      </c>
      <c r="S339" s="1058">
        <f t="shared" si="175"/>
        <v>0</v>
      </c>
      <c r="T339" s="1058">
        <f t="shared" si="175"/>
        <v>0</v>
      </c>
      <c r="U339" s="1058">
        <f t="shared" si="175"/>
        <v>0</v>
      </c>
      <c r="V339" s="1058">
        <f t="shared" si="175"/>
        <v>0</v>
      </c>
      <c r="W339" s="1058">
        <f t="shared" si="175"/>
        <v>0</v>
      </c>
      <c r="X339" s="1058">
        <f t="shared" si="175"/>
        <v>0</v>
      </c>
      <c r="Y339" s="1058">
        <f t="shared" si="175"/>
        <v>0</v>
      </c>
      <c r="Z339" s="1058">
        <f t="shared" si="175"/>
        <v>0</v>
      </c>
      <c r="AA339" s="1058">
        <f t="shared" si="175"/>
        <v>0</v>
      </c>
      <c r="AB339" s="1058">
        <f t="shared" si="175"/>
        <v>225.30741991721254</v>
      </c>
      <c r="AC339" s="1058">
        <f t="shared" si="175"/>
        <v>1972.8207945053909</v>
      </c>
    </row>
    <row r="340" spans="2:29" ht="12">
      <c r="B340" s="1011" t="s">
        <v>488</v>
      </c>
      <c r="C340" s="1031"/>
      <c r="D340" s="1061">
        <f>SUM(D341:D342)</f>
        <v>3519.5862511341606</v>
      </c>
      <c r="E340" s="1061">
        <f t="shared" ref="E340:X340" si="176">SUM(E341:E342)</f>
        <v>3528.0955118650677</v>
      </c>
      <c r="F340" s="1061">
        <f t="shared" si="176"/>
        <v>3533.1338649816093</v>
      </c>
      <c r="G340" s="1061">
        <f t="shared" si="176"/>
        <v>3558.1929500114124</v>
      </c>
      <c r="H340" s="1061">
        <f t="shared" si="176"/>
        <v>3578.9597630930684</v>
      </c>
      <c r="I340" s="1061">
        <f t="shared" si="176"/>
        <v>3644.3764071349806</v>
      </c>
      <c r="J340" s="1061">
        <f t="shared" si="176"/>
        <v>3711.2453604877128</v>
      </c>
      <c r="K340" s="1061">
        <f t="shared" si="176"/>
        <v>3771.8693093036386</v>
      </c>
      <c r="L340" s="1061">
        <f t="shared" si="176"/>
        <v>2868.3320091305827</v>
      </c>
      <c r="M340" s="1061">
        <f t="shared" si="176"/>
        <v>2675.4767533087029</v>
      </c>
      <c r="N340" s="1061">
        <f t="shared" si="176"/>
        <v>2480.7097182421244</v>
      </c>
      <c r="O340" s="1061">
        <f t="shared" si="176"/>
        <v>2302.9652845605856</v>
      </c>
      <c r="P340" s="1061">
        <f t="shared" si="176"/>
        <v>2092.2595552084481</v>
      </c>
      <c r="Q340" s="1061">
        <f t="shared" si="176"/>
        <v>1850.2489918255376</v>
      </c>
      <c r="R340" s="1061">
        <f t="shared" si="176"/>
        <v>1160.058118823883</v>
      </c>
      <c r="S340" s="1061">
        <f t="shared" si="176"/>
        <v>1040.404561609043</v>
      </c>
      <c r="T340" s="1061">
        <f t="shared" si="176"/>
        <v>1070.5787253791368</v>
      </c>
      <c r="U340" s="1061">
        <f t="shared" si="176"/>
        <v>893.06478016081678</v>
      </c>
      <c r="V340" s="1061">
        <f t="shared" si="176"/>
        <v>739.65408069590956</v>
      </c>
      <c r="W340" s="1061">
        <f t="shared" si="176"/>
        <v>828.63621642362205</v>
      </c>
      <c r="X340" s="1061">
        <f t="shared" si="176"/>
        <v>843.42341756778058</v>
      </c>
      <c r="Y340" s="1061">
        <f>SUM(Y341:Y342)</f>
        <v>843.90517940364396</v>
      </c>
      <c r="Z340" s="1061">
        <f>SUM(Z341:Z342)</f>
        <v>862.90448885816693</v>
      </c>
      <c r="AA340" s="1061">
        <f>SUM(AA341:AA342)</f>
        <v>897.98917017764279</v>
      </c>
      <c r="AB340" s="1061">
        <f>SUM(AB341:AB342)</f>
        <v>914.0260442888947</v>
      </c>
      <c r="AC340" s="1061">
        <f>SUM(AC341:AC342)</f>
        <v>917.59106721180979</v>
      </c>
    </row>
    <row r="341" spans="2:29">
      <c r="B341" s="928" t="s">
        <v>489</v>
      </c>
      <c r="C341" s="929"/>
      <c r="D341" s="1010">
        <f t="shared" ref="D341:AC343" si="177">D276+D302+D328</f>
        <v>3519.5862511341606</v>
      </c>
      <c r="E341" s="1010">
        <f t="shared" si="177"/>
        <v>3528.0955118650677</v>
      </c>
      <c r="F341" s="1010">
        <f t="shared" si="177"/>
        <v>3533.1338649816093</v>
      </c>
      <c r="G341" s="1010">
        <f t="shared" si="177"/>
        <v>3558.1929500114124</v>
      </c>
      <c r="H341" s="1010">
        <f t="shared" si="177"/>
        <v>3578.9597630930684</v>
      </c>
      <c r="I341" s="1010">
        <f t="shared" si="177"/>
        <v>3644.3764071349806</v>
      </c>
      <c r="J341" s="1010">
        <f t="shared" si="177"/>
        <v>3711.2453604877128</v>
      </c>
      <c r="K341" s="1010">
        <f t="shared" si="177"/>
        <v>3771.8693093036386</v>
      </c>
      <c r="L341" s="1010">
        <f t="shared" si="177"/>
        <v>2868.3320091305827</v>
      </c>
      <c r="M341" s="1010">
        <f t="shared" si="177"/>
        <v>2675.4767533087029</v>
      </c>
      <c r="N341" s="1010">
        <f t="shared" si="177"/>
        <v>2480.7097182421244</v>
      </c>
      <c r="O341" s="1010">
        <f t="shared" si="177"/>
        <v>2302.9652845605856</v>
      </c>
      <c r="P341" s="1010">
        <f t="shared" si="177"/>
        <v>2092.2595552084481</v>
      </c>
      <c r="Q341" s="1010">
        <f t="shared" si="177"/>
        <v>1850.2489918255376</v>
      </c>
      <c r="R341" s="1010">
        <f t="shared" si="177"/>
        <v>1044.0523069414946</v>
      </c>
      <c r="S341" s="1010">
        <f t="shared" si="177"/>
        <v>780.30342120678222</v>
      </c>
      <c r="T341" s="1010">
        <f t="shared" si="177"/>
        <v>695.87617149643893</v>
      </c>
      <c r="U341" s="1010">
        <f t="shared" si="177"/>
        <v>491.18562908844928</v>
      </c>
      <c r="V341" s="1010">
        <f t="shared" si="177"/>
        <v>295.86163227836386</v>
      </c>
      <c r="W341" s="1010">
        <f t="shared" si="177"/>
        <v>248.59086492708661</v>
      </c>
      <c r="X341" s="1010">
        <f t="shared" si="177"/>
        <v>168.68468351355611</v>
      </c>
      <c r="Y341" s="1010">
        <f t="shared" si="177"/>
        <v>84.390517940364404</v>
      </c>
      <c r="Z341" s="1010">
        <f t="shared" si="177"/>
        <v>60.403314220071685</v>
      </c>
      <c r="AA341" s="1010">
        <f t="shared" si="177"/>
        <v>44.899458508882141</v>
      </c>
      <c r="AB341" s="1010">
        <f t="shared" si="177"/>
        <v>36.561041771555786</v>
      </c>
      <c r="AC341" s="1010">
        <f t="shared" si="177"/>
        <v>27.527732016354292</v>
      </c>
    </row>
    <row r="342" spans="2:29">
      <c r="B342" s="934" t="s">
        <v>490</v>
      </c>
      <c r="C342" s="935"/>
      <c r="D342" s="1063">
        <f>D277+D303+D329</f>
        <v>0</v>
      </c>
      <c r="E342" s="1063">
        <f t="shared" si="177"/>
        <v>0</v>
      </c>
      <c r="F342" s="1063">
        <f t="shared" si="177"/>
        <v>0</v>
      </c>
      <c r="G342" s="1063">
        <f t="shared" si="177"/>
        <v>0</v>
      </c>
      <c r="H342" s="1063">
        <f t="shared" si="177"/>
        <v>0</v>
      </c>
      <c r="I342" s="1063">
        <f t="shared" si="177"/>
        <v>0</v>
      </c>
      <c r="J342" s="1063">
        <f t="shared" si="177"/>
        <v>0</v>
      </c>
      <c r="K342" s="1063">
        <f t="shared" si="177"/>
        <v>0</v>
      </c>
      <c r="L342" s="1063">
        <f t="shared" si="177"/>
        <v>0</v>
      </c>
      <c r="M342" s="1063">
        <f t="shared" si="177"/>
        <v>0</v>
      </c>
      <c r="N342" s="1063">
        <f t="shared" si="177"/>
        <v>0</v>
      </c>
      <c r="O342" s="1063">
        <f t="shared" si="177"/>
        <v>0</v>
      </c>
      <c r="P342" s="1063">
        <f t="shared" si="177"/>
        <v>0</v>
      </c>
      <c r="Q342" s="1063">
        <f t="shared" si="177"/>
        <v>0</v>
      </c>
      <c r="R342" s="1063">
        <f t="shared" si="177"/>
        <v>116.0058118823883</v>
      </c>
      <c r="S342" s="1063">
        <f t="shared" si="177"/>
        <v>260.10114040226074</v>
      </c>
      <c r="T342" s="1063">
        <f t="shared" si="177"/>
        <v>374.70255388269788</v>
      </c>
      <c r="U342" s="1063">
        <f t="shared" si="177"/>
        <v>401.87915107236756</v>
      </c>
      <c r="V342" s="1063">
        <f t="shared" si="177"/>
        <v>443.7924484175457</v>
      </c>
      <c r="W342" s="1063">
        <f t="shared" si="177"/>
        <v>580.04535149653543</v>
      </c>
      <c r="X342" s="1063">
        <f t="shared" si="177"/>
        <v>674.73873405422444</v>
      </c>
      <c r="Y342" s="1063">
        <f t="shared" si="177"/>
        <v>759.51466146327959</v>
      </c>
      <c r="Z342" s="1063">
        <f t="shared" si="177"/>
        <v>802.50117463809522</v>
      </c>
      <c r="AA342" s="1063">
        <f t="shared" si="177"/>
        <v>853.08971166876063</v>
      </c>
      <c r="AB342" s="1063">
        <f t="shared" si="177"/>
        <v>877.46500251733892</v>
      </c>
      <c r="AC342" s="1063">
        <f t="shared" si="177"/>
        <v>890.06333519545547</v>
      </c>
    </row>
    <row r="343" spans="2:29" ht="12" thickBot="1">
      <c r="B343" s="1015" t="s">
        <v>491</v>
      </c>
      <c r="C343" s="1016"/>
      <c r="D343" s="1084">
        <f>D278+D304+D330</f>
        <v>14078.345004536643</v>
      </c>
      <c r="E343" s="1084">
        <f t="shared" si="177"/>
        <v>14564.70198487887</v>
      </c>
      <c r="F343" s="1084">
        <f t="shared" si="177"/>
        <v>15062.307529658441</v>
      </c>
      <c r="G343" s="1084">
        <f t="shared" si="177"/>
        <v>15675.282455455683</v>
      </c>
      <c r="H343" s="1084">
        <f t="shared" si="177"/>
        <v>16304.150031868423</v>
      </c>
      <c r="I343" s="1084">
        <f t="shared" si="177"/>
        <v>16887.321661231108</v>
      </c>
      <c r="J343" s="1084">
        <f t="shared" si="177"/>
        <v>17495.870985156358</v>
      </c>
      <c r="K343" s="1084">
        <f t="shared" si="177"/>
        <v>18113.744473748869</v>
      </c>
      <c r="L343" s="1084">
        <f t="shared" si="177"/>
        <v>17099.671592893857</v>
      </c>
      <c r="M343" s="1084">
        <f t="shared" si="177"/>
        <v>16052.860519852218</v>
      </c>
      <c r="N343" s="1084">
        <f t="shared" si="177"/>
        <v>15109.777374747486</v>
      </c>
      <c r="O343" s="1084">
        <f t="shared" si="177"/>
        <v>14738.977821187747</v>
      </c>
      <c r="P343" s="1084">
        <f t="shared" si="177"/>
        <v>13715.923750810936</v>
      </c>
      <c r="Q343" s="1084">
        <f t="shared" si="177"/>
        <v>12489.180694822378</v>
      </c>
      <c r="R343" s="1084">
        <f t="shared" si="177"/>
        <v>9667.1509901990248</v>
      </c>
      <c r="S343" s="1084">
        <f t="shared" si="177"/>
        <v>7629.6334517996484</v>
      </c>
      <c r="T343" s="1084">
        <f t="shared" si="177"/>
        <v>5658.7732627182941</v>
      </c>
      <c r="U343" s="1084">
        <f t="shared" si="177"/>
        <v>3348.9929256030628</v>
      </c>
      <c r="V343" s="1084">
        <f t="shared" si="177"/>
        <v>1972.4108818557588</v>
      </c>
      <c r="W343" s="1084">
        <f t="shared" si="177"/>
        <v>1657.2724328472441</v>
      </c>
      <c r="X343" s="1084">
        <f t="shared" si="177"/>
        <v>1265.1351263516706</v>
      </c>
      <c r="Y343" s="1084">
        <f t="shared" si="177"/>
        <v>928.29569734400832</v>
      </c>
      <c r="Z343" s="1084">
        <f t="shared" si="177"/>
        <v>604.03314220071684</v>
      </c>
      <c r="AA343" s="1084">
        <f t="shared" si="177"/>
        <v>538.79350210658561</v>
      </c>
      <c r="AB343" s="1084">
        <f t="shared" si="177"/>
        <v>457.01302214444735</v>
      </c>
      <c r="AC343" s="1084">
        <f t="shared" si="177"/>
        <v>367.03642688472394</v>
      </c>
    </row>
    <row r="344" spans="2:29" ht="12" thickTop="1">
      <c r="B344" s="1005"/>
      <c r="C344" s="976"/>
      <c r="D344" s="976"/>
      <c r="E344" s="1076"/>
      <c r="F344" s="983"/>
      <c r="G344" s="976"/>
      <c r="H344" s="976"/>
      <c r="I344" s="983"/>
      <c r="J344" s="983"/>
      <c r="K344" s="976"/>
      <c r="L344" s="983"/>
      <c r="M344" s="983"/>
      <c r="N344" s="983"/>
      <c r="O344" s="983"/>
      <c r="P344" s="983"/>
      <c r="Q344" s="983"/>
      <c r="R344" s="983"/>
      <c r="S344" s="983"/>
      <c r="T344" s="983"/>
      <c r="U344" s="983"/>
      <c r="V344" s="983"/>
      <c r="W344" s="983"/>
      <c r="X344" s="983"/>
      <c r="Y344" s="983"/>
      <c r="Z344" s="983"/>
      <c r="AA344" s="983"/>
      <c r="AB344" s="983"/>
      <c r="AC344" s="983"/>
    </row>
    <row r="345" spans="2:29" ht="12">
      <c r="B345" s="1006" t="s">
        <v>544</v>
      </c>
      <c r="C345" s="976"/>
      <c r="D345" s="976"/>
      <c r="E345" s="976"/>
      <c r="F345" s="983"/>
      <c r="G345" s="976"/>
      <c r="H345" s="983"/>
      <c r="I345" s="976"/>
      <c r="J345" s="983"/>
      <c r="K345" s="983"/>
      <c r="L345" s="976"/>
      <c r="M345" s="983"/>
      <c r="N345" s="983"/>
      <c r="O345" s="983"/>
      <c r="P345" s="983"/>
      <c r="Q345" s="983"/>
      <c r="R345" s="983"/>
      <c r="S345" s="983"/>
      <c r="T345" s="983"/>
      <c r="U345" s="983"/>
      <c r="V345" s="983"/>
      <c r="W345" s="983"/>
      <c r="X345" s="983"/>
      <c r="Y345" s="983"/>
      <c r="Z345" s="983"/>
      <c r="AA345" s="983"/>
      <c r="AB345" s="983"/>
      <c r="AC345" s="983"/>
    </row>
    <row r="346" spans="2:29">
      <c r="B346" s="1007" t="s">
        <v>481</v>
      </c>
      <c r="C346" s="1021"/>
      <c r="D346" s="1022">
        <f t="shared" ref="D346:AC346" si="178">SUM(D347:D352)</f>
        <v>0</v>
      </c>
      <c r="E346" s="1022">
        <f t="shared" si="178"/>
        <v>0</v>
      </c>
      <c r="F346" s="1022">
        <f t="shared" si="178"/>
        <v>0</v>
      </c>
      <c r="G346" s="1022">
        <f t="shared" si="178"/>
        <v>0</v>
      </c>
      <c r="H346" s="1022">
        <f t="shared" si="178"/>
        <v>0</v>
      </c>
      <c r="I346" s="1022">
        <f t="shared" si="178"/>
        <v>0</v>
      </c>
      <c r="J346" s="1022">
        <f t="shared" si="178"/>
        <v>0</v>
      </c>
      <c r="K346" s="1022">
        <f t="shared" si="178"/>
        <v>1027483.5152215855</v>
      </c>
      <c r="L346" s="1022">
        <f t="shared" si="178"/>
        <v>49105071.753082342</v>
      </c>
      <c r="M346" s="1022">
        <f t="shared" si="178"/>
        <v>87571564.707897827</v>
      </c>
      <c r="N346" s="1022">
        <f t="shared" si="178"/>
        <v>144514240.77813861</v>
      </c>
      <c r="O346" s="1022">
        <f t="shared" si="178"/>
        <v>204930563.38857171</v>
      </c>
      <c r="P346" s="1022">
        <f t="shared" si="178"/>
        <v>264790477.50427374</v>
      </c>
      <c r="Q346" s="1022">
        <f t="shared" si="178"/>
        <v>325339248.48613274</v>
      </c>
      <c r="R346" s="1022">
        <f t="shared" si="178"/>
        <v>317686617.65429443</v>
      </c>
      <c r="S346" s="1022">
        <f t="shared" si="178"/>
        <v>320033204.07204616</v>
      </c>
      <c r="T346" s="1022">
        <f t="shared" si="178"/>
        <v>317319443.98189384</v>
      </c>
      <c r="U346" s="1022">
        <f t="shared" si="178"/>
        <v>257319432.60365137</v>
      </c>
      <c r="V346" s="1022">
        <f t="shared" si="178"/>
        <v>206743774.78194231</v>
      </c>
      <c r="W346" s="1022">
        <f t="shared" si="178"/>
        <v>222143501.48665494</v>
      </c>
      <c r="X346" s="1022">
        <f t="shared" si="178"/>
        <v>236599465.70838606</v>
      </c>
      <c r="Y346" s="1022">
        <f t="shared" si="178"/>
        <v>243262152.71632493</v>
      </c>
      <c r="Z346" s="1022">
        <f t="shared" si="178"/>
        <v>253197716.84524131</v>
      </c>
      <c r="AA346" s="1022">
        <f t="shared" si="178"/>
        <v>257779780.76778749</v>
      </c>
      <c r="AB346" s="1022">
        <f t="shared" si="178"/>
        <v>249453021.3031334</v>
      </c>
      <c r="AC346" s="1022">
        <f t="shared" si="178"/>
        <v>201436489.87934932</v>
      </c>
    </row>
    <row r="347" spans="2:29">
      <c r="B347" s="925" t="s">
        <v>482</v>
      </c>
      <c r="C347" s="926"/>
      <c r="D347" s="1089">
        <f t="shared" ref="D347:AC347" si="179">D334*D65</f>
        <v>0</v>
      </c>
      <c r="E347" s="1089">
        <f t="shared" si="179"/>
        <v>0</v>
      </c>
      <c r="F347" s="1089">
        <f t="shared" si="179"/>
        <v>0</v>
      </c>
      <c r="G347" s="1089">
        <f t="shared" si="179"/>
        <v>0</v>
      </c>
      <c r="H347" s="1089">
        <f t="shared" si="179"/>
        <v>0</v>
      </c>
      <c r="I347" s="1089">
        <f t="shared" si="179"/>
        <v>0</v>
      </c>
      <c r="J347" s="1089">
        <f t="shared" si="179"/>
        <v>0</v>
      </c>
      <c r="K347" s="1089">
        <f t="shared" si="179"/>
        <v>1027483.5152215855</v>
      </c>
      <c r="L347" s="1089">
        <f t="shared" si="179"/>
        <v>49105071.753082342</v>
      </c>
      <c r="M347" s="1089">
        <f t="shared" si="179"/>
        <v>87571564.707897827</v>
      </c>
      <c r="N347" s="1089">
        <f t="shared" si="179"/>
        <v>144514240.77813861</v>
      </c>
      <c r="O347" s="1089">
        <f t="shared" si="179"/>
        <v>204930563.38857171</v>
      </c>
      <c r="P347" s="1089">
        <f t="shared" si="179"/>
        <v>264790477.50427374</v>
      </c>
      <c r="Q347" s="1089">
        <f t="shared" si="179"/>
        <v>325339248.48613274</v>
      </c>
      <c r="R347" s="1089">
        <f t="shared" si="179"/>
        <v>229258383.87423307</v>
      </c>
      <c r="S347" s="1089">
        <f t="shared" si="179"/>
        <v>136184342.15831751</v>
      </c>
      <c r="T347" s="1089">
        <f t="shared" si="179"/>
        <v>85762011.886998326</v>
      </c>
      <c r="U347" s="1089">
        <f t="shared" si="179"/>
        <v>28276860.725675974</v>
      </c>
      <c r="V347" s="1089">
        <f t="shared" si="179"/>
        <v>2294603.493695253</v>
      </c>
      <c r="W347" s="1089">
        <f t="shared" si="179"/>
        <v>2465521.6591193662</v>
      </c>
      <c r="X347" s="1089">
        <f t="shared" si="179"/>
        <v>548509.2516712324</v>
      </c>
      <c r="Y347" s="1089">
        <f t="shared" si="179"/>
        <v>294827.47874963639</v>
      </c>
      <c r="Z347" s="1089">
        <f t="shared" si="179"/>
        <v>321480.08741142874</v>
      </c>
      <c r="AA347" s="1089">
        <f t="shared" si="179"/>
        <v>343660.55294998997</v>
      </c>
      <c r="AB347" s="1089">
        <f t="shared" si="179"/>
        <v>359271.55862937425</v>
      </c>
      <c r="AC347" s="1089">
        <f t="shared" si="179"/>
        <v>370389.79475838802</v>
      </c>
    </row>
    <row r="348" spans="2:29">
      <c r="B348" s="928" t="s">
        <v>483</v>
      </c>
      <c r="C348" s="929"/>
      <c r="D348" s="1024">
        <f t="shared" ref="D348:AC348" si="180">D335*D66</f>
        <v>0</v>
      </c>
      <c r="E348" s="1024">
        <f t="shared" si="180"/>
        <v>0</v>
      </c>
      <c r="F348" s="1024">
        <f t="shared" si="180"/>
        <v>0</v>
      </c>
      <c r="G348" s="1024">
        <f t="shared" si="180"/>
        <v>0</v>
      </c>
      <c r="H348" s="1024">
        <f t="shared" si="180"/>
        <v>0</v>
      </c>
      <c r="I348" s="1024">
        <f t="shared" si="180"/>
        <v>0</v>
      </c>
      <c r="J348" s="1024">
        <f t="shared" si="180"/>
        <v>0</v>
      </c>
      <c r="K348" s="1024">
        <f t="shared" si="180"/>
        <v>0</v>
      </c>
      <c r="L348" s="1024">
        <f t="shared" si="180"/>
        <v>0</v>
      </c>
      <c r="M348" s="1024">
        <f t="shared" si="180"/>
        <v>0</v>
      </c>
      <c r="N348" s="1024">
        <f t="shared" si="180"/>
        <v>0</v>
      </c>
      <c r="O348" s="1024">
        <f t="shared" si="180"/>
        <v>0</v>
      </c>
      <c r="P348" s="1024">
        <f t="shared" si="180"/>
        <v>0</v>
      </c>
      <c r="Q348" s="1024">
        <f t="shared" si="180"/>
        <v>0</v>
      </c>
      <c r="R348" s="1024">
        <f t="shared" si="180"/>
        <v>0</v>
      </c>
      <c r="S348" s="1024">
        <f t="shared" si="180"/>
        <v>0</v>
      </c>
      <c r="T348" s="1024">
        <f t="shared" si="180"/>
        <v>0</v>
      </c>
      <c r="U348" s="1024">
        <f t="shared" si="180"/>
        <v>0</v>
      </c>
      <c r="V348" s="1024">
        <f t="shared" si="180"/>
        <v>0</v>
      </c>
      <c r="W348" s="1024">
        <f t="shared" si="180"/>
        <v>0</v>
      </c>
      <c r="X348" s="1024">
        <f t="shared" si="180"/>
        <v>2056909.6937671215</v>
      </c>
      <c r="Y348" s="1024">
        <f t="shared" si="180"/>
        <v>4422412.1812445456</v>
      </c>
      <c r="Z348" s="1024">
        <f t="shared" si="180"/>
        <v>7233301.9667571457</v>
      </c>
      <c r="AA348" s="1024">
        <f t="shared" si="180"/>
        <v>10309816.588499699</v>
      </c>
      <c r="AB348" s="1024">
        <f t="shared" si="180"/>
        <v>13472683.448601533</v>
      </c>
      <c r="AC348" s="1024">
        <f t="shared" si="180"/>
        <v>13889617.303439548</v>
      </c>
    </row>
    <row r="349" spans="2:29">
      <c r="B349" s="925" t="s">
        <v>484</v>
      </c>
      <c r="C349" s="926"/>
      <c r="D349" s="1089">
        <f t="shared" ref="D349:AC349" si="181">D336*D67</f>
        <v>0</v>
      </c>
      <c r="E349" s="1089">
        <f t="shared" si="181"/>
        <v>0</v>
      </c>
      <c r="F349" s="1089">
        <f t="shared" si="181"/>
        <v>0</v>
      </c>
      <c r="G349" s="1089">
        <f t="shared" si="181"/>
        <v>0</v>
      </c>
      <c r="H349" s="1089">
        <f t="shared" si="181"/>
        <v>0</v>
      </c>
      <c r="I349" s="1089">
        <f t="shared" si="181"/>
        <v>0</v>
      </c>
      <c r="J349" s="1089">
        <f t="shared" si="181"/>
        <v>0</v>
      </c>
      <c r="K349" s="1089">
        <f t="shared" si="181"/>
        <v>0</v>
      </c>
      <c r="L349" s="1089">
        <f t="shared" si="181"/>
        <v>0</v>
      </c>
      <c r="M349" s="1089">
        <f t="shared" si="181"/>
        <v>0</v>
      </c>
      <c r="N349" s="1089">
        <f t="shared" si="181"/>
        <v>0</v>
      </c>
      <c r="O349" s="1089">
        <f t="shared" si="181"/>
        <v>0</v>
      </c>
      <c r="P349" s="1089">
        <f t="shared" si="181"/>
        <v>0</v>
      </c>
      <c r="Q349" s="1089">
        <f t="shared" si="181"/>
        <v>0</v>
      </c>
      <c r="R349" s="1089">
        <f t="shared" si="181"/>
        <v>29476077.926687114</v>
      </c>
      <c r="S349" s="1089">
        <f t="shared" si="181"/>
        <v>61282953.971242875</v>
      </c>
      <c r="T349" s="1089">
        <f t="shared" si="181"/>
        <v>77185810.698298499</v>
      </c>
      <c r="U349" s="1089">
        <f t="shared" si="181"/>
        <v>76347523.959325135</v>
      </c>
      <c r="V349" s="1089">
        <f t="shared" si="181"/>
        <v>68149723.762749016</v>
      </c>
      <c r="W349" s="1089">
        <f t="shared" si="181"/>
        <v>73225993.275845185</v>
      </c>
      <c r="X349" s="1089">
        <f t="shared" si="181"/>
        <v>74542407.302120477</v>
      </c>
      <c r="Y349" s="1089">
        <f t="shared" si="181"/>
        <v>76684627.222780406</v>
      </c>
      <c r="Z349" s="1089">
        <f t="shared" si="181"/>
        <v>78408993.319647491</v>
      </c>
      <c r="AA349" s="1089">
        <f t="shared" si="181"/>
        <v>80725863.887952641</v>
      </c>
      <c r="AB349" s="1089">
        <f t="shared" si="181"/>
        <v>71135768.608616099</v>
      </c>
      <c r="AC349" s="1089">
        <f t="shared" si="181"/>
        <v>16334189.94884491</v>
      </c>
    </row>
    <row r="350" spans="2:29">
      <c r="B350" s="928" t="s">
        <v>485</v>
      </c>
      <c r="C350" s="929"/>
      <c r="D350" s="1024">
        <f t="shared" ref="D350:AC350" si="182">D337*D68</f>
        <v>0</v>
      </c>
      <c r="E350" s="1024">
        <f t="shared" si="182"/>
        <v>0</v>
      </c>
      <c r="F350" s="1024">
        <f t="shared" si="182"/>
        <v>0</v>
      </c>
      <c r="G350" s="1024">
        <f t="shared" si="182"/>
        <v>0</v>
      </c>
      <c r="H350" s="1024">
        <f t="shared" si="182"/>
        <v>0</v>
      </c>
      <c r="I350" s="1024">
        <f t="shared" si="182"/>
        <v>0</v>
      </c>
      <c r="J350" s="1024">
        <f t="shared" si="182"/>
        <v>0</v>
      </c>
      <c r="K350" s="1024">
        <f t="shared" si="182"/>
        <v>0</v>
      </c>
      <c r="L350" s="1024">
        <f t="shared" si="182"/>
        <v>0</v>
      </c>
      <c r="M350" s="1024">
        <f t="shared" si="182"/>
        <v>0</v>
      </c>
      <c r="N350" s="1024">
        <f t="shared" si="182"/>
        <v>0</v>
      </c>
      <c r="O350" s="1024">
        <f t="shared" si="182"/>
        <v>0</v>
      </c>
      <c r="P350" s="1024">
        <f t="shared" si="182"/>
        <v>0</v>
      </c>
      <c r="Q350" s="1024">
        <f t="shared" si="182"/>
        <v>0</v>
      </c>
      <c r="R350" s="1024">
        <f t="shared" si="182"/>
        <v>29476077.926687114</v>
      </c>
      <c r="S350" s="1024">
        <f t="shared" si="182"/>
        <v>61282953.971242875</v>
      </c>
      <c r="T350" s="1024">
        <f t="shared" si="182"/>
        <v>77185810.698298499</v>
      </c>
      <c r="U350" s="1024">
        <f t="shared" si="182"/>
        <v>76347523.959325135</v>
      </c>
      <c r="V350" s="1024">
        <f t="shared" si="182"/>
        <v>68149723.762749016</v>
      </c>
      <c r="W350" s="1024">
        <f t="shared" si="182"/>
        <v>73225993.275845185</v>
      </c>
      <c r="X350" s="1024">
        <f t="shared" si="182"/>
        <v>79725819.730413631</v>
      </c>
      <c r="Y350" s="1024">
        <f t="shared" si="182"/>
        <v>80930142.916775182</v>
      </c>
      <c r="Z350" s="1024">
        <f t="shared" si="182"/>
        <v>83616970.735712618</v>
      </c>
      <c r="AA350" s="1024">
        <f t="shared" si="182"/>
        <v>83200219.86919257</v>
      </c>
      <c r="AB350" s="1024">
        <f t="shared" si="182"/>
        <v>80836100.691609204</v>
      </c>
      <c r="AC350" s="1024">
        <f t="shared" si="182"/>
        <v>75003933.438573569</v>
      </c>
    </row>
    <row r="351" spans="2:29" s="1038" customFormat="1">
      <c r="B351" s="925" t="s">
        <v>486</v>
      </c>
      <c r="C351" s="926"/>
      <c r="D351" s="1089">
        <f t="shared" ref="D351:AC351" si="183">D338*D69</f>
        <v>0</v>
      </c>
      <c r="E351" s="1089">
        <f t="shared" si="183"/>
        <v>0</v>
      </c>
      <c r="F351" s="1089">
        <f t="shared" si="183"/>
        <v>0</v>
      </c>
      <c r="G351" s="1089">
        <f t="shared" si="183"/>
        <v>0</v>
      </c>
      <c r="H351" s="1089">
        <f t="shared" si="183"/>
        <v>0</v>
      </c>
      <c r="I351" s="1089">
        <f t="shared" si="183"/>
        <v>0</v>
      </c>
      <c r="J351" s="1089">
        <f t="shared" si="183"/>
        <v>0</v>
      </c>
      <c r="K351" s="1089">
        <f t="shared" si="183"/>
        <v>0</v>
      </c>
      <c r="L351" s="1089">
        <f t="shared" si="183"/>
        <v>0</v>
      </c>
      <c r="M351" s="1089">
        <f t="shared" si="183"/>
        <v>0</v>
      </c>
      <c r="N351" s="1089">
        <f t="shared" si="183"/>
        <v>0</v>
      </c>
      <c r="O351" s="1089">
        <f t="shared" si="183"/>
        <v>0</v>
      </c>
      <c r="P351" s="1089">
        <f t="shared" si="183"/>
        <v>0</v>
      </c>
      <c r="Q351" s="1089">
        <f t="shared" si="183"/>
        <v>0</v>
      </c>
      <c r="R351" s="1089">
        <f t="shared" si="183"/>
        <v>29476077.926687114</v>
      </c>
      <c r="S351" s="1089">
        <f t="shared" si="183"/>
        <v>61282953.971242875</v>
      </c>
      <c r="T351" s="1089">
        <f t="shared" si="183"/>
        <v>77185810.698298499</v>
      </c>
      <c r="U351" s="1089">
        <f t="shared" si="183"/>
        <v>76347523.959325135</v>
      </c>
      <c r="V351" s="1089">
        <f t="shared" si="183"/>
        <v>68149723.762749016</v>
      </c>
      <c r="W351" s="1089">
        <f t="shared" si="183"/>
        <v>73225993.275845185</v>
      </c>
      <c r="X351" s="1089">
        <f t="shared" si="183"/>
        <v>79725819.730413631</v>
      </c>
      <c r="Y351" s="1089">
        <f t="shared" si="183"/>
        <v>80930142.916775182</v>
      </c>
      <c r="Z351" s="1089">
        <f t="shared" si="183"/>
        <v>83616970.735712618</v>
      </c>
      <c r="AA351" s="1089">
        <f t="shared" si="183"/>
        <v>83200219.86919257</v>
      </c>
      <c r="AB351" s="1089">
        <f t="shared" si="183"/>
        <v>80836100.691609204</v>
      </c>
      <c r="AC351" s="1089">
        <f t="shared" si="183"/>
        <v>75003933.438573569</v>
      </c>
    </row>
    <row r="352" spans="2:29">
      <c r="B352" s="931" t="s">
        <v>487</v>
      </c>
      <c r="C352" s="929"/>
      <c r="D352" s="1024">
        <f t="shared" ref="D352:AC352" si="184">D339*D70</f>
        <v>0</v>
      </c>
      <c r="E352" s="1024">
        <f t="shared" si="184"/>
        <v>0</v>
      </c>
      <c r="F352" s="1024">
        <f t="shared" si="184"/>
        <v>0</v>
      </c>
      <c r="G352" s="1024">
        <f t="shared" si="184"/>
        <v>0</v>
      </c>
      <c r="H352" s="1024">
        <f t="shared" si="184"/>
        <v>0</v>
      </c>
      <c r="I352" s="1024">
        <f t="shared" si="184"/>
        <v>0</v>
      </c>
      <c r="J352" s="1024">
        <f t="shared" si="184"/>
        <v>0</v>
      </c>
      <c r="K352" s="1024">
        <f t="shared" si="184"/>
        <v>0</v>
      </c>
      <c r="L352" s="1024">
        <f t="shared" si="184"/>
        <v>0</v>
      </c>
      <c r="M352" s="1024">
        <f t="shared" si="184"/>
        <v>0</v>
      </c>
      <c r="N352" s="1024">
        <f t="shared" si="184"/>
        <v>0</v>
      </c>
      <c r="O352" s="1024">
        <f t="shared" si="184"/>
        <v>0</v>
      </c>
      <c r="P352" s="1024">
        <f t="shared" si="184"/>
        <v>0</v>
      </c>
      <c r="Q352" s="1024">
        <f t="shared" si="184"/>
        <v>0</v>
      </c>
      <c r="R352" s="1024">
        <f t="shared" si="184"/>
        <v>0</v>
      </c>
      <c r="S352" s="1024">
        <f t="shared" si="184"/>
        <v>0</v>
      </c>
      <c r="T352" s="1024">
        <f t="shared" si="184"/>
        <v>0</v>
      </c>
      <c r="U352" s="1024">
        <f t="shared" si="184"/>
        <v>0</v>
      </c>
      <c r="V352" s="1024">
        <f t="shared" si="184"/>
        <v>0</v>
      </c>
      <c r="W352" s="1024">
        <f t="shared" si="184"/>
        <v>0</v>
      </c>
      <c r="X352" s="1024">
        <f t="shared" si="184"/>
        <v>0</v>
      </c>
      <c r="Y352" s="1024">
        <f t="shared" si="184"/>
        <v>0</v>
      </c>
      <c r="Z352" s="1024">
        <f t="shared" si="184"/>
        <v>0</v>
      </c>
      <c r="AA352" s="1024">
        <f t="shared" si="184"/>
        <v>0</v>
      </c>
      <c r="AB352" s="1024">
        <f t="shared" si="184"/>
        <v>2813096.3040680005</v>
      </c>
      <c r="AC352" s="1024">
        <f t="shared" si="184"/>
        <v>20834425.955159325</v>
      </c>
    </row>
    <row r="353" spans="2:30" s="1090" customFormat="1" ht="12">
      <c r="B353" s="1011" t="s">
        <v>488</v>
      </c>
      <c r="C353" s="1031"/>
      <c r="D353" s="1111">
        <f>D354+D355</f>
        <v>52892342.182044163</v>
      </c>
      <c r="E353" s="1111">
        <f t="shared" ref="E353:X353" si="185">E354+E355</f>
        <v>54487907.085244104</v>
      </c>
      <c r="F353" s="1111">
        <f t="shared" si="185"/>
        <v>57321563.825461634</v>
      </c>
      <c r="G353" s="1111">
        <f t="shared" si="185"/>
        <v>60781051.972094946</v>
      </c>
      <c r="H353" s="1111">
        <f t="shared" si="185"/>
        <v>65044014.734453425</v>
      </c>
      <c r="I353" s="1111">
        <f t="shared" si="185"/>
        <v>70117802.073277026</v>
      </c>
      <c r="J353" s="1111">
        <f t="shared" si="185"/>
        <v>77097411.118771747</v>
      </c>
      <c r="K353" s="1111">
        <f t="shared" si="185"/>
        <v>86888781.409118623</v>
      </c>
      <c r="L353" s="1111">
        <f t="shared" si="185"/>
        <v>74725785.501869947</v>
      </c>
      <c r="M353" s="1111">
        <f t="shared" si="185"/>
        <v>78605507.012209684</v>
      </c>
      <c r="N353" s="1111">
        <f t="shared" si="185"/>
        <v>86750418.846927091</v>
      </c>
      <c r="O353" s="1111">
        <f t="shared" si="185"/>
        <v>83756083.841127038</v>
      </c>
      <c r="P353" s="1111">
        <f t="shared" si="185"/>
        <v>79136688.083923593</v>
      </c>
      <c r="Q353" s="1111">
        <f t="shared" si="185"/>
        <v>72782308.513471231</v>
      </c>
      <c r="R353" s="1111">
        <f t="shared" si="185"/>
        <v>45373894.24666626</v>
      </c>
      <c r="S353" s="1111">
        <f t="shared" si="185"/>
        <v>39653205.141425781</v>
      </c>
      <c r="T353" s="1111">
        <f t="shared" si="185"/>
        <v>39631929.410201222</v>
      </c>
      <c r="U353" s="1111">
        <f t="shared" si="185"/>
        <v>32310883.68140687</v>
      </c>
      <c r="V353" s="1111">
        <f t="shared" si="185"/>
        <v>25422492.994811557</v>
      </c>
      <c r="W353" s="1111">
        <f t="shared" si="185"/>
        <v>27656432.546113394</v>
      </c>
      <c r="X353" s="1111">
        <f t="shared" si="185"/>
        <v>27250732.770698614</v>
      </c>
      <c r="Y353" s="1111">
        <f>Y354+Y355</f>
        <v>26303958.395604841</v>
      </c>
      <c r="Z353" s="1111">
        <f>Z354+Z355</f>
        <v>27051647.518632952</v>
      </c>
      <c r="AA353" s="1111">
        <f>AA354+AA355</f>
        <v>28487740.326648463</v>
      </c>
      <c r="AB353" s="1111">
        <f>AB354+AB355</f>
        <v>29529654.225785453</v>
      </c>
      <c r="AC353" s="1111">
        <f>AC354+AC355</f>
        <v>30188639.645450421</v>
      </c>
    </row>
    <row r="354" spans="2:30" s="1090" customFormat="1" ht="12">
      <c r="B354" s="928" t="s">
        <v>489</v>
      </c>
      <c r="C354" s="929"/>
      <c r="D354" s="1024">
        <f t="shared" ref="D354:AC354" si="186">D341*D72</f>
        <v>52892342.182044163</v>
      </c>
      <c r="E354" s="1024">
        <f t="shared" si="186"/>
        <v>54487907.085244104</v>
      </c>
      <c r="F354" s="1024">
        <f t="shared" si="186"/>
        <v>57321563.825461634</v>
      </c>
      <c r="G354" s="1024">
        <f t="shared" si="186"/>
        <v>60781051.972094946</v>
      </c>
      <c r="H354" s="1024">
        <f t="shared" si="186"/>
        <v>65044014.734453425</v>
      </c>
      <c r="I354" s="1024">
        <f t="shared" si="186"/>
        <v>70117802.073277026</v>
      </c>
      <c r="J354" s="1024">
        <f t="shared" si="186"/>
        <v>77097411.118771747</v>
      </c>
      <c r="K354" s="1024">
        <f t="shared" si="186"/>
        <v>86888781.409118623</v>
      </c>
      <c r="L354" s="1024">
        <f t="shared" si="186"/>
        <v>74725785.501869947</v>
      </c>
      <c r="M354" s="1024">
        <f t="shared" si="186"/>
        <v>78605507.012209684</v>
      </c>
      <c r="N354" s="1024">
        <f t="shared" si="186"/>
        <v>86750418.846927091</v>
      </c>
      <c r="O354" s="1024">
        <f t="shared" si="186"/>
        <v>83756083.841127038</v>
      </c>
      <c r="P354" s="1024">
        <f t="shared" si="186"/>
        <v>79136688.083923593</v>
      </c>
      <c r="Q354" s="1024">
        <f t="shared" si="186"/>
        <v>72782308.513471231</v>
      </c>
      <c r="R354" s="1024">
        <f t="shared" si="186"/>
        <v>42317621.577201694</v>
      </c>
      <c r="S354" s="1024">
        <f t="shared" si="186"/>
        <v>32591675.458706122</v>
      </c>
      <c r="T354" s="1024">
        <f t="shared" si="186"/>
        <v>29954365.25189627</v>
      </c>
      <c r="U354" s="1024">
        <f t="shared" si="186"/>
        <v>21671934.176553387</v>
      </c>
      <c r="V354" s="1024">
        <f t="shared" si="186"/>
        <v>13380259.470953451</v>
      </c>
      <c r="W354" s="1024">
        <f t="shared" si="186"/>
        <v>11523513.560880581</v>
      </c>
      <c r="X354" s="1024">
        <f t="shared" si="186"/>
        <v>8014921.4031466525</v>
      </c>
      <c r="Y354" s="1024">
        <f t="shared" si="186"/>
        <v>4109993.4993132567</v>
      </c>
      <c r="Z354" s="1024">
        <f t="shared" si="186"/>
        <v>3015311.0291469856</v>
      </c>
      <c r="AA354" s="1024">
        <f t="shared" si="186"/>
        <v>2297398.4134393921</v>
      </c>
      <c r="AB354" s="1024">
        <f t="shared" si="186"/>
        <v>1917510.0146613929</v>
      </c>
      <c r="AC354" s="1024">
        <f t="shared" si="186"/>
        <v>1479835.2767377659</v>
      </c>
    </row>
    <row r="355" spans="2:30" s="1090" customFormat="1" ht="12">
      <c r="B355" s="934" t="s">
        <v>490</v>
      </c>
      <c r="C355" s="935"/>
      <c r="D355" s="1112">
        <f t="shared" ref="D355:AC355" si="187">D342*D73</f>
        <v>0</v>
      </c>
      <c r="E355" s="1112">
        <f t="shared" si="187"/>
        <v>0</v>
      </c>
      <c r="F355" s="1112">
        <f t="shared" si="187"/>
        <v>0</v>
      </c>
      <c r="G355" s="1112">
        <f t="shared" si="187"/>
        <v>0</v>
      </c>
      <c r="H355" s="1112">
        <f t="shared" si="187"/>
        <v>0</v>
      </c>
      <c r="I355" s="1112">
        <f t="shared" si="187"/>
        <v>0</v>
      </c>
      <c r="J355" s="1112">
        <f t="shared" si="187"/>
        <v>0</v>
      </c>
      <c r="K355" s="1112">
        <f t="shared" si="187"/>
        <v>0</v>
      </c>
      <c r="L355" s="1112">
        <f t="shared" si="187"/>
        <v>0</v>
      </c>
      <c r="M355" s="1112">
        <f t="shared" si="187"/>
        <v>0</v>
      </c>
      <c r="N355" s="1112">
        <f t="shared" si="187"/>
        <v>0</v>
      </c>
      <c r="O355" s="1112">
        <f t="shared" si="187"/>
        <v>0</v>
      </c>
      <c r="P355" s="1112">
        <f t="shared" si="187"/>
        <v>0</v>
      </c>
      <c r="Q355" s="1112">
        <f t="shared" si="187"/>
        <v>0</v>
      </c>
      <c r="R355" s="1112">
        <f t="shared" si="187"/>
        <v>3056272.6694645672</v>
      </c>
      <c r="S355" s="1112">
        <f t="shared" si="187"/>
        <v>7061529.68271966</v>
      </c>
      <c r="T355" s="1112">
        <f t="shared" si="187"/>
        <v>9677564.1583049484</v>
      </c>
      <c r="U355" s="1112">
        <f t="shared" si="187"/>
        <v>10638949.504853481</v>
      </c>
      <c r="V355" s="1112">
        <f t="shared" si="187"/>
        <v>12042233.523858104</v>
      </c>
      <c r="W355" s="1112">
        <f t="shared" si="187"/>
        <v>16132918.985232811</v>
      </c>
      <c r="X355" s="1112">
        <f t="shared" si="187"/>
        <v>19235811.367551964</v>
      </c>
      <c r="Y355" s="1112">
        <f t="shared" si="187"/>
        <v>22193964.896291584</v>
      </c>
      <c r="Z355" s="1112">
        <f t="shared" si="187"/>
        <v>24036336.489485968</v>
      </c>
      <c r="AA355" s="1112">
        <f t="shared" si="187"/>
        <v>26190341.91320907</v>
      </c>
      <c r="AB355" s="1112">
        <f t="shared" si="187"/>
        <v>27612144.211124059</v>
      </c>
      <c r="AC355" s="1112">
        <f t="shared" si="187"/>
        <v>28708804.368712656</v>
      </c>
    </row>
    <row r="356" spans="2:30" s="1090" customFormat="1" ht="12.75" thickBot="1">
      <c r="B356" s="1015" t="s">
        <v>491</v>
      </c>
      <c r="C356" s="1027"/>
      <c r="D356" s="1034">
        <f t="shared" ref="D356:AC356" si="188">D343*D74</f>
        <v>264461710.91022083</v>
      </c>
      <c r="E356" s="1034">
        <f t="shared" si="188"/>
        <v>281171571.81808656</v>
      </c>
      <c r="F356" s="1034">
        <f t="shared" si="188"/>
        <v>305463596.70147318</v>
      </c>
      <c r="G356" s="1034">
        <f t="shared" si="188"/>
        <v>334706468.63011748</v>
      </c>
      <c r="H356" s="1034">
        <f t="shared" si="188"/>
        <v>370389528.34897089</v>
      </c>
      <c r="I356" s="1034">
        <f t="shared" si="188"/>
        <v>406140085.95260817</v>
      </c>
      <c r="J356" s="1034">
        <f t="shared" si="188"/>
        <v>454324029.80704772</v>
      </c>
      <c r="K356" s="1034">
        <f t="shared" si="188"/>
        <v>521585272.12159872</v>
      </c>
      <c r="L356" s="1034">
        <f t="shared" si="188"/>
        <v>556850805.42258847</v>
      </c>
      <c r="M356" s="1034">
        <f t="shared" si="188"/>
        <v>589541302.59157276</v>
      </c>
      <c r="N356" s="1034">
        <f t="shared" si="188"/>
        <v>660486143.49364948</v>
      </c>
      <c r="O356" s="1034">
        <f t="shared" si="188"/>
        <v>670048670.72901618</v>
      </c>
      <c r="P356" s="1034">
        <f t="shared" si="188"/>
        <v>648481194.02104056</v>
      </c>
      <c r="Q356" s="1034">
        <f t="shared" si="188"/>
        <v>614100728.08241355</v>
      </c>
      <c r="R356" s="1034">
        <f t="shared" si="188"/>
        <v>489787286.77316779</v>
      </c>
      <c r="S356" s="1034">
        <f t="shared" si="188"/>
        <v>398342700.0508526</v>
      </c>
      <c r="T356" s="1034">
        <f t="shared" si="188"/>
        <v>304481185.25279176</v>
      </c>
      <c r="U356" s="1034">
        <f t="shared" si="188"/>
        <v>184703984.4592618</v>
      </c>
      <c r="V356" s="1034">
        <f t="shared" si="188"/>
        <v>111502162.25794542</v>
      </c>
      <c r="W356" s="1034">
        <f t="shared" si="188"/>
        <v>96029279.674004838</v>
      </c>
      <c r="X356" s="1034">
        <f t="shared" si="188"/>
        <v>75139888.154499859</v>
      </c>
      <c r="Y356" s="1034">
        <f t="shared" si="188"/>
        <v>56512410.615557268</v>
      </c>
      <c r="Z356" s="1034">
        <f t="shared" si="188"/>
        <v>37691387.864337318</v>
      </c>
      <c r="AA356" s="1034">
        <f t="shared" si="188"/>
        <v>34460976.201590881</v>
      </c>
      <c r="AB356" s="1034">
        <f t="shared" si="188"/>
        <v>29961093.979084268</v>
      </c>
      <c r="AC356" s="1034">
        <f t="shared" si="188"/>
        <v>24663921.278962769</v>
      </c>
    </row>
    <row r="357" spans="2:30" ht="12" thickTop="1">
      <c r="B357" s="1035" t="s">
        <v>263</v>
      </c>
      <c r="C357" s="1036"/>
      <c r="D357" s="1037">
        <f>D346+D353+D356</f>
        <v>317354053.09226501</v>
      </c>
      <c r="E357" s="1037">
        <f t="shared" ref="E357:X357" si="189">E346+E353+E356</f>
        <v>335659478.90333068</v>
      </c>
      <c r="F357" s="1037">
        <f t="shared" si="189"/>
        <v>362785160.5269348</v>
      </c>
      <c r="G357" s="1037">
        <f t="shared" si="189"/>
        <v>395487520.60221243</v>
      </c>
      <c r="H357" s="1037">
        <f t="shared" si="189"/>
        <v>435433543.08342433</v>
      </c>
      <c r="I357" s="1037">
        <f t="shared" si="189"/>
        <v>476257888.02588522</v>
      </c>
      <c r="J357" s="1037">
        <f t="shared" si="189"/>
        <v>531421440.92581946</v>
      </c>
      <c r="K357" s="1037">
        <f t="shared" si="189"/>
        <v>609501537.04593897</v>
      </c>
      <c r="L357" s="1037">
        <f t="shared" si="189"/>
        <v>680681662.67754078</v>
      </c>
      <c r="M357" s="1037">
        <f t="shared" si="189"/>
        <v>755718374.31168032</v>
      </c>
      <c r="N357" s="1037">
        <f t="shared" si="189"/>
        <v>891750803.11871517</v>
      </c>
      <c r="O357" s="1037">
        <f t="shared" si="189"/>
        <v>958735317.95871496</v>
      </c>
      <c r="P357" s="1037">
        <f t="shared" si="189"/>
        <v>992408359.60923791</v>
      </c>
      <c r="Q357" s="1037">
        <f t="shared" si="189"/>
        <v>1012222285.0820175</v>
      </c>
      <c r="R357" s="1037">
        <f t="shared" si="189"/>
        <v>852847798.67412853</v>
      </c>
      <c r="S357" s="1037">
        <f t="shared" si="189"/>
        <v>758029109.26432455</v>
      </c>
      <c r="T357" s="1037">
        <f t="shared" si="189"/>
        <v>661432558.64488685</v>
      </c>
      <c r="U357" s="1037">
        <f t="shared" si="189"/>
        <v>474334300.74432003</v>
      </c>
      <c r="V357" s="1037">
        <f t="shared" si="189"/>
        <v>343668430.03469932</v>
      </c>
      <c r="W357" s="1037">
        <f t="shared" si="189"/>
        <v>345829213.70677316</v>
      </c>
      <c r="X357" s="1037">
        <f t="shared" si="189"/>
        <v>338990086.6335845</v>
      </c>
      <c r="Y357" s="1037">
        <f>Y346+Y353+Y356</f>
        <v>326078521.72748703</v>
      </c>
      <c r="Z357" s="1037">
        <f>Z346+Z353+Z356</f>
        <v>317940752.22821158</v>
      </c>
      <c r="AA357" s="1037">
        <f>AA346+AA353+AA356</f>
        <v>320728497.29602683</v>
      </c>
      <c r="AB357" s="1037">
        <f>AB346+AB353+AB356</f>
        <v>308943769.50800312</v>
      </c>
      <c r="AC357" s="1037">
        <f>AC346+AC353+AC356</f>
        <v>256289050.8037625</v>
      </c>
    </row>
    <row r="358" spans="2:30">
      <c r="B358" s="1091"/>
      <c r="C358" s="1039" t="s">
        <v>493</v>
      </c>
      <c r="D358" s="1039"/>
      <c r="E358" s="1039"/>
      <c r="F358" s="1039"/>
      <c r="G358" s="1039"/>
      <c r="H358" s="1039"/>
      <c r="I358" s="1039"/>
      <c r="J358" s="1039"/>
      <c r="K358" s="1039"/>
      <c r="L358" s="1039"/>
      <c r="M358" s="1039"/>
      <c r="N358" s="1039"/>
      <c r="O358" s="1039"/>
      <c r="P358" s="1039"/>
      <c r="Q358" s="1039"/>
      <c r="R358" s="1039"/>
      <c r="S358" s="1039"/>
      <c r="T358" s="1039"/>
      <c r="U358" s="1039"/>
      <c r="V358" s="1039"/>
      <c r="W358" s="1039"/>
      <c r="X358" s="1039"/>
      <c r="Y358" s="1039"/>
      <c r="Z358" s="1039"/>
      <c r="AA358" s="1039"/>
      <c r="AB358" s="1039"/>
      <c r="AC358" s="1039"/>
    </row>
    <row r="360" spans="2:30" ht="12.75" thickBot="1">
      <c r="B360" s="980" t="s">
        <v>545</v>
      </c>
      <c r="C360" s="1113"/>
      <c r="D360" s="978">
        <v>2005</v>
      </c>
      <c r="E360" s="1114">
        <v>2006</v>
      </c>
      <c r="F360" s="978">
        <v>2007</v>
      </c>
      <c r="G360" s="1114">
        <v>2008</v>
      </c>
      <c r="H360" s="978">
        <v>2009</v>
      </c>
      <c r="I360" s="1114">
        <v>2010</v>
      </c>
      <c r="J360" s="978">
        <v>2011</v>
      </c>
      <c r="K360" s="1114">
        <v>2012</v>
      </c>
      <c r="L360" s="978">
        <v>2013</v>
      </c>
      <c r="M360" s="977">
        <v>2014</v>
      </c>
      <c r="N360" s="1114">
        <v>2015</v>
      </c>
      <c r="O360" s="1114">
        <v>2016</v>
      </c>
      <c r="P360" s="1114">
        <f t="shared" ref="P360:X360" si="190">P235</f>
        <v>2017</v>
      </c>
      <c r="Q360" s="1114">
        <f t="shared" si="190"/>
        <v>2018</v>
      </c>
      <c r="R360" s="1114">
        <f t="shared" si="190"/>
        <v>2019</v>
      </c>
      <c r="S360" s="1114">
        <f t="shared" si="190"/>
        <v>2020</v>
      </c>
      <c r="T360" s="1114">
        <f t="shared" si="190"/>
        <v>2021</v>
      </c>
      <c r="U360" s="1114">
        <f t="shared" si="190"/>
        <v>2022</v>
      </c>
      <c r="V360" s="1114">
        <f t="shared" si="190"/>
        <v>2023</v>
      </c>
      <c r="W360" s="1114">
        <f t="shared" si="190"/>
        <v>2024</v>
      </c>
      <c r="X360" s="977">
        <f t="shared" si="190"/>
        <v>2025</v>
      </c>
      <c r="Y360" s="977">
        <f>Y235</f>
        <v>2026</v>
      </c>
      <c r="Z360" s="977">
        <f>Z235</f>
        <v>2027</v>
      </c>
      <c r="AA360" s="977">
        <f>AA235</f>
        <v>2028</v>
      </c>
      <c r="AB360" s="977">
        <f>AB235</f>
        <v>2029</v>
      </c>
      <c r="AC360" s="977">
        <f>AC235</f>
        <v>2030</v>
      </c>
    </row>
    <row r="361" spans="2:30" s="1020" customFormat="1" ht="12" thickTop="1">
      <c r="B361" s="1088" t="s">
        <v>546</v>
      </c>
      <c r="C361" s="1115"/>
      <c r="D361" s="1023">
        <f>(2*D362)*52</f>
        <v>15531.152</v>
      </c>
      <c r="E361" s="1116">
        <f>(2*E362)*52</f>
        <v>16328</v>
      </c>
      <c r="F361" s="1023">
        <f>(2*F362)*52</f>
        <v>17160</v>
      </c>
      <c r="G361" s="1116">
        <f>(2*G362)*52</f>
        <v>18408</v>
      </c>
      <c r="H361" s="1023">
        <f t="shared" ref="H361:N361" si="191">(2*H362)*52</f>
        <v>20176</v>
      </c>
      <c r="I361" s="1116">
        <f t="shared" si="191"/>
        <v>21736</v>
      </c>
      <c r="J361" s="1023">
        <f t="shared" si="191"/>
        <v>23504</v>
      </c>
      <c r="K361" s="1116">
        <f t="shared" si="191"/>
        <v>26000</v>
      </c>
      <c r="L361" s="1023">
        <f t="shared" si="191"/>
        <v>29744</v>
      </c>
      <c r="M361" s="1024">
        <f t="shared" si="191"/>
        <v>35256</v>
      </c>
      <c r="N361" s="1024">
        <f t="shared" si="191"/>
        <v>45032</v>
      </c>
      <c r="O361" s="1024"/>
      <c r="P361" s="1024"/>
      <c r="Q361" s="1024"/>
      <c r="R361" s="1024"/>
      <c r="S361" s="1024"/>
      <c r="T361" s="1024"/>
      <c r="U361" s="1024"/>
      <c r="V361" s="1024"/>
      <c r="W361" s="1024"/>
      <c r="X361" s="1024"/>
      <c r="Y361" s="1024"/>
      <c r="Z361" s="1024"/>
      <c r="AA361" s="1024"/>
      <c r="AB361" s="1024"/>
      <c r="AC361" s="1024"/>
    </row>
    <row r="362" spans="2:30" s="1020" customFormat="1">
      <c r="B362" s="1088" t="s">
        <v>547</v>
      </c>
      <c r="C362" s="1115"/>
      <c r="D362" s="1023">
        <v>149.33799999999999</v>
      </c>
      <c r="E362" s="1116">
        <v>157</v>
      </c>
      <c r="F362" s="1023">
        <v>165</v>
      </c>
      <c r="G362" s="1116">
        <v>177</v>
      </c>
      <c r="H362" s="1023">
        <v>194</v>
      </c>
      <c r="I362" s="1116">
        <v>209</v>
      </c>
      <c r="J362" s="1023">
        <v>226</v>
      </c>
      <c r="K362" s="1116">
        <v>250</v>
      </c>
      <c r="L362" s="1023">
        <v>286</v>
      </c>
      <c r="M362" s="1024">
        <v>339</v>
      </c>
      <c r="N362" s="1024">
        <v>433</v>
      </c>
      <c r="O362" s="1024"/>
      <c r="P362" s="1024"/>
      <c r="Q362" s="1024"/>
      <c r="R362" s="1024"/>
      <c r="S362" s="1024"/>
      <c r="T362" s="1024"/>
      <c r="U362" s="1024"/>
      <c r="V362" s="1024"/>
      <c r="W362" s="1024"/>
      <c r="X362" s="1024"/>
      <c r="Y362" s="1024"/>
      <c r="Z362" s="1024"/>
      <c r="AA362" s="1024"/>
      <c r="AB362" s="1024"/>
      <c r="AC362" s="1024"/>
      <c r="AD362" s="930">
        <f>(G362/D362)^(1/3)-1</f>
        <v>5.8280950052729485E-2</v>
      </c>
    </row>
    <row r="363" spans="2:30" s="1020" customFormat="1">
      <c r="B363" s="1005" t="s">
        <v>548</v>
      </c>
      <c r="C363" s="973"/>
      <c r="D363" s="1026">
        <f>(2*D364*26)</f>
        <v>15320.864</v>
      </c>
      <c r="E363" s="1117">
        <f>(2*E364*26)</f>
        <v>15860</v>
      </c>
      <c r="F363" s="1026">
        <f>(2*F364*26)</f>
        <v>16796</v>
      </c>
      <c r="G363" s="1117">
        <f>(2*G364*26)</f>
        <v>17576</v>
      </c>
      <c r="H363" s="1026">
        <f t="shared" ref="H363:N363" si="192">(2*H364*26)</f>
        <v>18512</v>
      </c>
      <c r="I363" s="1117">
        <f t="shared" si="192"/>
        <v>19552</v>
      </c>
      <c r="J363" s="1026">
        <f t="shared" si="192"/>
        <v>21008</v>
      </c>
      <c r="K363" s="1117">
        <f t="shared" si="192"/>
        <v>23088</v>
      </c>
      <c r="L363" s="1026">
        <f t="shared" si="192"/>
        <v>26208</v>
      </c>
      <c r="M363" s="1029">
        <f t="shared" si="192"/>
        <v>30212</v>
      </c>
      <c r="N363" s="1029">
        <f t="shared" si="192"/>
        <v>36036</v>
      </c>
      <c r="O363" s="1029"/>
      <c r="P363" s="1029"/>
      <c r="Q363" s="1029"/>
      <c r="R363" s="1029"/>
      <c r="S363" s="1029"/>
      <c r="T363" s="1029"/>
      <c r="U363" s="1029"/>
      <c r="V363" s="1029"/>
      <c r="W363" s="1029"/>
      <c r="X363" s="1029"/>
      <c r="Y363" s="1029"/>
      <c r="Z363" s="1029"/>
      <c r="AA363" s="1029"/>
      <c r="AB363" s="1029"/>
      <c r="AC363" s="1029"/>
      <c r="AD363" s="1118"/>
    </row>
    <row r="364" spans="2:30" s="1020" customFormat="1">
      <c r="B364" s="1005" t="s">
        <v>549</v>
      </c>
      <c r="C364" s="973"/>
      <c r="D364" s="1026">
        <v>294.63200000000001</v>
      </c>
      <c r="E364" s="1117">
        <v>305</v>
      </c>
      <c r="F364" s="1026">
        <v>323</v>
      </c>
      <c r="G364" s="1117">
        <v>338</v>
      </c>
      <c r="H364" s="1026">
        <v>356</v>
      </c>
      <c r="I364" s="1117">
        <v>376</v>
      </c>
      <c r="J364" s="1026">
        <v>404</v>
      </c>
      <c r="K364" s="1117">
        <v>444</v>
      </c>
      <c r="L364" s="1026">
        <v>504</v>
      </c>
      <c r="M364" s="1029">
        <v>581</v>
      </c>
      <c r="N364" s="1029">
        <v>693</v>
      </c>
      <c r="O364" s="1029"/>
      <c r="P364" s="1029"/>
      <c r="Q364" s="1029"/>
      <c r="R364" s="1029"/>
      <c r="S364" s="1029"/>
      <c r="T364" s="1029"/>
      <c r="U364" s="1029"/>
      <c r="V364" s="1029"/>
      <c r="W364" s="1029"/>
      <c r="X364" s="1029"/>
      <c r="Y364" s="1029"/>
      <c r="Z364" s="1029"/>
      <c r="AA364" s="1029"/>
      <c r="AB364" s="1029"/>
      <c r="AC364" s="1029"/>
      <c r="AD364" s="930">
        <f>(G364/D364)^(1/3)-1</f>
        <v>4.683667370032718E-2</v>
      </c>
    </row>
    <row r="365" spans="2:30" s="1020" customFormat="1" ht="9.75" customHeight="1">
      <c r="B365" s="1119" t="s">
        <v>550</v>
      </c>
      <c r="C365" s="1120"/>
      <c r="D365" s="1023"/>
      <c r="E365" s="1116"/>
      <c r="F365" s="1023"/>
      <c r="G365" s="1116"/>
      <c r="H365" s="1023"/>
      <c r="I365" s="1116"/>
      <c r="J365" s="1023"/>
      <c r="K365" s="1116">
        <f>12*K366</f>
        <v>24660</v>
      </c>
      <c r="L365" s="1116">
        <f>12*L366</f>
        <v>24660</v>
      </c>
      <c r="M365" s="1024">
        <f>12*M366</f>
        <v>27276</v>
      </c>
      <c r="N365" s="1024">
        <f>12*N366</f>
        <v>32364</v>
      </c>
      <c r="O365" s="1024">
        <f>12*O366</f>
        <v>38028</v>
      </c>
      <c r="P365" s="1024"/>
      <c r="Q365" s="1024"/>
      <c r="R365" s="1024"/>
      <c r="S365" s="1024"/>
      <c r="T365" s="1024"/>
      <c r="U365" s="1024"/>
      <c r="V365" s="1024"/>
      <c r="W365" s="1024"/>
      <c r="X365" s="1024"/>
      <c r="Y365" s="1024"/>
      <c r="Z365" s="1024"/>
      <c r="AA365" s="1024"/>
      <c r="AB365" s="1024"/>
      <c r="AC365" s="1024"/>
      <c r="AD365" s="930"/>
    </row>
    <row r="366" spans="2:30" s="1020" customFormat="1">
      <c r="B366" s="1088" t="s">
        <v>551</v>
      </c>
      <c r="C366" s="1115"/>
      <c r="D366" s="1023"/>
      <c r="E366" s="1116"/>
      <c r="F366" s="1023"/>
      <c r="G366" s="1116"/>
      <c r="H366" s="1023"/>
      <c r="I366" s="1116"/>
      <c r="J366" s="1023">
        <f>I366*1.01</f>
        <v>0</v>
      </c>
      <c r="K366" s="1116">
        <v>2055</v>
      </c>
      <c r="L366" s="1023">
        <v>2055</v>
      </c>
      <c r="M366" s="1024">
        <v>2273</v>
      </c>
      <c r="N366" s="1024">
        <v>2697</v>
      </c>
      <c r="O366" s="1024">
        <v>3169</v>
      </c>
      <c r="P366" s="1024"/>
      <c r="Q366" s="1024"/>
      <c r="R366" s="1024"/>
      <c r="S366" s="1024"/>
      <c r="T366" s="1024"/>
      <c r="U366" s="1024"/>
      <c r="V366" s="1024"/>
      <c r="W366" s="1024"/>
      <c r="X366" s="1024"/>
      <c r="Y366" s="1024"/>
      <c r="Z366" s="1024"/>
      <c r="AA366" s="1024"/>
      <c r="AB366" s="1024"/>
      <c r="AC366" s="1024"/>
      <c r="AD366" s="930"/>
    </row>
    <row r="367" spans="2:30">
      <c r="B367" s="1121" t="s">
        <v>552</v>
      </c>
      <c r="C367" s="1122"/>
      <c r="D367" s="1112">
        <f>(210/10)*D368*12</f>
        <v>0</v>
      </c>
      <c r="E367" s="1123">
        <f t="shared" ref="E367:N367" si="193">(210/10)*E368*12</f>
        <v>0</v>
      </c>
      <c r="F367" s="1112">
        <f t="shared" si="193"/>
        <v>0</v>
      </c>
      <c r="G367" s="1123">
        <f t="shared" si="193"/>
        <v>0</v>
      </c>
      <c r="H367" s="1112">
        <f t="shared" si="193"/>
        <v>0</v>
      </c>
      <c r="I367" s="1123">
        <f t="shared" si="193"/>
        <v>0</v>
      </c>
      <c r="J367" s="1112">
        <f t="shared" si="193"/>
        <v>0</v>
      </c>
      <c r="K367" s="1123">
        <f t="shared" si="193"/>
        <v>0</v>
      </c>
      <c r="L367" s="1112">
        <f t="shared" si="193"/>
        <v>0</v>
      </c>
      <c r="M367" s="1124">
        <f t="shared" si="193"/>
        <v>0</v>
      </c>
      <c r="N367" s="1124">
        <f t="shared" si="193"/>
        <v>0</v>
      </c>
      <c r="O367" s="1124">
        <f>O368*12</f>
        <v>38028</v>
      </c>
      <c r="P367" s="1124"/>
      <c r="Q367" s="1124"/>
      <c r="R367" s="1124"/>
      <c r="S367" s="1124"/>
      <c r="T367" s="1124"/>
      <c r="U367" s="1124"/>
      <c r="V367" s="1124"/>
      <c r="W367" s="1124"/>
      <c r="X367" s="1124"/>
      <c r="Y367" s="1124"/>
      <c r="Z367" s="1124"/>
      <c r="AA367" s="1124"/>
      <c r="AB367" s="1124"/>
      <c r="AC367" s="1124"/>
      <c r="AD367" s="941"/>
    </row>
    <row r="368" spans="2:30">
      <c r="B368" s="1125" t="s">
        <v>553</v>
      </c>
      <c r="C368" s="1126"/>
      <c r="D368" s="1127"/>
      <c r="E368" s="1128"/>
      <c r="F368" s="1127"/>
      <c r="G368" s="1128"/>
      <c r="H368" s="1127"/>
      <c r="I368" s="1128"/>
      <c r="J368" s="1127"/>
      <c r="K368" s="1128"/>
      <c r="L368" s="1127">
        <f>K368*1.01</f>
        <v>0</v>
      </c>
      <c r="M368" s="1129">
        <f>L368*1.01</f>
        <v>0</v>
      </c>
      <c r="N368" s="1129">
        <f>M368*1.01</f>
        <v>0</v>
      </c>
      <c r="O368" s="1129">
        <v>3169</v>
      </c>
      <c r="P368" s="1129"/>
      <c r="Q368" s="1129"/>
      <c r="R368" s="1129"/>
      <c r="S368" s="1129"/>
      <c r="T368" s="1129"/>
      <c r="U368" s="1129"/>
      <c r="V368" s="1129"/>
      <c r="W368" s="1129"/>
      <c r="X368" s="1129"/>
      <c r="Y368" s="1129"/>
      <c r="Z368" s="1129"/>
      <c r="AA368" s="1129"/>
      <c r="AB368" s="1129"/>
      <c r="AC368" s="1129"/>
      <c r="AD368" s="930"/>
    </row>
    <row r="370" spans="2:29" ht="12.75" thickBot="1">
      <c r="B370" s="980" t="s">
        <v>554</v>
      </c>
      <c r="C370" s="1113"/>
      <c r="D370" s="978">
        <v>2005</v>
      </c>
      <c r="E370" s="1114">
        <v>2006</v>
      </c>
      <c r="F370" s="978">
        <v>2007</v>
      </c>
      <c r="G370" s="1114">
        <v>2008</v>
      </c>
      <c r="H370" s="978">
        <v>2009</v>
      </c>
      <c r="I370" s="1114">
        <v>2010</v>
      </c>
      <c r="J370" s="978">
        <v>2011</v>
      </c>
      <c r="K370" s="1114">
        <v>2012</v>
      </c>
      <c r="L370" s="978">
        <v>2013</v>
      </c>
      <c r="M370" s="978">
        <v>2014</v>
      </c>
      <c r="N370" s="978">
        <v>2015</v>
      </c>
      <c r="O370" s="1114">
        <f t="shared" ref="O370:X370" si="194">O261</f>
        <v>0</v>
      </c>
      <c r="P370" s="1114">
        <f t="shared" si="194"/>
        <v>0</v>
      </c>
      <c r="Q370" s="1114">
        <f t="shared" si="194"/>
        <v>0</v>
      </c>
      <c r="R370" s="1114">
        <f t="shared" si="194"/>
        <v>0</v>
      </c>
      <c r="S370" s="1114">
        <f t="shared" si="194"/>
        <v>0</v>
      </c>
      <c r="T370" s="1114">
        <f t="shared" si="194"/>
        <v>0</v>
      </c>
      <c r="U370" s="1114">
        <f t="shared" si="194"/>
        <v>0</v>
      </c>
      <c r="V370" s="1114">
        <f t="shared" si="194"/>
        <v>0</v>
      </c>
      <c r="W370" s="1114">
        <f t="shared" si="194"/>
        <v>0</v>
      </c>
      <c r="X370" s="977">
        <f t="shared" si="194"/>
        <v>0</v>
      </c>
      <c r="Y370" s="977">
        <f>Y261</f>
        <v>0</v>
      </c>
      <c r="Z370" s="977">
        <f>Z261</f>
        <v>0</v>
      </c>
      <c r="AA370" s="977">
        <f>AA261</f>
        <v>0</v>
      </c>
      <c r="AB370" s="977">
        <f>AB261</f>
        <v>2.9000000000000001E-2</v>
      </c>
      <c r="AC370" s="977">
        <f>AC261</f>
        <v>0.25</v>
      </c>
    </row>
    <row r="371" spans="2:29" ht="12" thickTop="1">
      <c r="B371" s="1088" t="s">
        <v>555</v>
      </c>
      <c r="C371" s="1115"/>
      <c r="D371" s="1023">
        <v>146</v>
      </c>
      <c r="E371" s="1116">
        <v>150</v>
      </c>
      <c r="F371" s="1023">
        <v>157</v>
      </c>
      <c r="G371" s="1116">
        <v>165</v>
      </c>
      <c r="H371" s="1023">
        <v>177</v>
      </c>
      <c r="I371" s="1116">
        <v>188</v>
      </c>
      <c r="J371" s="1023">
        <v>201</v>
      </c>
      <c r="K371" s="1116">
        <v>221</v>
      </c>
      <c r="L371" s="1130">
        <v>245</v>
      </c>
      <c r="M371" s="1130">
        <v>274</v>
      </c>
      <c r="N371" s="1130">
        <v>323</v>
      </c>
      <c r="O371" s="1116"/>
      <c r="P371" s="1116"/>
      <c r="Q371" s="1116"/>
      <c r="R371" s="1116"/>
      <c r="S371" s="1116"/>
      <c r="T371" s="1116"/>
      <c r="U371" s="1116"/>
      <c r="V371" s="1116"/>
      <c r="W371" s="1131"/>
      <c r="X371" s="1024"/>
      <c r="Y371" s="1024"/>
      <c r="Z371" s="1024"/>
      <c r="AA371" s="1024"/>
      <c r="AB371" s="1024"/>
      <c r="AC371" s="1024"/>
    </row>
    <row r="372" spans="2:29">
      <c r="B372" s="1088" t="s">
        <v>556</v>
      </c>
      <c r="C372" s="1115"/>
      <c r="D372" s="1132">
        <f>(D371/D362)-1</f>
        <v>-2.2351980072051303E-2</v>
      </c>
      <c r="E372" s="1133">
        <f t="shared" ref="E372:N372" si="195">(E371/E362)-1</f>
        <v>-4.4585987261146487E-2</v>
      </c>
      <c r="F372" s="1132">
        <f t="shared" si="195"/>
        <v>-4.8484848484848464E-2</v>
      </c>
      <c r="G372" s="1133">
        <f t="shared" si="195"/>
        <v>-6.7796610169491567E-2</v>
      </c>
      <c r="H372" s="1132">
        <f t="shared" si="195"/>
        <v>-8.7628865979381465E-2</v>
      </c>
      <c r="I372" s="1133">
        <f t="shared" si="195"/>
        <v>-0.1004784688995215</v>
      </c>
      <c r="J372" s="1132">
        <f t="shared" si="195"/>
        <v>-0.11061946902654862</v>
      </c>
      <c r="K372" s="1133">
        <f t="shared" si="195"/>
        <v>-0.11599999999999999</v>
      </c>
      <c r="L372" s="1132">
        <f t="shared" si="195"/>
        <v>-0.14335664335664333</v>
      </c>
      <c r="M372" s="1132">
        <f t="shared" si="195"/>
        <v>-0.19174041297935107</v>
      </c>
      <c r="N372" s="1132">
        <f t="shared" si="195"/>
        <v>-0.25404157043879905</v>
      </c>
      <c r="O372" s="1133"/>
      <c r="P372" s="1133"/>
      <c r="Q372" s="1133"/>
      <c r="R372" s="1133"/>
      <c r="S372" s="1133"/>
      <c r="T372" s="1133"/>
      <c r="U372" s="1133"/>
      <c r="V372" s="1133"/>
      <c r="W372" s="1134"/>
      <c r="X372" s="1134"/>
      <c r="Y372" s="1134"/>
      <c r="Z372" s="1134"/>
      <c r="AA372" s="1134"/>
      <c r="AB372" s="1134"/>
      <c r="AC372" s="1134"/>
    </row>
    <row r="373" spans="2:29">
      <c r="B373" s="1005" t="s">
        <v>557</v>
      </c>
      <c r="C373" s="973"/>
      <c r="D373" s="1135">
        <v>286</v>
      </c>
      <c r="E373" s="1136">
        <v>294</v>
      </c>
      <c r="F373" s="1135">
        <v>310</v>
      </c>
      <c r="G373" s="1136">
        <v>327</v>
      </c>
      <c r="H373" s="1135">
        <v>345</v>
      </c>
      <c r="I373" s="1136">
        <v>364</v>
      </c>
      <c r="J373" s="1135">
        <v>397</v>
      </c>
      <c r="K373" s="1136">
        <v>444</v>
      </c>
      <c r="L373" s="1135">
        <v>512</v>
      </c>
      <c r="M373" s="1135">
        <v>582</v>
      </c>
      <c r="N373" s="1135">
        <v>699</v>
      </c>
      <c r="O373" s="1136"/>
      <c r="P373" s="1136"/>
      <c r="Q373" s="1136"/>
      <c r="R373" s="1136"/>
      <c r="S373" s="1136"/>
      <c r="T373" s="1136"/>
      <c r="U373" s="1136"/>
      <c r="V373" s="1136"/>
      <c r="W373" s="1137"/>
      <c r="X373" s="1137"/>
      <c r="Y373" s="1137"/>
      <c r="Z373" s="1137"/>
      <c r="AA373" s="1137"/>
      <c r="AB373" s="1137"/>
      <c r="AC373" s="1137"/>
    </row>
    <row r="374" spans="2:29">
      <c r="B374" s="1138" t="s">
        <v>558</v>
      </c>
      <c r="C374" s="974"/>
      <c r="D374" s="1139">
        <f>(D373/D364)-1</f>
        <v>-2.9297564419343503E-2</v>
      </c>
      <c r="E374" s="1140">
        <f>(E373/E364)-1</f>
        <v>-3.6065573770491799E-2</v>
      </c>
      <c r="F374" s="1139">
        <f t="shared" ref="F374:N374" si="196">(F373/F364)-1</f>
        <v>-4.0247678018575872E-2</v>
      </c>
      <c r="G374" s="1140">
        <f t="shared" si="196"/>
        <v>-3.2544378698224907E-2</v>
      </c>
      <c r="H374" s="1139">
        <f t="shared" si="196"/>
        <v>-3.0898876404494402E-2</v>
      </c>
      <c r="I374" s="1140">
        <f t="shared" si="196"/>
        <v>-3.1914893617021267E-2</v>
      </c>
      <c r="J374" s="1139">
        <f t="shared" si="196"/>
        <v>-1.7326732673267342E-2</v>
      </c>
      <c r="K374" s="1140">
        <f t="shared" si="196"/>
        <v>0</v>
      </c>
      <c r="L374" s="1139">
        <f t="shared" si="196"/>
        <v>1.5873015873015817E-2</v>
      </c>
      <c r="M374" s="1139">
        <f t="shared" si="196"/>
        <v>1.7211703958692759E-3</v>
      </c>
      <c r="N374" s="1139">
        <f t="shared" si="196"/>
        <v>8.6580086580085869E-3</v>
      </c>
      <c r="O374" s="1140"/>
      <c r="P374" s="1140"/>
      <c r="Q374" s="1140"/>
      <c r="R374" s="1140"/>
      <c r="S374" s="1140"/>
      <c r="T374" s="1140"/>
      <c r="U374" s="1140"/>
      <c r="V374" s="1140"/>
      <c r="W374" s="1141"/>
      <c r="X374" s="1141"/>
      <c r="Y374" s="1141"/>
      <c r="Z374" s="1141"/>
      <c r="AA374" s="1141"/>
      <c r="AB374" s="1141"/>
      <c r="AC374" s="1141"/>
    </row>
    <row r="376" spans="2:29" ht="12.75" thickBot="1">
      <c r="B376" s="980" t="s">
        <v>559</v>
      </c>
      <c r="C376" s="1113"/>
      <c r="D376" s="978">
        <v>2005</v>
      </c>
      <c r="E376" s="978">
        <v>2006</v>
      </c>
      <c r="F376" s="978">
        <v>2007</v>
      </c>
      <c r="G376" s="978">
        <v>2008</v>
      </c>
      <c r="H376" s="978">
        <v>2009</v>
      </c>
      <c r="I376" s="978">
        <v>2010</v>
      </c>
      <c r="J376" s="978">
        <v>2011</v>
      </c>
      <c r="K376" s="978">
        <v>2012</v>
      </c>
      <c r="L376" s="978">
        <v>2013</v>
      </c>
      <c r="M376" s="978">
        <v>2014</v>
      </c>
      <c r="N376" s="978">
        <v>2015</v>
      </c>
      <c r="O376" s="978">
        <v>2016</v>
      </c>
      <c r="P376" s="978">
        <f>O376+1</f>
        <v>2017</v>
      </c>
      <c r="Q376" s="978">
        <f t="shared" ref="Q376:X376" si="197">P376+1</f>
        <v>2018</v>
      </c>
      <c r="R376" s="978">
        <f t="shared" si="197"/>
        <v>2019</v>
      </c>
      <c r="S376" s="978">
        <f t="shared" si="197"/>
        <v>2020</v>
      </c>
      <c r="T376" s="978">
        <f t="shared" si="197"/>
        <v>2021</v>
      </c>
      <c r="U376" s="978">
        <f t="shared" si="197"/>
        <v>2022</v>
      </c>
      <c r="V376" s="978">
        <f t="shared" si="197"/>
        <v>2023</v>
      </c>
      <c r="W376" s="978">
        <f t="shared" si="197"/>
        <v>2024</v>
      </c>
      <c r="X376" s="978">
        <f t="shared" si="197"/>
        <v>2025</v>
      </c>
      <c r="Y376" s="978">
        <f>X376+1</f>
        <v>2026</v>
      </c>
      <c r="Z376" s="978">
        <f>Y376+1</f>
        <v>2027</v>
      </c>
      <c r="AA376" s="978">
        <f>Z376+1</f>
        <v>2028</v>
      </c>
      <c r="AB376" s="978">
        <f>AA376+1</f>
        <v>2029</v>
      </c>
      <c r="AC376" s="978">
        <f>AB376+1</f>
        <v>2030</v>
      </c>
    </row>
    <row r="377" spans="2:29" ht="12" thickTop="1">
      <c r="B377" s="1142" t="s">
        <v>546</v>
      </c>
      <c r="C377" s="1143"/>
      <c r="D377" s="1144">
        <f>(2*D378)*52</f>
        <v>15184</v>
      </c>
      <c r="E377" s="1144">
        <f>(2*E378)*52</f>
        <v>15600</v>
      </c>
      <c r="F377" s="1144">
        <f>(2*F378)*52</f>
        <v>16328</v>
      </c>
      <c r="G377" s="1144">
        <f>(2*G378)*52</f>
        <v>17160</v>
      </c>
      <c r="H377" s="1144">
        <f t="shared" ref="H377:N377" si="198">(2*H378)*52</f>
        <v>18408</v>
      </c>
      <c r="I377" s="1144">
        <f t="shared" si="198"/>
        <v>19552</v>
      </c>
      <c r="J377" s="1144">
        <f t="shared" si="198"/>
        <v>20904</v>
      </c>
      <c r="K377" s="1144">
        <f t="shared" si="198"/>
        <v>22984</v>
      </c>
      <c r="L377" s="1144">
        <f t="shared" si="198"/>
        <v>25480</v>
      </c>
      <c r="M377" s="1144">
        <f t="shared" si="198"/>
        <v>28496</v>
      </c>
      <c r="N377" s="1144">
        <f t="shared" si="198"/>
        <v>33592</v>
      </c>
      <c r="O377" s="1144">
        <f>N377*1.04</f>
        <v>34935.68</v>
      </c>
      <c r="P377" s="1144">
        <f>O377*1.04</f>
        <v>36333.107199999999</v>
      </c>
      <c r="Q377" s="1144">
        <f>P377*1.04</f>
        <v>37786.431488000002</v>
      </c>
      <c r="R377" s="1144">
        <f>Q377*1.02</f>
        <v>38542.160117760002</v>
      </c>
      <c r="S377" s="1144">
        <f>R377*1.02</f>
        <v>39313.003320115204</v>
      </c>
      <c r="T377" s="1144">
        <f>S377*1.02</f>
        <v>40099.263386517508</v>
      </c>
      <c r="U377" s="1144">
        <f>T377*1.025</f>
        <v>41101.744971180444</v>
      </c>
      <c r="V377" s="1144">
        <f t="shared" ref="V377:AC377" si="199">U377*1.025</f>
        <v>42129.288595459948</v>
      </c>
      <c r="W377" s="1144">
        <f t="shared" si="199"/>
        <v>43182.520810346439</v>
      </c>
      <c r="X377" s="1144">
        <f t="shared" si="199"/>
        <v>44262.083830605094</v>
      </c>
      <c r="Y377" s="1144">
        <f t="shared" si="199"/>
        <v>45368.635926370218</v>
      </c>
      <c r="Z377" s="1144">
        <f t="shared" si="199"/>
        <v>46502.851824529469</v>
      </c>
      <c r="AA377" s="1144">
        <f t="shared" si="199"/>
        <v>47665.423120142703</v>
      </c>
      <c r="AB377" s="1144">
        <f t="shared" si="199"/>
        <v>48857.058698146269</v>
      </c>
      <c r="AC377" s="1144">
        <f t="shared" si="199"/>
        <v>50078.485165599923</v>
      </c>
    </row>
    <row r="378" spans="2:29">
      <c r="B378" s="1142" t="s">
        <v>547</v>
      </c>
      <c r="C378" s="1143"/>
      <c r="D378" s="1144">
        <f>D371</f>
        <v>146</v>
      </c>
      <c r="E378" s="1144">
        <f t="shared" ref="E378:N378" si="200">E371</f>
        <v>150</v>
      </c>
      <c r="F378" s="1144">
        <f t="shared" si="200"/>
        <v>157</v>
      </c>
      <c r="G378" s="1144">
        <f t="shared" si="200"/>
        <v>165</v>
      </c>
      <c r="H378" s="1144">
        <f t="shared" si="200"/>
        <v>177</v>
      </c>
      <c r="I378" s="1144">
        <f t="shared" si="200"/>
        <v>188</v>
      </c>
      <c r="J378" s="1144">
        <f t="shared" si="200"/>
        <v>201</v>
      </c>
      <c r="K378" s="1144">
        <f t="shared" si="200"/>
        <v>221</v>
      </c>
      <c r="L378" s="1144">
        <f t="shared" si="200"/>
        <v>245</v>
      </c>
      <c r="M378" s="1144">
        <f t="shared" si="200"/>
        <v>274</v>
      </c>
      <c r="N378" s="1144">
        <f t="shared" si="200"/>
        <v>323</v>
      </c>
      <c r="O378" s="1144"/>
      <c r="P378" s="1144"/>
      <c r="Q378" s="1144"/>
      <c r="R378" s="1144"/>
      <c r="S378" s="1144"/>
      <c r="T378" s="1144"/>
      <c r="U378" s="1144"/>
      <c r="V378" s="1144"/>
      <c r="W378" s="1144"/>
      <c r="X378" s="1144"/>
      <c r="Y378" s="1144"/>
      <c r="Z378" s="1144"/>
      <c r="AA378" s="1144"/>
      <c r="AB378" s="1144"/>
      <c r="AC378" s="1144"/>
    </row>
    <row r="379" spans="2:29">
      <c r="B379" s="1005" t="s">
        <v>548</v>
      </c>
      <c r="C379" s="973"/>
      <c r="D379" s="1144">
        <f>(2*D380*26)</f>
        <v>14872</v>
      </c>
      <c r="E379" s="1144">
        <f>(2*E380*26)</f>
        <v>15288</v>
      </c>
      <c r="F379" s="1144">
        <f>(2*F380*26)</f>
        <v>16120</v>
      </c>
      <c r="G379" s="1144">
        <f>(2*G380*26)</f>
        <v>17004</v>
      </c>
      <c r="H379" s="1144">
        <f t="shared" ref="H379:N379" si="201">(2*H380*26)</f>
        <v>17940</v>
      </c>
      <c r="I379" s="1144">
        <f t="shared" si="201"/>
        <v>18928</v>
      </c>
      <c r="J379" s="1144">
        <f t="shared" si="201"/>
        <v>20644</v>
      </c>
      <c r="K379" s="1144">
        <f t="shared" si="201"/>
        <v>23088</v>
      </c>
      <c r="L379" s="1144">
        <f t="shared" si="201"/>
        <v>26624</v>
      </c>
      <c r="M379" s="1144">
        <f t="shared" si="201"/>
        <v>30264</v>
      </c>
      <c r="N379" s="1144">
        <f t="shared" si="201"/>
        <v>36348</v>
      </c>
      <c r="O379" s="1144">
        <f t="shared" ref="O379:T379" si="202">N379*1.04</f>
        <v>37801.919999999998</v>
      </c>
      <c r="P379" s="1144">
        <f t="shared" si="202"/>
        <v>39313.996800000001</v>
      </c>
      <c r="Q379" s="1144">
        <f t="shared" si="202"/>
        <v>40886.556671999999</v>
      </c>
      <c r="R379" s="1144">
        <f t="shared" si="202"/>
        <v>42522.018938879999</v>
      </c>
      <c r="S379" s="1144">
        <f t="shared" si="202"/>
        <v>44222.899696435197</v>
      </c>
      <c r="T379" s="1144">
        <f t="shared" si="202"/>
        <v>45991.815684292604</v>
      </c>
      <c r="U379" s="1144">
        <f>T379*1.025</f>
        <v>47141.611076399917</v>
      </c>
      <c r="V379" s="1144">
        <f t="shared" ref="V379:AC379" si="203">U379*1.025</f>
        <v>48320.151353309913</v>
      </c>
      <c r="W379" s="1144">
        <f t="shared" si="203"/>
        <v>49528.155137142654</v>
      </c>
      <c r="X379" s="1144">
        <f t="shared" si="203"/>
        <v>50766.359015571215</v>
      </c>
      <c r="Y379" s="1144">
        <f t="shared" si="203"/>
        <v>52035.517990960492</v>
      </c>
      <c r="Z379" s="1144">
        <f t="shared" si="203"/>
        <v>53336.405940734498</v>
      </c>
      <c r="AA379" s="1144">
        <f t="shared" si="203"/>
        <v>54669.816089252854</v>
      </c>
      <c r="AB379" s="1144">
        <f t="shared" si="203"/>
        <v>56036.561491484172</v>
      </c>
      <c r="AC379" s="1144">
        <f t="shared" si="203"/>
        <v>57437.475528771269</v>
      </c>
    </row>
    <row r="380" spans="2:29">
      <c r="B380" s="1138" t="s">
        <v>549</v>
      </c>
      <c r="C380" s="974"/>
      <c r="D380" s="1145">
        <f>D373</f>
        <v>286</v>
      </c>
      <c r="E380" s="1145">
        <f t="shared" ref="E380:N380" si="204">E373</f>
        <v>294</v>
      </c>
      <c r="F380" s="1145">
        <f t="shared" si="204"/>
        <v>310</v>
      </c>
      <c r="G380" s="1145">
        <f t="shared" si="204"/>
        <v>327</v>
      </c>
      <c r="H380" s="1145">
        <f t="shared" si="204"/>
        <v>345</v>
      </c>
      <c r="I380" s="1145">
        <f t="shared" si="204"/>
        <v>364</v>
      </c>
      <c r="J380" s="1145">
        <f t="shared" si="204"/>
        <v>397</v>
      </c>
      <c r="K380" s="1145">
        <f t="shared" si="204"/>
        <v>444</v>
      </c>
      <c r="L380" s="1145">
        <f t="shared" si="204"/>
        <v>512</v>
      </c>
      <c r="M380" s="1145">
        <f t="shared" si="204"/>
        <v>582</v>
      </c>
      <c r="N380" s="1145">
        <f t="shared" si="204"/>
        <v>699</v>
      </c>
      <c r="O380" s="1145"/>
      <c r="P380" s="1145"/>
      <c r="Q380" s="1145"/>
      <c r="R380" s="1145"/>
      <c r="S380" s="1145"/>
      <c r="T380" s="1145"/>
      <c r="U380" s="1145"/>
      <c r="V380" s="1145"/>
      <c r="W380" s="1145"/>
      <c r="X380" s="1145"/>
      <c r="Y380" s="1145"/>
      <c r="Z380" s="1145"/>
      <c r="AA380" s="1145"/>
      <c r="AB380" s="1145"/>
      <c r="AC380" s="1145"/>
    </row>
    <row r="381" spans="2:29">
      <c r="B381" s="1146" t="s">
        <v>560</v>
      </c>
      <c r="C381" s="1091"/>
      <c r="D381" s="1147">
        <f>(D377+D379)/2</f>
        <v>15028</v>
      </c>
      <c r="E381" s="1147">
        <f t="shared" ref="E381:X381" si="205">(E377+E379)/2</f>
        <v>15444</v>
      </c>
      <c r="F381" s="1147">
        <f t="shared" si="205"/>
        <v>16224</v>
      </c>
      <c r="G381" s="1147">
        <f t="shared" si="205"/>
        <v>17082</v>
      </c>
      <c r="H381" s="1147">
        <f t="shared" si="205"/>
        <v>18174</v>
      </c>
      <c r="I381" s="1147">
        <f t="shared" si="205"/>
        <v>19240</v>
      </c>
      <c r="J381" s="1147">
        <f t="shared" si="205"/>
        <v>20774</v>
      </c>
      <c r="K381" s="1147">
        <f t="shared" si="205"/>
        <v>23036</v>
      </c>
      <c r="L381" s="1147">
        <f t="shared" si="205"/>
        <v>26052</v>
      </c>
      <c r="M381" s="1147">
        <f t="shared" si="205"/>
        <v>29380</v>
      </c>
      <c r="N381" s="1147">
        <f t="shared" si="205"/>
        <v>34970</v>
      </c>
      <c r="O381" s="1147">
        <f t="shared" si="205"/>
        <v>36368.800000000003</v>
      </c>
      <c r="P381" s="1147">
        <f t="shared" si="205"/>
        <v>37823.551999999996</v>
      </c>
      <c r="Q381" s="1147">
        <f t="shared" si="205"/>
        <v>39336.494080000004</v>
      </c>
      <c r="R381" s="1147">
        <f t="shared" si="205"/>
        <v>40532.089528320001</v>
      </c>
      <c r="S381" s="1147">
        <f t="shared" si="205"/>
        <v>41767.951508275204</v>
      </c>
      <c r="T381" s="1147">
        <f t="shared" si="205"/>
        <v>43045.539535405056</v>
      </c>
      <c r="U381" s="1147">
        <f t="shared" si="205"/>
        <v>44121.678023790184</v>
      </c>
      <c r="V381" s="1147">
        <f t="shared" si="205"/>
        <v>45224.719974384934</v>
      </c>
      <c r="W381" s="1147">
        <f t="shared" si="205"/>
        <v>46355.33797374455</v>
      </c>
      <c r="X381" s="1147">
        <f t="shared" si="205"/>
        <v>47514.221423088151</v>
      </c>
      <c r="Y381" s="1147">
        <f>(Y377+Y379)/2</f>
        <v>48702.076958665355</v>
      </c>
      <c r="Z381" s="1147">
        <f>(Z377+Z379)/2</f>
        <v>49919.62888263198</v>
      </c>
      <c r="AA381" s="1147">
        <f>(AA377+AA379)/2</f>
        <v>51167.619604697778</v>
      </c>
      <c r="AB381" s="1147">
        <f>(AB377+AB379)/2</f>
        <v>52446.810094815221</v>
      </c>
      <c r="AC381" s="1147">
        <f>(AC377+AC379)/2</f>
        <v>53757.980347185599</v>
      </c>
    </row>
    <row r="382" spans="2:29">
      <c r="D382" s="1148"/>
      <c r="E382" s="1148"/>
      <c r="F382" s="1148"/>
      <c r="G382" s="1148"/>
      <c r="H382" s="1148"/>
      <c r="I382" s="1148"/>
      <c r="J382" s="1148"/>
      <c r="K382" s="1148"/>
      <c r="L382" s="1148"/>
      <c r="M382" s="1148"/>
      <c r="N382" s="1148"/>
      <c r="O382" s="1148"/>
      <c r="P382" s="1148"/>
      <c r="Q382" s="1148"/>
      <c r="R382" s="1148"/>
      <c r="S382" s="1148"/>
      <c r="T382" s="1148"/>
      <c r="U382" s="1148"/>
      <c r="V382" s="1148"/>
      <c r="W382" s="1148"/>
      <c r="X382" s="1148"/>
      <c r="Y382" s="1148"/>
      <c r="Z382" s="1148"/>
      <c r="AA382" s="1148"/>
      <c r="AB382" s="1148"/>
      <c r="AC382" s="1148"/>
    </row>
    <row r="383" spans="2:29">
      <c r="B383" s="1146" t="s">
        <v>561</v>
      </c>
      <c r="C383" s="1091"/>
      <c r="D383" s="1149"/>
      <c r="E383" s="1149"/>
      <c r="F383" s="1149"/>
      <c r="G383" s="1149"/>
      <c r="H383" s="1149"/>
      <c r="I383" s="1149"/>
      <c r="J383" s="1149"/>
      <c r="K383" s="1149">
        <f>K365*0.95</f>
        <v>23427</v>
      </c>
      <c r="L383" s="1149">
        <f>L365*0.95</f>
        <v>23427</v>
      </c>
      <c r="M383" s="1149">
        <f>M365*0.9</f>
        <v>24548.400000000001</v>
      </c>
      <c r="N383" s="1149">
        <f>N365*0.9</f>
        <v>29127.600000000002</v>
      </c>
      <c r="O383" s="1149">
        <f>O365*0.9</f>
        <v>34225.200000000004</v>
      </c>
      <c r="P383" s="1149">
        <f>O383*1.04</f>
        <v>35594.208000000006</v>
      </c>
      <c r="Q383" s="1149">
        <f>P383*1.04</f>
        <v>37017.976320000009</v>
      </c>
      <c r="R383" s="1149">
        <f>Q383*1.04</f>
        <v>38498.695372800008</v>
      </c>
      <c r="S383" s="1149">
        <f>R383*1.02</f>
        <v>39268.669280256006</v>
      </c>
      <c r="T383" s="1149">
        <f t="shared" ref="T383:Y383" si="206">S383*1.02</f>
        <v>40054.042665861125</v>
      </c>
      <c r="U383" s="1149">
        <f t="shared" si="206"/>
        <v>40855.123519178349</v>
      </c>
      <c r="V383" s="1149">
        <f t="shared" si="206"/>
        <v>41672.225989561914</v>
      </c>
      <c r="W383" s="1149">
        <f t="shared" si="206"/>
        <v>42505.670509353149</v>
      </c>
      <c r="X383" s="1149">
        <f t="shared" si="206"/>
        <v>43355.783919540212</v>
      </c>
      <c r="Y383" s="1149">
        <f t="shared" si="206"/>
        <v>44222.89959793102</v>
      </c>
      <c r="Z383" s="1149">
        <f>Y383*1.015</f>
        <v>44886.243091899982</v>
      </c>
      <c r="AA383" s="1149">
        <f>Z383*1.015</f>
        <v>45559.536738278475</v>
      </c>
      <c r="AB383" s="1149">
        <f>AA383*1.015</f>
        <v>46242.929789352645</v>
      </c>
      <c r="AC383" s="1149">
        <f>AB383*1.015</f>
        <v>46936.573736192928</v>
      </c>
    </row>
    <row r="384" spans="2:29">
      <c r="D384" s="1148"/>
      <c r="E384" s="1148"/>
      <c r="F384" s="1148"/>
      <c r="G384" s="1148"/>
      <c r="H384" s="1148"/>
      <c r="I384" s="1148"/>
      <c r="J384" s="1148"/>
      <c r="K384" s="1148"/>
      <c r="L384" s="1148"/>
      <c r="M384" s="1148"/>
      <c r="N384" s="1148"/>
      <c r="O384" s="1148"/>
      <c r="P384" s="1148"/>
      <c r="Q384" s="1148"/>
      <c r="R384" s="1148"/>
      <c r="S384" s="1148"/>
      <c r="T384" s="1148"/>
      <c r="U384" s="1148"/>
      <c r="V384" s="1148"/>
      <c r="W384" s="1148"/>
      <c r="X384" s="1148"/>
      <c r="Y384" s="1148"/>
      <c r="Z384" s="1148"/>
      <c r="AA384" s="1148"/>
      <c r="AB384" s="1148"/>
      <c r="AC384" s="1148"/>
    </row>
    <row r="385" spans="2:29">
      <c r="B385" s="1146" t="s">
        <v>562</v>
      </c>
      <c r="C385" s="1091"/>
      <c r="D385" s="1149"/>
      <c r="E385" s="1149"/>
      <c r="F385" s="1149"/>
      <c r="G385" s="1149"/>
      <c r="H385" s="1149"/>
      <c r="I385" s="1149"/>
      <c r="J385" s="1149"/>
      <c r="K385" s="1149">
        <f>K367*0.8</f>
        <v>0</v>
      </c>
      <c r="L385" s="1149">
        <f t="shared" ref="L385:N387" si="207">L367*0.8</f>
        <v>0</v>
      </c>
      <c r="M385" s="1149">
        <f t="shared" si="207"/>
        <v>0</v>
      </c>
      <c r="N385" s="1149">
        <f t="shared" si="207"/>
        <v>0</v>
      </c>
      <c r="O385" s="1149">
        <f>O383*0.9*0.2</f>
        <v>6160.536000000001</v>
      </c>
      <c r="P385" s="1149">
        <f t="shared" ref="P385:X385" si="208">P383*0.9</f>
        <v>32034.787200000006</v>
      </c>
      <c r="Q385" s="1149">
        <f t="shared" si="208"/>
        <v>33316.178688000007</v>
      </c>
      <c r="R385" s="1149">
        <f t="shared" si="208"/>
        <v>34648.825835520009</v>
      </c>
      <c r="S385" s="1149">
        <f t="shared" si="208"/>
        <v>35341.802352230407</v>
      </c>
      <c r="T385" s="1149">
        <f t="shared" si="208"/>
        <v>36048.638399275012</v>
      </c>
      <c r="U385" s="1149">
        <f t="shared" si="208"/>
        <v>36769.611167260518</v>
      </c>
      <c r="V385" s="1149">
        <f t="shared" si="208"/>
        <v>37505.003390605722</v>
      </c>
      <c r="W385" s="1149">
        <f t="shared" si="208"/>
        <v>38255.103458417834</v>
      </c>
      <c r="X385" s="1149">
        <f t="shared" si="208"/>
        <v>39020.205527586193</v>
      </c>
      <c r="Y385" s="1149">
        <f>Y383*0.9</f>
        <v>39800.609638137917</v>
      </c>
      <c r="Z385" s="1149">
        <f>Z383*0.9</f>
        <v>40397.618782709986</v>
      </c>
      <c r="AA385" s="1149">
        <f>AA383*0.9</f>
        <v>41003.583064450628</v>
      </c>
      <c r="AB385" s="1149">
        <f>AB383*0.9</f>
        <v>41618.636810417382</v>
      </c>
      <c r="AC385" s="1149">
        <f>AC383*0.9</f>
        <v>42242.916362573633</v>
      </c>
    </row>
    <row r="386" spans="2:29">
      <c r="D386" s="1148"/>
      <c r="E386" s="1148"/>
      <c r="F386" s="1148"/>
      <c r="G386" s="1148"/>
      <c r="H386" s="1148"/>
      <c r="I386" s="1148"/>
      <c r="J386" s="1148"/>
      <c r="K386" s="1148"/>
      <c r="L386" s="1148"/>
      <c r="M386" s="1148"/>
      <c r="N386" s="1148"/>
      <c r="O386" s="1148"/>
      <c r="P386" s="1148"/>
      <c r="Q386" s="1148"/>
      <c r="R386" s="1148"/>
      <c r="S386" s="1148"/>
      <c r="T386" s="1148"/>
      <c r="U386" s="1148"/>
      <c r="V386" s="1148"/>
      <c r="W386" s="1148"/>
      <c r="X386" s="1148"/>
      <c r="Y386" s="1148"/>
      <c r="Z386" s="1148"/>
      <c r="AA386" s="1148"/>
      <c r="AB386" s="1148"/>
      <c r="AC386" s="1148"/>
    </row>
    <row r="387" spans="2:29">
      <c r="B387" s="1146" t="s">
        <v>563</v>
      </c>
      <c r="C387" s="1091"/>
      <c r="D387" s="1149"/>
      <c r="E387" s="1149"/>
      <c r="F387" s="1149"/>
      <c r="G387" s="1149"/>
      <c r="H387" s="1149"/>
      <c r="I387" s="1149"/>
      <c r="J387" s="1149"/>
      <c r="K387" s="1149">
        <f>K369*0.8</f>
        <v>0</v>
      </c>
      <c r="L387" s="1149">
        <f t="shared" si="207"/>
        <v>0</v>
      </c>
      <c r="M387" s="1149">
        <f t="shared" si="207"/>
        <v>0</v>
      </c>
      <c r="N387" s="1149">
        <f t="shared" si="207"/>
        <v>0</v>
      </c>
      <c r="O387" s="1149"/>
      <c r="P387" s="1149">
        <f>P385</f>
        <v>32034.787200000006</v>
      </c>
      <c r="Q387" s="1149">
        <f t="shared" ref="Q387:X389" si="209">Q385</f>
        <v>33316.178688000007</v>
      </c>
      <c r="R387" s="1149">
        <f t="shared" si="209"/>
        <v>34648.825835520009</v>
      </c>
      <c r="S387" s="1149">
        <f t="shared" si="209"/>
        <v>35341.802352230407</v>
      </c>
      <c r="T387" s="1149">
        <f t="shared" si="209"/>
        <v>36048.638399275012</v>
      </c>
      <c r="U387" s="1149">
        <f t="shared" si="209"/>
        <v>36769.611167260518</v>
      </c>
      <c r="V387" s="1149">
        <f t="shared" si="209"/>
        <v>37505.003390605722</v>
      </c>
      <c r="W387" s="1149">
        <f t="shared" si="209"/>
        <v>38255.103458417834</v>
      </c>
      <c r="X387" s="1149">
        <f t="shared" si="209"/>
        <v>39020.205527586193</v>
      </c>
      <c r="Y387" s="1149">
        <f>Y385</f>
        <v>39800.609638137917</v>
      </c>
      <c r="Z387" s="1149">
        <f>Z385</f>
        <v>40397.618782709986</v>
      </c>
      <c r="AA387" s="1149">
        <f>AA385</f>
        <v>41003.583064450628</v>
      </c>
      <c r="AB387" s="1149">
        <f>AB385</f>
        <v>41618.636810417382</v>
      </c>
      <c r="AC387" s="1149">
        <f>AC385</f>
        <v>42242.916362573633</v>
      </c>
    </row>
    <row r="388" spans="2:29">
      <c r="D388" s="1148"/>
      <c r="E388" s="1148"/>
      <c r="F388" s="1148"/>
      <c r="G388" s="1148"/>
      <c r="H388" s="1148"/>
      <c r="I388" s="1148"/>
      <c r="J388" s="1148"/>
      <c r="K388" s="1148"/>
      <c r="L388" s="1148"/>
      <c r="M388" s="1148"/>
      <c r="N388" s="1148"/>
      <c r="O388" s="1148"/>
      <c r="P388" s="1148"/>
      <c r="Q388" s="1148"/>
      <c r="R388" s="1148"/>
      <c r="S388" s="1148"/>
      <c r="T388" s="1148"/>
      <c r="U388" s="1148"/>
      <c r="V388" s="1148"/>
      <c r="W388" s="1148"/>
      <c r="X388" s="1148"/>
      <c r="Y388" s="1148"/>
      <c r="Z388" s="1148"/>
      <c r="AA388" s="1148"/>
      <c r="AB388" s="1148"/>
      <c r="AC388" s="1148"/>
    </row>
    <row r="389" spans="2:29">
      <c r="B389" s="1146" t="s">
        <v>564</v>
      </c>
      <c r="C389" s="1091"/>
      <c r="D389" s="1149"/>
      <c r="E389" s="1149"/>
      <c r="F389" s="1149"/>
      <c r="G389" s="1149"/>
      <c r="H389" s="1149"/>
      <c r="I389" s="1149"/>
      <c r="J389" s="1149"/>
      <c r="K389" s="1149"/>
      <c r="L389" s="1149"/>
      <c r="M389" s="1149"/>
      <c r="N389" s="1149"/>
      <c r="O389" s="1149"/>
      <c r="P389" s="1149">
        <f>P387</f>
        <v>32034.787200000006</v>
      </c>
      <c r="Q389" s="1149">
        <f t="shared" si="209"/>
        <v>33316.178688000007</v>
      </c>
      <c r="R389" s="1149">
        <f t="shared" si="209"/>
        <v>34648.825835520009</v>
      </c>
      <c r="S389" s="1149">
        <f t="shared" si="209"/>
        <v>35341.802352230407</v>
      </c>
      <c r="T389" s="1149">
        <f t="shared" si="209"/>
        <v>36048.638399275012</v>
      </c>
      <c r="U389" s="1149">
        <f t="shared" si="209"/>
        <v>36769.611167260518</v>
      </c>
      <c r="V389" s="1149">
        <f t="shared" si="209"/>
        <v>37505.003390605722</v>
      </c>
      <c r="W389" s="1149">
        <f t="shared" si="209"/>
        <v>38255.103458417834</v>
      </c>
      <c r="X389" s="1149">
        <f t="shared" si="209"/>
        <v>39020.205527586193</v>
      </c>
      <c r="Y389" s="1149">
        <f>Y387</f>
        <v>39800.609638137917</v>
      </c>
      <c r="Z389" s="1149">
        <f>Z387</f>
        <v>40397.618782709986</v>
      </c>
      <c r="AA389" s="1149">
        <f>AA387</f>
        <v>41003.583064450628</v>
      </c>
      <c r="AB389" s="1149">
        <f>AB387</f>
        <v>41618.636810417382</v>
      </c>
      <c r="AC389" s="1149">
        <f>AC387</f>
        <v>42242.916362573633</v>
      </c>
    </row>
    <row r="390" spans="2:29">
      <c r="D390" s="1148"/>
      <c r="E390" s="1148"/>
      <c r="F390" s="1148"/>
      <c r="G390" s="1148"/>
      <c r="H390" s="1148"/>
      <c r="I390" s="1148"/>
      <c r="J390" s="1148"/>
      <c r="K390" s="1148"/>
      <c r="L390" s="1148"/>
      <c r="M390" s="1148"/>
      <c r="N390" s="1148"/>
      <c r="O390" s="1148"/>
      <c r="P390" s="1148"/>
      <c r="Q390" s="1148"/>
      <c r="R390" s="1148"/>
      <c r="S390" s="1148"/>
      <c r="T390" s="1148"/>
      <c r="U390" s="1148"/>
      <c r="V390" s="1148"/>
      <c r="W390" s="1148"/>
      <c r="X390" s="1148"/>
      <c r="Y390" s="1148"/>
      <c r="Z390" s="1148"/>
      <c r="AA390" s="1148"/>
      <c r="AB390" s="1148"/>
      <c r="AC390" s="1148"/>
    </row>
    <row r="391" spans="2:29">
      <c r="B391" s="1146" t="s">
        <v>565</v>
      </c>
      <c r="C391" s="1091"/>
      <c r="D391" s="1149"/>
      <c r="E391" s="1149"/>
      <c r="F391" s="1149"/>
      <c r="G391" s="1149"/>
      <c r="H391" s="1149"/>
      <c r="I391" s="1149"/>
      <c r="J391" s="1149"/>
      <c r="K391" s="1149"/>
      <c r="L391" s="1149"/>
      <c r="M391" s="1149"/>
      <c r="N391" s="1149"/>
      <c r="O391" s="1149"/>
      <c r="P391" s="1149"/>
      <c r="Q391" s="1149"/>
      <c r="R391" s="1149">
        <f>R381*0.65</f>
        <v>26345.858193408003</v>
      </c>
      <c r="S391" s="1149">
        <f>S381*0.65</f>
        <v>27149.168480378885</v>
      </c>
      <c r="T391" s="1149">
        <f>T381*0.6</f>
        <v>25827.323721243032</v>
      </c>
      <c r="U391" s="1149">
        <f t="shared" ref="U391:AC391" si="210">U381*0.6</f>
        <v>26473.006814274111</v>
      </c>
      <c r="V391" s="1149">
        <f t="shared" si="210"/>
        <v>27134.831984630961</v>
      </c>
      <c r="W391" s="1149">
        <f t="shared" si="210"/>
        <v>27813.202784246729</v>
      </c>
      <c r="X391" s="1149">
        <f t="shared" si="210"/>
        <v>28508.532853852888</v>
      </c>
      <c r="Y391" s="1149">
        <f t="shared" si="210"/>
        <v>29221.246175199212</v>
      </c>
      <c r="Z391" s="1149">
        <f t="shared" si="210"/>
        <v>29951.777329579185</v>
      </c>
      <c r="AA391" s="1149">
        <f t="shared" si="210"/>
        <v>30700.571762818665</v>
      </c>
      <c r="AB391" s="1149">
        <f t="shared" si="210"/>
        <v>31468.086056889129</v>
      </c>
      <c r="AC391" s="1149">
        <f t="shared" si="210"/>
        <v>32254.788208311358</v>
      </c>
    </row>
    <row r="392" spans="2:29">
      <c r="D392" s="1148"/>
      <c r="E392" s="1148"/>
      <c r="F392" s="1148"/>
      <c r="G392" s="1148"/>
      <c r="H392" s="1148"/>
      <c r="I392" s="1148"/>
      <c r="J392" s="1148"/>
      <c r="K392" s="1148"/>
      <c r="L392" s="1148"/>
      <c r="M392" s="1148"/>
      <c r="N392" s="1148"/>
      <c r="O392" s="1148"/>
      <c r="P392" s="1148"/>
      <c r="Q392" s="1148"/>
      <c r="R392" s="1148"/>
      <c r="S392" s="1148"/>
      <c r="T392" s="1148"/>
      <c r="U392" s="1148"/>
      <c r="V392" s="1148"/>
      <c r="W392" s="1148"/>
      <c r="X392" s="1148"/>
      <c r="Y392" s="1148"/>
      <c r="Z392" s="1148"/>
      <c r="AA392" s="1148"/>
      <c r="AB392" s="1148"/>
      <c r="AC392" s="1148"/>
    </row>
    <row r="393" spans="2:29">
      <c r="B393" s="1146" t="s">
        <v>566</v>
      </c>
      <c r="C393" s="1091"/>
      <c r="D393" s="1149"/>
      <c r="E393" s="1149"/>
      <c r="F393" s="1149"/>
      <c r="G393" s="1149"/>
      <c r="H393" s="1149"/>
      <c r="I393" s="1149"/>
      <c r="J393" s="1149"/>
      <c r="K393" s="1149"/>
      <c r="L393" s="1149"/>
      <c r="M393" s="1149"/>
      <c r="N393" s="1149"/>
      <c r="O393" s="1149"/>
      <c r="P393" s="1149"/>
      <c r="Q393" s="1149"/>
      <c r="R393" s="1149"/>
      <c r="S393" s="1149"/>
      <c r="T393" s="1149"/>
      <c r="U393" s="1149"/>
      <c r="V393" s="1149"/>
      <c r="W393" s="1149"/>
      <c r="X393" s="1149">
        <f t="shared" ref="X393:AC393" si="211">X383*0.15</f>
        <v>6503.3675879310313</v>
      </c>
      <c r="Y393" s="1149">
        <f t="shared" si="211"/>
        <v>6633.4349396896532</v>
      </c>
      <c r="Z393" s="1149">
        <f t="shared" si="211"/>
        <v>6732.9364637849967</v>
      </c>
      <c r="AA393" s="1149">
        <f t="shared" si="211"/>
        <v>6833.9305107417713</v>
      </c>
      <c r="AB393" s="1149">
        <f t="shared" si="211"/>
        <v>6936.4394684028966</v>
      </c>
      <c r="AC393" s="1149">
        <f t="shared" si="211"/>
        <v>7040.4860604289388</v>
      </c>
    </row>
    <row r="394" spans="2:29">
      <c r="D394" s="1148"/>
      <c r="E394" s="1148"/>
      <c r="F394" s="1148"/>
      <c r="G394" s="1148"/>
      <c r="H394" s="1148"/>
      <c r="I394" s="1148"/>
      <c r="J394" s="1148"/>
      <c r="K394" s="1148"/>
      <c r="L394" s="1148"/>
      <c r="M394" s="1148"/>
      <c r="N394" s="1148"/>
      <c r="O394" s="1148"/>
      <c r="P394" s="1148"/>
      <c r="Q394" s="1148"/>
      <c r="R394" s="1148"/>
      <c r="S394" s="1148"/>
      <c r="T394" s="1148"/>
      <c r="U394" s="1148"/>
      <c r="V394" s="1148"/>
      <c r="W394" s="1148"/>
      <c r="X394" s="1148"/>
      <c r="Y394" s="1148"/>
      <c r="Z394" s="1148"/>
      <c r="AA394" s="1148"/>
      <c r="AB394" s="1148"/>
      <c r="AC394" s="1148"/>
    </row>
    <row r="395" spans="2:29">
      <c r="B395" s="1146" t="s">
        <v>567</v>
      </c>
      <c r="C395" s="1091"/>
      <c r="D395" s="1149"/>
      <c r="E395" s="1149"/>
      <c r="F395" s="1149"/>
      <c r="G395" s="1149"/>
      <c r="H395" s="1149"/>
      <c r="I395" s="1149"/>
      <c r="J395" s="1149"/>
      <c r="K395" s="1149"/>
      <c r="L395" s="1149"/>
      <c r="M395" s="1149"/>
      <c r="N395" s="1149"/>
      <c r="O395" s="1149"/>
      <c r="P395" s="1149"/>
      <c r="Q395" s="1149"/>
      <c r="R395" s="1149"/>
      <c r="S395" s="1149"/>
      <c r="T395" s="1149"/>
      <c r="U395" s="1149"/>
      <c r="V395" s="1149"/>
      <c r="W395" s="1149"/>
      <c r="X395" s="1149"/>
      <c r="Y395" s="1149"/>
      <c r="Z395" s="1149"/>
      <c r="AA395" s="1149"/>
      <c r="AB395" s="1149">
        <f>AB385*0.3</f>
        <v>12485.591043125214</v>
      </c>
      <c r="AC395" s="1149">
        <f>AC385*0.25</f>
        <v>10560.729090643408</v>
      </c>
    </row>
    <row r="396" spans="2:29">
      <c r="D396" s="1148"/>
      <c r="E396" s="1148"/>
      <c r="F396" s="1148"/>
      <c r="G396" s="1148"/>
      <c r="H396" s="1148"/>
      <c r="I396" s="1148"/>
      <c r="J396" s="1148"/>
      <c r="K396" s="1148"/>
      <c r="L396" s="1148"/>
      <c r="M396" s="1148"/>
      <c r="N396" s="1148"/>
      <c r="O396" s="1148"/>
      <c r="P396" s="1148"/>
      <c r="Q396" s="1148"/>
      <c r="R396" s="1148"/>
      <c r="S396" s="1148"/>
      <c r="T396" s="1148"/>
      <c r="U396" s="1148"/>
      <c r="V396" s="1148"/>
      <c r="W396" s="1148"/>
      <c r="X396" s="1148"/>
      <c r="Y396" s="1148"/>
      <c r="Z396" s="1148"/>
      <c r="AA396" s="1148"/>
      <c r="AB396" s="1148"/>
      <c r="AC396" s="1148"/>
    </row>
    <row r="397" spans="2:29">
      <c r="B397" s="1146" t="s">
        <v>568</v>
      </c>
      <c r="C397" s="1091"/>
      <c r="D397" s="1149">
        <f>D381*1.25</f>
        <v>18785</v>
      </c>
      <c r="E397" s="1149">
        <f t="shared" ref="E397:AC397" si="212">E381*1.25</f>
        <v>19305</v>
      </c>
      <c r="F397" s="1149">
        <f t="shared" si="212"/>
        <v>20280</v>
      </c>
      <c r="G397" s="1149">
        <f t="shared" si="212"/>
        <v>21352.5</v>
      </c>
      <c r="H397" s="1149">
        <f t="shared" si="212"/>
        <v>22717.5</v>
      </c>
      <c r="I397" s="1149">
        <f t="shared" si="212"/>
        <v>24050</v>
      </c>
      <c r="J397" s="1149">
        <f t="shared" si="212"/>
        <v>25967.5</v>
      </c>
      <c r="K397" s="1149">
        <f t="shared" si="212"/>
        <v>28795</v>
      </c>
      <c r="L397" s="1149">
        <f t="shared" si="212"/>
        <v>32565</v>
      </c>
      <c r="M397" s="1149">
        <f t="shared" si="212"/>
        <v>36725</v>
      </c>
      <c r="N397" s="1149">
        <f t="shared" si="212"/>
        <v>43712.5</v>
      </c>
      <c r="O397" s="1149">
        <f t="shared" si="212"/>
        <v>45461</v>
      </c>
      <c r="P397" s="1149">
        <f t="shared" si="212"/>
        <v>47279.439999999995</v>
      </c>
      <c r="Q397" s="1149">
        <f t="shared" si="212"/>
        <v>49170.617600000005</v>
      </c>
      <c r="R397" s="1149">
        <f t="shared" si="212"/>
        <v>50665.111910400003</v>
      </c>
      <c r="S397" s="1149">
        <f t="shared" si="212"/>
        <v>52209.939385344005</v>
      </c>
      <c r="T397" s="1149">
        <f t="shared" si="212"/>
        <v>53806.92441925632</v>
      </c>
      <c r="U397" s="1149">
        <f t="shared" si="212"/>
        <v>55152.09752973773</v>
      </c>
      <c r="V397" s="1149">
        <f t="shared" si="212"/>
        <v>56530.899967981168</v>
      </c>
      <c r="W397" s="1149">
        <f t="shared" si="212"/>
        <v>57944.172467180688</v>
      </c>
      <c r="X397" s="1149">
        <f t="shared" si="212"/>
        <v>59392.776778860192</v>
      </c>
      <c r="Y397" s="1149">
        <f t="shared" si="212"/>
        <v>60877.596198331696</v>
      </c>
      <c r="Z397" s="1149">
        <f t="shared" si="212"/>
        <v>62399.536103289975</v>
      </c>
      <c r="AA397" s="1149">
        <f t="shared" si="212"/>
        <v>63959.524505872221</v>
      </c>
      <c r="AB397" s="1149">
        <f t="shared" si="212"/>
        <v>65558.512618519031</v>
      </c>
      <c r="AC397" s="1149">
        <f t="shared" si="212"/>
        <v>67197.475433982007</v>
      </c>
    </row>
    <row r="404" spans="3:29">
      <c r="C404" s="914" t="s">
        <v>423</v>
      </c>
    </row>
    <row r="407" spans="3:29">
      <c r="C407" s="914" t="s">
        <v>831</v>
      </c>
      <c r="O407" s="1020">
        <f>O3</f>
        <v>525598841.36981034</v>
      </c>
      <c r="P407" s="1020">
        <f t="shared" ref="P407:AC407" si="213">P3</f>
        <v>726880085.08447838</v>
      </c>
      <c r="Q407" s="1020">
        <f t="shared" si="213"/>
        <v>1006536661.1108156</v>
      </c>
      <c r="R407" s="1020">
        <f t="shared" si="213"/>
        <v>1684422706.0184329</v>
      </c>
      <c r="S407" s="1020">
        <f t="shared" si="213"/>
        <v>2163532709.8890934</v>
      </c>
      <c r="T407" s="1020">
        <f t="shared" si="213"/>
        <v>2679192119.1117139</v>
      </c>
      <c r="U407" s="1020">
        <f t="shared" si="213"/>
        <v>3389644756.6623383</v>
      </c>
      <c r="V407" s="1020">
        <f t="shared" si="213"/>
        <v>3966545292.2819018</v>
      </c>
      <c r="W407" s="1020">
        <f t="shared" si="213"/>
        <v>4275489856.3084354</v>
      </c>
      <c r="X407" s="1020">
        <f t="shared" si="213"/>
        <v>4387182104.6039219</v>
      </c>
      <c r="Y407" s="1020">
        <f t="shared" si="213"/>
        <v>4455672307.9389057</v>
      </c>
      <c r="Z407" s="1020">
        <f t="shared" si="213"/>
        <v>4425206251.8622274</v>
      </c>
      <c r="AA407" s="1020">
        <f t="shared" si="213"/>
        <v>4345386605.7040052</v>
      </c>
      <c r="AB407" s="1020">
        <f t="shared" si="213"/>
        <v>4168740821.778399</v>
      </c>
      <c r="AC407" s="1020">
        <f t="shared" si="213"/>
        <v>3353559206.2349443</v>
      </c>
    </row>
    <row r="408" spans="3:29">
      <c r="C408" s="914" t="s">
        <v>832</v>
      </c>
      <c r="O408" s="1020">
        <f>O10</f>
        <v>10365298117.613768</v>
      </c>
      <c r="P408" s="1020">
        <f t="shared" ref="P408:AC408" si="214">P10</f>
        <v>11160204738.699213</v>
      </c>
      <c r="Q408" s="1020">
        <f t="shared" si="214"/>
        <v>12015817558.132048</v>
      </c>
      <c r="R408" s="1020">
        <f t="shared" si="214"/>
        <v>12396341928.538145</v>
      </c>
      <c r="S408" s="1020">
        <f t="shared" si="214"/>
        <v>12353714873.764784</v>
      </c>
      <c r="T408" s="1020">
        <f t="shared" si="214"/>
        <v>12405667086.526382</v>
      </c>
      <c r="U408" s="1020">
        <f t="shared" si="214"/>
        <v>12387693499.990273</v>
      </c>
      <c r="V408" s="1020">
        <f t="shared" si="214"/>
        <v>11982316977.997637</v>
      </c>
      <c r="W408" s="1020">
        <f t="shared" si="214"/>
        <v>12020939133.103535</v>
      </c>
      <c r="X408" s="1020">
        <f t="shared" si="214"/>
        <v>11937975460.799282</v>
      </c>
      <c r="Y408" s="1020">
        <f t="shared" si="214"/>
        <v>11772539986.165205</v>
      </c>
      <c r="Z408" s="1020">
        <f t="shared" si="214"/>
        <v>11984135111.247698</v>
      </c>
      <c r="AA408" s="1020">
        <f t="shared" si="214"/>
        <v>12283181431.326317</v>
      </c>
      <c r="AB408" s="1020">
        <f t="shared" si="214"/>
        <v>12648035357.17902</v>
      </c>
      <c r="AC408" s="1020">
        <f t="shared" si="214"/>
        <v>12939344645.733795</v>
      </c>
    </row>
    <row r="409" spans="3:29">
      <c r="C409" s="914" t="s">
        <v>833</v>
      </c>
      <c r="O409" s="1020">
        <f>O13</f>
        <v>2794423395.5487976</v>
      </c>
      <c r="P409" s="1020">
        <f t="shared" ref="P409:AC409" si="215">P13</f>
        <v>2947456217.0911736</v>
      </c>
      <c r="Q409" s="1020">
        <f t="shared" si="215"/>
        <v>3033667017.5265489</v>
      </c>
      <c r="R409" s="1020">
        <f t="shared" si="215"/>
        <v>2437762432.8563528</v>
      </c>
      <c r="S409" s="1020">
        <f t="shared" si="215"/>
        <v>2296262781.4221072</v>
      </c>
      <c r="T409" s="1020">
        <f t="shared" si="215"/>
        <v>1973601380.1453452</v>
      </c>
      <c r="U409" s="1020">
        <f t="shared" si="215"/>
        <v>1451762335.3949747</v>
      </c>
      <c r="V409" s="1020">
        <f t="shared" si="215"/>
        <v>1056347293.0580167</v>
      </c>
      <c r="W409" s="1020">
        <f t="shared" si="215"/>
        <v>901018872.90824819</v>
      </c>
      <c r="X409" s="1020">
        <f t="shared" si="215"/>
        <v>856317029.82400787</v>
      </c>
      <c r="Y409" s="1020">
        <f t="shared" si="215"/>
        <v>716658758.76678002</v>
      </c>
      <c r="Z409" s="1020">
        <f t="shared" si="215"/>
        <v>722482369.49245274</v>
      </c>
      <c r="AA409" s="1020">
        <f t="shared" si="215"/>
        <v>691768195.37627685</v>
      </c>
      <c r="AB409" s="1020">
        <f t="shared" si="215"/>
        <v>682802476.12012899</v>
      </c>
      <c r="AC409" s="1020">
        <f t="shared" si="215"/>
        <v>698818008.70287859</v>
      </c>
    </row>
    <row r="410" spans="3:29">
      <c r="C410" s="914" t="s">
        <v>263</v>
      </c>
      <c r="O410" s="1020">
        <f>O3+O10+O13</f>
        <v>13685320354.532375</v>
      </c>
      <c r="P410" s="1020">
        <f t="shared" ref="P410:AC410" si="216">P3+P10+P13</f>
        <v>14834541040.874865</v>
      </c>
      <c r="Q410" s="1020">
        <f t="shared" si="216"/>
        <v>16056021236.769411</v>
      </c>
      <c r="R410" s="1020">
        <f t="shared" si="216"/>
        <v>16518527067.41293</v>
      </c>
      <c r="S410" s="1020">
        <f t="shared" si="216"/>
        <v>16813510365.075985</v>
      </c>
      <c r="T410" s="1020">
        <f t="shared" si="216"/>
        <v>17058460585.783442</v>
      </c>
      <c r="U410" s="1020">
        <f t="shared" si="216"/>
        <v>17229100592.047585</v>
      </c>
      <c r="V410" s="1020">
        <f t="shared" si="216"/>
        <v>17005209563.337555</v>
      </c>
      <c r="W410" s="1020">
        <f t="shared" si="216"/>
        <v>17197447862.320217</v>
      </c>
      <c r="X410" s="1020">
        <f t="shared" si="216"/>
        <v>17181474595.227211</v>
      </c>
      <c r="Y410" s="1020">
        <f t="shared" si="216"/>
        <v>16944871052.870892</v>
      </c>
      <c r="Z410" s="1020">
        <f t="shared" si="216"/>
        <v>17131823732.602377</v>
      </c>
      <c r="AA410" s="1020">
        <f t="shared" si="216"/>
        <v>17320336232.406601</v>
      </c>
      <c r="AB410" s="1020">
        <f t="shared" si="216"/>
        <v>17499578655.077549</v>
      </c>
      <c r="AC410" s="1020">
        <f t="shared" si="216"/>
        <v>16991721860.671618</v>
      </c>
    </row>
    <row r="414" spans="3:29">
      <c r="C414" s="914" t="s">
        <v>834</v>
      </c>
      <c r="O414" s="1541">
        <f>O407/O$410</f>
        <v>3.8406031262230543E-2</v>
      </c>
      <c r="P414" s="1541">
        <f t="shared" ref="P414:AC414" si="217">P407/P$410</f>
        <v>4.8999162365835534E-2</v>
      </c>
      <c r="Q414" s="1541">
        <f t="shared" si="217"/>
        <v>6.2689046449800168E-2</v>
      </c>
      <c r="R414" s="1541">
        <f t="shared" si="217"/>
        <v>0.10197172539320365</v>
      </c>
      <c r="S414" s="1541">
        <f t="shared" si="217"/>
        <v>0.12867822738451179</v>
      </c>
      <c r="T414" s="1541">
        <f t="shared" si="217"/>
        <v>0.15705943133840333</v>
      </c>
      <c r="U414" s="1541">
        <f t="shared" si="217"/>
        <v>0.19673950700751569</v>
      </c>
      <c r="V414" s="1541">
        <f t="shared" si="217"/>
        <v>0.2332547139456364</v>
      </c>
      <c r="W414" s="1541">
        <f t="shared" si="217"/>
        <v>0.24861188070097756</v>
      </c>
      <c r="X414" s="1541">
        <f t="shared" si="217"/>
        <v>0.25534374714395142</v>
      </c>
      <c r="Y414" s="1541">
        <f t="shared" si="217"/>
        <v>0.262951089685867</v>
      </c>
      <c r="Z414" s="1541">
        <f t="shared" si="217"/>
        <v>0.25830327937830266</v>
      </c>
      <c r="AA414" s="1541">
        <f t="shared" si="217"/>
        <v>0.25088350176330432</v>
      </c>
      <c r="AB414" s="1541">
        <f t="shared" si="217"/>
        <v>0.2382194968202179</v>
      </c>
      <c r="AC414" s="1541">
        <f t="shared" si="217"/>
        <v>0.19736429502162242</v>
      </c>
    </row>
    <row r="415" spans="3:29">
      <c r="C415" s="914" t="s">
        <v>835</v>
      </c>
      <c r="O415" s="1541">
        <f t="shared" ref="O415:AC415" si="218">O408/O$410</f>
        <v>0.75740266570968029</v>
      </c>
      <c r="P415" s="1541">
        <f t="shared" si="218"/>
        <v>0.75231210105850643</v>
      </c>
      <c r="Q415" s="1541">
        <f t="shared" si="218"/>
        <v>0.7483683149730137</v>
      </c>
      <c r="R415" s="1541">
        <f t="shared" si="218"/>
        <v>0.75045080459946933</v>
      </c>
      <c r="S415" s="1541">
        <f t="shared" si="218"/>
        <v>0.73474929420004875</v>
      </c>
      <c r="T415" s="1541">
        <f t="shared" si="218"/>
        <v>0.72724423309717012</v>
      </c>
      <c r="U415" s="1541">
        <f t="shared" si="218"/>
        <v>0.71899826887702112</v>
      </c>
      <c r="V415" s="1541">
        <f t="shared" si="218"/>
        <v>0.70462624605526525</v>
      </c>
      <c r="W415" s="1541">
        <f t="shared" si="218"/>
        <v>0.69899552708873358</v>
      </c>
      <c r="X415" s="1541">
        <f t="shared" si="218"/>
        <v>0.6948166989180018</v>
      </c>
      <c r="Y415" s="1541">
        <f t="shared" si="218"/>
        <v>0.69475535986274961</v>
      </c>
      <c r="Z415" s="1541">
        <f t="shared" si="218"/>
        <v>0.69952477321147821</v>
      </c>
      <c r="AA415" s="1541">
        <f t="shared" si="218"/>
        <v>0.709176846598642</v>
      </c>
      <c r="AB415" s="1541">
        <f t="shared" si="218"/>
        <v>0.72276227939403326</v>
      </c>
      <c r="AC415" s="1541">
        <f t="shared" si="218"/>
        <v>0.76150873653850837</v>
      </c>
    </row>
    <row r="416" spans="3:29">
      <c r="C416" s="914" t="s">
        <v>836</v>
      </c>
      <c r="O416" s="1541">
        <f t="shared" ref="O416:AC416" si="219">O409/O$410</f>
        <v>0.20419130302808922</v>
      </c>
      <c r="P416" s="1541">
        <f t="shared" si="219"/>
        <v>0.19868873657565803</v>
      </c>
      <c r="Q416" s="1541">
        <f t="shared" si="219"/>
        <v>0.18894263857718618</v>
      </c>
      <c r="R416" s="1541">
        <f t="shared" si="219"/>
        <v>0.14757747000732713</v>
      </c>
      <c r="S416" s="1541">
        <f t="shared" si="219"/>
        <v>0.13657247841543943</v>
      </c>
      <c r="T416" s="1541">
        <f t="shared" si="219"/>
        <v>0.11569633556442654</v>
      </c>
      <c r="U416" s="1541">
        <f t="shared" si="219"/>
        <v>8.4262224115463288E-2</v>
      </c>
      <c r="V416" s="1541">
        <f t="shared" si="219"/>
        <v>6.2119039999098423E-2</v>
      </c>
      <c r="W416" s="1541">
        <f t="shared" si="219"/>
        <v>5.2392592210288927E-2</v>
      </c>
      <c r="X416" s="1541">
        <f t="shared" si="219"/>
        <v>4.9839553938046829E-2</v>
      </c>
      <c r="Y416" s="1541">
        <f t="shared" si="219"/>
        <v>4.2293550451383333E-2</v>
      </c>
      <c r="Z416" s="1541">
        <f t="shared" si="219"/>
        <v>4.2171947410219207E-2</v>
      </c>
      <c r="AA416" s="1541">
        <f t="shared" si="219"/>
        <v>3.9939651638053568E-2</v>
      </c>
      <c r="AB416" s="1541">
        <f t="shared" si="219"/>
        <v>3.9018223785748811E-2</v>
      </c>
      <c r="AC416" s="1541">
        <f t="shared" si="219"/>
        <v>4.1126968439869287E-2</v>
      </c>
    </row>
    <row r="421" spans="3:29">
      <c r="C421" s="914" t="s">
        <v>837</v>
      </c>
    </row>
    <row r="423" spans="3:29">
      <c r="C423" s="914" t="s">
        <v>831</v>
      </c>
      <c r="O423" s="957">
        <f>O51+O194+O333</f>
        <v>15357.07143770702</v>
      </c>
      <c r="P423" s="957">
        <f t="shared" ref="P423:AC423" si="220">P51+P194+P333</f>
        <v>20421.302395167164</v>
      </c>
      <c r="Q423" s="957">
        <f t="shared" si="220"/>
        <v>27190.483142834735</v>
      </c>
      <c r="R423" s="957">
        <f t="shared" si="220"/>
        <v>45105.898701547449</v>
      </c>
      <c r="S423" s="957">
        <f t="shared" si="220"/>
        <v>58612.38958745281</v>
      </c>
      <c r="T423" s="957">
        <f t="shared" si="220"/>
        <v>72312.898268865276</v>
      </c>
      <c r="U423" s="957">
        <f t="shared" si="220"/>
        <v>91173.004194493362</v>
      </c>
      <c r="V423" s="957">
        <f t="shared" si="220"/>
        <v>105643.04900881092</v>
      </c>
      <c r="W423" s="957">
        <f t="shared" si="220"/>
        <v>111638.55795580317</v>
      </c>
      <c r="X423" s="957">
        <f t="shared" si="220"/>
        <v>117294.81657149707</v>
      </c>
      <c r="Y423" s="957">
        <f t="shared" si="220"/>
        <v>122112.30839497237</v>
      </c>
      <c r="Z423" s="957">
        <f t="shared" si="220"/>
        <v>125174.12166030485</v>
      </c>
      <c r="AA423" s="957">
        <f t="shared" si="220"/>
        <v>127153.9794335037</v>
      </c>
      <c r="AB423" s="957">
        <f t="shared" si="220"/>
        <v>129835.55034238832</v>
      </c>
      <c r="AC423" s="957">
        <f t="shared" si="220"/>
        <v>131375.82652731761</v>
      </c>
    </row>
    <row r="424" spans="3:29">
      <c r="C424" s="914" t="s">
        <v>832</v>
      </c>
      <c r="O424" s="957">
        <f>O58+O201+O340</f>
        <v>285005.22749207466</v>
      </c>
      <c r="P424" s="957">
        <f t="shared" ref="P424:AC424" si="221">P58+P201+P340</f>
        <v>295059.66913681757</v>
      </c>
      <c r="Q424" s="957">
        <f t="shared" si="221"/>
        <v>305462.34073873132</v>
      </c>
      <c r="R424" s="957">
        <f t="shared" si="221"/>
        <v>315647.64786356757</v>
      </c>
      <c r="S424" s="957">
        <f t="shared" si="221"/>
        <v>323692.09896113462</v>
      </c>
      <c r="T424" s="957">
        <f t="shared" si="221"/>
        <v>335023.30360959645</v>
      </c>
      <c r="U424" s="957">
        <f t="shared" si="221"/>
        <v>342567.77510625595</v>
      </c>
      <c r="V424" s="957">
        <f t="shared" si="221"/>
        <v>349122.47525720933</v>
      </c>
      <c r="W424" s="957">
        <f t="shared" si="221"/>
        <v>360772.80032450263</v>
      </c>
      <c r="X424" s="957">
        <f t="shared" si="221"/>
        <v>370194.01255289867</v>
      </c>
      <c r="Y424" s="957">
        <f t="shared" si="221"/>
        <v>378530.23720435466</v>
      </c>
      <c r="Z424" s="957">
        <f t="shared" si="221"/>
        <v>383172.05702112545</v>
      </c>
      <c r="AA424" s="957">
        <f t="shared" si="221"/>
        <v>388022.68430703337</v>
      </c>
      <c r="AB424" s="957">
        <f t="shared" si="221"/>
        <v>392468.01931863959</v>
      </c>
      <c r="AC424" s="957">
        <f t="shared" si="221"/>
        <v>394290.32316723478</v>
      </c>
    </row>
    <row r="425" spans="3:29">
      <c r="C425" s="914" t="s">
        <v>833</v>
      </c>
      <c r="O425" s="957">
        <f>O61+O204+O343</f>
        <v>61468.586162838423</v>
      </c>
      <c r="P425" s="957">
        <f t="shared" ref="P425:AC425" si="222">P61+P204+P343</f>
        <v>62341.182913570345</v>
      </c>
      <c r="Q425" s="957">
        <f t="shared" si="222"/>
        <v>61696.744226506285</v>
      </c>
      <c r="R425" s="957">
        <f t="shared" si="222"/>
        <v>48115.208689708918</v>
      </c>
      <c r="S425" s="957">
        <f t="shared" si="222"/>
        <v>43981.33398459178</v>
      </c>
      <c r="T425" s="957">
        <f t="shared" si="222"/>
        <v>36679.31964977795</v>
      </c>
      <c r="U425" s="957">
        <f t="shared" si="222"/>
        <v>26322.885264920191</v>
      </c>
      <c r="V425" s="957">
        <f t="shared" si="222"/>
        <v>18686.192748679514</v>
      </c>
      <c r="W425" s="957">
        <f t="shared" si="222"/>
        <v>15549.775491548888</v>
      </c>
      <c r="X425" s="957">
        <f t="shared" si="222"/>
        <v>14417.864869534078</v>
      </c>
      <c r="Y425" s="957">
        <f t="shared" si="222"/>
        <v>11772.126422863252</v>
      </c>
      <c r="Z425" s="957">
        <f t="shared" si="222"/>
        <v>11578.329176943358</v>
      </c>
      <c r="AA425" s="957">
        <f t="shared" si="222"/>
        <v>10815.718233064172</v>
      </c>
      <c r="AB425" s="957">
        <f t="shared" si="222"/>
        <v>10415.161187278833</v>
      </c>
      <c r="AC425" s="957">
        <f t="shared" si="222"/>
        <v>10399.468197126405</v>
      </c>
    </row>
    <row r="426" spans="3:29">
      <c r="C426" s="914" t="s">
        <v>263</v>
      </c>
      <c r="O426" s="957">
        <f>SUM(O423:O425)</f>
        <v>361830.8850926201</v>
      </c>
      <c r="P426" s="957">
        <f t="shared" ref="P426:AC426" si="223">SUM(P423:P425)</f>
        <v>377822.15444555506</v>
      </c>
      <c r="Q426" s="957">
        <f t="shared" si="223"/>
        <v>394349.56810807233</v>
      </c>
      <c r="R426" s="957">
        <f t="shared" si="223"/>
        <v>408868.75525482395</v>
      </c>
      <c r="S426" s="957">
        <f t="shared" si="223"/>
        <v>426285.82253317919</v>
      </c>
      <c r="T426" s="957">
        <f t="shared" si="223"/>
        <v>444015.52152823971</v>
      </c>
      <c r="U426" s="957">
        <f t="shared" si="223"/>
        <v>460063.66456566949</v>
      </c>
      <c r="V426" s="957">
        <f t="shared" si="223"/>
        <v>473451.71701469977</v>
      </c>
      <c r="W426" s="957">
        <f t="shared" si="223"/>
        <v>487961.13377185469</v>
      </c>
      <c r="X426" s="957">
        <f t="shared" si="223"/>
        <v>501906.69399392983</v>
      </c>
      <c r="Y426" s="957">
        <f t="shared" si="223"/>
        <v>512414.67202219029</v>
      </c>
      <c r="Z426" s="957">
        <f t="shared" si="223"/>
        <v>519924.50785837363</v>
      </c>
      <c r="AA426" s="957">
        <f t="shared" si="223"/>
        <v>525992.3819736013</v>
      </c>
      <c r="AB426" s="957">
        <f t="shared" si="223"/>
        <v>532718.73084830679</v>
      </c>
      <c r="AC426" s="957">
        <f t="shared" si="223"/>
        <v>536065.61789167882</v>
      </c>
    </row>
    <row r="429" spans="3:29">
      <c r="C429" s="914" t="s">
        <v>834</v>
      </c>
      <c r="O429" s="1540">
        <f>O423/O$426</f>
        <v>4.2442677146744878E-2</v>
      </c>
      <c r="P429" s="1540">
        <f t="shared" ref="P429:AC429" si="224">P423/P$426</f>
        <v>5.4050039561959869E-2</v>
      </c>
      <c r="Q429" s="1540">
        <f t="shared" si="224"/>
        <v>6.895020393526366E-2</v>
      </c>
      <c r="R429" s="1540">
        <f t="shared" si="224"/>
        <v>0.11031877129724814</v>
      </c>
      <c r="S429" s="1540">
        <f t="shared" si="224"/>
        <v>0.13749551706681687</v>
      </c>
      <c r="T429" s="1540">
        <f t="shared" si="224"/>
        <v>0.16286119462665252</v>
      </c>
      <c r="U429" s="1540">
        <f t="shared" si="224"/>
        <v>0.19817475540166099</v>
      </c>
      <c r="V429" s="1540">
        <f t="shared" si="224"/>
        <v>0.22313373299168099</v>
      </c>
      <c r="W429" s="1540">
        <f t="shared" si="224"/>
        <v>0.22878575818704358</v>
      </c>
      <c r="X429" s="1540">
        <f t="shared" si="224"/>
        <v>0.23369845027991529</v>
      </c>
      <c r="Y429" s="1540">
        <f t="shared" si="224"/>
        <v>0.23830759551257394</v>
      </c>
      <c r="Z429" s="1540">
        <f t="shared" si="224"/>
        <v>0.24075441678237261</v>
      </c>
      <c r="AA429" s="1540">
        <f t="shared" si="224"/>
        <v>0.24174110460764306</v>
      </c>
      <c r="AB429" s="1540">
        <f t="shared" si="224"/>
        <v>0.24372251776399312</v>
      </c>
      <c r="AC429" s="1540">
        <f t="shared" si="224"/>
        <v>0.24507415163839949</v>
      </c>
    </row>
    <row r="430" spans="3:29">
      <c r="C430" s="914" t="s">
        <v>835</v>
      </c>
      <c r="O430" s="1540">
        <f>O424/O$426</f>
        <v>0.78767523512847748</v>
      </c>
      <c r="P430" s="1540">
        <f t="shared" ref="P430:AC430" si="225">P424/P$426</f>
        <v>0.78094856446364436</v>
      </c>
      <c r="Q430" s="1540">
        <f t="shared" si="225"/>
        <v>0.77459788330494306</v>
      </c>
      <c r="R430" s="1540">
        <f t="shared" si="225"/>
        <v>0.7720023694812358</v>
      </c>
      <c r="S430" s="1540">
        <f t="shared" si="225"/>
        <v>0.75933113852488165</v>
      </c>
      <c r="T430" s="1540">
        <f t="shared" si="225"/>
        <v>0.75453061293103629</v>
      </c>
      <c r="U430" s="1540">
        <f t="shared" si="225"/>
        <v>0.74460949970839918</v>
      </c>
      <c r="V430" s="1540">
        <f t="shared" si="225"/>
        <v>0.73739826620244309</v>
      </c>
      <c r="W430" s="1540">
        <f t="shared" si="225"/>
        <v>0.7393474097737901</v>
      </c>
      <c r="X430" s="1540">
        <f t="shared" si="225"/>
        <v>0.73757536407230284</v>
      </c>
      <c r="Y430" s="1540">
        <f t="shared" si="225"/>
        <v>0.73871857671546592</v>
      </c>
      <c r="Z430" s="1540">
        <f t="shared" si="225"/>
        <v>0.73697633258230777</v>
      </c>
      <c r="AA430" s="1540">
        <f t="shared" si="225"/>
        <v>0.73769639562290767</v>
      </c>
      <c r="AB430" s="1540">
        <f t="shared" si="225"/>
        <v>0.73672652488428458</v>
      </c>
      <c r="AC430" s="1540">
        <f t="shared" si="225"/>
        <v>0.73552623038567611</v>
      </c>
    </row>
    <row r="431" spans="3:29">
      <c r="C431" s="914" t="s">
        <v>836</v>
      </c>
      <c r="O431" s="1540">
        <f>O425/O$426</f>
        <v>0.16988208772477764</v>
      </c>
      <c r="P431" s="1540">
        <f t="shared" ref="P431:AC431" si="226">P425/P$426</f>
        <v>0.16500139597439575</v>
      </c>
      <c r="Q431" s="1540">
        <f t="shared" si="226"/>
        <v>0.15645191275979325</v>
      </c>
      <c r="R431" s="1540">
        <f t="shared" si="226"/>
        <v>0.11767885922151602</v>
      </c>
      <c r="S431" s="1540">
        <f t="shared" si="226"/>
        <v>0.10317334440830148</v>
      </c>
      <c r="T431" s="1540">
        <f t="shared" si="226"/>
        <v>8.2608192442311087E-2</v>
      </c>
      <c r="U431" s="1540">
        <f t="shared" si="226"/>
        <v>5.7215744889939815E-2</v>
      </c>
      <c r="V431" s="1540">
        <f t="shared" si="226"/>
        <v>3.9468000805875932E-2</v>
      </c>
      <c r="W431" s="1540">
        <f t="shared" si="226"/>
        <v>3.1866832039166376E-2</v>
      </c>
      <c r="X431" s="1540">
        <f t="shared" si="226"/>
        <v>2.8726185647781878E-2</v>
      </c>
      <c r="Y431" s="1540">
        <f t="shared" si="226"/>
        <v>2.2973827771960158E-2</v>
      </c>
      <c r="Z431" s="1540">
        <f t="shared" si="226"/>
        <v>2.226925063531968E-2</v>
      </c>
      <c r="AA431" s="1540">
        <f t="shared" si="226"/>
        <v>2.0562499769449124E-2</v>
      </c>
      <c r="AB431" s="1540">
        <f t="shared" si="226"/>
        <v>1.9550957351722218E-2</v>
      </c>
      <c r="AC431" s="1540">
        <f t="shared" si="226"/>
        <v>1.9399617975924349E-2</v>
      </c>
    </row>
  </sheetData>
  <pageMargins left="0.75" right="0.75" top="1" bottom="1" header="0.5" footer="0.5"/>
  <pageSetup scale="22"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R38"/>
  <sheetViews>
    <sheetView showGridLines="0" zoomScale="85" zoomScaleNormal="85" workbookViewId="0"/>
  </sheetViews>
  <sheetFormatPr defaultRowHeight="12.75" outlineLevelCol="1"/>
  <cols>
    <col min="1" max="1" width="3.7109375" style="1150" customWidth="1"/>
    <col min="2" max="2" width="28.140625" style="1150" bestFit="1" customWidth="1"/>
    <col min="3" max="3" width="17" style="1150" hidden="1" customWidth="1" outlineLevel="1"/>
    <col min="4" max="4" width="12.7109375" style="1150" hidden="1" customWidth="1" outlineLevel="1"/>
    <col min="5" max="5" width="13.85546875" style="1150" bestFit="1" customWidth="1" collapsed="1"/>
    <col min="6" max="17" width="14.85546875" style="1150" bestFit="1" customWidth="1"/>
    <col min="18" max="18" width="16.42578125" style="1150" bestFit="1" customWidth="1"/>
    <col min="19" max="16384" width="9.140625" style="1150"/>
  </cols>
  <sheetData>
    <row r="2" spans="2:18" ht="13.5" thickBot="1">
      <c r="C2" s="1535">
        <v>2015</v>
      </c>
      <c r="D2" s="1536">
        <f>C2+1</f>
        <v>2016</v>
      </c>
      <c r="E2" s="1536">
        <f t="shared" ref="E2:M2" si="0">D2+1</f>
        <v>2017</v>
      </c>
      <c r="F2" s="1536">
        <f t="shared" si="0"/>
        <v>2018</v>
      </c>
      <c r="G2" s="1536">
        <f t="shared" si="0"/>
        <v>2019</v>
      </c>
      <c r="H2" s="1536">
        <f t="shared" si="0"/>
        <v>2020</v>
      </c>
      <c r="I2" s="1536">
        <f t="shared" si="0"/>
        <v>2021</v>
      </c>
      <c r="J2" s="1536">
        <f t="shared" si="0"/>
        <v>2022</v>
      </c>
      <c r="K2" s="1536">
        <f t="shared" si="0"/>
        <v>2023</v>
      </c>
      <c r="L2" s="1536">
        <f t="shared" si="0"/>
        <v>2024</v>
      </c>
      <c r="M2" s="1536">
        <f t="shared" si="0"/>
        <v>2025</v>
      </c>
      <c r="N2" s="1536">
        <f>M2+1</f>
        <v>2026</v>
      </c>
      <c r="O2" s="1536">
        <f>N2+1</f>
        <v>2027</v>
      </c>
      <c r="P2" s="1536">
        <f>O2+1</f>
        <v>2028</v>
      </c>
      <c r="Q2" s="1536">
        <f>P2+1</f>
        <v>2029</v>
      </c>
      <c r="R2" s="1537">
        <f>Q2+1</f>
        <v>2030</v>
      </c>
    </row>
    <row r="3" spans="2:18" ht="13.5" thickBot="1">
      <c r="B3" s="1151" t="s">
        <v>569</v>
      </c>
      <c r="C3" s="1152">
        <f>C19</f>
        <v>0</v>
      </c>
      <c r="D3" s="1152">
        <f t="shared" ref="D3:R3" si="1">D19</f>
        <v>0</v>
      </c>
      <c r="E3" s="1152">
        <f t="shared" si="1"/>
        <v>46333374.175091773</v>
      </c>
      <c r="F3" s="1152">
        <f t="shared" si="1"/>
        <v>121413074.6173619</v>
      </c>
      <c r="G3" s="1152">
        <f t="shared" si="1"/>
        <v>235526644.52869952</v>
      </c>
      <c r="H3" s="1152">
        <f t="shared" si="1"/>
        <v>296874502.9539718</v>
      </c>
      <c r="I3" s="1152">
        <f t="shared" si="1"/>
        <v>322756551.32198203</v>
      </c>
      <c r="J3" s="1152">
        <f t="shared" si="1"/>
        <v>362071675.87010801</v>
      </c>
      <c r="K3" s="1152">
        <f t="shared" si="1"/>
        <v>390006257.14037991</v>
      </c>
      <c r="L3" s="1152">
        <f t="shared" si="1"/>
        <v>406036616.500157</v>
      </c>
      <c r="M3" s="1152">
        <f t="shared" si="1"/>
        <v>409857960.99908298</v>
      </c>
      <c r="N3" s="1152">
        <f t="shared" si="1"/>
        <v>407510602.13135517</v>
      </c>
      <c r="O3" s="1152">
        <f t="shared" si="1"/>
        <v>377336303.30142319</v>
      </c>
      <c r="P3" s="1152">
        <f t="shared" si="1"/>
        <v>354317638.09427816</v>
      </c>
      <c r="Q3" s="1152">
        <f t="shared" si="1"/>
        <v>330917041.11400259</v>
      </c>
      <c r="R3" s="1152">
        <f t="shared" si="1"/>
        <v>63989708.558685131</v>
      </c>
    </row>
    <row r="6" spans="2:18">
      <c r="B6" s="1153" t="s">
        <v>570</v>
      </c>
      <c r="C6" s="1154">
        <v>2212691.3547650813</v>
      </c>
      <c r="D6" s="1154">
        <v>2228791.3836941551</v>
      </c>
      <c r="E6" s="1154">
        <v>2244884.1344920779</v>
      </c>
      <c r="F6" s="1154">
        <v>2261270.5797514636</v>
      </c>
      <c r="G6" s="1154">
        <v>2278635.2195894755</v>
      </c>
      <c r="H6" s="1154">
        <v>2295643.8080042321</v>
      </c>
      <c r="I6" s="1154">
        <v>2312536.3863666654</v>
      </c>
      <c r="J6" s="1154">
        <v>2329507.485581689</v>
      </c>
      <c r="K6" s="1154">
        <v>2345835.7405721098</v>
      </c>
      <c r="L6" s="1154">
        <v>2361651.6624769433</v>
      </c>
      <c r="M6" s="1154">
        <v>2377256.061907236</v>
      </c>
      <c r="N6" s="1154">
        <v>2392642.6520510195</v>
      </c>
      <c r="O6" s="1154">
        <v>2407486.5190755222</v>
      </c>
      <c r="P6" s="1154">
        <v>2422095.5353526329</v>
      </c>
      <c r="Q6" s="1154">
        <v>2436140.3926701923</v>
      </c>
      <c r="R6" s="1154">
        <v>2449608.3631509668</v>
      </c>
    </row>
    <row r="7" spans="2:18">
      <c r="B7" s="1153" t="s">
        <v>571</v>
      </c>
      <c r="C7" s="1154">
        <f>C6*C8</f>
        <v>1635178.9111713951</v>
      </c>
      <c r="D7" s="1154">
        <f t="shared" ref="D7:M7" si="2">D6*D8</f>
        <v>1637495.6141843593</v>
      </c>
      <c r="E7" s="1154">
        <f t="shared" si="2"/>
        <v>1643574.5689175148</v>
      </c>
      <c r="F7" s="1154">
        <f t="shared" si="2"/>
        <v>1651792.7352426264</v>
      </c>
      <c r="G7" s="1154">
        <f t="shared" si="2"/>
        <v>1661517.5250943718</v>
      </c>
      <c r="H7" s="1154">
        <f t="shared" si="2"/>
        <v>1670716.1754539569</v>
      </c>
      <c r="I7" s="1154">
        <f t="shared" si="2"/>
        <v>1677101.8710473611</v>
      </c>
      <c r="J7" s="1154">
        <f t="shared" si="2"/>
        <v>1688508.3808496748</v>
      </c>
      <c r="K7" s="1154">
        <f t="shared" si="2"/>
        <v>1700343.6703117697</v>
      </c>
      <c r="L7" s="1154">
        <f t="shared" si="2"/>
        <v>1711807.6028608023</v>
      </c>
      <c r="M7" s="1154">
        <f t="shared" si="2"/>
        <v>1723118.2165331151</v>
      </c>
      <c r="N7" s="1154">
        <f>N6*N8</f>
        <v>1734270.9544278337</v>
      </c>
      <c r="O7" s="1154">
        <f>O6*O8</f>
        <v>1745030.307651733</v>
      </c>
      <c r="P7" s="1154">
        <f>P6*P8</f>
        <v>1755619.4328520373</v>
      </c>
      <c r="Q7" s="1154">
        <f>Q6*Q8</f>
        <v>1765799.635935873</v>
      </c>
      <c r="R7" s="1154">
        <f>R6*R8</f>
        <v>1775561.6912933148</v>
      </c>
    </row>
    <row r="8" spans="2:18" ht="15">
      <c r="B8" s="1155" t="s">
        <v>572</v>
      </c>
      <c r="C8" s="1156">
        <v>0.73899999999999999</v>
      </c>
      <c r="D8" s="1157">
        <v>0.73470115963489557</v>
      </c>
      <c r="E8" s="1157">
        <v>0.73214227124883935</v>
      </c>
      <c r="F8" s="1157">
        <v>0.73047106791800875</v>
      </c>
      <c r="G8" s="1157">
        <v>0.72917223029393652</v>
      </c>
      <c r="H8" s="1157">
        <v>0.72777674377386548</v>
      </c>
      <c r="I8" s="1157">
        <v>0.7252218304259137</v>
      </c>
      <c r="J8" s="1157">
        <v>0.72483492381997916</v>
      </c>
      <c r="K8" s="1157">
        <f t="shared" ref="K8:R8" si="3">J8</f>
        <v>0.72483492381997916</v>
      </c>
      <c r="L8" s="1157">
        <f t="shared" si="3"/>
        <v>0.72483492381997916</v>
      </c>
      <c r="M8" s="1157">
        <f t="shared" si="3"/>
        <v>0.72483492381997916</v>
      </c>
      <c r="N8" s="1157">
        <f t="shared" si="3"/>
        <v>0.72483492381997916</v>
      </c>
      <c r="O8" s="1157">
        <f t="shared" si="3"/>
        <v>0.72483492381997916</v>
      </c>
      <c r="P8" s="1157">
        <f t="shared" si="3"/>
        <v>0.72483492381997916</v>
      </c>
      <c r="Q8" s="1157">
        <f t="shared" si="3"/>
        <v>0.72483492381997916</v>
      </c>
      <c r="R8" s="1157">
        <f t="shared" si="3"/>
        <v>0.72483492381997916</v>
      </c>
    </row>
    <row r="10" spans="2:18">
      <c r="B10" s="1153" t="s">
        <v>573</v>
      </c>
      <c r="C10" s="1154">
        <f>C7*C11</f>
        <v>1430781.5472749698</v>
      </c>
      <c r="D10" s="1154">
        <f t="shared" ref="D10:R10" si="4">D7*D11</f>
        <v>1436902.4014467744</v>
      </c>
      <c r="E10" s="1154">
        <f t="shared" si="4"/>
        <v>1446345.6206474118</v>
      </c>
      <c r="F10" s="1154">
        <f t="shared" si="4"/>
        <v>1457707.0888516167</v>
      </c>
      <c r="G10" s="1154">
        <f t="shared" si="4"/>
        <v>1470443.0097085177</v>
      </c>
      <c r="H10" s="1154">
        <f t="shared" si="4"/>
        <v>1482760.6057153854</v>
      </c>
      <c r="I10" s="1154">
        <f t="shared" si="4"/>
        <v>1492620.6652321499</v>
      </c>
      <c r="J10" s="1154">
        <f t="shared" si="4"/>
        <v>1506993.7299083332</v>
      </c>
      <c r="K10" s="1154">
        <f t="shared" si="4"/>
        <v>1521807.5849290323</v>
      </c>
      <c r="L10" s="1154">
        <f t="shared" si="4"/>
        <v>1536347.3235675683</v>
      </c>
      <c r="M10" s="1154">
        <f t="shared" si="4"/>
        <v>1550806.3948798038</v>
      </c>
      <c r="N10" s="1154">
        <f t="shared" si="4"/>
        <v>1560843.8589850503</v>
      </c>
      <c r="O10" s="1154">
        <f t="shared" si="4"/>
        <v>1570527.2768865598</v>
      </c>
      <c r="P10" s="1154">
        <f t="shared" si="4"/>
        <v>1580057.4895668335</v>
      </c>
      <c r="Q10" s="1154">
        <f t="shared" si="4"/>
        <v>1589219.6723422857</v>
      </c>
      <c r="R10" s="1154">
        <f t="shared" si="4"/>
        <v>1598005.5221639834</v>
      </c>
    </row>
    <row r="11" spans="2:18">
      <c r="B11" s="1153" t="s">
        <v>574</v>
      </c>
      <c r="C11" s="1158">
        <v>0.87499999999999944</v>
      </c>
      <c r="D11" s="1158">
        <v>0.87749999999999939</v>
      </c>
      <c r="E11" s="1158">
        <v>0.87999999999999934</v>
      </c>
      <c r="F11" s="1158">
        <v>0.88249999999999929</v>
      </c>
      <c r="G11" s="1158">
        <v>0.88499999999999923</v>
      </c>
      <c r="H11" s="1158">
        <v>0.88749999999999918</v>
      </c>
      <c r="I11" s="1158">
        <v>0.88999999999999913</v>
      </c>
      <c r="J11" s="1158">
        <v>0.89249999999999907</v>
      </c>
      <c r="K11" s="1158">
        <v>0.89499999999999902</v>
      </c>
      <c r="L11" s="1158">
        <v>0.89749999999999897</v>
      </c>
      <c r="M11" s="1158">
        <v>0.9</v>
      </c>
      <c r="N11" s="1158">
        <v>0.9</v>
      </c>
      <c r="O11" s="1158">
        <v>0.9</v>
      </c>
      <c r="P11" s="1158">
        <v>0.9</v>
      </c>
      <c r="Q11" s="1158">
        <v>0.9</v>
      </c>
      <c r="R11" s="1158">
        <v>0.9</v>
      </c>
    </row>
    <row r="13" spans="2:18">
      <c r="B13" s="1153" t="s">
        <v>575</v>
      </c>
      <c r="C13" s="1159">
        <v>0</v>
      </c>
      <c r="D13" s="1159">
        <v>6160.536000000001</v>
      </c>
      <c r="E13" s="1159">
        <v>32034.787200000006</v>
      </c>
      <c r="F13" s="1159">
        <v>33316.178688000007</v>
      </c>
      <c r="G13" s="1159">
        <v>34648.825835520009</v>
      </c>
      <c r="H13" s="1159">
        <v>35341.802352230407</v>
      </c>
      <c r="I13" s="1159">
        <v>36048.638399275012</v>
      </c>
      <c r="J13" s="1159">
        <v>36769.611167260518</v>
      </c>
      <c r="K13" s="1159">
        <v>37505.003390605722</v>
      </c>
      <c r="L13" s="1159">
        <v>38255.103458417834</v>
      </c>
      <c r="M13" s="1159">
        <v>39020.205527586193</v>
      </c>
      <c r="N13" s="1159">
        <v>39800.609638137917</v>
      </c>
      <c r="O13" s="1159">
        <v>40397.618782709986</v>
      </c>
      <c r="P13" s="1159">
        <v>41003.583064450628</v>
      </c>
      <c r="Q13" s="1159">
        <v>41618.636810417382</v>
      </c>
      <c r="R13" s="1159">
        <v>42242.916362573633</v>
      </c>
    </row>
    <row r="14" spans="2:18">
      <c r="B14" s="1153" t="s">
        <v>576</v>
      </c>
      <c r="C14" s="1159">
        <f>C13*(1-C15)</f>
        <v>0</v>
      </c>
      <c r="D14" s="1159">
        <f>D13*(1-D15)</f>
        <v>3696.3216000000002</v>
      </c>
      <c r="E14" s="1159">
        <f>E13*(1-E15)</f>
        <v>16017.393600000003</v>
      </c>
      <c r="F14" s="1159">
        <f>E14</f>
        <v>16017.393600000003</v>
      </c>
      <c r="G14" s="1159">
        <f t="shared" ref="G14:M14" si="5">F14</f>
        <v>16017.393600000003</v>
      </c>
      <c r="H14" s="1159">
        <f t="shared" si="5"/>
        <v>16017.393600000003</v>
      </c>
      <c r="I14" s="1159">
        <f t="shared" si="5"/>
        <v>16017.393600000003</v>
      </c>
      <c r="J14" s="1159">
        <f t="shared" si="5"/>
        <v>16017.393600000003</v>
      </c>
      <c r="K14" s="1159">
        <f t="shared" si="5"/>
        <v>16017.393600000003</v>
      </c>
      <c r="L14" s="1159">
        <f t="shared" si="5"/>
        <v>16017.393600000003</v>
      </c>
      <c r="M14" s="1159">
        <f t="shared" si="5"/>
        <v>16017.393600000003</v>
      </c>
      <c r="N14" s="1159">
        <f>M14</f>
        <v>16017.393600000003</v>
      </c>
      <c r="O14" s="1159">
        <f>N14</f>
        <v>16017.393600000003</v>
      </c>
      <c r="P14" s="1159">
        <f>O14</f>
        <v>16017.393600000003</v>
      </c>
      <c r="Q14" s="1159">
        <f>P14</f>
        <v>16017.393600000003</v>
      </c>
      <c r="R14" s="1159">
        <f>Q14</f>
        <v>16017.393600000003</v>
      </c>
    </row>
    <row r="15" spans="2:18">
      <c r="B15" s="1155" t="s">
        <v>577</v>
      </c>
      <c r="C15" s="1160">
        <v>0.33</v>
      </c>
      <c r="D15" s="1161">
        <v>0.4</v>
      </c>
      <c r="E15" s="1161">
        <v>0.5</v>
      </c>
      <c r="F15" s="1161">
        <f>1-(F14/F13)</f>
        <v>0.51923076923076916</v>
      </c>
      <c r="G15" s="1161">
        <f t="shared" ref="G15:R15" si="6">1-(G14/G13)</f>
        <v>0.53772189349112431</v>
      </c>
      <c r="H15" s="1161">
        <f t="shared" si="6"/>
        <v>0.5467861700893375</v>
      </c>
      <c r="I15" s="1161">
        <f t="shared" si="6"/>
        <v>0.55567271577386035</v>
      </c>
      <c r="J15" s="1161">
        <f t="shared" si="6"/>
        <v>0.56438501546456898</v>
      </c>
      <c r="K15" s="1161">
        <f t="shared" si="6"/>
        <v>0.57292648574957727</v>
      </c>
      <c r="L15" s="1161">
        <f t="shared" si="6"/>
        <v>0.58130047622507575</v>
      </c>
      <c r="M15" s="1161">
        <f t="shared" si="6"/>
        <v>0.58951027080889784</v>
      </c>
      <c r="N15" s="1161">
        <f t="shared" si="6"/>
        <v>0.59755908902833133</v>
      </c>
      <c r="O15" s="1161">
        <f t="shared" si="6"/>
        <v>0.60350649165352832</v>
      </c>
      <c r="P15" s="1161">
        <f t="shared" si="6"/>
        <v>0.60936600162909182</v>
      </c>
      <c r="Q15" s="1161">
        <f t="shared" si="6"/>
        <v>0.61513891786117414</v>
      </c>
      <c r="R15" s="1161">
        <f t="shared" si="6"/>
        <v>0.62082652006027006</v>
      </c>
    </row>
    <row r="17" spans="2:18">
      <c r="B17" s="1546" t="s">
        <v>866</v>
      </c>
      <c r="E17" s="1156">
        <v>2E-3</v>
      </c>
      <c r="F17" s="1156">
        <v>5.1999999999999998E-3</v>
      </c>
      <c r="G17" s="1156">
        <v>0.01</v>
      </c>
      <c r="H17" s="1156">
        <v>1.2500000000000001E-2</v>
      </c>
      <c r="I17" s="1156">
        <v>1.35E-2</v>
      </c>
      <c r="J17" s="1156">
        <v>1.4999999999999999E-2</v>
      </c>
      <c r="K17" s="1156">
        <v>1.6E-2</v>
      </c>
      <c r="L17" s="1156">
        <v>1.6500000000000001E-2</v>
      </c>
      <c r="M17" s="1156">
        <v>1.6500000000000001E-2</v>
      </c>
      <c r="N17" s="1156">
        <v>1.6299999999999999E-2</v>
      </c>
      <c r="O17" s="1156">
        <v>1.4999999999999999E-2</v>
      </c>
      <c r="P17" s="1156">
        <v>1.4E-2</v>
      </c>
      <c r="Q17" s="1156">
        <v>1.2999999999999999E-2</v>
      </c>
      <c r="R17" s="1156">
        <v>2.5000000000000001E-3</v>
      </c>
    </row>
    <row r="19" spans="2:18">
      <c r="B19" s="1546" t="s">
        <v>867</v>
      </c>
      <c r="E19" s="1159">
        <f t="shared" ref="E19:R19" si="7">E17*E10*E14</f>
        <v>46333374.175091773</v>
      </c>
      <c r="F19" s="1159">
        <f t="shared" si="7"/>
        <v>121413074.6173619</v>
      </c>
      <c r="G19" s="1159">
        <f t="shared" si="7"/>
        <v>235526644.52869952</v>
      </c>
      <c r="H19" s="1159">
        <f t="shared" si="7"/>
        <v>296874502.9539718</v>
      </c>
      <c r="I19" s="1159">
        <f t="shared" si="7"/>
        <v>322756551.32198203</v>
      </c>
      <c r="J19" s="1159">
        <f t="shared" si="7"/>
        <v>362071675.87010801</v>
      </c>
      <c r="K19" s="1159">
        <f t="shared" si="7"/>
        <v>390006257.14037991</v>
      </c>
      <c r="L19" s="1159">
        <f t="shared" si="7"/>
        <v>406036616.500157</v>
      </c>
      <c r="M19" s="1159">
        <f t="shared" si="7"/>
        <v>409857960.99908298</v>
      </c>
      <c r="N19" s="1159">
        <f t="shared" si="7"/>
        <v>407510602.13135517</v>
      </c>
      <c r="O19" s="1159">
        <f t="shared" si="7"/>
        <v>377336303.30142319</v>
      </c>
      <c r="P19" s="1159">
        <f t="shared" si="7"/>
        <v>354317638.09427816</v>
      </c>
      <c r="Q19" s="1159">
        <f t="shared" si="7"/>
        <v>330917041.11400259</v>
      </c>
      <c r="R19" s="1159">
        <f t="shared" si="7"/>
        <v>63989708.558685131</v>
      </c>
    </row>
    <row r="20" spans="2:18">
      <c r="B20" s="1546"/>
      <c r="E20" s="1159"/>
      <c r="F20" s="1159"/>
      <c r="G20" s="1159"/>
      <c r="H20" s="1159"/>
      <c r="I20" s="1159"/>
      <c r="J20" s="1159"/>
      <c r="K20" s="1159"/>
      <c r="L20" s="1159"/>
      <c r="M20" s="1159"/>
      <c r="N20" s="1159"/>
      <c r="O20" s="1159"/>
      <c r="P20" s="1159"/>
      <c r="Q20" s="1159"/>
      <c r="R20" s="1159"/>
    </row>
    <row r="21" spans="2:18">
      <c r="B21" s="1546" t="s">
        <v>868</v>
      </c>
      <c r="C21" s="1159">
        <v>0</v>
      </c>
      <c r="D21" s="1159">
        <v>0</v>
      </c>
      <c r="E21" s="1159">
        <f>'RA - US'!P6</f>
        <v>0</v>
      </c>
      <c r="F21" s="1159">
        <f>'RA - US'!Q6</f>
        <v>0</v>
      </c>
      <c r="G21" s="1159">
        <f>'RA - US'!R6</f>
        <v>156286642.82645258</v>
      </c>
      <c r="H21" s="1159">
        <f>'RA - US'!S6</f>
        <v>414293497.63833702</v>
      </c>
      <c r="I21" s="1159">
        <f>'RA - US'!T6</f>
        <v>651695380.324471</v>
      </c>
      <c r="J21" s="1159">
        <f>'RA - US'!U6</f>
        <v>1005718773.9547598</v>
      </c>
      <c r="K21" s="1159">
        <f>'RA - US'!V6</f>
        <v>1307507160.7188954</v>
      </c>
      <c r="L21" s="1159">
        <f>'RA - US'!W6</f>
        <v>1409345712.9007828</v>
      </c>
      <c r="M21" s="1159">
        <f>'RA - US'!X6</f>
        <v>1382214090.6819823</v>
      </c>
      <c r="N21" s="1159">
        <f>'RA - US'!Y6</f>
        <v>1404581708.0292196</v>
      </c>
      <c r="O21" s="1159">
        <f>'RA - US'!Z6</f>
        <v>1370375577.4875538</v>
      </c>
      <c r="P21" s="1159">
        <f>'RA - US'!AA6</f>
        <v>1360793645.753727</v>
      </c>
      <c r="Q21" s="1159">
        <f>'RA - US'!AB6</f>
        <v>1188787295.2517147</v>
      </c>
      <c r="R21" s="1159">
        <f>'RA - US'!AC6</f>
        <v>271935204.55081558</v>
      </c>
    </row>
    <row r="22" spans="2:18">
      <c r="B22" s="1546"/>
      <c r="E22" s="1159"/>
      <c r="F22" s="1159"/>
      <c r="G22" s="1159"/>
      <c r="H22" s="1159"/>
      <c r="I22" s="1159"/>
      <c r="J22" s="1159"/>
      <c r="K22" s="1159"/>
      <c r="L22" s="1159"/>
      <c r="M22" s="1159"/>
      <c r="N22" s="1159"/>
      <c r="O22" s="1159"/>
      <c r="P22" s="1159"/>
      <c r="Q22" s="1159"/>
      <c r="R22" s="1159"/>
    </row>
    <row r="23" spans="2:18" ht="13.5" thickBot="1">
      <c r="B23" s="1538" t="s">
        <v>578</v>
      </c>
      <c r="C23" s="1539">
        <f t="shared" ref="C23:D23" si="8">C21+C19</f>
        <v>0</v>
      </c>
      <c r="D23" s="1539">
        <f t="shared" si="8"/>
        <v>0</v>
      </c>
      <c r="E23" s="1539">
        <f t="shared" ref="E23:R23" si="9">E21+E19</f>
        <v>46333374.175091773</v>
      </c>
      <c r="F23" s="1539">
        <f t="shared" si="9"/>
        <v>121413074.6173619</v>
      </c>
      <c r="G23" s="1539">
        <f t="shared" si="9"/>
        <v>391813287.35515213</v>
      </c>
      <c r="H23" s="1539">
        <f t="shared" si="9"/>
        <v>711168000.59230876</v>
      </c>
      <c r="I23" s="1539">
        <f t="shared" si="9"/>
        <v>974451931.64645302</v>
      </c>
      <c r="J23" s="1539">
        <f t="shared" si="9"/>
        <v>1367790449.8248677</v>
      </c>
      <c r="K23" s="1539">
        <f t="shared" si="9"/>
        <v>1697513417.8592753</v>
      </c>
      <c r="L23" s="1539">
        <f t="shared" si="9"/>
        <v>1815382329.4009399</v>
      </c>
      <c r="M23" s="1539">
        <f t="shared" si="9"/>
        <v>1792072051.6810653</v>
      </c>
      <c r="N23" s="1539">
        <f t="shared" si="9"/>
        <v>1812092310.1605749</v>
      </c>
      <c r="O23" s="1539">
        <f t="shared" si="9"/>
        <v>1747711880.7889771</v>
      </c>
      <c r="P23" s="1539">
        <f t="shared" si="9"/>
        <v>1715111283.8480051</v>
      </c>
      <c r="Q23" s="1539">
        <f t="shared" si="9"/>
        <v>1519704336.3657174</v>
      </c>
      <c r="R23" s="1539">
        <f t="shared" si="9"/>
        <v>335924913.10950071</v>
      </c>
    </row>
    <row r="26" spans="2:18">
      <c r="D26" s="1162"/>
      <c r="E26" s="1162"/>
      <c r="F26" s="1162"/>
      <c r="G26" s="1162"/>
      <c r="H26" s="1162"/>
      <c r="I26" s="1162"/>
      <c r="J26" s="1162"/>
      <c r="K26" s="1162"/>
      <c r="L26" s="1162"/>
      <c r="M26" s="1162"/>
      <c r="N26" s="1162"/>
      <c r="O26" s="1162"/>
      <c r="P26" s="1162"/>
      <c r="Q26" s="1162"/>
      <c r="R26" s="1162"/>
    </row>
    <row r="29" spans="2:18">
      <c r="D29" s="1159"/>
      <c r="E29" s="1159"/>
      <c r="F29" s="1159"/>
      <c r="G29" s="1159"/>
      <c r="H29" s="1159"/>
      <c r="I29" s="1159"/>
      <c r="J29" s="1159"/>
      <c r="K29" s="1159"/>
      <c r="L29" s="1159"/>
      <c r="M29" s="1159"/>
      <c r="N29" s="1159"/>
      <c r="O29" s="1159"/>
      <c r="P29" s="1159"/>
      <c r="Q29" s="1159"/>
      <c r="R29" s="1159"/>
    </row>
    <row r="31" spans="2:18">
      <c r="D31" s="1159"/>
      <c r="E31" s="1159"/>
      <c r="F31" s="1159"/>
      <c r="G31" s="1159"/>
      <c r="H31" s="1159"/>
      <c r="I31" s="1159"/>
      <c r="J31" s="1159"/>
      <c r="K31" s="1159"/>
      <c r="L31" s="1159"/>
      <c r="M31" s="1159"/>
      <c r="N31" s="1159"/>
      <c r="O31" s="1159"/>
      <c r="P31" s="1159"/>
      <c r="Q31" s="1159"/>
      <c r="R31" s="1159"/>
    </row>
    <row r="33" spans="2:9">
      <c r="B33" s="1153"/>
      <c r="C33" s="1163"/>
    </row>
    <row r="35" spans="2:9">
      <c r="B35" s="1153"/>
      <c r="C35" s="1164"/>
    </row>
    <row r="36" spans="2:9">
      <c r="B36" s="1153"/>
      <c r="C36" s="1158"/>
    </row>
    <row r="37" spans="2:9">
      <c r="B37" s="1153"/>
      <c r="C37" s="1164"/>
    </row>
    <row r="38" spans="2:9">
      <c r="I38" s="1153"/>
    </row>
  </sheetData>
  <pageMargins left="0.7" right="0.7" top="0.75" bottom="0.75" header="0.3" footer="0.3"/>
  <pageSetup orientation="portrait" horizontalDpi="90" verticalDpi="9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M75"/>
  <sheetViews>
    <sheetView showGridLines="0" workbookViewId="0"/>
  </sheetViews>
  <sheetFormatPr defaultRowHeight="12.75"/>
  <cols>
    <col min="1" max="1" width="3.28515625" customWidth="1"/>
    <col min="2" max="2" width="38.7109375" customWidth="1"/>
    <col min="3" max="3" width="16.28515625" style="241" bestFit="1" customWidth="1"/>
    <col min="4" max="4" width="16.28515625" bestFit="1" customWidth="1"/>
    <col min="5" max="12" width="18" bestFit="1" customWidth="1"/>
    <col min="13" max="13" width="16.28515625" bestFit="1" customWidth="1"/>
  </cols>
  <sheetData>
    <row r="1" spans="2:13" ht="13.5" thickBot="1"/>
    <row r="2" spans="2:13" ht="15">
      <c r="B2" s="1480" t="s">
        <v>623</v>
      </c>
      <c r="C2" s="1481">
        <v>2020</v>
      </c>
      <c r="D2" s="1481">
        <f>C2+1</f>
        <v>2021</v>
      </c>
      <c r="E2" s="1481">
        <f t="shared" ref="E2:M2" si="0">D2+1</f>
        <v>2022</v>
      </c>
      <c r="F2" s="1481">
        <f t="shared" si="0"/>
        <v>2023</v>
      </c>
      <c r="G2" s="1481">
        <f t="shared" si="0"/>
        <v>2024</v>
      </c>
      <c r="H2" s="1481">
        <f t="shared" si="0"/>
        <v>2025</v>
      </c>
      <c r="I2" s="1481">
        <f t="shared" si="0"/>
        <v>2026</v>
      </c>
      <c r="J2" s="1481">
        <f t="shared" si="0"/>
        <v>2027</v>
      </c>
      <c r="K2" s="1481">
        <f t="shared" si="0"/>
        <v>2028</v>
      </c>
      <c r="L2" s="1481">
        <f t="shared" si="0"/>
        <v>2029</v>
      </c>
      <c r="M2" s="1482">
        <f t="shared" si="0"/>
        <v>2030</v>
      </c>
    </row>
    <row r="3" spans="2:13">
      <c r="B3" s="1494" t="s">
        <v>778</v>
      </c>
      <c r="C3" s="1478">
        <f>C42</f>
        <v>141865428.90562165</v>
      </c>
      <c r="D3" s="1478">
        <f t="shared" ref="D3:M3" si="1">D42</f>
        <v>336570758.97414589</v>
      </c>
      <c r="E3" s="1478">
        <f t="shared" si="1"/>
        <v>641385272.40698802</v>
      </c>
      <c r="F3" s="1478">
        <f t="shared" si="1"/>
        <v>851212086.38332331</v>
      </c>
      <c r="G3" s="1478">
        <f t="shared" si="1"/>
        <v>1118251542.8130891</v>
      </c>
      <c r="H3" s="1478">
        <f t="shared" si="1"/>
        <v>1306189203.3830769</v>
      </c>
      <c r="I3" s="1478">
        <f t="shared" si="1"/>
        <v>1511567281.7739303</v>
      </c>
      <c r="J3" s="1478">
        <f t="shared" si="1"/>
        <v>1546479520.47875</v>
      </c>
      <c r="K3" s="1478">
        <f t="shared" si="1"/>
        <v>1678019405.1264522</v>
      </c>
      <c r="L3" s="1478">
        <f t="shared" si="1"/>
        <v>1008372869.2004213</v>
      </c>
      <c r="M3" s="1483">
        <f t="shared" si="1"/>
        <v>529810438.17291379</v>
      </c>
    </row>
    <row r="4" spans="2:13">
      <c r="B4" s="1495" t="s">
        <v>779</v>
      </c>
      <c r="C4" s="1227">
        <f>C74</f>
        <v>34859232.942730203</v>
      </c>
      <c r="D4" s="1227">
        <f t="shared" ref="D4:M4" si="2">D74</f>
        <v>80427734.633753747</v>
      </c>
      <c r="E4" s="1227">
        <f t="shared" si="2"/>
        <v>147587495.34825847</v>
      </c>
      <c r="F4" s="1227">
        <f t="shared" si="2"/>
        <v>189677065.40822661</v>
      </c>
      <c r="G4" s="1227">
        <f t="shared" si="2"/>
        <v>233892539.81084442</v>
      </c>
      <c r="H4" s="1227">
        <f t="shared" si="2"/>
        <v>265093170.48124945</v>
      </c>
      <c r="I4" s="1227">
        <f t="shared" si="2"/>
        <v>297664057.85112983</v>
      </c>
      <c r="J4" s="1227">
        <f t="shared" si="2"/>
        <v>295200157.03422248</v>
      </c>
      <c r="K4" s="1227">
        <f t="shared" si="2"/>
        <v>302758290.73189205</v>
      </c>
      <c r="L4" s="1227">
        <f t="shared" si="2"/>
        <v>177357239.17990574</v>
      </c>
      <c r="M4" s="1484">
        <f t="shared" si="2"/>
        <v>90871757.893996179</v>
      </c>
    </row>
    <row r="5" spans="2:13" ht="6.95" customHeight="1">
      <c r="B5" s="1491"/>
      <c r="C5" s="1227"/>
      <c r="D5" s="1227"/>
      <c r="E5" s="1227"/>
      <c r="F5" s="1227"/>
      <c r="G5" s="1227"/>
      <c r="H5" s="1227"/>
      <c r="I5" s="1227"/>
      <c r="J5" s="1227"/>
      <c r="K5" s="1227"/>
      <c r="L5" s="1227"/>
      <c r="M5" s="1484"/>
    </row>
    <row r="6" spans="2:13">
      <c r="B6" s="1492" t="s">
        <v>780</v>
      </c>
      <c r="C6" s="1479">
        <f>SUM(C3:C4)</f>
        <v>176724661.84835184</v>
      </c>
      <c r="D6" s="1479">
        <f t="shared" ref="D6:M6" si="3">SUM(D3:D4)</f>
        <v>416998493.60789967</v>
      </c>
      <c r="E6" s="1479">
        <f t="shared" si="3"/>
        <v>788972767.75524652</v>
      </c>
      <c r="F6" s="1479">
        <f t="shared" si="3"/>
        <v>1040889151.7915499</v>
      </c>
      <c r="G6" s="1479">
        <f t="shared" si="3"/>
        <v>1352144082.6239336</v>
      </c>
      <c r="H6" s="1479">
        <f t="shared" si="3"/>
        <v>1571282373.8643265</v>
      </c>
      <c r="I6" s="1479">
        <f t="shared" si="3"/>
        <v>1809231339.6250601</v>
      </c>
      <c r="J6" s="1479">
        <f t="shared" si="3"/>
        <v>1841679677.5129724</v>
      </c>
      <c r="K6" s="1479">
        <f t="shared" si="3"/>
        <v>1980777695.8583443</v>
      </c>
      <c r="L6" s="1479">
        <f t="shared" si="3"/>
        <v>1185730108.380327</v>
      </c>
      <c r="M6" s="1489">
        <f t="shared" si="3"/>
        <v>620682196.06691003</v>
      </c>
    </row>
    <row r="7" spans="2:13" ht="3.95" customHeight="1">
      <c r="B7" s="1491"/>
      <c r="D7" s="241"/>
      <c r="E7" s="241"/>
      <c r="F7" s="241"/>
      <c r="G7" s="241"/>
      <c r="H7" s="241"/>
      <c r="I7" s="241"/>
      <c r="J7" s="241"/>
      <c r="K7" s="241"/>
      <c r="L7" s="241"/>
      <c r="M7" s="1485"/>
    </row>
    <row r="8" spans="2:13">
      <c r="B8" s="1490" t="s">
        <v>97</v>
      </c>
      <c r="C8" s="1224">
        <v>0.15</v>
      </c>
      <c r="D8" s="1224">
        <v>0.15</v>
      </c>
      <c r="E8" s="1224">
        <v>0.17</v>
      </c>
      <c r="F8" s="1224">
        <v>0.19</v>
      </c>
      <c r="G8" s="1224">
        <v>0.19</v>
      </c>
      <c r="H8" s="1224">
        <f>G8</f>
        <v>0.19</v>
      </c>
      <c r="I8" s="1224">
        <f t="shared" ref="I8:M8" si="4">H8</f>
        <v>0.19</v>
      </c>
      <c r="J8" s="1224">
        <f t="shared" si="4"/>
        <v>0.19</v>
      </c>
      <c r="K8" s="1224">
        <f t="shared" si="4"/>
        <v>0.19</v>
      </c>
      <c r="L8" s="1224">
        <f t="shared" si="4"/>
        <v>0.19</v>
      </c>
      <c r="M8" s="1486">
        <f t="shared" si="4"/>
        <v>0.19</v>
      </c>
    </row>
    <row r="9" spans="2:13" ht="3.95" customHeight="1" thickBot="1">
      <c r="B9" s="1491"/>
      <c r="D9" s="241"/>
      <c r="E9" s="241"/>
      <c r="F9" s="241"/>
      <c r="G9" s="241"/>
      <c r="H9" s="241"/>
      <c r="I9" s="241"/>
      <c r="J9" s="241"/>
      <c r="K9" s="241"/>
      <c r="L9" s="241"/>
      <c r="M9" s="1485"/>
    </row>
    <row r="10" spans="2:13" ht="13.5" thickBot="1">
      <c r="B10" s="1493" t="s">
        <v>781</v>
      </c>
      <c r="C10" s="1487">
        <f>C6*C8</f>
        <v>26508699.277252775</v>
      </c>
      <c r="D10" s="1487">
        <f t="shared" ref="D10:M10" si="5">D6*D8</f>
        <v>62549774.041184947</v>
      </c>
      <c r="E10" s="1487">
        <f t="shared" si="5"/>
        <v>134125370.51839192</v>
      </c>
      <c r="F10" s="1487">
        <f t="shared" si="5"/>
        <v>197768938.8403945</v>
      </c>
      <c r="G10" s="1487">
        <f t="shared" si="5"/>
        <v>256907375.69854739</v>
      </c>
      <c r="H10" s="1487">
        <f t="shared" si="5"/>
        <v>298543651.03422201</v>
      </c>
      <c r="I10" s="1487">
        <f t="shared" si="5"/>
        <v>343753954.52876145</v>
      </c>
      <c r="J10" s="1487">
        <f t="shared" si="5"/>
        <v>349919138.72746474</v>
      </c>
      <c r="K10" s="1487">
        <f t="shared" si="5"/>
        <v>376347762.21308541</v>
      </c>
      <c r="L10" s="1487">
        <f t="shared" si="5"/>
        <v>225288720.59226212</v>
      </c>
      <c r="M10" s="1488">
        <f t="shared" si="5"/>
        <v>117929617.25271291</v>
      </c>
    </row>
    <row r="12" spans="2:13" ht="15">
      <c r="B12" s="1455" t="s">
        <v>607</v>
      </c>
      <c r="C12" s="1456">
        <v>2020</v>
      </c>
      <c r="D12" s="1456">
        <f>C12+1</f>
        <v>2021</v>
      </c>
      <c r="E12" s="1456">
        <f t="shared" ref="E12:M12" si="6">D12+1</f>
        <v>2022</v>
      </c>
      <c r="F12" s="1456">
        <f t="shared" si="6"/>
        <v>2023</v>
      </c>
      <c r="G12" s="1456">
        <f t="shared" si="6"/>
        <v>2024</v>
      </c>
      <c r="H12" s="1456">
        <f t="shared" si="6"/>
        <v>2025</v>
      </c>
      <c r="I12" s="1456">
        <f t="shared" si="6"/>
        <v>2026</v>
      </c>
      <c r="J12" s="1456">
        <f t="shared" si="6"/>
        <v>2027</v>
      </c>
      <c r="K12" s="1456">
        <f t="shared" si="6"/>
        <v>2028</v>
      </c>
      <c r="L12" s="1456">
        <f t="shared" si="6"/>
        <v>2029</v>
      </c>
      <c r="M12" s="1457">
        <f t="shared" si="6"/>
        <v>2030</v>
      </c>
    </row>
    <row r="13" spans="2:13">
      <c r="B13" s="1458"/>
      <c r="C13" s="1458"/>
      <c r="D13" s="1458"/>
      <c r="E13" s="1458"/>
      <c r="F13" s="1458"/>
      <c r="G13" s="1458"/>
      <c r="H13" s="1458"/>
      <c r="I13" s="1458"/>
      <c r="J13" s="1458"/>
      <c r="K13" s="1458"/>
      <c r="L13" s="1458"/>
      <c r="M13" s="1458"/>
    </row>
    <row r="14" spans="2:13">
      <c r="B14" s="241" t="s">
        <v>608</v>
      </c>
      <c r="C14" s="1459">
        <v>252268550.33013541</v>
      </c>
      <c r="D14" s="1459">
        <v>254124877.62271047</v>
      </c>
      <c r="E14" s="1459">
        <v>255989833.58040535</v>
      </c>
      <c r="F14" s="1459">
        <v>257784147.31561643</v>
      </c>
      <c r="G14" s="1459">
        <v>259522160.711752</v>
      </c>
      <c r="H14" s="1459">
        <v>261236929.87991601</v>
      </c>
      <c r="I14" s="1459">
        <v>262927763.96165049</v>
      </c>
      <c r="J14" s="1459">
        <v>264558958.14016724</v>
      </c>
      <c r="K14" s="1459">
        <v>266164344.54424536</v>
      </c>
      <c r="L14" s="1459">
        <v>267707735.45826286</v>
      </c>
      <c r="M14" s="1459">
        <v>269187732.21439195</v>
      </c>
    </row>
    <row r="15" spans="2:13" ht="15">
      <c r="B15" s="1460" t="s">
        <v>609</v>
      </c>
      <c r="C15" s="1221">
        <v>0.10199999999999999</v>
      </c>
      <c r="D15" s="1221">
        <f>C15+0.1%</f>
        <v>0.10299999999999999</v>
      </c>
      <c r="E15" s="1221">
        <f t="shared" ref="E15:M15" si="7">D15+0.1%</f>
        <v>0.104</v>
      </c>
      <c r="F15" s="1221">
        <f t="shared" si="7"/>
        <v>0.105</v>
      </c>
      <c r="G15" s="1221">
        <f t="shared" si="7"/>
        <v>0.106</v>
      </c>
      <c r="H15" s="1221">
        <f t="shared" si="7"/>
        <v>0.107</v>
      </c>
      <c r="I15" s="1221">
        <f t="shared" si="7"/>
        <v>0.108</v>
      </c>
      <c r="J15" s="1221">
        <f t="shared" si="7"/>
        <v>0.109</v>
      </c>
      <c r="K15" s="1221">
        <f t="shared" si="7"/>
        <v>0.11</v>
      </c>
      <c r="L15" s="1221">
        <f t="shared" si="7"/>
        <v>0.111</v>
      </c>
      <c r="M15" s="1221">
        <f t="shared" si="7"/>
        <v>0.112</v>
      </c>
    </row>
    <row r="16" spans="2:13">
      <c r="B16" s="241" t="s">
        <v>610</v>
      </c>
      <c r="C16" s="1225">
        <f>C14*C15</f>
        <v>25731392.133673809</v>
      </c>
      <c r="D16" s="1225">
        <f t="shared" ref="D16:M16" si="8">D14*D15</f>
        <v>26174862.395139176</v>
      </c>
      <c r="E16" s="1225">
        <f t="shared" si="8"/>
        <v>26622942.692362156</v>
      </c>
      <c r="F16" s="1225">
        <f t="shared" si="8"/>
        <v>27067335.468139723</v>
      </c>
      <c r="G16" s="1225">
        <f t="shared" si="8"/>
        <v>27509349.035445713</v>
      </c>
      <c r="H16" s="1225">
        <f t="shared" si="8"/>
        <v>27952351.497151013</v>
      </c>
      <c r="I16" s="1225">
        <f t="shared" si="8"/>
        <v>28396198.507858254</v>
      </c>
      <c r="J16" s="1225">
        <f t="shared" si="8"/>
        <v>28836926.43727823</v>
      </c>
      <c r="K16" s="1225">
        <f t="shared" si="8"/>
        <v>29278077.899866991</v>
      </c>
      <c r="L16" s="1225">
        <f t="shared" si="8"/>
        <v>29715558.635867178</v>
      </c>
      <c r="M16" s="1225">
        <f t="shared" si="8"/>
        <v>30149026.0080119</v>
      </c>
    </row>
    <row r="17" spans="2:13" s="1218" customFormat="1" ht="15">
      <c r="B17" s="1460" t="s">
        <v>500</v>
      </c>
      <c r="C17" s="1461">
        <v>0.2</v>
      </c>
      <c r="D17" s="1461">
        <f>C17+0.5%</f>
        <v>0.20500000000000002</v>
      </c>
      <c r="E17" s="1461">
        <f t="shared" ref="E17:M17" si="9">D17+0.5%</f>
        <v>0.21000000000000002</v>
      </c>
      <c r="F17" s="1461">
        <f t="shared" si="9"/>
        <v>0.21500000000000002</v>
      </c>
      <c r="G17" s="1461">
        <f t="shared" si="9"/>
        <v>0.22000000000000003</v>
      </c>
      <c r="H17" s="1461">
        <f t="shared" si="9"/>
        <v>0.22500000000000003</v>
      </c>
      <c r="I17" s="1461">
        <f t="shared" si="9"/>
        <v>0.23000000000000004</v>
      </c>
      <c r="J17" s="1461">
        <f t="shared" si="9"/>
        <v>0.23500000000000004</v>
      </c>
      <c r="K17" s="1461">
        <f t="shared" si="9"/>
        <v>0.24000000000000005</v>
      </c>
      <c r="L17" s="1461">
        <f t="shared" si="9"/>
        <v>0.24500000000000005</v>
      </c>
      <c r="M17" s="1461">
        <f t="shared" si="9"/>
        <v>0.25000000000000006</v>
      </c>
    </row>
    <row r="18" spans="2:13">
      <c r="B18" s="241" t="s">
        <v>611</v>
      </c>
      <c r="C18" s="1225">
        <f>C16*C17</f>
        <v>5146278.4267347623</v>
      </c>
      <c r="D18" s="1225">
        <f t="shared" ref="D18:M18" si="10">D16*D17</f>
        <v>5365846.7910035318</v>
      </c>
      <c r="E18" s="1225">
        <f t="shared" si="10"/>
        <v>5590817.9653960532</v>
      </c>
      <c r="F18" s="1225">
        <f t="shared" si="10"/>
        <v>5819477.1256500408</v>
      </c>
      <c r="G18" s="1225">
        <f t="shared" si="10"/>
        <v>6052056.7877980573</v>
      </c>
      <c r="H18" s="1225">
        <f t="shared" si="10"/>
        <v>6289279.0868589785</v>
      </c>
      <c r="I18" s="1225">
        <f t="shared" si="10"/>
        <v>6531125.6568073994</v>
      </c>
      <c r="J18" s="1225">
        <f t="shared" si="10"/>
        <v>6776677.7127603851</v>
      </c>
      <c r="K18" s="1225">
        <f t="shared" si="10"/>
        <v>7026738.6959680794</v>
      </c>
      <c r="L18" s="1225">
        <f t="shared" si="10"/>
        <v>7280311.8657874605</v>
      </c>
      <c r="M18" s="1225">
        <f t="shared" si="10"/>
        <v>7537256.5020029768</v>
      </c>
    </row>
    <row r="19" spans="2:13">
      <c r="B19" s="241"/>
      <c r="C19" s="1225"/>
      <c r="D19" s="1225"/>
      <c r="E19" s="1225"/>
      <c r="F19" s="1225"/>
      <c r="G19" s="1225"/>
      <c r="H19" s="1225"/>
      <c r="I19" s="1225"/>
      <c r="J19" s="1225"/>
      <c r="K19" s="1225"/>
      <c r="L19" s="1225"/>
      <c r="M19" s="1225"/>
    </row>
    <row r="20" spans="2:13" ht="15">
      <c r="B20" s="1462" t="s">
        <v>612</v>
      </c>
      <c r="C20" s="1225"/>
      <c r="D20" s="1225"/>
      <c r="E20" s="1225"/>
      <c r="F20" s="1225"/>
      <c r="G20" s="1225"/>
      <c r="H20" s="1225"/>
      <c r="I20" s="1225"/>
      <c r="J20" s="1225"/>
      <c r="K20" s="1225"/>
      <c r="L20" s="1225"/>
      <c r="M20" s="1225"/>
    </row>
    <row r="21" spans="2:13">
      <c r="B21" s="1463" t="s">
        <v>613</v>
      </c>
      <c r="C21" s="1225">
        <f>C18*20%</f>
        <v>1029255.6853469525</v>
      </c>
      <c r="D21" s="1225">
        <f t="shared" ref="D21:M21" si="11">D18*20%</f>
        <v>1073169.3582007063</v>
      </c>
      <c r="E21" s="1225">
        <f t="shared" si="11"/>
        <v>1118163.5930792107</v>
      </c>
      <c r="F21" s="1225">
        <f t="shared" si="11"/>
        <v>1163895.4251300083</v>
      </c>
      <c r="G21" s="1225">
        <f t="shared" si="11"/>
        <v>1210411.3575596116</v>
      </c>
      <c r="H21" s="1225">
        <f t="shared" si="11"/>
        <v>1257855.8173717959</v>
      </c>
      <c r="I21" s="1225">
        <f t="shared" si="11"/>
        <v>1306225.1313614799</v>
      </c>
      <c r="J21" s="1225">
        <f t="shared" si="11"/>
        <v>1355335.5425520772</v>
      </c>
      <c r="K21" s="1225">
        <f t="shared" si="11"/>
        <v>1405347.739193616</v>
      </c>
      <c r="L21" s="1225">
        <f t="shared" si="11"/>
        <v>1456062.3731574921</v>
      </c>
      <c r="M21" s="1225">
        <f t="shared" si="11"/>
        <v>1507451.3004005954</v>
      </c>
    </row>
    <row r="22" spans="2:13">
      <c r="B22" s="1463" t="s">
        <v>614</v>
      </c>
      <c r="C22" s="1225">
        <f>C18*2%</f>
        <v>102925.56853469525</v>
      </c>
      <c r="D22" s="1225">
        <f t="shared" ref="D22:M22" si="12">D18*2%</f>
        <v>107316.93582007063</v>
      </c>
      <c r="E22" s="1225">
        <f t="shared" si="12"/>
        <v>111816.35930792107</v>
      </c>
      <c r="F22" s="1225">
        <f t="shared" si="12"/>
        <v>116389.54251300082</v>
      </c>
      <c r="G22" s="1225">
        <f t="shared" si="12"/>
        <v>121041.13575596115</v>
      </c>
      <c r="H22" s="1225">
        <f t="shared" si="12"/>
        <v>125785.58173717957</v>
      </c>
      <c r="I22" s="1225">
        <f t="shared" si="12"/>
        <v>130622.51313614799</v>
      </c>
      <c r="J22" s="1225">
        <f t="shared" si="12"/>
        <v>135533.55425520771</v>
      </c>
      <c r="K22" s="1225">
        <f t="shared" si="12"/>
        <v>140534.77391936159</v>
      </c>
      <c r="L22" s="1225">
        <f t="shared" si="12"/>
        <v>145606.23731574923</v>
      </c>
      <c r="M22" s="1225">
        <f t="shared" si="12"/>
        <v>150745.13004005954</v>
      </c>
    </row>
    <row r="23" spans="2:13">
      <c r="B23" s="241"/>
      <c r="D23" s="241"/>
      <c r="E23" s="241"/>
      <c r="F23" s="241"/>
      <c r="G23" s="241"/>
      <c r="H23" s="241"/>
      <c r="I23" s="241"/>
      <c r="J23" s="241"/>
      <c r="K23" s="241"/>
      <c r="L23" s="241"/>
      <c r="M23" s="241"/>
    </row>
    <row r="24" spans="2:13" ht="15">
      <c r="B24" s="1462" t="s">
        <v>615</v>
      </c>
      <c r="D24" s="241"/>
      <c r="E24" s="241"/>
      <c r="F24" s="241"/>
      <c r="G24" s="241"/>
      <c r="H24" s="241"/>
      <c r="I24" s="241"/>
      <c r="J24" s="241"/>
      <c r="K24" s="241"/>
      <c r="L24" s="241"/>
      <c r="M24" s="241"/>
    </row>
    <row r="25" spans="2:13">
      <c r="B25" s="1463" t="s">
        <v>616</v>
      </c>
      <c r="C25" s="1225">
        <f>C21*0.6</f>
        <v>617553.41120817151</v>
      </c>
      <c r="D25" s="1225">
        <f>D21*0.6</f>
        <v>643901.61492042372</v>
      </c>
      <c r="E25" s="1225">
        <f>E21*0.6</f>
        <v>670898.15584752639</v>
      </c>
      <c r="F25" s="1225">
        <f>F21*0.6</f>
        <v>698337.25507800491</v>
      </c>
      <c r="G25" s="1225">
        <f>G21*0.625</f>
        <v>756507.09847475728</v>
      </c>
      <c r="H25" s="1225">
        <f>H21*0.625</f>
        <v>786159.88585737243</v>
      </c>
      <c r="I25" s="1225">
        <f>I21*0.625</f>
        <v>816390.70710092492</v>
      </c>
      <c r="J25" s="1225">
        <f>J21*0.625</f>
        <v>847084.71409504826</v>
      </c>
      <c r="K25" s="1225">
        <f>K21*0.65</f>
        <v>913476.03047585045</v>
      </c>
      <c r="L25" s="1225">
        <f>L21*0.65</f>
        <v>946440.54255236988</v>
      </c>
      <c r="M25" s="1225">
        <f>M21*0.65</f>
        <v>979843.34526038705</v>
      </c>
    </row>
    <row r="26" spans="2:13">
      <c r="B26" s="1463" t="s">
        <v>617</v>
      </c>
      <c r="C26" s="1225">
        <f>C22*0.9</f>
        <v>92633.011681225733</v>
      </c>
      <c r="D26" s="1225">
        <f t="shared" ref="D26:I26" si="13">D22*0.9</f>
        <v>96585.242238063569</v>
      </c>
      <c r="E26" s="1225">
        <f t="shared" si="13"/>
        <v>100634.72337712896</v>
      </c>
      <c r="F26" s="1225">
        <f t="shared" si="13"/>
        <v>104750.58826170074</v>
      </c>
      <c r="G26" s="1225">
        <f t="shared" si="13"/>
        <v>108937.02218036503</v>
      </c>
      <c r="H26" s="1225">
        <f t="shared" si="13"/>
        <v>113207.02356346161</v>
      </c>
      <c r="I26" s="1225">
        <f t="shared" si="13"/>
        <v>117560.2618225332</v>
      </c>
      <c r="J26" s="1225">
        <f>J22*0.91</f>
        <v>123335.53437223902</v>
      </c>
      <c r="K26" s="1225">
        <f>K22*0.91</f>
        <v>127886.64426661904</v>
      </c>
      <c r="L26" s="1225">
        <f>L22*0.91</f>
        <v>132501.67595733181</v>
      </c>
      <c r="M26" s="1225">
        <f>M22*0.91</f>
        <v>137178.06833645419</v>
      </c>
    </row>
    <row r="27" spans="2:13">
      <c r="B27" s="241"/>
      <c r="D27" s="241"/>
      <c r="E27" s="241"/>
      <c r="F27" s="241"/>
      <c r="G27" s="241"/>
      <c r="H27" s="241"/>
      <c r="I27" s="241"/>
      <c r="J27" s="241"/>
      <c r="K27" s="241"/>
      <c r="L27" s="241"/>
      <c r="M27" s="241"/>
    </row>
    <row r="28" spans="2:13" ht="15">
      <c r="B28" s="1462" t="s">
        <v>618</v>
      </c>
      <c r="D28" s="241"/>
      <c r="E28" s="241"/>
      <c r="F28" s="241"/>
      <c r="G28" s="241"/>
      <c r="H28" s="241"/>
      <c r="I28" s="241"/>
      <c r="J28" s="241"/>
      <c r="K28" s="241"/>
      <c r="L28" s="241"/>
      <c r="M28" s="241"/>
    </row>
    <row r="29" spans="2:13">
      <c r="B29" s="1463" t="s">
        <v>619</v>
      </c>
      <c r="C29" s="1464">
        <v>5.0000000000000001E-3</v>
      </c>
      <c r="D29" s="1222">
        <v>0.01</v>
      </c>
      <c r="E29" s="1222">
        <v>0.02</v>
      </c>
      <c r="F29" s="1222">
        <v>2.5000000000000001E-2</v>
      </c>
      <c r="G29" s="1222">
        <v>0.03</v>
      </c>
      <c r="H29" s="1222">
        <v>3.2500000000000001E-2</v>
      </c>
      <c r="I29" s="1222">
        <v>3.5000000000000003E-2</v>
      </c>
      <c r="J29" s="1222">
        <v>3.5000000000000003E-2</v>
      </c>
      <c r="K29" s="1222">
        <v>3.5000000000000003E-2</v>
      </c>
      <c r="L29" s="1222">
        <v>0.02</v>
      </c>
      <c r="M29" s="1222">
        <v>0.01</v>
      </c>
    </row>
    <row r="30" spans="2:13">
      <c r="B30" s="1463" t="s">
        <v>620</v>
      </c>
      <c r="C30" s="1222">
        <v>0.01</v>
      </c>
      <c r="D30" s="1222">
        <v>0.03</v>
      </c>
      <c r="E30" s="1222">
        <v>0.04</v>
      </c>
      <c r="F30" s="1222">
        <v>0.05</v>
      </c>
      <c r="G30" s="1222">
        <v>0.06</v>
      </c>
      <c r="H30" s="1222">
        <v>7.0000000000000007E-2</v>
      </c>
      <c r="I30" s="1222">
        <v>0.08</v>
      </c>
      <c r="J30" s="1222">
        <v>7.0000000000000007E-2</v>
      </c>
      <c r="K30" s="1222">
        <v>7.0000000000000007E-2</v>
      </c>
      <c r="L30" s="1222">
        <v>0.04</v>
      </c>
      <c r="M30" s="1222">
        <v>0.02</v>
      </c>
    </row>
    <row r="31" spans="2:13">
      <c r="B31" s="241"/>
      <c r="D31" s="241"/>
      <c r="E31" s="241"/>
      <c r="F31" s="241"/>
      <c r="G31" s="241"/>
      <c r="H31" s="241"/>
      <c r="I31" s="241"/>
      <c r="J31" s="241"/>
      <c r="K31" s="241"/>
      <c r="L31" s="241"/>
      <c r="M31" s="241"/>
    </row>
    <row r="32" spans="2:13" ht="15">
      <c r="B32" s="1462" t="s">
        <v>621</v>
      </c>
      <c r="D32" s="241"/>
      <c r="E32" s="241"/>
      <c r="F32" s="241"/>
      <c r="G32" s="241"/>
      <c r="H32" s="241"/>
      <c r="I32" s="241"/>
      <c r="J32" s="241"/>
      <c r="K32" s="241"/>
      <c r="L32" s="241"/>
      <c r="M32" s="241"/>
    </row>
    <row r="33" spans="2:13">
      <c r="B33" s="1463" t="s">
        <v>619</v>
      </c>
      <c r="C33" s="1225">
        <f>C29*C25</f>
        <v>3087.7670560408578</v>
      </c>
      <c r="D33" s="1225">
        <f t="shared" ref="D33:M34" si="14">D29*D25</f>
        <v>6439.0161492042371</v>
      </c>
      <c r="E33" s="1225">
        <f t="shared" si="14"/>
        <v>13417.963116950528</v>
      </c>
      <c r="F33" s="1225">
        <f t="shared" si="14"/>
        <v>17458.431376950124</v>
      </c>
      <c r="G33" s="1225">
        <f t="shared" si="14"/>
        <v>22695.212954242717</v>
      </c>
      <c r="H33" s="1225">
        <f t="shared" si="14"/>
        <v>25550.196290364605</v>
      </c>
      <c r="I33" s="1225">
        <f t="shared" si="14"/>
        <v>28573.674748532376</v>
      </c>
      <c r="J33" s="1225">
        <f t="shared" si="14"/>
        <v>29647.964993326692</v>
      </c>
      <c r="K33" s="1225">
        <f t="shared" si="14"/>
        <v>31971.661066654768</v>
      </c>
      <c r="L33" s="1225">
        <f t="shared" si="14"/>
        <v>18928.810851047398</v>
      </c>
      <c r="M33" s="1225">
        <f t="shared" si="14"/>
        <v>9798.433452603871</v>
      </c>
    </row>
    <row r="34" spans="2:13">
      <c r="B34" s="1463" t="s">
        <v>620</v>
      </c>
      <c r="C34" s="1225">
        <f>C30*C26</f>
        <v>926.3301168122573</v>
      </c>
      <c r="D34" s="1225">
        <f t="shared" si="14"/>
        <v>2897.5572671419068</v>
      </c>
      <c r="E34" s="1225">
        <f t="shared" si="14"/>
        <v>4025.3889350851587</v>
      </c>
      <c r="F34" s="1225">
        <f t="shared" si="14"/>
        <v>5237.529413085038</v>
      </c>
      <c r="G34" s="1225">
        <f t="shared" si="14"/>
        <v>6536.2213308219016</v>
      </c>
      <c r="H34" s="1225">
        <f t="shared" si="14"/>
        <v>7924.4916494423132</v>
      </c>
      <c r="I34" s="1225">
        <f t="shared" si="14"/>
        <v>9404.8209458026558</v>
      </c>
      <c r="J34" s="1225">
        <f t="shared" si="14"/>
        <v>8633.4874060567327</v>
      </c>
      <c r="K34" s="1225">
        <f t="shared" si="14"/>
        <v>8952.0650986633336</v>
      </c>
      <c r="L34" s="1225">
        <f t="shared" si="14"/>
        <v>5300.0670382932722</v>
      </c>
      <c r="M34" s="1225">
        <f t="shared" si="14"/>
        <v>2743.5613667290841</v>
      </c>
    </row>
    <row r="35" spans="2:13">
      <c r="B35" s="241"/>
      <c r="D35" s="241"/>
      <c r="E35" s="241"/>
      <c r="F35" s="241"/>
      <c r="G35" s="241"/>
      <c r="H35" s="241"/>
      <c r="I35" s="241"/>
      <c r="J35" s="241"/>
      <c r="K35" s="241"/>
      <c r="L35" s="241"/>
      <c r="M35" s="241"/>
    </row>
    <row r="36" spans="2:13">
      <c r="B36" s="241" t="s">
        <v>622</v>
      </c>
      <c r="C36" s="1465">
        <f>'RA - US'!S385</f>
        <v>35341.802352230407</v>
      </c>
      <c r="D36" s="1465">
        <f>'RA - US'!T385</f>
        <v>36048.638399275012</v>
      </c>
      <c r="E36" s="1465">
        <f>'RA - US'!U385</f>
        <v>36769.611167260518</v>
      </c>
      <c r="F36" s="1465">
        <f>'RA - US'!V385</f>
        <v>37505.003390605722</v>
      </c>
      <c r="G36" s="1465">
        <f>'RA - US'!W385</f>
        <v>38255.103458417834</v>
      </c>
      <c r="H36" s="1465">
        <f>'RA - US'!X385</f>
        <v>39020.205527586193</v>
      </c>
      <c r="I36" s="1465">
        <f>'RA - US'!Y385</f>
        <v>39800.609638137917</v>
      </c>
      <c r="J36" s="1465">
        <f>'RA - US'!Z385</f>
        <v>40397.618782709986</v>
      </c>
      <c r="K36" s="1465">
        <f>'RA - US'!AA385</f>
        <v>41003.583064450628</v>
      </c>
      <c r="L36" s="1465">
        <f>'RA - US'!AB385</f>
        <v>41618.636810417382</v>
      </c>
      <c r="M36" s="1465">
        <f>'RA - US'!AC385</f>
        <v>42242.916362573633</v>
      </c>
    </row>
    <row r="37" spans="2:13">
      <c r="B37" s="241"/>
      <c r="D37" s="241"/>
      <c r="E37" s="241"/>
      <c r="F37" s="241"/>
      <c r="G37" s="241"/>
      <c r="H37" s="241"/>
      <c r="I37" s="241"/>
      <c r="J37" s="241"/>
      <c r="K37" s="241"/>
      <c r="L37" s="241"/>
      <c r="M37" s="241"/>
    </row>
    <row r="38" spans="2:13" ht="15">
      <c r="B38" s="1462" t="s">
        <v>423</v>
      </c>
      <c r="D38" s="241"/>
      <c r="E38" s="241"/>
      <c r="F38" s="241"/>
      <c r="G38" s="241"/>
      <c r="H38" s="241"/>
      <c r="I38" s="241"/>
      <c r="J38" s="241"/>
      <c r="K38" s="241"/>
      <c r="L38" s="241"/>
      <c r="M38" s="241"/>
    </row>
    <row r="39" spans="2:13">
      <c r="B39" s="1463" t="s">
        <v>619</v>
      </c>
      <c r="C39" s="1465">
        <f>C36*C33</f>
        <v>109127253.00432435</v>
      </c>
      <c r="D39" s="1465">
        <f t="shared" ref="D39:M39" si="15">D36*D33</f>
        <v>232117764.80975577</v>
      </c>
      <c r="E39" s="1465">
        <f t="shared" si="15"/>
        <v>493373286.46691388</v>
      </c>
      <c r="F39" s="1465">
        <f t="shared" si="15"/>
        <v>654778527.98717177</v>
      </c>
      <c r="G39" s="1465">
        <f t="shared" si="15"/>
        <v>868207719.57537985</v>
      </c>
      <c r="H39" s="1465">
        <f t="shared" si="15"/>
        <v>996973910.52019727</v>
      </c>
      <c r="I39" s="1465">
        <f t="shared" si="15"/>
        <v>1137249674.5934558</v>
      </c>
      <c r="J39" s="1465">
        <f t="shared" si="15"/>
        <v>1197707187.4835424</v>
      </c>
      <c r="K39" s="1465">
        <f t="shared" si="15"/>
        <v>1310952660.2550409</v>
      </c>
      <c r="L39" s="1465">
        <f t="shared" si="15"/>
        <v>787791304.06282914</v>
      </c>
      <c r="M39" s="1465">
        <f t="shared" si="15"/>
        <v>413914404.82258892</v>
      </c>
    </row>
    <row r="40" spans="2:13">
      <c r="B40" s="1463" t="s">
        <v>620</v>
      </c>
      <c r="C40" s="1465">
        <f>C36*C34</f>
        <v>32738175.901297301</v>
      </c>
      <c r="D40" s="1465">
        <f t="shared" ref="D40:M40" si="16">D36*D34</f>
        <v>104452994.1643901</v>
      </c>
      <c r="E40" s="1465">
        <f t="shared" si="16"/>
        <v>148011985.94007418</v>
      </c>
      <c r="F40" s="1465">
        <f t="shared" si="16"/>
        <v>196433558.39615154</v>
      </c>
      <c r="G40" s="1465">
        <f t="shared" si="16"/>
        <v>250043823.23770934</v>
      </c>
      <c r="H40" s="1465">
        <f t="shared" si="16"/>
        <v>309215292.86287957</v>
      </c>
      <c r="I40" s="1465">
        <f t="shared" si="16"/>
        <v>374317607.18047452</v>
      </c>
      <c r="J40" s="1465">
        <f t="shared" si="16"/>
        <v>348772332.99520755</v>
      </c>
      <c r="K40" s="1465">
        <f t="shared" si="16"/>
        <v>367066744.87141138</v>
      </c>
      <c r="L40" s="1465">
        <f t="shared" si="16"/>
        <v>220581565.1375922</v>
      </c>
      <c r="M40" s="1465">
        <f t="shared" si="16"/>
        <v>115896033.3503249</v>
      </c>
    </row>
    <row r="41" spans="2:13">
      <c r="B41" s="438"/>
      <c r="C41" s="1466"/>
      <c r="D41" s="1466"/>
      <c r="E41" s="1466"/>
      <c r="F41" s="1466"/>
      <c r="G41" s="1466"/>
      <c r="H41" s="1466"/>
      <c r="I41" s="1466"/>
      <c r="J41" s="1466"/>
      <c r="K41" s="1466"/>
      <c r="L41" s="1466"/>
      <c r="M41" s="1466"/>
    </row>
    <row r="42" spans="2:13" ht="15.75" thickBot="1">
      <c r="B42" s="1467" t="s">
        <v>631</v>
      </c>
      <c r="C42" s="1468">
        <f>C39+C40</f>
        <v>141865428.90562165</v>
      </c>
      <c r="D42" s="1468">
        <f t="shared" ref="D42:M42" si="17">D39+D40</f>
        <v>336570758.97414589</v>
      </c>
      <c r="E42" s="1468">
        <f t="shared" si="17"/>
        <v>641385272.40698802</v>
      </c>
      <c r="F42" s="1468">
        <f t="shared" si="17"/>
        <v>851212086.38332331</v>
      </c>
      <c r="G42" s="1468">
        <f t="shared" si="17"/>
        <v>1118251542.8130891</v>
      </c>
      <c r="H42" s="1468">
        <f t="shared" si="17"/>
        <v>1306189203.3830769</v>
      </c>
      <c r="I42" s="1468">
        <f t="shared" si="17"/>
        <v>1511567281.7739303</v>
      </c>
      <c r="J42" s="1468">
        <f t="shared" si="17"/>
        <v>1546479520.47875</v>
      </c>
      <c r="K42" s="1468">
        <f t="shared" si="17"/>
        <v>1678019405.1264522</v>
      </c>
      <c r="L42" s="1468">
        <f t="shared" si="17"/>
        <v>1008372869.2004213</v>
      </c>
      <c r="M42" s="1469">
        <f t="shared" si="17"/>
        <v>529810438.17291379</v>
      </c>
    </row>
    <row r="43" spans="2:13" ht="13.5" thickTop="1"/>
    <row r="45" spans="2:13">
      <c r="B45" s="173" t="s">
        <v>625</v>
      </c>
      <c r="C45" s="1459">
        <v>269401882.04061282</v>
      </c>
      <c r="D45" s="1459">
        <v>270425094.39796084</v>
      </c>
      <c r="E45" s="1459">
        <v>271570799.63375086</v>
      </c>
      <c r="F45" s="1459">
        <f>E45*(1+F46)</f>
        <v>272721358.85873979</v>
      </c>
      <c r="G45" s="1459">
        <f t="shared" ref="G45:M45" si="18">F45*(1+G46)</f>
        <v>273876792.63773817</v>
      </c>
      <c r="H45" s="1459">
        <f t="shared" si="18"/>
        <v>275037121.62268317</v>
      </c>
      <c r="I45" s="1459">
        <f t="shared" si="18"/>
        <v>276202366.5530076</v>
      </c>
      <c r="J45" s="1459">
        <f t="shared" si="18"/>
        <v>277372548.25601071</v>
      </c>
      <c r="K45" s="1459">
        <f t="shared" si="18"/>
        <v>278547687.64723039</v>
      </c>
      <c r="L45" s="1459">
        <f t="shared" si="18"/>
        <v>279727805.73081696</v>
      </c>
      <c r="M45" s="1459">
        <f t="shared" si="18"/>
        <v>280912923.59990877</v>
      </c>
    </row>
    <row r="46" spans="2:13">
      <c r="B46" s="1471" t="s">
        <v>624</v>
      </c>
      <c r="D46" s="1472">
        <f>D45/C45-1</f>
        <v>3.7980891209727918E-3</v>
      </c>
      <c r="E46" s="1472">
        <f>E45/D45-1</f>
        <v>4.2366823919972596E-3</v>
      </c>
      <c r="F46" s="1221">
        <f>E46</f>
        <v>4.2366823919972596E-3</v>
      </c>
      <c r="G46" s="1221">
        <f t="shared" ref="G46:M46" si="19">F46</f>
        <v>4.2366823919972596E-3</v>
      </c>
      <c r="H46" s="1221">
        <f t="shared" si="19"/>
        <v>4.2366823919972596E-3</v>
      </c>
      <c r="I46" s="1221">
        <f t="shared" si="19"/>
        <v>4.2366823919972596E-3</v>
      </c>
      <c r="J46" s="1221">
        <f t="shared" si="19"/>
        <v>4.2366823919972596E-3</v>
      </c>
      <c r="K46" s="1221">
        <f t="shared" si="19"/>
        <v>4.2366823919972596E-3</v>
      </c>
      <c r="L46" s="1221">
        <f t="shared" si="19"/>
        <v>4.2366823919972596E-3</v>
      </c>
      <c r="M46" s="1221">
        <f t="shared" si="19"/>
        <v>4.2366823919972596E-3</v>
      </c>
    </row>
    <row r="47" spans="2:13">
      <c r="B47" s="81" t="s">
        <v>626</v>
      </c>
      <c r="C47" s="1459">
        <f>C45*C48</f>
        <v>27478991.968142506</v>
      </c>
      <c r="D47" s="1459">
        <f t="shared" ref="D47:M47" si="20">D45*D48</f>
        <v>27583359.628592003</v>
      </c>
      <c r="E47" s="1459">
        <f t="shared" si="20"/>
        <v>27700221.562642585</v>
      </c>
      <c r="F47" s="1459">
        <f t="shared" si="20"/>
        <v>27817578.603591457</v>
      </c>
      <c r="G47" s="1459">
        <f t="shared" si="20"/>
        <v>27935432.849049293</v>
      </c>
      <c r="H47" s="1459">
        <f t="shared" si="20"/>
        <v>28053786.405513681</v>
      </c>
      <c r="I47" s="1459">
        <f t="shared" si="20"/>
        <v>28172641.388406772</v>
      </c>
      <c r="J47" s="1459">
        <f t="shared" si="20"/>
        <v>28291999.922113091</v>
      </c>
      <c r="K47" s="1459">
        <f t="shared" si="20"/>
        <v>28411864.140017498</v>
      </c>
      <c r="L47" s="1459">
        <f t="shared" si="20"/>
        <v>28532236.184543326</v>
      </c>
      <c r="M47" s="1459">
        <f t="shared" si="20"/>
        <v>28653118.207190692</v>
      </c>
    </row>
    <row r="48" spans="2:13">
      <c r="B48" s="1471" t="s">
        <v>609</v>
      </c>
      <c r="C48" s="1223">
        <f>C15</f>
        <v>0.10199999999999999</v>
      </c>
      <c r="D48" s="1223">
        <f>C48</f>
        <v>0.10199999999999999</v>
      </c>
      <c r="E48" s="1223">
        <f t="shared" ref="E48:M48" si="21">D48</f>
        <v>0.10199999999999999</v>
      </c>
      <c r="F48" s="1223">
        <f t="shared" si="21"/>
        <v>0.10199999999999999</v>
      </c>
      <c r="G48" s="1223">
        <f t="shared" si="21"/>
        <v>0.10199999999999999</v>
      </c>
      <c r="H48" s="1223">
        <f t="shared" si="21"/>
        <v>0.10199999999999999</v>
      </c>
      <c r="I48" s="1223">
        <f t="shared" si="21"/>
        <v>0.10199999999999999</v>
      </c>
      <c r="J48" s="1223">
        <f t="shared" si="21"/>
        <v>0.10199999999999999</v>
      </c>
      <c r="K48" s="1223">
        <f t="shared" si="21"/>
        <v>0.10199999999999999</v>
      </c>
      <c r="L48" s="1223">
        <f t="shared" si="21"/>
        <v>0.10199999999999999</v>
      </c>
      <c r="M48" s="1223">
        <f t="shared" si="21"/>
        <v>0.10199999999999999</v>
      </c>
    </row>
    <row r="49" spans="2:13">
      <c r="B49" s="81" t="s">
        <v>627</v>
      </c>
      <c r="C49" s="1459">
        <f>C47*C50</f>
        <v>4396638.7149028014</v>
      </c>
      <c r="D49" s="1459">
        <f t="shared" ref="D49:M49" si="22">D47*D50</f>
        <v>4523670.9790890897</v>
      </c>
      <c r="E49" s="1459">
        <f t="shared" si="22"/>
        <v>4653637.2225239556</v>
      </c>
      <c r="F49" s="1459">
        <f t="shared" si="22"/>
        <v>4784623.5198177313</v>
      </c>
      <c r="G49" s="1459">
        <f t="shared" si="22"/>
        <v>4916636.1814326765</v>
      </c>
      <c r="H49" s="1459">
        <f t="shared" si="22"/>
        <v>5049681.552992464</v>
      </c>
      <c r="I49" s="1459">
        <f t="shared" si="22"/>
        <v>5183766.0154668475</v>
      </c>
      <c r="J49" s="1459">
        <f t="shared" si="22"/>
        <v>5318895.9853572622</v>
      </c>
      <c r="K49" s="1459">
        <f t="shared" si="22"/>
        <v>5455077.9148833612</v>
      </c>
      <c r="L49" s="1459">
        <f t="shared" si="22"/>
        <v>5592318.2921704939</v>
      </c>
      <c r="M49" s="1459">
        <f t="shared" si="22"/>
        <v>5730623.6414381405</v>
      </c>
    </row>
    <row r="50" spans="2:13">
      <c r="B50" s="1471" t="s">
        <v>628</v>
      </c>
      <c r="C50" s="1224">
        <f>C17*0.8</f>
        <v>0.16000000000000003</v>
      </c>
      <c r="D50" s="1224">
        <f t="shared" ref="D50:M50" si="23">D17*0.8</f>
        <v>0.16400000000000003</v>
      </c>
      <c r="E50" s="1224">
        <f t="shared" si="23"/>
        <v>0.16800000000000004</v>
      </c>
      <c r="F50" s="1224">
        <f t="shared" si="23"/>
        <v>0.17200000000000004</v>
      </c>
      <c r="G50" s="1224">
        <f t="shared" si="23"/>
        <v>0.17600000000000005</v>
      </c>
      <c r="H50" s="1224">
        <f t="shared" si="23"/>
        <v>0.18000000000000005</v>
      </c>
      <c r="I50" s="1224">
        <f t="shared" si="23"/>
        <v>0.18400000000000005</v>
      </c>
      <c r="J50" s="1224">
        <f t="shared" si="23"/>
        <v>0.18800000000000006</v>
      </c>
      <c r="K50" s="1224">
        <f t="shared" si="23"/>
        <v>0.19200000000000006</v>
      </c>
      <c r="L50" s="1224">
        <f t="shared" si="23"/>
        <v>0.19600000000000006</v>
      </c>
      <c r="M50" s="1224">
        <f t="shared" si="23"/>
        <v>0.20000000000000007</v>
      </c>
    </row>
    <row r="51" spans="2:13">
      <c r="B51" s="241"/>
      <c r="D51" s="241"/>
      <c r="E51" s="241"/>
      <c r="F51" s="241"/>
      <c r="G51" s="241"/>
      <c r="H51" s="241"/>
      <c r="I51" s="241"/>
      <c r="J51" s="241"/>
      <c r="K51" s="241"/>
      <c r="L51" s="241"/>
      <c r="M51" s="241"/>
    </row>
    <row r="52" spans="2:13" ht="15">
      <c r="B52" s="1462" t="s">
        <v>629</v>
      </c>
      <c r="D52" s="241"/>
      <c r="E52" s="241"/>
      <c r="F52" s="241"/>
      <c r="G52" s="241"/>
      <c r="H52" s="241"/>
      <c r="I52" s="241"/>
      <c r="J52" s="241"/>
      <c r="K52" s="241"/>
      <c r="L52" s="241"/>
      <c r="M52" s="241"/>
    </row>
    <row r="53" spans="2:13">
      <c r="B53" s="1463" t="s">
        <v>613</v>
      </c>
      <c r="C53" s="1225">
        <f>C49*0.2</f>
        <v>879327.74298056029</v>
      </c>
      <c r="D53" s="1225">
        <f t="shared" ref="D53:M53" si="24">D49*0.2</f>
        <v>904734.19581781793</v>
      </c>
      <c r="E53" s="1225">
        <f t="shared" si="24"/>
        <v>930727.44450479117</v>
      </c>
      <c r="F53" s="1225">
        <f t="shared" si="24"/>
        <v>956924.70396354632</v>
      </c>
      <c r="G53" s="1225">
        <f t="shared" si="24"/>
        <v>983327.23628653539</v>
      </c>
      <c r="H53" s="1225">
        <f t="shared" si="24"/>
        <v>1009936.3105984929</v>
      </c>
      <c r="I53" s="1225">
        <f t="shared" si="24"/>
        <v>1036753.2030933695</v>
      </c>
      <c r="J53" s="1225">
        <f t="shared" si="24"/>
        <v>1063779.1970714524</v>
      </c>
      <c r="K53" s="1225">
        <f t="shared" si="24"/>
        <v>1091015.5829766723</v>
      </c>
      <c r="L53" s="1225">
        <f t="shared" si="24"/>
        <v>1118463.6584340988</v>
      </c>
      <c r="M53" s="1225">
        <f t="shared" si="24"/>
        <v>1146124.7282876282</v>
      </c>
    </row>
    <row r="54" spans="2:13">
      <c r="B54" s="1463" t="s">
        <v>614</v>
      </c>
      <c r="C54" s="1225">
        <f>C49*0.02</f>
        <v>87932.774298056029</v>
      </c>
      <c r="D54" s="1225">
        <f t="shared" ref="D54:M54" si="25">D49*0.02</f>
        <v>90473.419581781796</v>
      </c>
      <c r="E54" s="1225">
        <f t="shared" si="25"/>
        <v>93072.74445047912</v>
      </c>
      <c r="F54" s="1225">
        <f t="shared" si="25"/>
        <v>95692.470396354634</v>
      </c>
      <c r="G54" s="1225">
        <f t="shared" si="25"/>
        <v>98332.723628653534</v>
      </c>
      <c r="H54" s="1225">
        <f t="shared" si="25"/>
        <v>100993.63105984929</v>
      </c>
      <c r="I54" s="1225">
        <f t="shared" si="25"/>
        <v>103675.32030933695</v>
      </c>
      <c r="J54" s="1225">
        <f t="shared" si="25"/>
        <v>106377.91970714525</v>
      </c>
      <c r="K54" s="1225">
        <f t="shared" si="25"/>
        <v>109101.55829766723</v>
      </c>
      <c r="L54" s="1225">
        <f t="shared" si="25"/>
        <v>111846.36584340988</v>
      </c>
      <c r="M54" s="1225">
        <f t="shared" si="25"/>
        <v>114612.47282876281</v>
      </c>
    </row>
    <row r="55" spans="2:13">
      <c r="B55" s="241"/>
      <c r="D55" s="241"/>
      <c r="E55" s="241"/>
      <c r="F55" s="241"/>
      <c r="G55" s="241"/>
      <c r="H55" s="241"/>
      <c r="I55" s="241"/>
      <c r="J55" s="241"/>
      <c r="K55" s="241"/>
      <c r="L55" s="241"/>
      <c r="M55" s="241"/>
    </row>
    <row r="56" spans="2:13" ht="15">
      <c r="B56" s="1462" t="s">
        <v>615</v>
      </c>
      <c r="D56" s="241"/>
      <c r="E56" s="241"/>
      <c r="F56" s="241"/>
      <c r="G56" s="241"/>
      <c r="H56" s="241"/>
      <c r="I56" s="241"/>
      <c r="J56" s="241"/>
      <c r="K56" s="241"/>
      <c r="L56" s="241"/>
      <c r="M56" s="241"/>
    </row>
    <row r="57" spans="2:13">
      <c r="B57" s="1463" t="s">
        <v>616</v>
      </c>
      <c r="C57" s="1225">
        <f>C53*0.5</f>
        <v>439663.87149028014</v>
      </c>
      <c r="D57" s="1225">
        <f t="shared" ref="D57:M57" si="26">D53*0.5</f>
        <v>452367.09790890897</v>
      </c>
      <c r="E57" s="1225">
        <f t="shared" si="26"/>
        <v>465363.72225239559</v>
      </c>
      <c r="F57" s="1225">
        <f t="shared" si="26"/>
        <v>478462.35198177316</v>
      </c>
      <c r="G57" s="1225">
        <f t="shared" si="26"/>
        <v>491663.6181432677</v>
      </c>
      <c r="H57" s="1225">
        <f t="shared" si="26"/>
        <v>504968.15529924643</v>
      </c>
      <c r="I57" s="1225">
        <f t="shared" si="26"/>
        <v>518376.60154668475</v>
      </c>
      <c r="J57" s="1225">
        <f t="shared" si="26"/>
        <v>531889.5985357262</v>
      </c>
      <c r="K57" s="1225">
        <f t="shared" si="26"/>
        <v>545507.79148833617</v>
      </c>
      <c r="L57" s="1225">
        <f t="shared" si="26"/>
        <v>559231.82921704941</v>
      </c>
      <c r="M57" s="1225">
        <f t="shared" si="26"/>
        <v>573062.36414381408</v>
      </c>
    </row>
    <row r="58" spans="2:13">
      <c r="B58" s="1463" t="s">
        <v>617</v>
      </c>
      <c r="C58" s="1225">
        <f>C54*0.8</f>
        <v>70346.219438444823</v>
      </c>
      <c r="D58" s="1225">
        <f t="shared" ref="D58:M58" si="27">D54*0.8</f>
        <v>72378.73566542544</v>
      </c>
      <c r="E58" s="1225">
        <f t="shared" si="27"/>
        <v>74458.195560383305</v>
      </c>
      <c r="F58" s="1225">
        <f t="shared" si="27"/>
        <v>76553.97631708371</v>
      </c>
      <c r="G58" s="1225">
        <f t="shared" si="27"/>
        <v>78666.178902922838</v>
      </c>
      <c r="H58" s="1225">
        <f t="shared" si="27"/>
        <v>80794.904847879428</v>
      </c>
      <c r="I58" s="1225">
        <f t="shared" si="27"/>
        <v>82940.256247469573</v>
      </c>
      <c r="J58" s="1225">
        <f t="shared" si="27"/>
        <v>85102.335765716212</v>
      </c>
      <c r="K58" s="1225">
        <f t="shared" si="27"/>
        <v>87281.246638133787</v>
      </c>
      <c r="L58" s="1225">
        <f t="shared" si="27"/>
        <v>89477.092674727901</v>
      </c>
      <c r="M58" s="1225">
        <f t="shared" si="27"/>
        <v>91689.978263010256</v>
      </c>
    </row>
    <row r="59" spans="2:13">
      <c r="B59" s="241"/>
      <c r="D59" s="241"/>
      <c r="E59" s="241"/>
      <c r="F59" s="241"/>
      <c r="G59" s="241"/>
      <c r="H59" s="241"/>
      <c r="I59" s="241"/>
      <c r="J59" s="241"/>
      <c r="K59" s="241"/>
      <c r="L59" s="241"/>
      <c r="M59" s="241"/>
    </row>
    <row r="60" spans="2:13" ht="15">
      <c r="B60" s="1462" t="s">
        <v>618</v>
      </c>
      <c r="D60" s="241"/>
      <c r="E60" s="241"/>
      <c r="F60" s="241"/>
      <c r="G60" s="241"/>
      <c r="H60" s="241"/>
      <c r="I60" s="241"/>
      <c r="J60" s="241"/>
      <c r="K60" s="241"/>
      <c r="L60" s="241"/>
      <c r="M60" s="241"/>
    </row>
    <row r="61" spans="2:13">
      <c r="B61" s="1463" t="s">
        <v>619</v>
      </c>
      <c r="C61" s="1221">
        <f>C29*0.75</f>
        <v>3.7499999999999999E-3</v>
      </c>
      <c r="D61" s="1221">
        <f t="shared" ref="D61:M61" si="28">D29*0.75</f>
        <v>7.4999999999999997E-3</v>
      </c>
      <c r="E61" s="1221">
        <f t="shared" si="28"/>
        <v>1.4999999999999999E-2</v>
      </c>
      <c r="F61" s="1221">
        <f t="shared" si="28"/>
        <v>1.8750000000000003E-2</v>
      </c>
      <c r="G61" s="1221">
        <f t="shared" si="28"/>
        <v>2.2499999999999999E-2</v>
      </c>
      <c r="H61" s="1221">
        <f t="shared" si="28"/>
        <v>2.4375000000000001E-2</v>
      </c>
      <c r="I61" s="1221">
        <f t="shared" si="28"/>
        <v>2.6250000000000002E-2</v>
      </c>
      <c r="J61" s="1221">
        <f t="shared" si="28"/>
        <v>2.6250000000000002E-2</v>
      </c>
      <c r="K61" s="1221">
        <f t="shared" si="28"/>
        <v>2.6250000000000002E-2</v>
      </c>
      <c r="L61" s="1221">
        <f t="shared" si="28"/>
        <v>1.4999999999999999E-2</v>
      </c>
      <c r="M61" s="1221">
        <f t="shared" si="28"/>
        <v>7.4999999999999997E-3</v>
      </c>
    </row>
    <row r="62" spans="2:13">
      <c r="B62" s="1463" t="s">
        <v>620</v>
      </c>
      <c r="C62" s="1221">
        <f>C30*0.75</f>
        <v>7.4999999999999997E-3</v>
      </c>
      <c r="D62" s="1221">
        <f t="shared" ref="D62:M62" si="29">D30*0.75</f>
        <v>2.2499999999999999E-2</v>
      </c>
      <c r="E62" s="1221">
        <f t="shared" si="29"/>
        <v>0.03</v>
      </c>
      <c r="F62" s="1221">
        <f t="shared" si="29"/>
        <v>3.7500000000000006E-2</v>
      </c>
      <c r="G62" s="1221">
        <f t="shared" si="29"/>
        <v>4.4999999999999998E-2</v>
      </c>
      <c r="H62" s="1221">
        <f t="shared" si="29"/>
        <v>5.2500000000000005E-2</v>
      </c>
      <c r="I62" s="1221">
        <f t="shared" si="29"/>
        <v>0.06</v>
      </c>
      <c r="J62" s="1221">
        <f t="shared" si="29"/>
        <v>5.2500000000000005E-2</v>
      </c>
      <c r="K62" s="1221">
        <f t="shared" si="29"/>
        <v>5.2500000000000005E-2</v>
      </c>
      <c r="L62" s="1221">
        <f t="shared" si="29"/>
        <v>0.03</v>
      </c>
      <c r="M62" s="1221">
        <f t="shared" si="29"/>
        <v>1.4999999999999999E-2</v>
      </c>
    </row>
    <row r="63" spans="2:13">
      <c r="B63" s="241"/>
      <c r="D63" s="241"/>
      <c r="E63" s="241"/>
      <c r="F63" s="241"/>
      <c r="G63" s="241"/>
      <c r="H63" s="241"/>
      <c r="I63" s="241"/>
      <c r="J63" s="241"/>
      <c r="K63" s="241"/>
      <c r="L63" s="241"/>
      <c r="M63" s="241"/>
    </row>
    <row r="64" spans="2:13" ht="15">
      <c r="B64" s="1462" t="s">
        <v>621</v>
      </c>
      <c r="D64" s="241"/>
      <c r="E64" s="241"/>
      <c r="F64" s="241"/>
      <c r="G64" s="241"/>
      <c r="H64" s="241"/>
      <c r="I64" s="241"/>
      <c r="J64" s="241"/>
      <c r="K64" s="241"/>
      <c r="L64" s="241"/>
      <c r="M64" s="241"/>
    </row>
    <row r="65" spans="2:13">
      <c r="B65" s="1463" t="s">
        <v>619</v>
      </c>
      <c r="C65" s="1225">
        <f>C57*C61</f>
        <v>1648.7395180885505</v>
      </c>
      <c r="D65" s="1225">
        <f t="shared" ref="D65:M65" si="30">D57*D61</f>
        <v>3392.7532343168173</v>
      </c>
      <c r="E65" s="1225">
        <f t="shared" si="30"/>
        <v>6980.4558337859335</v>
      </c>
      <c r="F65" s="1225">
        <f t="shared" si="30"/>
        <v>8971.1690996582474</v>
      </c>
      <c r="G65" s="1225">
        <f t="shared" si="30"/>
        <v>11062.431408223523</v>
      </c>
      <c r="H65" s="1225">
        <f t="shared" si="30"/>
        <v>12308.598785419132</v>
      </c>
      <c r="I65" s="1225">
        <f t="shared" si="30"/>
        <v>13607.385790600476</v>
      </c>
      <c r="J65" s="1225">
        <f t="shared" si="30"/>
        <v>13962.101961562814</v>
      </c>
      <c r="K65" s="1225">
        <f t="shared" si="30"/>
        <v>14319.579526568827</v>
      </c>
      <c r="L65" s="1225">
        <f t="shared" si="30"/>
        <v>8388.4774382557407</v>
      </c>
      <c r="M65" s="1225">
        <f t="shared" si="30"/>
        <v>4297.9677310786055</v>
      </c>
    </row>
    <row r="66" spans="2:13">
      <c r="B66" s="1463" t="s">
        <v>620</v>
      </c>
      <c r="C66" s="1225">
        <f>C58*C62</f>
        <v>527.5966457883361</v>
      </c>
      <c r="D66" s="1225">
        <f t="shared" ref="D66:M66" si="31">D58*D62</f>
        <v>1628.5215524720722</v>
      </c>
      <c r="E66" s="1225">
        <f t="shared" si="31"/>
        <v>2233.7458668114991</v>
      </c>
      <c r="F66" s="1225">
        <f t="shared" si="31"/>
        <v>2870.7741118906397</v>
      </c>
      <c r="G66" s="1225">
        <f t="shared" si="31"/>
        <v>3539.9780506315278</v>
      </c>
      <c r="H66" s="1225">
        <f t="shared" si="31"/>
        <v>4241.7325045136704</v>
      </c>
      <c r="I66" s="1225">
        <f t="shared" si="31"/>
        <v>4976.415374848174</v>
      </c>
      <c r="J66" s="1225">
        <f t="shared" si="31"/>
        <v>4467.8726277001015</v>
      </c>
      <c r="K66" s="1225">
        <f t="shared" si="31"/>
        <v>4582.2654485020239</v>
      </c>
      <c r="L66" s="1225">
        <f t="shared" si="31"/>
        <v>2684.3127802418371</v>
      </c>
      <c r="M66" s="1225">
        <f t="shared" si="31"/>
        <v>1375.3496739451539</v>
      </c>
    </row>
    <row r="67" spans="2:13">
      <c r="B67" s="241"/>
      <c r="D67" s="241"/>
      <c r="E67" s="241"/>
      <c r="F67" s="241"/>
      <c r="G67" s="241"/>
      <c r="H67" s="241"/>
      <c r="I67" s="241"/>
      <c r="J67" s="241"/>
      <c r="K67" s="241"/>
      <c r="L67" s="241"/>
      <c r="M67" s="241"/>
    </row>
    <row r="68" spans="2:13">
      <c r="B68" s="241" t="s">
        <v>622</v>
      </c>
      <c r="C68" s="1226">
        <f>'RA - EU'!H14</f>
        <v>16017.393600000003</v>
      </c>
      <c r="D68" s="1473">
        <f>C68</f>
        <v>16017.393600000003</v>
      </c>
      <c r="E68" s="1473">
        <f t="shared" ref="E68:M68" si="32">D68</f>
        <v>16017.393600000003</v>
      </c>
      <c r="F68" s="1473">
        <f t="shared" si="32"/>
        <v>16017.393600000003</v>
      </c>
      <c r="G68" s="1473">
        <f t="shared" si="32"/>
        <v>16017.393600000003</v>
      </c>
      <c r="H68" s="1473">
        <f t="shared" si="32"/>
        <v>16017.393600000003</v>
      </c>
      <c r="I68" s="1473">
        <f t="shared" si="32"/>
        <v>16017.393600000003</v>
      </c>
      <c r="J68" s="1473">
        <f t="shared" si="32"/>
        <v>16017.393600000003</v>
      </c>
      <c r="K68" s="1473">
        <f t="shared" si="32"/>
        <v>16017.393600000003</v>
      </c>
      <c r="L68" s="1473">
        <f t="shared" si="32"/>
        <v>16017.393600000003</v>
      </c>
      <c r="M68" s="1473">
        <f t="shared" si="32"/>
        <v>16017.393600000003</v>
      </c>
    </row>
    <row r="69" spans="2:13">
      <c r="B69" s="241"/>
      <c r="D69" s="241"/>
      <c r="E69" s="241"/>
      <c r="F69" s="241"/>
      <c r="G69" s="241"/>
      <c r="H69" s="241"/>
      <c r="I69" s="241"/>
      <c r="J69" s="241"/>
      <c r="K69" s="241"/>
      <c r="L69" s="241"/>
      <c r="M69" s="241"/>
    </row>
    <row r="70" spans="2:13" ht="15">
      <c r="B70" s="1462" t="s">
        <v>423</v>
      </c>
      <c r="D70" s="241"/>
      <c r="E70" s="241"/>
      <c r="F70" s="241"/>
      <c r="G70" s="241"/>
      <c r="H70" s="241"/>
      <c r="I70" s="241"/>
      <c r="J70" s="241"/>
      <c r="K70" s="241"/>
      <c r="L70" s="241"/>
      <c r="M70" s="241"/>
    </row>
    <row r="71" spans="2:13">
      <c r="B71" s="1463" t="s">
        <v>619</v>
      </c>
      <c r="C71" s="1226">
        <f>C65*C68</f>
        <v>26408509.805098638</v>
      </c>
      <c r="D71" s="1226">
        <f t="shared" ref="D71:M71" si="33">D65*D68</f>
        <v>54343063.9417255</v>
      </c>
      <c r="E71" s="1226">
        <f t="shared" si="33"/>
        <v>111808708.5971655</v>
      </c>
      <c r="F71" s="1226">
        <f t="shared" si="33"/>
        <v>143694746.52138379</v>
      </c>
      <c r="G71" s="1226">
        <f t="shared" si="33"/>
        <v>177191318.03851849</v>
      </c>
      <c r="H71" s="1226">
        <f t="shared" si="33"/>
        <v>197151671.41054022</v>
      </c>
      <c r="I71" s="1226">
        <f t="shared" si="33"/>
        <v>217954854.07509506</v>
      </c>
      <c r="J71" s="1226">
        <f t="shared" si="33"/>
        <v>223636482.60168371</v>
      </c>
      <c r="K71" s="1226">
        <f t="shared" si="33"/>
        <v>229362341.46355459</v>
      </c>
      <c r="L71" s="1226">
        <f t="shared" si="33"/>
        <v>134361544.83326194</v>
      </c>
      <c r="M71" s="1226">
        <f t="shared" si="33"/>
        <v>68842240.828784987</v>
      </c>
    </row>
    <row r="72" spans="2:13">
      <c r="B72" s="1463" t="s">
        <v>620</v>
      </c>
      <c r="C72" s="1226">
        <f>C66*C68</f>
        <v>8450723.1376315635</v>
      </c>
      <c r="D72" s="1226">
        <f t="shared" ref="D72:M72" si="34">D66*D68</f>
        <v>26084670.692028239</v>
      </c>
      <c r="E72" s="1226">
        <f t="shared" si="34"/>
        <v>35778786.751092963</v>
      </c>
      <c r="F72" s="1226">
        <f t="shared" si="34"/>
        <v>45982318.886842825</v>
      </c>
      <c r="G72" s="1226">
        <f t="shared" si="34"/>
        <v>56701221.772325918</v>
      </c>
      <c r="H72" s="1226">
        <f t="shared" si="34"/>
        <v>67941499.070709243</v>
      </c>
      <c r="I72" s="1226">
        <f t="shared" si="34"/>
        <v>79709203.776034757</v>
      </c>
      <c r="J72" s="1226">
        <f t="shared" si="34"/>
        <v>71563674.432538807</v>
      </c>
      <c r="K72" s="1226">
        <f t="shared" si="34"/>
        <v>73395949.268337458</v>
      </c>
      <c r="L72" s="1226">
        <f t="shared" si="34"/>
        <v>42995694.346643813</v>
      </c>
      <c r="M72" s="1226">
        <f t="shared" si="34"/>
        <v>22029517.065211199</v>
      </c>
    </row>
    <row r="73" spans="2:13">
      <c r="B73" s="438"/>
      <c r="C73" s="438"/>
      <c r="D73" s="438"/>
      <c r="E73" s="438"/>
      <c r="F73" s="438"/>
      <c r="G73" s="438"/>
      <c r="H73" s="438"/>
      <c r="I73" s="438"/>
      <c r="J73" s="438"/>
      <c r="K73" s="438"/>
      <c r="L73" s="438"/>
      <c r="M73" s="438"/>
    </row>
    <row r="74" spans="2:13" ht="15.75" thickBot="1">
      <c r="B74" s="1467" t="s">
        <v>630</v>
      </c>
      <c r="C74" s="1468">
        <f>C71+C72</f>
        <v>34859232.942730203</v>
      </c>
      <c r="D74" s="1468">
        <f t="shared" ref="D74:M74" si="35">D71+D72</f>
        <v>80427734.633753747</v>
      </c>
      <c r="E74" s="1468">
        <f t="shared" si="35"/>
        <v>147587495.34825847</v>
      </c>
      <c r="F74" s="1468">
        <f t="shared" si="35"/>
        <v>189677065.40822661</v>
      </c>
      <c r="G74" s="1468">
        <f t="shared" si="35"/>
        <v>233892539.81084442</v>
      </c>
      <c r="H74" s="1468">
        <f t="shared" si="35"/>
        <v>265093170.48124945</v>
      </c>
      <c r="I74" s="1468">
        <f t="shared" si="35"/>
        <v>297664057.85112983</v>
      </c>
      <c r="J74" s="1468">
        <f t="shared" si="35"/>
        <v>295200157.03422248</v>
      </c>
      <c r="K74" s="1468">
        <f t="shared" si="35"/>
        <v>302758290.73189205</v>
      </c>
      <c r="L74" s="1468">
        <f t="shared" si="35"/>
        <v>177357239.17990574</v>
      </c>
      <c r="M74" s="1469">
        <f t="shared" si="35"/>
        <v>90871757.893996179</v>
      </c>
    </row>
    <row r="75" spans="2:13" ht="13.5" thickTop="1"/>
  </sheetData>
  <pageMargins left="0.7" right="0.7" top="0.75" bottom="0.75" header="0.3" footer="0.3"/>
  <pageSetup orientation="portrait" horizontalDpi="90" verticalDpi="9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AB50"/>
  <sheetViews>
    <sheetView showGridLines="0" zoomScale="85" zoomScaleNormal="85" workbookViewId="0"/>
  </sheetViews>
  <sheetFormatPr defaultRowHeight="12.75" outlineLevelCol="1"/>
  <cols>
    <col min="1" max="1" width="3.140625" customWidth="1"/>
    <col min="2" max="2" width="31.7109375" bestFit="1" customWidth="1"/>
    <col min="3" max="13" width="11.7109375" hidden="1" customWidth="1" outlineLevel="1"/>
    <col min="14" max="14" width="11.7109375" customWidth="1" collapsed="1"/>
    <col min="15" max="17" width="11.7109375" customWidth="1"/>
    <col min="18" max="22" width="12.5703125" bestFit="1" customWidth="1"/>
    <col min="23" max="27" width="14.28515625" bestFit="1" customWidth="1"/>
    <col min="28" max="28" width="11.7109375" customWidth="1"/>
  </cols>
  <sheetData>
    <row r="1" spans="2:28" ht="8.25" customHeight="1"/>
    <row r="2" spans="2:28" ht="15">
      <c r="C2" s="1294">
        <v>2006</v>
      </c>
      <c r="D2" s="1294">
        <f>C2+1</f>
        <v>2007</v>
      </c>
      <c r="E2" s="1294">
        <f t="shared" ref="E2:AA2" si="0">D2+1</f>
        <v>2008</v>
      </c>
      <c r="F2" s="1294">
        <f t="shared" si="0"/>
        <v>2009</v>
      </c>
      <c r="G2" s="1294">
        <f t="shared" si="0"/>
        <v>2010</v>
      </c>
      <c r="H2" s="1294">
        <f t="shared" si="0"/>
        <v>2011</v>
      </c>
      <c r="I2" s="1294">
        <f t="shared" si="0"/>
        <v>2012</v>
      </c>
      <c r="J2" s="1294">
        <f t="shared" si="0"/>
        <v>2013</v>
      </c>
      <c r="K2" s="1294">
        <f t="shared" si="0"/>
        <v>2014</v>
      </c>
      <c r="L2" s="1294">
        <f t="shared" si="0"/>
        <v>2015</v>
      </c>
      <c r="M2" s="1294">
        <f t="shared" si="0"/>
        <v>2016</v>
      </c>
      <c r="N2" s="1294">
        <f t="shared" si="0"/>
        <v>2017</v>
      </c>
      <c r="O2" s="1294">
        <f t="shared" si="0"/>
        <v>2018</v>
      </c>
      <c r="P2" s="1294">
        <f t="shared" si="0"/>
        <v>2019</v>
      </c>
      <c r="Q2" s="1294">
        <f>P2+1</f>
        <v>2020</v>
      </c>
      <c r="R2" s="1294">
        <f t="shared" si="0"/>
        <v>2021</v>
      </c>
      <c r="S2" s="1294">
        <f t="shared" si="0"/>
        <v>2022</v>
      </c>
      <c r="T2" s="1294">
        <f t="shared" si="0"/>
        <v>2023</v>
      </c>
      <c r="U2" s="1294">
        <f t="shared" si="0"/>
        <v>2024</v>
      </c>
      <c r="V2" s="1294">
        <f t="shared" si="0"/>
        <v>2025</v>
      </c>
      <c r="W2" s="1294">
        <f t="shared" si="0"/>
        <v>2026</v>
      </c>
      <c r="X2" s="1294">
        <f t="shared" si="0"/>
        <v>2027</v>
      </c>
      <c r="Y2" s="1294">
        <f t="shared" si="0"/>
        <v>2028</v>
      </c>
      <c r="Z2" s="1294">
        <f t="shared" si="0"/>
        <v>2029</v>
      </c>
      <c r="AA2" s="1294">
        <f t="shared" si="0"/>
        <v>2030</v>
      </c>
      <c r="AB2" s="1219"/>
    </row>
    <row r="3" spans="2:28" ht="15">
      <c r="B3" s="1219" t="s">
        <v>838</v>
      </c>
      <c r="C3" s="1287">
        <v>50417</v>
      </c>
      <c r="D3" s="1287">
        <f>C3*1.1</f>
        <v>55458.700000000004</v>
      </c>
      <c r="E3" s="1287">
        <f t="shared" ref="E3:L3" si="1">D3*1.1</f>
        <v>61004.570000000007</v>
      </c>
      <c r="F3" s="1287">
        <f t="shared" si="1"/>
        <v>67105.027000000016</v>
      </c>
      <c r="G3" s="1287">
        <f t="shared" si="1"/>
        <v>73815.529700000028</v>
      </c>
      <c r="H3" s="1287">
        <f t="shared" si="1"/>
        <v>81197.082670000033</v>
      </c>
      <c r="I3" s="1287">
        <f t="shared" si="1"/>
        <v>89316.790937000042</v>
      </c>
      <c r="J3" s="1287">
        <f t="shared" si="1"/>
        <v>98248.47003070006</v>
      </c>
      <c r="K3" s="1287">
        <f t="shared" si="1"/>
        <v>108073.31703377007</v>
      </c>
      <c r="L3" s="1287">
        <f t="shared" si="1"/>
        <v>118880.64873714709</v>
      </c>
      <c r="M3" s="1287">
        <f>L3*1.05</f>
        <v>124824.68117400445</v>
      </c>
      <c r="N3" s="1287">
        <f t="shared" ref="N3:AA3" si="2">M3*1.05</f>
        <v>131065.91523270468</v>
      </c>
      <c r="O3" s="1287">
        <f t="shared" si="2"/>
        <v>137619.21099433993</v>
      </c>
      <c r="P3" s="1287">
        <f t="shared" si="2"/>
        <v>144500.17154405694</v>
      </c>
      <c r="Q3" s="1287">
        <f t="shared" si="2"/>
        <v>151725.18012125979</v>
      </c>
      <c r="R3" s="1287">
        <f t="shared" si="2"/>
        <v>159311.43912732278</v>
      </c>
      <c r="S3" s="1287">
        <f t="shared" si="2"/>
        <v>167277.01108368894</v>
      </c>
      <c r="T3" s="1287">
        <f t="shared" si="2"/>
        <v>175640.8616378734</v>
      </c>
      <c r="U3" s="1287">
        <f t="shared" si="2"/>
        <v>184422.90471976707</v>
      </c>
      <c r="V3" s="1287">
        <f t="shared" si="2"/>
        <v>193644.04995575544</v>
      </c>
      <c r="W3" s="1287">
        <f t="shared" si="2"/>
        <v>203326.25245354322</v>
      </c>
      <c r="X3" s="1287">
        <f t="shared" si="2"/>
        <v>213492.56507622037</v>
      </c>
      <c r="Y3" s="1287">
        <f t="shared" si="2"/>
        <v>224167.19333003141</v>
      </c>
      <c r="Z3" s="1287">
        <f t="shared" si="2"/>
        <v>235375.55299653299</v>
      </c>
      <c r="AA3" s="1287">
        <f t="shared" si="2"/>
        <v>247144.33064635965</v>
      </c>
      <c r="AB3" s="1219"/>
    </row>
    <row r="4" spans="2:28" ht="15">
      <c r="B4" s="1293" t="s">
        <v>268</v>
      </c>
      <c r="C4" s="1288">
        <f>C3*0.3545</f>
        <v>17872.826499999999</v>
      </c>
      <c r="D4" s="1288">
        <f t="shared" ref="D4:AA4" si="3">D3*0.3545</f>
        <v>19660.10915</v>
      </c>
      <c r="E4" s="1288">
        <f t="shared" si="3"/>
        <v>21626.120065000003</v>
      </c>
      <c r="F4" s="1288">
        <f t="shared" si="3"/>
        <v>23788.732071500006</v>
      </c>
      <c r="G4" s="1288">
        <f t="shared" si="3"/>
        <v>26167.605278650008</v>
      </c>
      <c r="H4" s="1288">
        <f t="shared" si="3"/>
        <v>28784.365806515008</v>
      </c>
      <c r="I4" s="1288">
        <f t="shared" si="3"/>
        <v>31662.802387166514</v>
      </c>
      <c r="J4" s="1288">
        <f t="shared" si="3"/>
        <v>34829.082625883173</v>
      </c>
      <c r="K4" s="1288">
        <f t="shared" si="3"/>
        <v>38311.99088847149</v>
      </c>
      <c r="L4" s="1288">
        <f t="shared" si="3"/>
        <v>42143.189977318638</v>
      </c>
      <c r="M4" s="1288">
        <f t="shared" si="3"/>
        <v>44250.349476184572</v>
      </c>
      <c r="N4" s="1288">
        <f t="shared" si="3"/>
        <v>46462.866949993804</v>
      </c>
      <c r="O4" s="1288">
        <f t="shared" si="3"/>
        <v>48786.0102974935</v>
      </c>
      <c r="P4" s="1288">
        <f t="shared" si="3"/>
        <v>51225.310812368181</v>
      </c>
      <c r="Q4" s="1288">
        <f t="shared" si="3"/>
        <v>53786.576352986594</v>
      </c>
      <c r="R4" s="1288">
        <f t="shared" si="3"/>
        <v>56475.905170635924</v>
      </c>
      <c r="S4" s="1288">
        <f t="shared" si="3"/>
        <v>59299.700429167722</v>
      </c>
      <c r="T4" s="1288">
        <f t="shared" si="3"/>
        <v>62264.685450626115</v>
      </c>
      <c r="U4" s="1288">
        <f t="shared" si="3"/>
        <v>65377.919723157422</v>
      </c>
      <c r="V4" s="1288">
        <f t="shared" si="3"/>
        <v>68646.815709315299</v>
      </c>
      <c r="W4" s="1288">
        <f t="shared" si="3"/>
        <v>72079.156494781069</v>
      </c>
      <c r="X4" s="1288">
        <f t="shared" si="3"/>
        <v>75683.114319520115</v>
      </c>
      <c r="Y4" s="1288">
        <f t="shared" si="3"/>
        <v>79467.270035496127</v>
      </c>
      <c r="Z4" s="1288">
        <f t="shared" si="3"/>
        <v>83440.633537270944</v>
      </c>
      <c r="AA4" s="1288">
        <f t="shared" si="3"/>
        <v>87612.665214134497</v>
      </c>
      <c r="AB4" s="1219"/>
    </row>
    <row r="5" spans="2:28" ht="15">
      <c r="B5" s="1293" t="s">
        <v>679</v>
      </c>
      <c r="C5" s="1288">
        <f>C3-C4</f>
        <v>32544.173500000001</v>
      </c>
      <c r="D5" s="1288">
        <f t="shared" ref="D5:AA5" si="4">D3-D4</f>
        <v>35798.590850000008</v>
      </c>
      <c r="E5" s="1288">
        <f t="shared" si="4"/>
        <v>39378.449935000004</v>
      </c>
      <c r="F5" s="1288">
        <f t="shared" si="4"/>
        <v>43316.294928500007</v>
      </c>
      <c r="G5" s="1288">
        <f t="shared" si="4"/>
        <v>47647.924421350021</v>
      </c>
      <c r="H5" s="1288">
        <f t="shared" si="4"/>
        <v>52412.716863485024</v>
      </c>
      <c r="I5" s="1288">
        <f t="shared" si="4"/>
        <v>57653.988549833528</v>
      </c>
      <c r="J5" s="1288">
        <f t="shared" si="4"/>
        <v>63419.387404816887</v>
      </c>
      <c r="K5" s="1288">
        <f t="shared" si="4"/>
        <v>69761.326145298575</v>
      </c>
      <c r="L5" s="1288">
        <f t="shared" si="4"/>
        <v>76737.458759828442</v>
      </c>
      <c r="M5" s="1288">
        <f t="shared" si="4"/>
        <v>80574.331697819871</v>
      </c>
      <c r="N5" s="1288">
        <f t="shared" si="4"/>
        <v>84603.048282710864</v>
      </c>
      <c r="O5" s="1288">
        <f t="shared" si="4"/>
        <v>88833.200696846427</v>
      </c>
      <c r="P5" s="1288">
        <f t="shared" si="4"/>
        <v>93274.860731688765</v>
      </c>
      <c r="Q5" s="1288">
        <f t="shared" si="4"/>
        <v>97938.603768273199</v>
      </c>
      <c r="R5" s="1288">
        <f t="shared" si="4"/>
        <v>102835.53395668685</v>
      </c>
      <c r="S5" s="1288">
        <f t="shared" si="4"/>
        <v>107977.31065452122</v>
      </c>
      <c r="T5" s="1288">
        <f t="shared" si="4"/>
        <v>113376.17618724729</v>
      </c>
      <c r="U5" s="1288">
        <f t="shared" si="4"/>
        <v>119044.98499660965</v>
      </c>
      <c r="V5" s="1288">
        <f t="shared" si="4"/>
        <v>124997.23424644014</v>
      </c>
      <c r="W5" s="1288">
        <f t="shared" si="4"/>
        <v>131247.09595876216</v>
      </c>
      <c r="X5" s="1288">
        <f t="shared" si="4"/>
        <v>137809.45075670024</v>
      </c>
      <c r="Y5" s="1288">
        <f t="shared" si="4"/>
        <v>144699.92329453529</v>
      </c>
      <c r="Z5" s="1288">
        <f t="shared" si="4"/>
        <v>151934.91945926205</v>
      </c>
      <c r="AA5" s="1288">
        <f t="shared" si="4"/>
        <v>159531.66543222516</v>
      </c>
      <c r="AB5" s="1219"/>
    </row>
    <row r="6" spans="2:28" ht="15">
      <c r="C6" s="1288"/>
      <c r="D6" s="1288"/>
      <c r="E6" s="1288"/>
      <c r="F6" s="1288"/>
      <c r="G6" s="1288"/>
      <c r="H6" s="1288"/>
      <c r="I6" s="1288"/>
      <c r="J6" s="1288"/>
      <c r="K6" s="1288"/>
      <c r="L6" s="1288"/>
      <c r="M6" s="1288"/>
      <c r="N6" s="1288"/>
      <c r="O6" s="1288"/>
      <c r="P6" s="1288"/>
      <c r="Q6" s="1288"/>
      <c r="R6" s="1288"/>
      <c r="S6" s="1288"/>
      <c r="T6" s="1288"/>
      <c r="U6" s="1288"/>
      <c r="V6" s="1288"/>
      <c r="W6" s="1288"/>
      <c r="X6" s="1288"/>
      <c r="Y6" s="1288"/>
      <c r="Z6" s="1288"/>
      <c r="AA6" s="1288"/>
      <c r="AB6" s="1219"/>
    </row>
    <row r="7" spans="2:28" ht="15">
      <c r="B7" s="1219" t="s">
        <v>680</v>
      </c>
      <c r="C7" s="1287">
        <v>22516</v>
      </c>
      <c r="D7" s="1287">
        <f>D3*0.45</f>
        <v>24956.415000000001</v>
      </c>
      <c r="E7" s="1287">
        <f t="shared" ref="E7:AA7" si="5">E3*0.45</f>
        <v>27452.056500000002</v>
      </c>
      <c r="F7" s="1287">
        <f t="shared" si="5"/>
        <v>30197.26215000001</v>
      </c>
      <c r="G7" s="1287">
        <f t="shared" si="5"/>
        <v>33216.988365000012</v>
      </c>
      <c r="H7" s="1287">
        <f t="shared" si="5"/>
        <v>36538.687201500019</v>
      </c>
      <c r="I7" s="1287">
        <f t="shared" si="5"/>
        <v>40192.555921650019</v>
      </c>
      <c r="J7" s="1287">
        <f t="shared" si="5"/>
        <v>44211.811513815032</v>
      </c>
      <c r="K7" s="1287">
        <f t="shared" si="5"/>
        <v>48632.992665196536</v>
      </c>
      <c r="L7" s="1287">
        <f t="shared" si="5"/>
        <v>53496.291931716187</v>
      </c>
      <c r="M7" s="1287">
        <f t="shared" si="5"/>
        <v>56171.106528302007</v>
      </c>
      <c r="N7" s="1287">
        <f t="shared" si="5"/>
        <v>58979.661854717109</v>
      </c>
      <c r="O7" s="1287">
        <f t="shared" si="5"/>
        <v>61928.644947452965</v>
      </c>
      <c r="P7" s="1287">
        <f t="shared" si="5"/>
        <v>65025.077194825622</v>
      </c>
      <c r="Q7" s="1287">
        <f t="shared" si="5"/>
        <v>68276.331054566908</v>
      </c>
      <c r="R7" s="1287">
        <f t="shared" si="5"/>
        <v>71690.14760729525</v>
      </c>
      <c r="S7" s="1287">
        <f t="shared" si="5"/>
        <v>75274.654987660018</v>
      </c>
      <c r="T7" s="1287">
        <f t="shared" si="5"/>
        <v>79038.387737043027</v>
      </c>
      <c r="U7" s="1287">
        <f t="shared" si="5"/>
        <v>82990.307123895182</v>
      </c>
      <c r="V7" s="1287">
        <f t="shared" si="5"/>
        <v>87139.822480089948</v>
      </c>
      <c r="W7" s="1287">
        <f t="shared" si="5"/>
        <v>91496.813604094452</v>
      </c>
      <c r="X7" s="1287">
        <f t="shared" si="5"/>
        <v>96071.654284299177</v>
      </c>
      <c r="Y7" s="1287">
        <f t="shared" si="5"/>
        <v>100875.23699851414</v>
      </c>
      <c r="Z7" s="1287">
        <f t="shared" si="5"/>
        <v>105918.99884843985</v>
      </c>
      <c r="AA7" s="1287">
        <f t="shared" si="5"/>
        <v>111214.94879086185</v>
      </c>
    </row>
    <row r="8" spans="2:28" ht="15">
      <c r="B8" s="1293" t="s">
        <v>268</v>
      </c>
      <c r="C8" s="1288">
        <f>C7*0.36</f>
        <v>8105.7599999999993</v>
      </c>
      <c r="D8" s="1288">
        <f t="shared" ref="D8:AA8" si="6">D7*0.36</f>
        <v>8984.3094000000001</v>
      </c>
      <c r="E8" s="1288">
        <f t="shared" si="6"/>
        <v>9882.7403400000003</v>
      </c>
      <c r="F8" s="1288">
        <f t="shared" si="6"/>
        <v>10871.014374000002</v>
      </c>
      <c r="G8" s="1288">
        <f t="shared" si="6"/>
        <v>11958.115811400005</v>
      </c>
      <c r="H8" s="1288">
        <f t="shared" si="6"/>
        <v>13153.927392540007</v>
      </c>
      <c r="I8" s="1288">
        <f t="shared" si="6"/>
        <v>14469.320131794006</v>
      </c>
      <c r="J8" s="1288">
        <f t="shared" si="6"/>
        <v>15916.25214497341</v>
      </c>
      <c r="K8" s="1288">
        <f t="shared" si="6"/>
        <v>17507.877359470753</v>
      </c>
      <c r="L8" s="1288">
        <f t="shared" si="6"/>
        <v>19258.665095417826</v>
      </c>
      <c r="M8" s="1288">
        <f t="shared" si="6"/>
        <v>20221.59835018872</v>
      </c>
      <c r="N8" s="1288">
        <f t="shared" si="6"/>
        <v>21232.67826769816</v>
      </c>
      <c r="O8" s="1288">
        <f t="shared" si="6"/>
        <v>22294.312181083067</v>
      </c>
      <c r="P8" s="1288">
        <f t="shared" si="6"/>
        <v>23409.027790137225</v>
      </c>
      <c r="Q8" s="1288">
        <f t="shared" si="6"/>
        <v>24579.479179644088</v>
      </c>
      <c r="R8" s="1288">
        <f t="shared" si="6"/>
        <v>25808.45313862629</v>
      </c>
      <c r="S8" s="1288">
        <f t="shared" si="6"/>
        <v>27098.875795557604</v>
      </c>
      <c r="T8" s="1288">
        <f t="shared" si="6"/>
        <v>28453.819585335488</v>
      </c>
      <c r="U8" s="1288">
        <f t="shared" si="6"/>
        <v>29876.510564602264</v>
      </c>
      <c r="V8" s="1288">
        <f t="shared" si="6"/>
        <v>31370.336092832382</v>
      </c>
      <c r="W8" s="1288">
        <f t="shared" si="6"/>
        <v>32938.852897474004</v>
      </c>
      <c r="X8" s="1288">
        <f t="shared" si="6"/>
        <v>34585.795542347703</v>
      </c>
      <c r="Y8" s="1288">
        <f t="shared" si="6"/>
        <v>36315.085319465092</v>
      </c>
      <c r="Z8" s="1288">
        <f t="shared" si="6"/>
        <v>38130.839585438342</v>
      </c>
      <c r="AA8" s="1288">
        <f t="shared" si="6"/>
        <v>40037.38156471026</v>
      </c>
    </row>
    <row r="9" spans="2:28" ht="15">
      <c r="B9" s="1293" t="s">
        <v>679</v>
      </c>
      <c r="C9" s="1288">
        <f>C7-C8</f>
        <v>14410.240000000002</v>
      </c>
      <c r="D9" s="1288">
        <f t="shared" ref="D9:AA9" si="7">D7-D8</f>
        <v>15972.105600000001</v>
      </c>
      <c r="E9" s="1288">
        <f t="shared" si="7"/>
        <v>17569.316160000002</v>
      </c>
      <c r="F9" s="1288">
        <f t="shared" si="7"/>
        <v>19326.247776000007</v>
      </c>
      <c r="G9" s="1288">
        <f t="shared" si="7"/>
        <v>21258.872553600006</v>
      </c>
      <c r="H9" s="1288">
        <f t="shared" si="7"/>
        <v>23384.759808960014</v>
      </c>
      <c r="I9" s="1288">
        <f t="shared" si="7"/>
        <v>25723.235789856015</v>
      </c>
      <c r="J9" s="1288">
        <f t="shared" si="7"/>
        <v>28295.559368841619</v>
      </c>
      <c r="K9" s="1288">
        <f t="shared" si="7"/>
        <v>31125.115305725783</v>
      </c>
      <c r="L9" s="1288">
        <f t="shared" si="7"/>
        <v>34237.626836298361</v>
      </c>
      <c r="M9" s="1288">
        <f t="shared" si="7"/>
        <v>35949.50817811329</v>
      </c>
      <c r="N9" s="1288">
        <f t="shared" si="7"/>
        <v>37746.983587018949</v>
      </c>
      <c r="O9" s="1288">
        <f t="shared" si="7"/>
        <v>39634.332766369902</v>
      </c>
      <c r="P9" s="1288">
        <f t="shared" si="7"/>
        <v>41616.049404688398</v>
      </c>
      <c r="Q9" s="1288">
        <f t="shared" si="7"/>
        <v>43696.851874922824</v>
      </c>
      <c r="R9" s="1288">
        <f t="shared" si="7"/>
        <v>45881.69446866896</v>
      </c>
      <c r="S9" s="1288">
        <f t="shared" si="7"/>
        <v>48175.779192102418</v>
      </c>
      <c r="T9" s="1288">
        <f t="shared" si="7"/>
        <v>50584.568151707543</v>
      </c>
      <c r="U9" s="1288">
        <f t="shared" si="7"/>
        <v>53113.796559292918</v>
      </c>
      <c r="V9" s="1288">
        <f t="shared" si="7"/>
        <v>55769.486387257566</v>
      </c>
      <c r="W9" s="1288">
        <f t="shared" si="7"/>
        <v>58557.960706620448</v>
      </c>
      <c r="X9" s="1288">
        <f t="shared" si="7"/>
        <v>61485.858741951473</v>
      </c>
      <c r="Y9" s="1288">
        <f t="shared" si="7"/>
        <v>64560.15167904905</v>
      </c>
      <c r="Z9" s="1288">
        <f t="shared" si="7"/>
        <v>67788.159263001507</v>
      </c>
      <c r="AA9" s="1288">
        <f t="shared" si="7"/>
        <v>71177.567226151587</v>
      </c>
    </row>
    <row r="10" spans="2:28">
      <c r="C10" s="1288"/>
      <c r="D10" s="1288"/>
      <c r="E10" s="1288"/>
      <c r="F10" s="1288"/>
      <c r="G10" s="1288"/>
      <c r="H10" s="1288"/>
      <c r="I10" s="1288"/>
      <c r="J10" s="1288"/>
      <c r="K10" s="1288"/>
      <c r="L10" s="1288"/>
      <c r="M10" s="1288"/>
      <c r="N10" s="1288"/>
      <c r="O10" s="1288"/>
      <c r="P10" s="1288"/>
      <c r="Q10" s="1288"/>
      <c r="R10" s="1288"/>
      <c r="S10" s="1288"/>
      <c r="T10" s="1288"/>
      <c r="U10" s="1288"/>
      <c r="V10" s="1288"/>
      <c r="W10" s="1288"/>
      <c r="X10" s="1288"/>
      <c r="Y10" s="1288"/>
      <c r="Z10" s="1288"/>
      <c r="AA10" s="1288"/>
    </row>
    <row r="11" spans="2:28" ht="15">
      <c r="B11" s="1219" t="s">
        <v>684</v>
      </c>
      <c r="C11" s="1287">
        <f t="shared" ref="C11:AA11" si="8">C7*0.45</f>
        <v>10132.200000000001</v>
      </c>
      <c r="D11" s="1287">
        <f t="shared" si="8"/>
        <v>11230.386750000001</v>
      </c>
      <c r="E11" s="1287">
        <f t="shared" si="8"/>
        <v>12353.425425000001</v>
      </c>
      <c r="F11" s="1287">
        <f t="shared" si="8"/>
        <v>13588.767967500005</v>
      </c>
      <c r="G11" s="1287">
        <f t="shared" si="8"/>
        <v>14947.644764250006</v>
      </c>
      <c r="H11" s="1287">
        <f t="shared" si="8"/>
        <v>16442.40924067501</v>
      </c>
      <c r="I11" s="1287">
        <f t="shared" si="8"/>
        <v>18086.65016474251</v>
      </c>
      <c r="J11" s="1287">
        <f t="shared" si="8"/>
        <v>19895.315181216763</v>
      </c>
      <c r="K11" s="1287">
        <f t="shared" si="8"/>
        <v>21884.846699338443</v>
      </c>
      <c r="L11" s="1287">
        <f t="shared" si="8"/>
        <v>24073.331369272284</v>
      </c>
      <c r="M11" s="1287">
        <f t="shared" si="8"/>
        <v>25276.997937735905</v>
      </c>
      <c r="N11" s="1287">
        <f t="shared" si="8"/>
        <v>26540.847834622698</v>
      </c>
      <c r="O11" s="1287">
        <f t="shared" si="8"/>
        <v>27867.890226353837</v>
      </c>
      <c r="P11" s="1287">
        <f t="shared" si="8"/>
        <v>29261.284737671529</v>
      </c>
      <c r="Q11" s="1287">
        <f t="shared" si="8"/>
        <v>30724.348974555109</v>
      </c>
      <c r="R11" s="1287">
        <f t="shared" si="8"/>
        <v>32260.566423282864</v>
      </c>
      <c r="S11" s="1287">
        <f t="shared" si="8"/>
        <v>33873.594744447008</v>
      </c>
      <c r="T11" s="1287">
        <f t="shared" si="8"/>
        <v>35567.274481669367</v>
      </c>
      <c r="U11" s="1287">
        <f t="shared" si="8"/>
        <v>37345.638205752832</v>
      </c>
      <c r="V11" s="1287">
        <f t="shared" si="8"/>
        <v>39212.920116040477</v>
      </c>
      <c r="W11" s="1287">
        <f t="shared" si="8"/>
        <v>41173.566121842501</v>
      </c>
      <c r="X11" s="1287">
        <f t="shared" si="8"/>
        <v>43232.244427934631</v>
      </c>
      <c r="Y11" s="1287">
        <f t="shared" si="8"/>
        <v>45393.856649331363</v>
      </c>
      <c r="Z11" s="1287">
        <f t="shared" si="8"/>
        <v>47663.549481797934</v>
      </c>
      <c r="AA11" s="1287">
        <f t="shared" si="8"/>
        <v>50046.726955887832</v>
      </c>
    </row>
    <row r="12" spans="2:28" ht="15">
      <c r="B12" s="1293" t="s">
        <v>268</v>
      </c>
      <c r="C12" s="1288">
        <f t="shared" ref="C12:AA12" si="9">C8*0.45</f>
        <v>3647.5919999999996</v>
      </c>
      <c r="D12" s="1288">
        <f t="shared" si="9"/>
        <v>4042.93923</v>
      </c>
      <c r="E12" s="1288">
        <f t="shared" si="9"/>
        <v>4447.2331530000001</v>
      </c>
      <c r="F12" s="1288">
        <f t="shared" si="9"/>
        <v>4891.9564683000008</v>
      </c>
      <c r="G12" s="1288">
        <f t="shared" si="9"/>
        <v>5381.1521151300021</v>
      </c>
      <c r="H12" s="1288">
        <f t="shared" si="9"/>
        <v>5919.2673266430029</v>
      </c>
      <c r="I12" s="1288">
        <f t="shared" si="9"/>
        <v>6511.1940593073023</v>
      </c>
      <c r="J12" s="1288">
        <f t="shared" si="9"/>
        <v>7162.313465238035</v>
      </c>
      <c r="K12" s="1288">
        <f t="shared" si="9"/>
        <v>7878.5448117618389</v>
      </c>
      <c r="L12" s="1288">
        <f t="shared" si="9"/>
        <v>8666.399292938022</v>
      </c>
      <c r="M12" s="1288">
        <f t="shared" si="9"/>
        <v>9099.719257584924</v>
      </c>
      <c r="N12" s="1288">
        <f t="shared" si="9"/>
        <v>9554.7052204641732</v>
      </c>
      <c r="O12" s="1288">
        <f t="shared" si="9"/>
        <v>10032.44048148738</v>
      </c>
      <c r="P12" s="1288">
        <f t="shared" si="9"/>
        <v>10534.062505561751</v>
      </c>
      <c r="Q12" s="1288">
        <f t="shared" si="9"/>
        <v>11060.76563083984</v>
      </c>
      <c r="R12" s="1288">
        <f t="shared" si="9"/>
        <v>11613.803912381831</v>
      </c>
      <c r="S12" s="1288">
        <f t="shared" si="9"/>
        <v>12194.494108000921</v>
      </c>
      <c r="T12" s="1288">
        <f t="shared" si="9"/>
        <v>12804.21881340097</v>
      </c>
      <c r="U12" s="1288">
        <f t="shared" si="9"/>
        <v>13444.429754071019</v>
      </c>
      <c r="V12" s="1288">
        <f t="shared" si="9"/>
        <v>14116.651241774573</v>
      </c>
      <c r="W12" s="1288">
        <f t="shared" si="9"/>
        <v>14822.483803863302</v>
      </c>
      <c r="X12" s="1288">
        <f t="shared" si="9"/>
        <v>15563.607994056467</v>
      </c>
      <c r="Y12" s="1288">
        <f t="shared" si="9"/>
        <v>16341.788393759292</v>
      </c>
      <c r="Z12" s="1288">
        <f t="shared" si="9"/>
        <v>17158.877813447256</v>
      </c>
      <c r="AA12" s="1288">
        <f t="shared" si="9"/>
        <v>18016.821704119619</v>
      </c>
    </row>
    <row r="13" spans="2:28" ht="15">
      <c r="B13" s="1293" t="s">
        <v>679</v>
      </c>
      <c r="C13" s="1288">
        <f t="shared" ref="C13:AA13" si="10">C9*0.45</f>
        <v>6484.6080000000011</v>
      </c>
      <c r="D13" s="1288">
        <f t="shared" si="10"/>
        <v>7187.4475200000006</v>
      </c>
      <c r="E13" s="1288">
        <f t="shared" si="10"/>
        <v>7906.1922720000011</v>
      </c>
      <c r="F13" s="1288">
        <f t="shared" si="10"/>
        <v>8696.8114992000028</v>
      </c>
      <c r="G13" s="1288">
        <f t="shared" si="10"/>
        <v>9566.4926491200022</v>
      </c>
      <c r="H13" s="1288">
        <f t="shared" si="10"/>
        <v>10523.141914032007</v>
      </c>
      <c r="I13" s="1288">
        <f t="shared" si="10"/>
        <v>11575.456105435207</v>
      </c>
      <c r="J13" s="1288">
        <f t="shared" si="10"/>
        <v>12733.001715978729</v>
      </c>
      <c r="K13" s="1288">
        <f t="shared" si="10"/>
        <v>14006.301887576603</v>
      </c>
      <c r="L13" s="1288">
        <f t="shared" si="10"/>
        <v>15406.932076334262</v>
      </c>
      <c r="M13" s="1288">
        <f t="shared" si="10"/>
        <v>16177.278680150981</v>
      </c>
      <c r="N13" s="1288">
        <f t="shared" si="10"/>
        <v>16986.142614158529</v>
      </c>
      <c r="O13" s="1288">
        <f t="shared" si="10"/>
        <v>17835.449744866455</v>
      </c>
      <c r="P13" s="1288">
        <f t="shared" si="10"/>
        <v>18727.22223210978</v>
      </c>
      <c r="Q13" s="1288">
        <f t="shared" si="10"/>
        <v>19663.583343715272</v>
      </c>
      <c r="R13" s="1288">
        <f t="shared" si="10"/>
        <v>20646.762510901033</v>
      </c>
      <c r="S13" s="1288">
        <f t="shared" si="10"/>
        <v>21679.100636446088</v>
      </c>
      <c r="T13" s="1288">
        <f t="shared" si="10"/>
        <v>22763.055668268396</v>
      </c>
      <c r="U13" s="1288">
        <f t="shared" si="10"/>
        <v>23901.208451681814</v>
      </c>
      <c r="V13" s="1288">
        <f t="shared" si="10"/>
        <v>25096.268874265905</v>
      </c>
      <c r="W13" s="1288">
        <f t="shared" si="10"/>
        <v>26351.082317979202</v>
      </c>
      <c r="X13" s="1288">
        <f t="shared" si="10"/>
        <v>27668.636433878164</v>
      </c>
      <c r="Y13" s="1288">
        <f t="shared" si="10"/>
        <v>29052.068255572074</v>
      </c>
      <c r="Z13" s="1288">
        <f t="shared" si="10"/>
        <v>30504.671668350678</v>
      </c>
      <c r="AA13" s="1288">
        <f t="shared" si="10"/>
        <v>32029.905251768214</v>
      </c>
    </row>
    <row r="15" spans="2:28" ht="15">
      <c r="B15" s="1219" t="s">
        <v>681</v>
      </c>
      <c r="C15" s="1287">
        <f>C11*0.5</f>
        <v>5066.1000000000004</v>
      </c>
      <c r="D15" s="1287">
        <f t="shared" ref="D15:AA17" si="11">D11*0.5</f>
        <v>5615.1933750000007</v>
      </c>
      <c r="E15" s="1287">
        <f t="shared" si="11"/>
        <v>6176.7127125000006</v>
      </c>
      <c r="F15" s="1287">
        <f t="shared" si="11"/>
        <v>6794.3839837500027</v>
      </c>
      <c r="G15" s="1287">
        <f t="shared" si="11"/>
        <v>7473.8223821250031</v>
      </c>
      <c r="H15" s="1287">
        <f t="shared" si="11"/>
        <v>8221.2046203375048</v>
      </c>
      <c r="I15" s="1287">
        <f t="shared" si="11"/>
        <v>9043.3250823712551</v>
      </c>
      <c r="J15" s="1287">
        <f t="shared" si="11"/>
        <v>9947.6575906083817</v>
      </c>
      <c r="K15" s="1287">
        <f t="shared" si="11"/>
        <v>10942.423349669221</v>
      </c>
      <c r="L15" s="1287">
        <f t="shared" si="11"/>
        <v>12036.665684636142</v>
      </c>
      <c r="M15" s="1287">
        <f t="shared" si="11"/>
        <v>12638.498968867952</v>
      </c>
      <c r="N15" s="1287">
        <f t="shared" si="11"/>
        <v>13270.423917311349</v>
      </c>
      <c r="O15" s="1287">
        <f t="shared" si="11"/>
        <v>13933.945113176918</v>
      </c>
      <c r="P15" s="1287">
        <f t="shared" si="11"/>
        <v>14630.642368835765</v>
      </c>
      <c r="Q15" s="1287">
        <f t="shared" si="11"/>
        <v>15362.174487277554</v>
      </c>
      <c r="R15" s="1287">
        <f t="shared" si="11"/>
        <v>16130.283211641432</v>
      </c>
      <c r="S15" s="1287">
        <f t="shared" si="11"/>
        <v>16936.797372223504</v>
      </c>
      <c r="T15" s="1287">
        <f t="shared" si="11"/>
        <v>17783.637240834683</v>
      </c>
      <c r="U15" s="1287">
        <f t="shared" si="11"/>
        <v>18672.819102876416</v>
      </c>
      <c r="V15" s="1287">
        <f t="shared" si="11"/>
        <v>19606.460058020239</v>
      </c>
      <c r="W15" s="1287">
        <f t="shared" si="11"/>
        <v>20586.783060921251</v>
      </c>
      <c r="X15" s="1287">
        <f t="shared" si="11"/>
        <v>21616.122213967315</v>
      </c>
      <c r="Y15" s="1287">
        <f t="shared" si="11"/>
        <v>22696.928324665681</v>
      </c>
      <c r="Z15" s="1287">
        <f t="shared" si="11"/>
        <v>23831.774740898967</v>
      </c>
      <c r="AA15" s="1287">
        <f t="shared" si="11"/>
        <v>25023.363477943916</v>
      </c>
    </row>
    <row r="16" spans="2:28" ht="15">
      <c r="B16" s="1293" t="s">
        <v>268</v>
      </c>
      <c r="C16" s="1288">
        <f t="shared" ref="C16:R17" si="12">C12*0.5</f>
        <v>1823.7959999999998</v>
      </c>
      <c r="D16" s="1288">
        <f t="shared" si="12"/>
        <v>2021.469615</v>
      </c>
      <c r="E16" s="1288">
        <f t="shared" si="12"/>
        <v>2223.6165765000001</v>
      </c>
      <c r="F16" s="1288">
        <f t="shared" si="12"/>
        <v>2445.9782341500004</v>
      </c>
      <c r="G16" s="1288">
        <f t="shared" si="12"/>
        <v>2690.5760575650011</v>
      </c>
      <c r="H16" s="1288">
        <f t="shared" si="12"/>
        <v>2959.6336633215014</v>
      </c>
      <c r="I16" s="1288">
        <f t="shared" si="12"/>
        <v>3255.5970296536511</v>
      </c>
      <c r="J16" s="1288">
        <f t="shared" si="12"/>
        <v>3581.1567326190175</v>
      </c>
      <c r="K16" s="1288">
        <f t="shared" si="12"/>
        <v>3939.2724058809195</v>
      </c>
      <c r="L16" s="1288">
        <f t="shared" si="12"/>
        <v>4333.199646469011</v>
      </c>
      <c r="M16" s="1288">
        <f t="shared" si="12"/>
        <v>4549.859628792462</v>
      </c>
      <c r="N16" s="1288">
        <f t="shared" si="12"/>
        <v>4777.3526102320866</v>
      </c>
      <c r="O16" s="1288">
        <f t="shared" si="12"/>
        <v>5016.2202407436898</v>
      </c>
      <c r="P16" s="1288">
        <f t="shared" si="12"/>
        <v>5267.0312527808755</v>
      </c>
      <c r="Q16" s="1288">
        <f t="shared" si="12"/>
        <v>5530.38281541992</v>
      </c>
      <c r="R16" s="1288">
        <f t="shared" si="12"/>
        <v>5806.9019561909154</v>
      </c>
      <c r="S16" s="1288">
        <f t="shared" si="11"/>
        <v>6097.2470540004606</v>
      </c>
      <c r="T16" s="1288">
        <f t="shared" si="11"/>
        <v>6402.1094067004851</v>
      </c>
      <c r="U16" s="1288">
        <f t="shared" si="11"/>
        <v>6722.2148770355097</v>
      </c>
      <c r="V16" s="1288">
        <f t="shared" si="11"/>
        <v>7058.3256208872863</v>
      </c>
      <c r="W16" s="1288">
        <f t="shared" si="11"/>
        <v>7411.2419019316512</v>
      </c>
      <c r="X16" s="1288">
        <f t="shared" si="11"/>
        <v>7781.8039970282334</v>
      </c>
      <c r="Y16" s="1288">
        <f t="shared" si="11"/>
        <v>8170.8941968796462</v>
      </c>
      <c r="Z16" s="1288">
        <f t="shared" si="11"/>
        <v>8579.438906723628</v>
      </c>
      <c r="AA16" s="1288">
        <f t="shared" si="11"/>
        <v>9008.4108520598093</v>
      </c>
    </row>
    <row r="17" spans="2:27" ht="15">
      <c r="B17" s="1293" t="s">
        <v>679</v>
      </c>
      <c r="C17" s="1288">
        <f t="shared" si="12"/>
        <v>3242.3040000000005</v>
      </c>
      <c r="D17" s="1288">
        <f t="shared" si="11"/>
        <v>3593.7237600000003</v>
      </c>
      <c r="E17" s="1288">
        <f t="shared" si="11"/>
        <v>3953.0961360000006</v>
      </c>
      <c r="F17" s="1288">
        <f t="shared" si="11"/>
        <v>4348.4057496000014</v>
      </c>
      <c r="G17" s="1288">
        <f t="shared" si="11"/>
        <v>4783.2463245600011</v>
      </c>
      <c r="H17" s="1288">
        <f t="shared" si="11"/>
        <v>5261.5709570160034</v>
      </c>
      <c r="I17" s="1288">
        <f t="shared" si="11"/>
        <v>5787.7280527176035</v>
      </c>
      <c r="J17" s="1288">
        <f t="shared" si="11"/>
        <v>6366.5008579893647</v>
      </c>
      <c r="K17" s="1288">
        <f t="shared" si="11"/>
        <v>7003.1509437883014</v>
      </c>
      <c r="L17" s="1288">
        <f t="shared" si="11"/>
        <v>7703.466038167131</v>
      </c>
      <c r="M17" s="1288">
        <f t="shared" si="11"/>
        <v>8088.6393400754905</v>
      </c>
      <c r="N17" s="1288">
        <f t="shared" si="11"/>
        <v>8493.0713070792644</v>
      </c>
      <c r="O17" s="1288">
        <f t="shared" si="11"/>
        <v>8917.7248724332276</v>
      </c>
      <c r="P17" s="1288">
        <f t="shared" si="11"/>
        <v>9363.6111160548899</v>
      </c>
      <c r="Q17" s="1288">
        <f t="shared" si="11"/>
        <v>9831.7916718576362</v>
      </c>
      <c r="R17" s="1288">
        <f t="shared" si="11"/>
        <v>10323.381255450517</v>
      </c>
      <c r="S17" s="1288">
        <f t="shared" si="11"/>
        <v>10839.550318223044</v>
      </c>
      <c r="T17" s="1288">
        <f t="shared" si="11"/>
        <v>11381.527834134198</v>
      </c>
      <c r="U17" s="1288">
        <f t="shared" si="11"/>
        <v>11950.604225840907</v>
      </c>
      <c r="V17" s="1288">
        <f t="shared" si="11"/>
        <v>12548.134437132952</v>
      </c>
      <c r="W17" s="1288">
        <f t="shared" si="11"/>
        <v>13175.541158989601</v>
      </c>
      <c r="X17" s="1288">
        <f t="shared" si="11"/>
        <v>13834.318216939082</v>
      </c>
      <c r="Y17" s="1288">
        <f t="shared" si="11"/>
        <v>14526.034127786037</v>
      </c>
      <c r="Z17" s="1288">
        <f t="shared" si="11"/>
        <v>15252.335834175339</v>
      </c>
      <c r="AA17" s="1288">
        <f t="shared" si="11"/>
        <v>16014.952625884107</v>
      </c>
    </row>
    <row r="19" spans="2:27" ht="15">
      <c r="B19" s="1219" t="s">
        <v>804</v>
      </c>
    </row>
    <row r="20" spans="2:27" ht="15">
      <c r="B20" s="1293" t="s">
        <v>268</v>
      </c>
      <c r="Q20" s="224">
        <v>0.05</v>
      </c>
      <c r="R20" s="224">
        <v>0.15</v>
      </c>
      <c r="S20" s="224">
        <v>0.25</v>
      </c>
      <c r="T20" s="224">
        <v>0.35</v>
      </c>
      <c r="U20" s="224">
        <v>0.45</v>
      </c>
      <c r="V20" s="224">
        <v>0.5</v>
      </c>
      <c r="W20" s="224">
        <v>0.55000000000000004</v>
      </c>
      <c r="X20" s="224">
        <v>0.56000000000000005</v>
      </c>
      <c r="Y20" s="224">
        <v>0.56999999999999995</v>
      </c>
      <c r="Z20" s="224">
        <v>0.57999999999999996</v>
      </c>
      <c r="AA20" s="224">
        <v>0.59</v>
      </c>
    </row>
    <row r="21" spans="2:27" ht="15">
      <c r="B21" s="1293" t="s">
        <v>679</v>
      </c>
      <c r="Q21" s="1289">
        <f>Q20/2</f>
        <v>2.5000000000000001E-2</v>
      </c>
      <c r="R21" s="1289">
        <f t="shared" ref="R21:AA21" si="13">R20/2</f>
        <v>7.4999999999999997E-2</v>
      </c>
      <c r="S21" s="1289">
        <f t="shared" si="13"/>
        <v>0.125</v>
      </c>
      <c r="T21" s="1289">
        <f t="shared" si="13"/>
        <v>0.17499999999999999</v>
      </c>
      <c r="U21" s="1289">
        <f t="shared" si="13"/>
        <v>0.22500000000000001</v>
      </c>
      <c r="V21" s="1289">
        <f t="shared" si="13"/>
        <v>0.25</v>
      </c>
      <c r="W21" s="1289">
        <f t="shared" si="13"/>
        <v>0.27500000000000002</v>
      </c>
      <c r="X21" s="1289">
        <f t="shared" si="13"/>
        <v>0.28000000000000003</v>
      </c>
      <c r="Y21" s="1289">
        <f t="shared" si="13"/>
        <v>0.28499999999999998</v>
      </c>
      <c r="Z21" s="1289">
        <f t="shared" si="13"/>
        <v>0.28999999999999998</v>
      </c>
      <c r="AA21" s="1289">
        <f t="shared" si="13"/>
        <v>0.29499999999999998</v>
      </c>
    </row>
    <row r="23" spans="2:27" ht="15">
      <c r="B23" s="1219" t="s">
        <v>803</v>
      </c>
    </row>
    <row r="24" spans="2:27" ht="15">
      <c r="B24" s="1293" t="s">
        <v>268</v>
      </c>
      <c r="Q24" s="1290">
        <f t="shared" ref="Q24:AA25" si="14">Q20*Q16</f>
        <v>276.51914077099599</v>
      </c>
      <c r="R24" s="1290">
        <f t="shared" si="14"/>
        <v>871.03529342863726</v>
      </c>
      <c r="S24" s="1290">
        <f t="shared" si="14"/>
        <v>1524.3117635001151</v>
      </c>
      <c r="T24" s="1290">
        <f t="shared" si="14"/>
        <v>2240.7382923451696</v>
      </c>
      <c r="U24" s="1290">
        <f t="shared" si="14"/>
        <v>3024.9966946659792</v>
      </c>
      <c r="V24" s="1290">
        <f t="shared" si="14"/>
        <v>3529.1628104436431</v>
      </c>
      <c r="W24" s="1290">
        <f t="shared" si="14"/>
        <v>4076.1830460624087</v>
      </c>
      <c r="X24" s="1290">
        <f t="shared" si="14"/>
        <v>4357.8102383358109</v>
      </c>
      <c r="Y24" s="1290">
        <f t="shared" si="14"/>
        <v>4657.4096922213976</v>
      </c>
      <c r="Z24" s="1290">
        <f t="shared" si="14"/>
        <v>4976.0745658997039</v>
      </c>
      <c r="AA24" s="1290">
        <f t="shared" si="14"/>
        <v>5314.9624027152868</v>
      </c>
    </row>
    <row r="25" spans="2:27" ht="15">
      <c r="B25" s="1293" t="s">
        <v>679</v>
      </c>
      <c r="Q25" s="1290">
        <f t="shared" si="14"/>
        <v>245.7947917964409</v>
      </c>
      <c r="R25" s="1290">
        <f t="shared" si="14"/>
        <v>774.2535941587887</v>
      </c>
      <c r="S25" s="1290">
        <f t="shared" si="14"/>
        <v>1354.9437897778805</v>
      </c>
      <c r="T25" s="1290">
        <f t="shared" si="14"/>
        <v>1991.7673709734845</v>
      </c>
      <c r="U25" s="1290">
        <f t="shared" si="14"/>
        <v>2688.8859508142041</v>
      </c>
      <c r="V25" s="1290">
        <f t="shared" si="14"/>
        <v>3137.0336092832381</v>
      </c>
      <c r="W25" s="1290">
        <f t="shared" si="14"/>
        <v>3623.2738187221407</v>
      </c>
      <c r="X25" s="1290">
        <f t="shared" si="14"/>
        <v>3873.6091007429432</v>
      </c>
      <c r="Y25" s="1290">
        <f t="shared" si="14"/>
        <v>4139.9197264190207</v>
      </c>
      <c r="Z25" s="1290">
        <f t="shared" si="14"/>
        <v>4423.1773919108482</v>
      </c>
      <c r="AA25" s="1290">
        <f t="shared" si="14"/>
        <v>4724.4110246358114</v>
      </c>
    </row>
    <row r="27" spans="2:27" ht="15">
      <c r="B27" s="1219" t="s">
        <v>685</v>
      </c>
    </row>
    <row r="28" spans="2:27" ht="15">
      <c r="B28" s="1293" t="s">
        <v>268</v>
      </c>
      <c r="Q28" s="1291">
        <v>125000</v>
      </c>
      <c r="R28" s="1291">
        <f>Q28*1.04</f>
        <v>130000</v>
      </c>
      <c r="S28" s="1291">
        <f t="shared" ref="S28:AA28" si="15">R28*1.04</f>
        <v>135200</v>
      </c>
      <c r="T28" s="1291">
        <f t="shared" si="15"/>
        <v>140608</v>
      </c>
      <c r="U28" s="1291">
        <f t="shared" si="15"/>
        <v>146232.32000000001</v>
      </c>
      <c r="V28" s="1291">
        <f t="shared" si="15"/>
        <v>152081.6128</v>
      </c>
      <c r="W28" s="1291">
        <f t="shared" si="15"/>
        <v>158164.877312</v>
      </c>
      <c r="X28" s="1291">
        <f t="shared" si="15"/>
        <v>164491.47240448001</v>
      </c>
      <c r="Y28" s="1291">
        <f t="shared" si="15"/>
        <v>171071.13130065921</v>
      </c>
      <c r="Z28" s="1291">
        <f t="shared" si="15"/>
        <v>177913.97655268558</v>
      </c>
      <c r="AA28" s="1291">
        <f t="shared" si="15"/>
        <v>185030.53561479301</v>
      </c>
    </row>
    <row r="29" spans="2:27" ht="15">
      <c r="B29" s="1293" t="s">
        <v>679</v>
      </c>
      <c r="Q29" s="1291">
        <v>75000</v>
      </c>
      <c r="R29" s="1291">
        <f>Q29</f>
        <v>75000</v>
      </c>
      <c r="S29" s="1291">
        <f t="shared" ref="S29:AA29" si="16">R29</f>
        <v>75000</v>
      </c>
      <c r="T29" s="1291">
        <f t="shared" si="16"/>
        <v>75000</v>
      </c>
      <c r="U29" s="1291">
        <f t="shared" si="16"/>
        <v>75000</v>
      </c>
      <c r="V29" s="1291">
        <f t="shared" si="16"/>
        <v>75000</v>
      </c>
      <c r="W29" s="1291">
        <f t="shared" si="16"/>
        <v>75000</v>
      </c>
      <c r="X29" s="1291">
        <f t="shared" si="16"/>
        <v>75000</v>
      </c>
      <c r="Y29" s="1291">
        <f t="shared" si="16"/>
        <v>75000</v>
      </c>
      <c r="Z29" s="1291">
        <f t="shared" si="16"/>
        <v>75000</v>
      </c>
      <c r="AA29" s="1291">
        <f t="shared" si="16"/>
        <v>75000</v>
      </c>
    </row>
    <row r="31" spans="2:27" ht="15">
      <c r="B31" s="1219" t="s">
        <v>423</v>
      </c>
    </row>
    <row r="32" spans="2:27" ht="15">
      <c r="B32" s="1293" t="s">
        <v>268</v>
      </c>
      <c r="C32" s="1290">
        <f>C28*C24</f>
        <v>0</v>
      </c>
      <c r="D32" s="1290">
        <f t="shared" ref="D32:AA33" si="17">D28*D24</f>
        <v>0</v>
      </c>
      <c r="E32" s="1290">
        <f t="shared" si="17"/>
        <v>0</v>
      </c>
      <c r="F32" s="1290">
        <f t="shared" si="17"/>
        <v>0</v>
      </c>
      <c r="G32" s="1290">
        <f t="shared" si="17"/>
        <v>0</v>
      </c>
      <c r="H32" s="1290">
        <f t="shared" si="17"/>
        <v>0</v>
      </c>
      <c r="I32" s="1290">
        <f t="shared" si="17"/>
        <v>0</v>
      </c>
      <c r="J32" s="1290">
        <f t="shared" si="17"/>
        <v>0</v>
      </c>
      <c r="K32" s="1290">
        <f t="shared" si="17"/>
        <v>0</v>
      </c>
      <c r="L32" s="1290">
        <f t="shared" si="17"/>
        <v>0</v>
      </c>
      <c r="M32" s="1290">
        <f t="shared" si="17"/>
        <v>0</v>
      </c>
      <c r="N32" s="1290">
        <f t="shared" si="17"/>
        <v>0</v>
      </c>
      <c r="O32" s="1290">
        <f t="shared" si="17"/>
        <v>0</v>
      </c>
      <c r="P32" s="1290">
        <f t="shared" si="17"/>
        <v>0</v>
      </c>
      <c r="Q32" s="1290">
        <f t="shared" si="17"/>
        <v>34564892.596374497</v>
      </c>
      <c r="R32" s="1290">
        <f t="shared" si="17"/>
        <v>113234588.14572285</v>
      </c>
      <c r="S32" s="1290">
        <f t="shared" si="17"/>
        <v>206086950.42521557</v>
      </c>
      <c r="T32" s="1290">
        <f t="shared" si="17"/>
        <v>315065729.81006962</v>
      </c>
      <c r="U32" s="1290">
        <f t="shared" si="17"/>
        <v>442352284.65333778</v>
      </c>
      <c r="V32" s="1290">
        <f t="shared" si="17"/>
        <v>536720772.04604995</v>
      </c>
      <c r="W32" s="1290">
        <f t="shared" si="17"/>
        <v>644708991.3817153</v>
      </c>
      <c r="X32" s="1290">
        <f t="shared" si="17"/>
        <v>716822622.56317544</v>
      </c>
      <c r="Y32" s="1290">
        <f t="shared" si="17"/>
        <v>796748344.97896945</v>
      </c>
      <c r="Z32" s="1290">
        <f t="shared" si="17"/>
        <v>885313213.64189494</v>
      </c>
      <c r="AA32" s="1290">
        <f t="shared" si="17"/>
        <v>983430340.14689672</v>
      </c>
    </row>
    <row r="33" spans="2:28" ht="15">
      <c r="B33" s="1293" t="s">
        <v>679</v>
      </c>
      <c r="C33" s="1290">
        <f>C29*C25</f>
        <v>0</v>
      </c>
      <c r="D33" s="1290">
        <f t="shared" si="17"/>
        <v>0</v>
      </c>
      <c r="E33" s="1290">
        <f t="shared" si="17"/>
        <v>0</v>
      </c>
      <c r="F33" s="1290">
        <f t="shared" si="17"/>
        <v>0</v>
      </c>
      <c r="G33" s="1290">
        <f t="shared" si="17"/>
        <v>0</v>
      </c>
      <c r="H33" s="1290">
        <f t="shared" si="17"/>
        <v>0</v>
      </c>
      <c r="I33" s="1290">
        <f t="shared" si="17"/>
        <v>0</v>
      </c>
      <c r="J33" s="1290">
        <f t="shared" si="17"/>
        <v>0</v>
      </c>
      <c r="K33" s="1290">
        <f t="shared" si="17"/>
        <v>0</v>
      </c>
      <c r="L33" s="1290">
        <f t="shared" si="17"/>
        <v>0</v>
      </c>
      <c r="M33" s="1290">
        <f t="shared" si="17"/>
        <v>0</v>
      </c>
      <c r="N33" s="1290">
        <f t="shared" si="17"/>
        <v>0</v>
      </c>
      <c r="O33" s="1290">
        <f t="shared" si="17"/>
        <v>0</v>
      </c>
      <c r="P33" s="1290">
        <f t="shared" si="17"/>
        <v>0</v>
      </c>
      <c r="Q33" s="1290">
        <f t="shared" si="17"/>
        <v>18434609.38473307</v>
      </c>
      <c r="R33" s="1290">
        <f t="shared" si="17"/>
        <v>58069019.561909154</v>
      </c>
      <c r="S33" s="1290">
        <f t="shared" si="17"/>
        <v>101620784.23334104</v>
      </c>
      <c r="T33" s="1290">
        <f t="shared" si="17"/>
        <v>149382552.82301134</v>
      </c>
      <c r="U33" s="1290">
        <f t="shared" si="17"/>
        <v>201666446.31106532</v>
      </c>
      <c r="V33" s="1290">
        <f t="shared" si="17"/>
        <v>235277520.69624287</v>
      </c>
      <c r="W33" s="1290">
        <f t="shared" si="17"/>
        <v>271745536.40416056</v>
      </c>
      <c r="X33" s="1290">
        <f t="shared" si="17"/>
        <v>290520682.55572075</v>
      </c>
      <c r="Y33" s="1290">
        <f t="shared" si="17"/>
        <v>310493979.48142654</v>
      </c>
      <c r="Z33" s="1290">
        <f t="shared" si="17"/>
        <v>331738304.39331359</v>
      </c>
      <c r="AA33" s="1290">
        <f t="shared" si="17"/>
        <v>354330826.84768587</v>
      </c>
    </row>
    <row r="35" spans="2:28" ht="15.75" thickBot="1">
      <c r="B35" s="1220" t="s">
        <v>683</v>
      </c>
      <c r="C35" s="1292">
        <f>C32+C33</f>
        <v>0</v>
      </c>
      <c r="D35" s="1292">
        <f t="shared" ref="D35:AA35" si="18">D32+D33</f>
        <v>0</v>
      </c>
      <c r="E35" s="1292">
        <f t="shared" si="18"/>
        <v>0</v>
      </c>
      <c r="F35" s="1292">
        <f t="shared" si="18"/>
        <v>0</v>
      </c>
      <c r="G35" s="1292">
        <f t="shared" si="18"/>
        <v>0</v>
      </c>
      <c r="H35" s="1292">
        <f t="shared" si="18"/>
        <v>0</v>
      </c>
      <c r="I35" s="1292">
        <f t="shared" si="18"/>
        <v>0</v>
      </c>
      <c r="J35" s="1292">
        <f t="shared" si="18"/>
        <v>0</v>
      </c>
      <c r="K35" s="1292">
        <f t="shared" si="18"/>
        <v>0</v>
      </c>
      <c r="L35" s="1292">
        <f t="shared" si="18"/>
        <v>0</v>
      </c>
      <c r="M35" s="1292">
        <f t="shared" si="18"/>
        <v>0</v>
      </c>
      <c r="N35" s="1292">
        <f t="shared" si="18"/>
        <v>0</v>
      </c>
      <c r="O35" s="1292">
        <f t="shared" si="18"/>
        <v>0</v>
      </c>
      <c r="P35" s="1292">
        <f t="shared" si="18"/>
        <v>0</v>
      </c>
      <c r="Q35" s="1292">
        <f t="shared" si="18"/>
        <v>52999501.981107563</v>
      </c>
      <c r="R35" s="1292">
        <f t="shared" si="18"/>
        <v>171303607.70763201</v>
      </c>
      <c r="S35" s="1292">
        <f t="shared" si="18"/>
        <v>307707734.65855658</v>
      </c>
      <c r="T35" s="1292">
        <f t="shared" si="18"/>
        <v>464448282.63308096</v>
      </c>
      <c r="U35" s="1292">
        <f t="shared" si="18"/>
        <v>644018730.96440315</v>
      </c>
      <c r="V35" s="1292">
        <f t="shared" si="18"/>
        <v>771998292.74229288</v>
      </c>
      <c r="W35" s="1292">
        <f t="shared" si="18"/>
        <v>916454527.7858758</v>
      </c>
      <c r="X35" s="1292">
        <f t="shared" si="18"/>
        <v>1007343305.1188962</v>
      </c>
      <c r="Y35" s="1292">
        <f t="shared" si="18"/>
        <v>1107242324.4603961</v>
      </c>
      <c r="Z35" s="1292">
        <f t="shared" si="18"/>
        <v>1217051518.0352085</v>
      </c>
      <c r="AA35" s="1292">
        <f t="shared" si="18"/>
        <v>1337761166.9945827</v>
      </c>
    </row>
    <row r="36" spans="2:28" ht="13.5" thickTop="1"/>
    <row r="37" spans="2:28">
      <c r="B37" s="241"/>
      <c r="C37" s="241"/>
      <c r="D37" s="241"/>
      <c r="E37" s="241"/>
      <c r="F37" s="241"/>
      <c r="G37" s="241"/>
      <c r="H37" s="241"/>
      <c r="I37" s="241"/>
      <c r="J37" s="241"/>
      <c r="K37" s="241"/>
      <c r="L37" s="241"/>
      <c r="M37" s="241"/>
      <c r="N37" s="241"/>
      <c r="O37" s="241"/>
      <c r="P37" s="241"/>
      <c r="Q37" s="1222"/>
      <c r="R37" s="1222"/>
      <c r="S37" s="1222"/>
      <c r="T37" s="1222"/>
      <c r="U37" s="1222"/>
      <c r="V37" s="1222"/>
      <c r="W37" s="1222"/>
      <c r="X37" s="1222"/>
      <c r="Y37" s="1222"/>
      <c r="Z37" s="1222"/>
      <c r="AA37" s="1222"/>
      <c r="AB37" s="241"/>
    </row>
    <row r="38" spans="2:28">
      <c r="B38" s="241"/>
      <c r="C38" s="241"/>
      <c r="D38" s="241"/>
      <c r="E38" s="241"/>
      <c r="F38" s="241"/>
      <c r="G38" s="241"/>
      <c r="H38" s="241"/>
      <c r="I38" s="241"/>
      <c r="J38" s="241"/>
      <c r="K38" s="241"/>
      <c r="L38" s="241"/>
      <c r="M38" s="241"/>
      <c r="N38" s="241"/>
      <c r="O38" s="241"/>
      <c r="P38" s="241"/>
      <c r="Q38" s="1222"/>
      <c r="R38" s="1222"/>
      <c r="S38" s="1222"/>
      <c r="T38" s="1222"/>
      <c r="U38" s="1222"/>
      <c r="V38" s="1222"/>
      <c r="W38" s="1222"/>
      <c r="X38" s="1222"/>
      <c r="Y38" s="1222"/>
      <c r="Z38" s="1222"/>
      <c r="AA38" s="1222"/>
      <c r="AB38" s="241"/>
    </row>
    <row r="39" spans="2:28">
      <c r="B39" s="241"/>
      <c r="C39" s="241"/>
      <c r="D39" s="241"/>
      <c r="E39" s="241"/>
      <c r="F39" s="241"/>
      <c r="G39" s="241"/>
      <c r="H39" s="241"/>
      <c r="I39" s="241"/>
      <c r="J39" s="241"/>
      <c r="K39" s="241"/>
      <c r="L39" s="241"/>
      <c r="M39" s="241"/>
      <c r="N39" s="241"/>
      <c r="O39" s="241"/>
      <c r="P39" s="241"/>
      <c r="Q39" s="1222"/>
      <c r="R39" s="1222"/>
      <c r="S39" s="1222"/>
      <c r="T39" s="1222"/>
      <c r="U39" s="1222"/>
      <c r="V39" s="1222"/>
      <c r="W39" s="1222"/>
      <c r="X39" s="1222"/>
      <c r="Y39" s="1222"/>
      <c r="Z39" s="1222"/>
      <c r="AA39" s="1222"/>
      <c r="AB39" s="241"/>
    </row>
    <row r="40" spans="2:28">
      <c r="B40" s="241"/>
      <c r="C40" s="241"/>
      <c r="D40" s="241"/>
      <c r="E40" s="241"/>
      <c r="F40" s="241"/>
      <c r="G40" s="241"/>
      <c r="H40" s="241"/>
      <c r="I40" s="241"/>
      <c r="J40" s="241"/>
      <c r="K40" s="241"/>
      <c r="L40" s="241"/>
      <c r="M40" s="241"/>
      <c r="N40" s="241"/>
      <c r="O40" s="241"/>
      <c r="P40" s="241"/>
      <c r="Q40" s="1222"/>
      <c r="R40" s="1222"/>
      <c r="S40" s="1222"/>
      <c r="T40" s="1222"/>
      <c r="U40" s="1222"/>
      <c r="V40" s="1222"/>
      <c r="W40" s="1222"/>
      <c r="X40" s="1222"/>
      <c r="Y40" s="1222"/>
      <c r="Z40" s="1222"/>
      <c r="AA40" s="1222"/>
      <c r="AB40" s="241"/>
    </row>
    <row r="41" spans="2:28">
      <c r="B41" s="241"/>
      <c r="C41" s="241"/>
      <c r="D41" s="241"/>
      <c r="E41" s="241"/>
      <c r="F41" s="241"/>
      <c r="G41" s="241"/>
      <c r="H41" s="241"/>
      <c r="I41" s="241"/>
      <c r="J41" s="241"/>
      <c r="K41" s="241"/>
      <c r="L41" s="241"/>
      <c r="M41" s="241"/>
      <c r="N41" s="241"/>
      <c r="O41" s="241"/>
      <c r="P41" s="241"/>
      <c r="Q41" s="1222"/>
      <c r="R41" s="1222"/>
      <c r="S41" s="1222"/>
      <c r="T41" s="1222"/>
      <c r="U41" s="1222"/>
      <c r="V41" s="1222"/>
      <c r="W41" s="1222"/>
      <c r="X41" s="1222"/>
      <c r="Y41" s="1222"/>
      <c r="Z41" s="1222"/>
      <c r="AA41" s="1222"/>
      <c r="AB41" s="241"/>
    </row>
    <row r="42" spans="2:28">
      <c r="B42" s="241"/>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row>
    <row r="43" spans="2:28" ht="15">
      <c r="B43" s="241"/>
      <c r="C43" s="241"/>
      <c r="D43" s="241"/>
      <c r="E43" s="241"/>
      <c r="F43" s="241"/>
      <c r="G43" s="241"/>
      <c r="H43" s="241"/>
      <c r="I43" s="241"/>
      <c r="J43" s="241"/>
      <c r="K43" s="241"/>
      <c r="L43" s="241"/>
      <c r="M43" s="241"/>
      <c r="N43" s="241"/>
      <c r="O43" s="241"/>
      <c r="P43" s="241"/>
      <c r="Q43" s="1303"/>
      <c r="R43" s="1303"/>
      <c r="S43" s="1303"/>
      <c r="T43" s="1303"/>
      <c r="U43" s="1303"/>
      <c r="V43" s="1303"/>
      <c r="W43" s="1303"/>
      <c r="X43" s="1303"/>
      <c r="Y43" s="1303"/>
      <c r="Z43" s="1303"/>
      <c r="AA43" s="1303"/>
      <c r="AB43" s="1303"/>
    </row>
    <row r="44" spans="2:28">
      <c r="G44" s="200"/>
    </row>
    <row r="47" spans="2:28">
      <c r="B47" s="224"/>
    </row>
    <row r="48" spans="2:28">
      <c r="B48" s="222"/>
    </row>
    <row r="49" spans="2:2">
      <c r="B49" s="224"/>
    </row>
    <row r="50" spans="2:2">
      <c r="B50" s="222"/>
    </row>
  </sheetData>
  <pageMargins left="0.7" right="0.7" top="0.75" bottom="0.75" header="0.3" footer="0.3"/>
  <pageSetup orientation="portrait" horizontalDpi="90" verticalDpi="9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T80"/>
  <sheetViews>
    <sheetView showGridLines="0" workbookViewId="0"/>
  </sheetViews>
  <sheetFormatPr defaultColWidth="9.140625" defaultRowHeight="12.75" outlineLevelCol="1"/>
  <cols>
    <col min="1" max="1" width="4.7109375" customWidth="1"/>
    <col min="2" max="2" width="49.7109375" bestFit="1" customWidth="1"/>
    <col min="3" max="11" width="11.85546875" hidden="1" customWidth="1" outlineLevel="1"/>
    <col min="12" max="12" width="11.28515625" bestFit="1" customWidth="1" collapsed="1"/>
    <col min="13" max="20" width="12.28515625" bestFit="1" customWidth="1"/>
  </cols>
  <sheetData>
    <row r="1" spans="2:20">
      <c r="B1" s="1295" t="s">
        <v>4</v>
      </c>
      <c r="C1" s="1309"/>
      <c r="D1" s="1309"/>
      <c r="E1" s="1309"/>
      <c r="F1" s="1309"/>
      <c r="G1" s="1309"/>
      <c r="H1" s="1309"/>
      <c r="I1" s="1309"/>
      <c r="J1" s="1309"/>
      <c r="K1" s="1309"/>
      <c r="L1" s="1309"/>
      <c r="M1" s="1309"/>
      <c r="N1" s="1309"/>
      <c r="O1" s="1309"/>
      <c r="P1" s="1309"/>
      <c r="Q1" s="1309"/>
      <c r="R1" s="1309"/>
      <c r="S1" s="1309"/>
      <c r="T1" s="1309"/>
    </row>
    <row r="2" spans="2:20">
      <c r="B2" s="1497" t="s">
        <v>697</v>
      </c>
      <c r="C2" s="1498">
        <v>2013</v>
      </c>
      <c r="D2" s="1498">
        <v>2014</v>
      </c>
      <c r="E2" s="1498">
        <v>2015</v>
      </c>
      <c r="F2" s="1498">
        <v>2016</v>
      </c>
      <c r="G2" s="1498">
        <v>2017</v>
      </c>
      <c r="H2" s="1498">
        <v>2018</v>
      </c>
      <c r="I2" s="1498">
        <v>2019</v>
      </c>
      <c r="J2" s="1498">
        <v>2020</v>
      </c>
      <c r="K2" s="1498">
        <v>2021</v>
      </c>
      <c r="L2" s="1498">
        <v>2022</v>
      </c>
      <c r="M2" s="1498">
        <v>2023</v>
      </c>
      <c r="N2" s="1498">
        <v>2024</v>
      </c>
      <c r="O2" s="1498">
        <v>2025</v>
      </c>
      <c r="P2" s="1498">
        <v>2026</v>
      </c>
      <c r="Q2" s="1498">
        <v>2027</v>
      </c>
      <c r="R2" s="1498">
        <v>2028</v>
      </c>
      <c r="S2" s="1498">
        <v>2029</v>
      </c>
      <c r="T2" s="1499">
        <v>2030</v>
      </c>
    </row>
    <row r="3" spans="2:20">
      <c r="B3" s="1296" t="s">
        <v>698</v>
      </c>
      <c r="C3" s="1308">
        <v>8338.6398174818878</v>
      </c>
      <c r="D3" s="1308">
        <v>8526.1329998226447</v>
      </c>
      <c r="E3" s="1308">
        <v>8726.2498783666324</v>
      </c>
      <c r="F3" s="1308">
        <v>8920.68377620922</v>
      </c>
      <c r="G3" s="1308">
        <v>9119.5280502144869</v>
      </c>
      <c r="H3" s="1308">
        <v>9322.8033031362247</v>
      </c>
      <c r="I3" s="1308">
        <v>9531.5842166555776</v>
      </c>
      <c r="J3" s="1308">
        <v>9745.5459215904084</v>
      </c>
      <c r="K3" s="1308">
        <v>9965.8961519381755</v>
      </c>
      <c r="L3" s="1308">
        <v>10191.009462829288</v>
      </c>
      <c r="M3" s="1308">
        <v>10420.713389644281</v>
      </c>
      <c r="N3" s="1308">
        <v>10655.65848833921</v>
      </c>
      <c r="O3" s="1308">
        <v>10894.805451232511</v>
      </c>
      <c r="P3" s="1308">
        <v>11139.515370771405</v>
      </c>
      <c r="Q3" s="1308">
        <v>11389.933291372205</v>
      </c>
      <c r="R3" s="1308">
        <v>11646.221145785672</v>
      </c>
      <c r="S3" s="1308">
        <v>11908.413756837943</v>
      </c>
      <c r="T3" s="1308">
        <v>12176.59574114779</v>
      </c>
    </row>
    <row r="4" spans="2:20">
      <c r="B4" s="1296" t="s">
        <v>699</v>
      </c>
      <c r="C4" s="1308">
        <v>5837.0478722373209</v>
      </c>
      <c r="D4" s="1308">
        <v>5968.2930998758511</v>
      </c>
      <c r="E4" s="1308">
        <v>6108.3749148566421</v>
      </c>
      <c r="F4" s="1308">
        <v>6244.4786433464533</v>
      </c>
      <c r="G4" s="1308">
        <v>6383.6696351501405</v>
      </c>
      <c r="H4" s="1308">
        <v>6525.9623121953573</v>
      </c>
      <c r="I4" s="1308">
        <v>6672.1089516589036</v>
      </c>
      <c r="J4" s="1308">
        <v>6821.8821451132853</v>
      </c>
      <c r="K4" s="1308">
        <v>6976.1273063567223</v>
      </c>
      <c r="L4" s="1308">
        <v>7133.7066239805017</v>
      </c>
      <c r="M4" s="1308">
        <v>7294.4993727509964</v>
      </c>
      <c r="N4" s="1308">
        <v>7458.9609418374466</v>
      </c>
      <c r="O4" s="1308">
        <v>7626.3638158627573</v>
      </c>
      <c r="P4" s="1308">
        <v>7797.6607595399828</v>
      </c>
      <c r="Q4" s="1308">
        <v>7972.9533039605431</v>
      </c>
      <c r="R4" s="1308">
        <v>8152.3548020499702</v>
      </c>
      <c r="S4" s="1308">
        <v>8335.8896297865595</v>
      </c>
      <c r="T4" s="1308">
        <v>8523.6170188034521</v>
      </c>
    </row>
    <row r="5" spans="2:20">
      <c r="B5" s="1296" t="s">
        <v>700</v>
      </c>
      <c r="C5" s="1308">
        <v>3210.3763297305268</v>
      </c>
      <c r="D5" s="1308">
        <v>3282.5612049317183</v>
      </c>
      <c r="E5" s="1308">
        <v>3359.6062031711535</v>
      </c>
      <c r="F5" s="1308">
        <v>3434.4632538405494</v>
      </c>
      <c r="G5" s="1308">
        <v>3511.0182993325775</v>
      </c>
      <c r="H5" s="1308">
        <v>3589.2792717074467</v>
      </c>
      <c r="I5" s="1308">
        <v>3669.6599234123973</v>
      </c>
      <c r="J5" s="1308">
        <v>3752.0351798123074</v>
      </c>
      <c r="K5" s="1308">
        <v>3836.8700184961976</v>
      </c>
      <c r="L5" s="1308">
        <v>3923.5386431892762</v>
      </c>
      <c r="M5" s="1308">
        <v>4011.9746550130485</v>
      </c>
      <c r="N5" s="1308">
        <v>4102.4285180105962</v>
      </c>
      <c r="O5" s="1308">
        <v>4194.5000987245166</v>
      </c>
      <c r="P5" s="1308">
        <v>4288.7134177469907</v>
      </c>
      <c r="Q5" s="1308">
        <v>4385.124317178299</v>
      </c>
      <c r="R5" s="1308">
        <v>4483.7951411274844</v>
      </c>
      <c r="S5" s="1308">
        <v>4584.7392963826078</v>
      </c>
      <c r="T5" s="1308">
        <v>4687.9893603418986</v>
      </c>
    </row>
    <row r="6" spans="2:20">
      <c r="B6" s="1309"/>
      <c r="C6" s="1309"/>
      <c r="D6" s="1309"/>
      <c r="E6" s="1309"/>
      <c r="F6" s="1309"/>
      <c r="G6" s="1309"/>
      <c r="H6" s="1309"/>
      <c r="I6" s="1309"/>
      <c r="J6" s="1309"/>
      <c r="K6" s="1309"/>
      <c r="L6" s="1309"/>
      <c r="M6" s="1309"/>
      <c r="N6" s="1309"/>
      <c r="O6" s="1309"/>
      <c r="P6" s="1309"/>
      <c r="Q6" s="1309"/>
      <c r="R6" s="1309"/>
      <c r="S6" s="1309"/>
      <c r="T6" s="1309"/>
    </row>
    <row r="7" spans="2:20">
      <c r="B7" s="1295" t="s">
        <v>701</v>
      </c>
      <c r="C7" s="1309"/>
      <c r="D7" s="1309"/>
      <c r="E7" s="1309"/>
      <c r="F7" s="1309"/>
      <c r="G7" s="1309"/>
      <c r="H7" s="1309"/>
      <c r="I7" s="1309"/>
      <c r="J7" s="1309"/>
      <c r="K7" s="1309"/>
      <c r="L7" s="1309"/>
      <c r="M7" s="1309"/>
      <c r="N7" s="1309"/>
      <c r="O7" s="1309"/>
      <c r="P7" s="1309"/>
      <c r="Q7" s="1309"/>
      <c r="R7" s="1309"/>
      <c r="S7" s="1309"/>
      <c r="T7" s="1309"/>
    </row>
    <row r="8" spans="2:20">
      <c r="B8" s="1296" t="s">
        <v>698</v>
      </c>
      <c r="C8" s="1310">
        <f>C3*0.52</f>
        <v>4336.0927050905821</v>
      </c>
      <c r="D8" s="1310">
        <f t="shared" ref="D8:T10" si="0">D3*0.52</f>
        <v>4433.589159907775</v>
      </c>
      <c r="E8" s="1310">
        <f t="shared" si="0"/>
        <v>4537.6499367506494</v>
      </c>
      <c r="F8" s="1310">
        <f t="shared" si="0"/>
        <v>4638.7555636287943</v>
      </c>
      <c r="G8" s="1310">
        <f t="shared" si="0"/>
        <v>4742.1545861115337</v>
      </c>
      <c r="H8" s="1310">
        <f t="shared" si="0"/>
        <v>4847.8577176308372</v>
      </c>
      <c r="I8" s="1310">
        <f t="shared" si="0"/>
        <v>4956.4237926609003</v>
      </c>
      <c r="J8" s="1310">
        <f t="shared" si="0"/>
        <v>5067.6838792270128</v>
      </c>
      <c r="K8" s="1310">
        <f t="shared" si="0"/>
        <v>5182.2659990078519</v>
      </c>
      <c r="L8" s="1310">
        <f t="shared" si="0"/>
        <v>5299.3249206712298</v>
      </c>
      <c r="M8" s="1310">
        <f t="shared" si="0"/>
        <v>5418.7709626150263</v>
      </c>
      <c r="N8" s="1310">
        <f t="shared" si="0"/>
        <v>5540.9424139363891</v>
      </c>
      <c r="O8" s="1310">
        <f t="shared" si="0"/>
        <v>5665.2988346409056</v>
      </c>
      <c r="P8" s="1310">
        <f t="shared" si="0"/>
        <v>5792.5479928011309</v>
      </c>
      <c r="Q8" s="1310">
        <f t="shared" si="0"/>
        <v>5922.7653115135463</v>
      </c>
      <c r="R8" s="1310">
        <f t="shared" si="0"/>
        <v>6056.0349958085499</v>
      </c>
      <c r="S8" s="1310">
        <f t="shared" si="0"/>
        <v>6192.3751535557303</v>
      </c>
      <c r="T8" s="1310">
        <f t="shared" si="0"/>
        <v>6331.8297853968515</v>
      </c>
    </row>
    <row r="9" spans="2:20">
      <c r="B9" s="1296" t="s">
        <v>699</v>
      </c>
      <c r="C9" s="1310">
        <f>C4*0.52</f>
        <v>3035.264893563407</v>
      </c>
      <c r="D9" s="1310">
        <f t="shared" si="0"/>
        <v>3103.5124119354427</v>
      </c>
      <c r="E9" s="1310">
        <f t="shared" si="0"/>
        <v>3176.3549557254541</v>
      </c>
      <c r="F9" s="1310">
        <f t="shared" si="0"/>
        <v>3247.1288945401557</v>
      </c>
      <c r="G9" s="1310">
        <f t="shared" si="0"/>
        <v>3319.508210278073</v>
      </c>
      <c r="H9" s="1310">
        <f t="shared" si="0"/>
        <v>3393.5004023415859</v>
      </c>
      <c r="I9" s="1310">
        <f t="shared" si="0"/>
        <v>3469.4966548626298</v>
      </c>
      <c r="J9" s="1310">
        <f t="shared" si="0"/>
        <v>3547.3787154589086</v>
      </c>
      <c r="K9" s="1310">
        <f t="shared" si="0"/>
        <v>3627.5861993054959</v>
      </c>
      <c r="L9" s="1310">
        <f t="shared" si="0"/>
        <v>3709.5274444698612</v>
      </c>
      <c r="M9" s="1310">
        <f t="shared" si="0"/>
        <v>3793.1396738305184</v>
      </c>
      <c r="N9" s="1310">
        <f t="shared" si="0"/>
        <v>3878.6596897554723</v>
      </c>
      <c r="O9" s="1310">
        <f t="shared" si="0"/>
        <v>3965.7091842486338</v>
      </c>
      <c r="P9" s="1310">
        <f t="shared" si="0"/>
        <v>4054.7835949607911</v>
      </c>
      <c r="Q9" s="1310">
        <f t="shared" si="0"/>
        <v>4145.9357180594825</v>
      </c>
      <c r="R9" s="1310">
        <f t="shared" si="0"/>
        <v>4239.2244970659849</v>
      </c>
      <c r="S9" s="1310">
        <f t="shared" si="0"/>
        <v>4334.662607489011</v>
      </c>
      <c r="T9" s="1310">
        <f t="shared" si="0"/>
        <v>4432.2808497777951</v>
      </c>
    </row>
    <row r="10" spans="2:20">
      <c r="B10" s="1296" t="s">
        <v>700</v>
      </c>
      <c r="C10" s="1310">
        <f>C5*0.52</f>
        <v>1669.3956914598739</v>
      </c>
      <c r="D10" s="1310">
        <f t="shared" si="0"/>
        <v>1706.9318265644936</v>
      </c>
      <c r="E10" s="1310">
        <f t="shared" si="0"/>
        <v>1746.9952256489998</v>
      </c>
      <c r="F10" s="1310">
        <f t="shared" si="0"/>
        <v>1785.9208919970858</v>
      </c>
      <c r="G10" s="1310">
        <f t="shared" si="0"/>
        <v>1825.7295156529403</v>
      </c>
      <c r="H10" s="1310">
        <f t="shared" si="0"/>
        <v>1866.4252212878723</v>
      </c>
      <c r="I10" s="1310">
        <f t="shared" si="0"/>
        <v>1908.2231601744468</v>
      </c>
      <c r="J10" s="1310">
        <f t="shared" si="0"/>
        <v>1951.0582935023999</v>
      </c>
      <c r="K10" s="1310">
        <f t="shared" si="0"/>
        <v>1995.1724096180228</v>
      </c>
      <c r="L10" s="1310">
        <f t="shared" si="0"/>
        <v>2040.2400944584238</v>
      </c>
      <c r="M10" s="1310">
        <f t="shared" si="0"/>
        <v>2086.2268206067852</v>
      </c>
      <c r="N10" s="1310">
        <f t="shared" si="0"/>
        <v>2133.2628293655102</v>
      </c>
      <c r="O10" s="1310">
        <f t="shared" si="0"/>
        <v>2181.1400513367489</v>
      </c>
      <c r="P10" s="1310">
        <f t="shared" si="0"/>
        <v>2230.1309772284353</v>
      </c>
      <c r="Q10" s="1310">
        <f t="shared" si="0"/>
        <v>2280.2646449327153</v>
      </c>
      <c r="R10" s="1310">
        <f t="shared" si="0"/>
        <v>2331.5734733862919</v>
      </c>
      <c r="S10" s="1310">
        <f t="shared" si="0"/>
        <v>2384.0644341189563</v>
      </c>
      <c r="T10" s="1310">
        <f t="shared" si="0"/>
        <v>2437.7544673777875</v>
      </c>
    </row>
    <row r="11" spans="2:20">
      <c r="B11" s="1309"/>
      <c r="C11" s="1309"/>
      <c r="D11" s="1309"/>
      <c r="E11" s="1309"/>
      <c r="F11" s="1309"/>
      <c r="G11" s="1309"/>
      <c r="H11" s="1309"/>
      <c r="I11" s="1309"/>
      <c r="J11" s="1309"/>
      <c r="K11" s="1309"/>
      <c r="L11" s="1309"/>
      <c r="M11" s="1309"/>
      <c r="N11" s="1309"/>
      <c r="O11" s="1309"/>
      <c r="P11" s="1309"/>
      <c r="Q11" s="1309"/>
      <c r="R11" s="1309"/>
      <c r="S11" s="1309"/>
      <c r="T11" s="1309"/>
    </row>
    <row r="12" spans="2:20">
      <c r="B12" s="1295" t="s">
        <v>702</v>
      </c>
      <c r="C12" s="1309"/>
      <c r="D12" s="1308"/>
      <c r="E12" s="1311"/>
      <c r="F12" s="1308"/>
      <c r="G12" s="1308"/>
      <c r="H12" s="1308"/>
      <c r="I12" s="1308"/>
      <c r="J12" s="1308"/>
      <c r="K12" s="1308"/>
      <c r="L12" s="1308">
        <v>10000</v>
      </c>
      <c r="M12" s="1308">
        <f t="shared" ref="M12:T12" si="1">L12*1.025</f>
        <v>10250</v>
      </c>
      <c r="N12" s="1308">
        <f t="shared" si="1"/>
        <v>10506.249999999998</v>
      </c>
      <c r="O12" s="1308">
        <f t="shared" si="1"/>
        <v>10768.906249999996</v>
      </c>
      <c r="P12" s="1308">
        <f t="shared" si="1"/>
        <v>11038.128906249995</v>
      </c>
      <c r="Q12" s="1308">
        <f t="shared" si="1"/>
        <v>11314.082128906244</v>
      </c>
      <c r="R12" s="1308">
        <f t="shared" si="1"/>
        <v>11596.9341821289</v>
      </c>
      <c r="S12" s="1308">
        <f t="shared" si="1"/>
        <v>11886.857536682121</v>
      </c>
      <c r="T12" s="1308">
        <f t="shared" si="1"/>
        <v>12184.028975099172</v>
      </c>
    </row>
    <row r="13" spans="2:20">
      <c r="B13" s="1309"/>
      <c r="C13" s="1309"/>
      <c r="D13" s="1309"/>
      <c r="E13" s="1309"/>
      <c r="F13" s="1309"/>
      <c r="G13" s="1309"/>
      <c r="H13" s="1309"/>
      <c r="I13" s="1309"/>
      <c r="J13" s="1309"/>
      <c r="K13" s="1309"/>
      <c r="L13" s="1309"/>
      <c r="M13" s="1309"/>
      <c r="N13" s="1309"/>
      <c r="O13" s="1309"/>
      <c r="P13" s="1309"/>
      <c r="Q13" s="1309"/>
      <c r="R13" s="1309"/>
      <c r="S13" s="1309"/>
      <c r="T13" s="1309"/>
    </row>
    <row r="14" spans="2:20">
      <c r="B14" s="1295" t="s">
        <v>368</v>
      </c>
      <c r="C14" s="1309"/>
      <c r="D14" s="1309"/>
      <c r="E14" s="1309"/>
      <c r="F14" s="1309"/>
      <c r="G14" s="1309"/>
      <c r="H14" s="1309"/>
      <c r="I14" s="1309"/>
      <c r="J14" s="1309"/>
      <c r="K14" s="1309"/>
      <c r="L14" s="1309"/>
      <c r="M14" s="1309"/>
      <c r="N14" s="1309"/>
      <c r="O14" s="1309"/>
      <c r="P14" s="1309"/>
      <c r="Q14" s="1309"/>
      <c r="R14" s="1309"/>
      <c r="S14" s="1309"/>
      <c r="T14" s="1309"/>
    </row>
    <row r="15" spans="2:20">
      <c r="B15" s="1296" t="s">
        <v>698</v>
      </c>
      <c r="C15" s="1316"/>
      <c r="D15" s="1316"/>
      <c r="E15" s="1316"/>
      <c r="F15" s="1316"/>
      <c r="G15" s="1316"/>
      <c r="H15" s="1316"/>
      <c r="I15" s="1316"/>
      <c r="J15" s="1316"/>
      <c r="K15" s="1316"/>
      <c r="L15" s="1316">
        <v>15</v>
      </c>
      <c r="M15" s="1316">
        <v>15</v>
      </c>
      <c r="N15" s="1316">
        <v>15</v>
      </c>
      <c r="O15" s="1316">
        <v>15</v>
      </c>
      <c r="P15" s="1316">
        <v>15</v>
      </c>
      <c r="Q15" s="1316">
        <v>15</v>
      </c>
      <c r="R15" s="1316">
        <v>15</v>
      </c>
      <c r="S15" s="1316">
        <v>15</v>
      </c>
      <c r="T15" s="1316">
        <v>15</v>
      </c>
    </row>
    <row r="16" spans="2:20">
      <c r="B16" s="1296" t="s">
        <v>699</v>
      </c>
      <c r="C16" s="1316"/>
      <c r="D16" s="1316"/>
      <c r="E16" s="1316"/>
      <c r="F16" s="1316"/>
      <c r="G16" s="1316"/>
      <c r="H16" s="1316"/>
      <c r="I16" s="1316"/>
      <c r="J16" s="1316"/>
      <c r="K16" s="1316"/>
      <c r="L16" s="1316">
        <v>13</v>
      </c>
      <c r="M16" s="1316">
        <v>13</v>
      </c>
      <c r="N16" s="1316">
        <v>13</v>
      </c>
      <c r="O16" s="1316">
        <v>13</v>
      </c>
      <c r="P16" s="1316">
        <v>13</v>
      </c>
      <c r="Q16" s="1316">
        <v>13</v>
      </c>
      <c r="R16" s="1316">
        <v>13</v>
      </c>
      <c r="S16" s="1316">
        <v>13</v>
      </c>
      <c r="T16" s="1316">
        <v>13</v>
      </c>
    </row>
    <row r="17" spans="2:20">
      <c r="B17" s="1296" t="s">
        <v>700</v>
      </c>
      <c r="C17" s="1316"/>
      <c r="D17" s="1316"/>
      <c r="E17" s="1316"/>
      <c r="F17" s="1316"/>
      <c r="G17" s="1316"/>
      <c r="H17" s="1316"/>
      <c r="I17" s="1316"/>
      <c r="J17" s="1316"/>
      <c r="K17" s="1316"/>
      <c r="L17" s="1316">
        <v>8</v>
      </c>
      <c r="M17" s="1316">
        <v>8</v>
      </c>
      <c r="N17" s="1316">
        <v>8</v>
      </c>
      <c r="O17" s="1316">
        <v>8</v>
      </c>
      <c r="P17" s="1316">
        <v>8</v>
      </c>
      <c r="Q17" s="1316">
        <v>8</v>
      </c>
      <c r="R17" s="1316">
        <v>8</v>
      </c>
      <c r="S17" s="1316">
        <v>8</v>
      </c>
      <c r="T17" s="1316">
        <v>8</v>
      </c>
    </row>
    <row r="18" spans="2:20">
      <c r="B18" s="1309"/>
      <c r="C18" s="1309"/>
      <c r="D18" s="1309"/>
      <c r="E18" s="1309"/>
      <c r="F18" s="1309"/>
      <c r="G18" s="1309"/>
      <c r="H18" s="1309"/>
      <c r="I18" s="1309"/>
      <c r="J18" s="1309"/>
      <c r="K18" s="1309"/>
      <c r="L18" s="1309"/>
      <c r="M18" s="1309"/>
      <c r="N18" s="1309"/>
      <c r="O18" s="1309"/>
      <c r="P18" s="1309"/>
      <c r="Q18" s="1309"/>
      <c r="R18" s="1309"/>
      <c r="S18" s="1309"/>
      <c r="T18" s="1309"/>
    </row>
    <row r="19" spans="2:20">
      <c r="B19" s="1309" t="s">
        <v>703</v>
      </c>
      <c r="C19" s="1309"/>
      <c r="D19" s="1309"/>
      <c r="E19" s="1309"/>
      <c r="F19" s="1309"/>
      <c r="G19" s="1309"/>
      <c r="H19" s="1309"/>
      <c r="I19" s="1309"/>
      <c r="J19" s="1309"/>
      <c r="K19" s="1309"/>
      <c r="L19" s="1309"/>
      <c r="M19" s="1309"/>
      <c r="N19" s="1309"/>
      <c r="O19" s="1309"/>
      <c r="P19" s="1309"/>
      <c r="Q19" s="1309"/>
      <c r="R19" s="1309"/>
      <c r="S19" s="1309"/>
      <c r="T19" s="1309"/>
    </row>
    <row r="20" spans="2:20">
      <c r="B20" s="1296" t="s">
        <v>698</v>
      </c>
      <c r="C20" s="1309"/>
      <c r="D20" s="1309"/>
      <c r="E20" s="1309"/>
      <c r="F20" s="1312"/>
      <c r="G20" s="1310"/>
      <c r="H20" s="1310"/>
      <c r="I20" s="1310"/>
      <c r="J20" s="1310"/>
      <c r="K20" s="1310"/>
      <c r="L20" s="1310">
        <f t="shared" ref="L20:T20" si="2">L15*L12</f>
        <v>150000</v>
      </c>
      <c r="M20" s="1310">
        <f t="shared" si="2"/>
        <v>153750</v>
      </c>
      <c r="N20" s="1310">
        <f t="shared" si="2"/>
        <v>157593.74999999997</v>
      </c>
      <c r="O20" s="1310">
        <f t="shared" si="2"/>
        <v>161533.59374999994</v>
      </c>
      <c r="P20" s="1310">
        <f t="shared" si="2"/>
        <v>165571.93359374991</v>
      </c>
      <c r="Q20" s="1310">
        <f t="shared" si="2"/>
        <v>169711.23193359366</v>
      </c>
      <c r="R20" s="1310">
        <f t="shared" si="2"/>
        <v>173954.0127319335</v>
      </c>
      <c r="S20" s="1310">
        <f t="shared" si="2"/>
        <v>178302.8630502318</v>
      </c>
      <c r="T20" s="1310">
        <f t="shared" si="2"/>
        <v>182760.43462648758</v>
      </c>
    </row>
    <row r="21" spans="2:20">
      <c r="B21" s="1296" t="s">
        <v>699</v>
      </c>
      <c r="C21" s="1308"/>
      <c r="D21" s="1308"/>
      <c r="E21" s="1308"/>
      <c r="F21" s="1308"/>
      <c r="G21" s="1308"/>
      <c r="H21" s="1308"/>
      <c r="I21" s="1308"/>
      <c r="J21" s="1308"/>
      <c r="K21" s="1308"/>
      <c r="L21" s="1308">
        <f t="shared" ref="L21:T21" si="3">L16*L12</f>
        <v>130000</v>
      </c>
      <c r="M21" s="1308">
        <f t="shared" si="3"/>
        <v>133250</v>
      </c>
      <c r="N21" s="1308">
        <f t="shared" si="3"/>
        <v>136581.24999999997</v>
      </c>
      <c r="O21" s="1308">
        <f t="shared" si="3"/>
        <v>139995.78124999994</v>
      </c>
      <c r="P21" s="1308">
        <f t="shared" si="3"/>
        <v>143495.67578124994</v>
      </c>
      <c r="Q21" s="1308">
        <f t="shared" si="3"/>
        <v>147083.06767578117</v>
      </c>
      <c r="R21" s="1308">
        <f t="shared" si="3"/>
        <v>150760.1443676757</v>
      </c>
      <c r="S21" s="1308">
        <f t="shared" si="3"/>
        <v>154529.14797686756</v>
      </c>
      <c r="T21" s="1308">
        <f t="shared" si="3"/>
        <v>158392.37667628925</v>
      </c>
    </row>
    <row r="22" spans="2:20">
      <c r="B22" s="1296" t="s">
        <v>700</v>
      </c>
      <c r="C22" s="1308"/>
      <c r="D22" s="1308"/>
      <c r="E22" s="1308"/>
      <c r="F22" s="1308"/>
      <c r="G22" s="1308"/>
      <c r="H22" s="1308"/>
      <c r="I22" s="1308"/>
      <c r="J22" s="1308"/>
      <c r="K22" s="1308"/>
      <c r="L22" s="1308">
        <f t="shared" ref="L22:T22" si="4">L17*L12</f>
        <v>80000</v>
      </c>
      <c r="M22" s="1308">
        <f t="shared" si="4"/>
        <v>82000</v>
      </c>
      <c r="N22" s="1308">
        <f t="shared" si="4"/>
        <v>84049.999999999985</v>
      </c>
      <c r="O22" s="1308">
        <f t="shared" si="4"/>
        <v>86151.249999999971</v>
      </c>
      <c r="P22" s="1308">
        <f t="shared" si="4"/>
        <v>88305.031249999956</v>
      </c>
      <c r="Q22" s="1308">
        <f t="shared" si="4"/>
        <v>90512.657031249953</v>
      </c>
      <c r="R22" s="1308">
        <f t="shared" si="4"/>
        <v>92775.473457031199</v>
      </c>
      <c r="S22" s="1308">
        <f t="shared" si="4"/>
        <v>95094.860293456964</v>
      </c>
      <c r="T22" s="1308">
        <f t="shared" si="4"/>
        <v>97472.231800793379</v>
      </c>
    </row>
    <row r="23" spans="2:20">
      <c r="B23" s="1309"/>
      <c r="C23" s="1309"/>
      <c r="D23" s="1309"/>
      <c r="E23" s="1309"/>
      <c r="F23" s="1309"/>
      <c r="G23" s="1309"/>
      <c r="H23" s="1309"/>
      <c r="I23" s="1309"/>
      <c r="J23" s="1309"/>
      <c r="K23" s="1309"/>
      <c r="L23" s="1309"/>
      <c r="M23" s="1309"/>
      <c r="N23" s="1309"/>
      <c r="O23" s="1309"/>
      <c r="P23" s="1309"/>
      <c r="Q23" s="1309"/>
      <c r="R23" s="1309"/>
      <c r="S23" s="1309"/>
      <c r="T23" s="1309"/>
    </row>
    <row r="24" spans="2:20">
      <c r="B24" s="1309" t="s">
        <v>682</v>
      </c>
      <c r="C24" s="1309"/>
      <c r="D24" s="1309"/>
      <c r="E24" s="1309"/>
      <c r="F24" s="1309"/>
      <c r="G24" s="1309"/>
      <c r="H24" s="1309"/>
      <c r="I24" s="1309"/>
      <c r="J24" s="1309"/>
      <c r="K24" s="1309"/>
      <c r="L24" s="1309"/>
      <c r="M24" s="1309"/>
      <c r="N24" s="1309"/>
      <c r="O24" s="1309"/>
      <c r="P24" s="1309"/>
      <c r="Q24" s="1309"/>
      <c r="R24" s="1309"/>
      <c r="S24" s="1309"/>
      <c r="T24" s="1309"/>
    </row>
    <row r="25" spans="2:20">
      <c r="B25" s="1296" t="s">
        <v>698</v>
      </c>
      <c r="C25" s="1309"/>
      <c r="D25" s="1309"/>
      <c r="E25" s="1309"/>
      <c r="F25" s="1313"/>
      <c r="G25" s="1313"/>
      <c r="H25" s="1313"/>
      <c r="I25" s="1313"/>
      <c r="J25" s="1313"/>
      <c r="K25" s="1313"/>
      <c r="L25" s="1313"/>
      <c r="M25" s="1313"/>
      <c r="N25" s="1313">
        <v>0.01</v>
      </c>
      <c r="O25" s="1313">
        <v>0.03</v>
      </c>
      <c r="P25" s="1313">
        <v>0.04</v>
      </c>
      <c r="Q25" s="1313">
        <v>0.05</v>
      </c>
      <c r="R25" s="1313">
        <v>0.06</v>
      </c>
      <c r="S25" s="1313">
        <v>7.0000000000000007E-2</v>
      </c>
      <c r="T25" s="1313">
        <v>0.08</v>
      </c>
    </row>
    <row r="26" spans="2:20">
      <c r="B26" s="1296" t="s">
        <v>699</v>
      </c>
      <c r="C26" s="1309"/>
      <c r="D26" s="1313"/>
      <c r="E26" s="1313"/>
      <c r="F26" s="1313"/>
      <c r="G26" s="1313"/>
      <c r="H26" s="1313"/>
      <c r="I26" s="1313"/>
      <c r="J26" s="1313"/>
      <c r="K26" s="1313"/>
      <c r="L26" s="1313">
        <v>0.01</v>
      </c>
      <c r="M26" s="1313">
        <v>0.03</v>
      </c>
      <c r="N26" s="1313">
        <v>0.04</v>
      </c>
      <c r="O26" s="1313">
        <v>0.05</v>
      </c>
      <c r="P26" s="1313">
        <v>0.06</v>
      </c>
      <c r="Q26" s="1313">
        <v>7.0000000000000007E-2</v>
      </c>
      <c r="R26" s="1313">
        <v>0.08</v>
      </c>
      <c r="S26" s="1313">
        <v>0.09</v>
      </c>
      <c r="T26" s="1313">
        <v>0.1</v>
      </c>
    </row>
    <row r="27" spans="2:20">
      <c r="B27" s="1296" t="s">
        <v>700</v>
      </c>
      <c r="C27" s="1309"/>
      <c r="D27" s="1313"/>
      <c r="E27" s="1313"/>
      <c r="F27" s="1313"/>
      <c r="G27" s="1313"/>
      <c r="H27" s="1313"/>
      <c r="I27" s="1313"/>
      <c r="J27" s="1313"/>
      <c r="K27" s="1313"/>
      <c r="L27" s="1313">
        <v>0.02</v>
      </c>
      <c r="M27" s="1313">
        <v>0.05</v>
      </c>
      <c r="N27" s="1313">
        <v>7.0000000000000007E-2</v>
      </c>
      <c r="O27" s="1313">
        <v>0.08</v>
      </c>
      <c r="P27" s="1313">
        <v>0.1</v>
      </c>
      <c r="Q27" s="1313">
        <v>0.11</v>
      </c>
      <c r="R27" s="1313">
        <v>0.12</v>
      </c>
      <c r="S27" s="1313">
        <v>0.13</v>
      </c>
      <c r="T27" s="1313">
        <v>0.14000000000000001</v>
      </c>
    </row>
    <row r="28" spans="2:20">
      <c r="B28" s="1309"/>
      <c r="C28" s="1309"/>
      <c r="D28" s="1309"/>
      <c r="E28" s="1309"/>
      <c r="F28" s="1309"/>
      <c r="G28" s="1309"/>
      <c r="H28" s="1309"/>
      <c r="I28" s="1309"/>
      <c r="J28" s="1309"/>
      <c r="K28" s="1309"/>
      <c r="L28" s="1309"/>
      <c r="M28" s="1309"/>
      <c r="N28" s="1309"/>
      <c r="O28" s="1309"/>
      <c r="P28" s="1309"/>
      <c r="Q28" s="1309"/>
      <c r="R28" s="1309"/>
      <c r="S28" s="1309"/>
      <c r="T28" s="1309"/>
    </row>
    <row r="29" spans="2:20">
      <c r="B29" s="1309" t="s">
        <v>704</v>
      </c>
      <c r="C29" s="1309"/>
      <c r="D29" s="1309"/>
      <c r="E29" s="1309"/>
      <c r="F29" s="1309"/>
      <c r="G29" s="1309"/>
      <c r="H29" s="1309"/>
      <c r="I29" s="1309"/>
      <c r="J29" s="1309"/>
      <c r="K29" s="1309"/>
      <c r="L29" s="1309"/>
      <c r="M29" s="1309"/>
      <c r="N29" s="1309"/>
      <c r="O29" s="1309"/>
      <c r="P29" s="1309"/>
      <c r="Q29" s="1309"/>
      <c r="R29" s="1309"/>
      <c r="S29" s="1309"/>
      <c r="T29" s="1309"/>
    </row>
    <row r="30" spans="2:20">
      <c r="B30" s="1296" t="s">
        <v>698</v>
      </c>
      <c r="C30" s="1309"/>
      <c r="D30" s="1309"/>
      <c r="E30" s="1309"/>
      <c r="F30" s="1310">
        <f>F25*F20*F8</f>
        <v>0</v>
      </c>
      <c r="G30" s="1310">
        <f t="shared" ref="G30:T32" si="5">G25*G20*G8</f>
        <v>0</v>
      </c>
      <c r="H30" s="1310">
        <f t="shared" si="5"/>
        <v>0</v>
      </c>
      <c r="I30" s="1310">
        <f t="shared" si="5"/>
        <v>0</v>
      </c>
      <c r="J30" s="1310">
        <f t="shared" si="5"/>
        <v>0</v>
      </c>
      <c r="K30" s="1310">
        <f t="shared" si="5"/>
        <v>0</v>
      </c>
      <c r="L30" s="1310">
        <f t="shared" si="5"/>
        <v>0</v>
      </c>
      <c r="M30" s="1310">
        <f t="shared" si="5"/>
        <v>0</v>
      </c>
      <c r="N30" s="1310">
        <f t="shared" si="5"/>
        <v>8732178.9354628772</v>
      </c>
      <c r="O30" s="1310">
        <f t="shared" si="5"/>
        <v>27454082.412816964</v>
      </c>
      <c r="P30" s="1310">
        <f t="shared" si="5"/>
        <v>38363334.864107132</v>
      </c>
      <c r="Q30" s="1310">
        <f t="shared" si="5"/>
        <v>50257989.873525932</v>
      </c>
      <c r="R30" s="1310">
        <f t="shared" si="5"/>
        <v>63208295.325954922</v>
      </c>
      <c r="S30" s="1310">
        <f t="shared" si="5"/>
        <v>77288275.327207401</v>
      </c>
      <c r="T30" s="1310">
        <f t="shared" si="5"/>
        <v>92576637.084805459</v>
      </c>
    </row>
    <row r="31" spans="2:20">
      <c r="B31" s="1296" t="s">
        <v>699</v>
      </c>
      <c r="C31" s="1309"/>
      <c r="D31" s="1308">
        <f>D26*D21*D9</f>
        <v>0</v>
      </c>
      <c r="E31" s="1308">
        <f>E26*E21*E9</f>
        <v>0</v>
      </c>
      <c r="F31" s="1308">
        <f>F26*F21*F9</f>
        <v>0</v>
      </c>
      <c r="G31" s="1308">
        <f t="shared" si="5"/>
        <v>0</v>
      </c>
      <c r="H31" s="1308">
        <f t="shared" si="5"/>
        <v>0</v>
      </c>
      <c r="I31" s="1308">
        <f t="shared" si="5"/>
        <v>0</v>
      </c>
      <c r="J31" s="1308">
        <f t="shared" si="5"/>
        <v>0</v>
      </c>
      <c r="K31" s="1308">
        <f t="shared" si="5"/>
        <v>0</v>
      </c>
      <c r="L31" s="1308">
        <f t="shared" si="5"/>
        <v>4822385.6778108198</v>
      </c>
      <c r="M31" s="1308">
        <f t="shared" si="5"/>
        <v>15163075.846137498</v>
      </c>
      <c r="N31" s="1308">
        <f t="shared" si="5"/>
        <v>21190087.55005658</v>
      </c>
      <c r="O31" s="1308">
        <f t="shared" si="5"/>
        <v>27759127.772959374</v>
      </c>
      <c r="P31" s="1308">
        <f t="shared" si="5"/>
        <v>34910634.726337485</v>
      </c>
      <c r="Q31" s="1308">
        <f t="shared" si="5"/>
        <v>42685786.06591469</v>
      </c>
      <c r="R31" s="1308">
        <f t="shared" si="5"/>
        <v>51128487.774772428</v>
      </c>
      <c r="S31" s="1308">
        <f t="shared" si="5"/>
        <v>60284854.755221754</v>
      </c>
      <c r="T31" s="1308">
        <f t="shared" si="5"/>
        <v>70203949.789310798</v>
      </c>
    </row>
    <row r="32" spans="2:20">
      <c r="B32" s="1296" t="s">
        <v>700</v>
      </c>
      <c r="C32" s="1309"/>
      <c r="D32" s="1308">
        <f>D27*D22*D10</f>
        <v>0</v>
      </c>
      <c r="E32" s="1308">
        <f>E27*E22*E10</f>
        <v>0</v>
      </c>
      <c r="F32" s="1308">
        <f>F27*F22*F10</f>
        <v>0</v>
      </c>
      <c r="G32" s="1308">
        <f t="shared" si="5"/>
        <v>0</v>
      </c>
      <c r="H32" s="1308">
        <f t="shared" si="5"/>
        <v>0</v>
      </c>
      <c r="I32" s="1308">
        <f t="shared" si="5"/>
        <v>0</v>
      </c>
      <c r="J32" s="1308">
        <f t="shared" si="5"/>
        <v>0</v>
      </c>
      <c r="K32" s="1308">
        <f t="shared" si="5"/>
        <v>0</v>
      </c>
      <c r="L32" s="1308">
        <f t="shared" si="5"/>
        <v>3264384.1511334782</v>
      </c>
      <c r="M32" s="1308">
        <f t="shared" si="5"/>
        <v>8553529.964487819</v>
      </c>
      <c r="N32" s="1308">
        <f t="shared" si="5"/>
        <v>12551051.856571978</v>
      </c>
      <c r="O32" s="1308">
        <f t="shared" si="5"/>
        <v>15032635.347818002</v>
      </c>
      <c r="P32" s="1308">
        <f t="shared" si="5"/>
        <v>19693178.563574992</v>
      </c>
      <c r="Q32" s="1308">
        <f t="shared" si="5"/>
        <v>22703209.292200781</v>
      </c>
      <c r="R32" s="1308">
        <f t="shared" si="5"/>
        <v>25957539.947192155</v>
      </c>
      <c r="S32" s="1308">
        <f t="shared" si="5"/>
        <v>29472595.658108421</v>
      </c>
      <c r="T32" s="1308">
        <f t="shared" si="5"/>
        <v>33265871.592473425</v>
      </c>
    </row>
    <row r="33" spans="2:20" ht="13.5" thickBot="1">
      <c r="B33" s="1297" t="s">
        <v>705</v>
      </c>
      <c r="C33" s="1297"/>
      <c r="D33" s="1298">
        <f>D31+D32+D30</f>
        <v>0</v>
      </c>
      <c r="E33" s="1298">
        <f t="shared" ref="E33:T33" si="6">E31+E32+E30</f>
        <v>0</v>
      </c>
      <c r="F33" s="1298">
        <f t="shared" si="6"/>
        <v>0</v>
      </c>
      <c r="G33" s="1298">
        <f t="shared" si="6"/>
        <v>0</v>
      </c>
      <c r="H33" s="1298">
        <f t="shared" si="6"/>
        <v>0</v>
      </c>
      <c r="I33" s="1298">
        <f t="shared" si="6"/>
        <v>0</v>
      </c>
      <c r="J33" s="1298">
        <f t="shared" si="6"/>
        <v>0</v>
      </c>
      <c r="K33" s="1298">
        <f t="shared" si="6"/>
        <v>0</v>
      </c>
      <c r="L33" s="1298">
        <f t="shared" si="6"/>
        <v>8086769.8289442975</v>
      </c>
      <c r="M33" s="1298">
        <f t="shared" si="6"/>
        <v>23716605.810625315</v>
      </c>
      <c r="N33" s="1298">
        <f t="shared" si="6"/>
        <v>42473318.342091434</v>
      </c>
      <c r="O33" s="1298">
        <f t="shared" si="6"/>
        <v>70245845.53359434</v>
      </c>
      <c r="P33" s="1298">
        <f t="shared" si="6"/>
        <v>92967148.154019609</v>
      </c>
      <c r="Q33" s="1298">
        <f t="shared" si="6"/>
        <v>115646985.23164141</v>
      </c>
      <c r="R33" s="1298">
        <f t="shared" si="6"/>
        <v>140294323.04791951</v>
      </c>
      <c r="S33" s="1298">
        <f t="shared" si="6"/>
        <v>167045725.74053758</v>
      </c>
      <c r="T33" s="1298">
        <f t="shared" si="6"/>
        <v>196046458.46658969</v>
      </c>
    </row>
    <row r="34" spans="2:20" ht="13.5" thickTop="1">
      <c r="B34" s="1309"/>
      <c r="C34" s="1309"/>
      <c r="D34" s="1309"/>
      <c r="E34" s="1309"/>
      <c r="F34" s="1309"/>
      <c r="G34" s="1309"/>
      <c r="H34" s="1309"/>
      <c r="I34" s="1309"/>
      <c r="J34" s="1309"/>
      <c r="K34" s="1309"/>
      <c r="L34" s="1309"/>
      <c r="M34" s="1309"/>
      <c r="N34" s="1309"/>
      <c r="O34" s="1309"/>
      <c r="P34" s="1309"/>
      <c r="Q34" s="1309"/>
      <c r="R34" s="1309"/>
      <c r="S34" s="1309"/>
      <c r="T34" s="1309"/>
    </row>
    <row r="35" spans="2:20">
      <c r="B35" s="1295" t="s">
        <v>706</v>
      </c>
      <c r="C35" s="1309"/>
      <c r="D35" s="1309"/>
      <c r="E35" s="1309"/>
      <c r="F35" s="1309"/>
      <c r="G35" s="1309"/>
      <c r="H35" s="1309"/>
      <c r="I35" s="1309"/>
      <c r="J35" s="1309"/>
      <c r="K35" s="1309"/>
      <c r="L35" s="1309"/>
      <c r="M35" s="1309"/>
      <c r="N35" s="1309"/>
      <c r="O35" s="1309"/>
      <c r="P35" s="1309"/>
      <c r="Q35" s="1309"/>
      <c r="R35" s="1309"/>
      <c r="S35" s="1309"/>
      <c r="T35" s="1309"/>
    </row>
    <row r="36" spans="2:20">
      <c r="B36" s="1296" t="s">
        <v>707</v>
      </c>
      <c r="C36" s="1308"/>
      <c r="D36" s="1308"/>
      <c r="E36" s="1308">
        <v>11354.37335097735</v>
      </c>
      <c r="F36" s="1308">
        <v>11587.981960647099</v>
      </c>
      <c r="G36" s="1308">
        <v>11804.981579899604</v>
      </c>
      <c r="H36" s="1308">
        <v>12027.552526132142</v>
      </c>
      <c r="I36" s="1308">
        <v>12254.980293670815</v>
      </c>
      <c r="J36" s="1308">
        <v>12486.943117425832</v>
      </c>
      <c r="K36" s="1308">
        <v>12724.280845634063</v>
      </c>
      <c r="L36" s="1308">
        <v>12966.611793057478</v>
      </c>
      <c r="M36" s="1308">
        <v>13214.766172554364</v>
      </c>
      <c r="N36" s="1308">
        <v>13467.131157823687</v>
      </c>
      <c r="O36" s="1308">
        <v>13723.537197245912</v>
      </c>
      <c r="P36" s="1308">
        <v>13984.608509536394</v>
      </c>
      <c r="Q36" s="1308">
        <v>14249.671833186969</v>
      </c>
      <c r="R36" s="1308">
        <v>14520.054075252501</v>
      </c>
      <c r="S36" s="1308">
        <v>14795.894562582193</v>
      </c>
      <c r="T36" s="1308">
        <v>15077.167895526429</v>
      </c>
    </row>
    <row r="37" spans="2:20">
      <c r="B37" s="1309"/>
      <c r="C37" s="1309"/>
      <c r="D37" s="1309"/>
      <c r="E37" s="1309"/>
      <c r="F37" s="1309"/>
      <c r="G37" s="1309"/>
      <c r="H37" s="1309"/>
      <c r="I37" s="1309"/>
      <c r="J37" s="1309"/>
      <c r="K37" s="1309"/>
      <c r="L37" s="1309"/>
      <c r="M37" s="1309"/>
      <c r="N37" s="1309"/>
      <c r="O37" s="1309"/>
      <c r="P37" s="1309"/>
      <c r="Q37" s="1309"/>
      <c r="R37" s="1309"/>
      <c r="S37" s="1309"/>
      <c r="T37" s="1309"/>
    </row>
    <row r="38" spans="2:20">
      <c r="B38" s="1309" t="str">
        <f t="shared" ref="B38:T38" si="7">B12</f>
        <v>INCB050465/INCB039110  Cost/Patient/Month</v>
      </c>
      <c r="C38" s="1308"/>
      <c r="D38" s="1308"/>
      <c r="E38" s="1308"/>
      <c r="F38" s="1308"/>
      <c r="G38" s="1308"/>
      <c r="H38" s="1308"/>
      <c r="I38" s="1308"/>
      <c r="J38" s="1308"/>
      <c r="K38" s="1308"/>
      <c r="L38" s="1308">
        <f t="shared" si="7"/>
        <v>10000</v>
      </c>
      <c r="M38" s="1308">
        <f t="shared" si="7"/>
        <v>10250</v>
      </c>
      <c r="N38" s="1308">
        <f t="shared" si="7"/>
        <v>10506.249999999998</v>
      </c>
      <c r="O38" s="1308">
        <f t="shared" si="7"/>
        <v>10768.906249999996</v>
      </c>
      <c r="P38" s="1308">
        <f t="shared" si="7"/>
        <v>11038.128906249995</v>
      </c>
      <c r="Q38" s="1308">
        <f t="shared" si="7"/>
        <v>11314.082128906244</v>
      </c>
      <c r="R38" s="1308">
        <f t="shared" si="7"/>
        <v>11596.9341821289</v>
      </c>
      <c r="S38" s="1308">
        <f t="shared" si="7"/>
        <v>11886.857536682121</v>
      </c>
      <c r="T38" s="1308">
        <f t="shared" si="7"/>
        <v>12184.028975099172</v>
      </c>
    </row>
    <row r="39" spans="2:20">
      <c r="B39" s="1309"/>
      <c r="C39" s="1309"/>
      <c r="D39" s="1309"/>
      <c r="E39" s="1309"/>
      <c r="F39" s="1309"/>
      <c r="G39" s="1309"/>
      <c r="H39" s="1309"/>
      <c r="I39" s="1309"/>
      <c r="J39" s="1309"/>
      <c r="K39" s="1309"/>
      <c r="L39" s="1309"/>
      <c r="M39" s="1309"/>
      <c r="N39" s="1309"/>
      <c r="O39" s="1309"/>
      <c r="P39" s="1309"/>
      <c r="Q39" s="1309"/>
      <c r="R39" s="1309"/>
      <c r="S39" s="1309"/>
      <c r="T39" s="1309"/>
    </row>
    <row r="40" spans="2:20">
      <c r="B40" s="1295" t="s">
        <v>368</v>
      </c>
      <c r="C40" s="1309"/>
      <c r="D40" s="1309"/>
      <c r="E40" s="1309"/>
      <c r="F40" s="1309"/>
      <c r="G40" s="1309"/>
      <c r="H40" s="1309"/>
      <c r="I40" s="1309"/>
      <c r="J40" s="1309"/>
      <c r="K40" s="1309"/>
      <c r="L40" s="1309">
        <v>10</v>
      </c>
      <c r="M40" s="1309">
        <v>10</v>
      </c>
      <c r="N40" s="1309">
        <v>10</v>
      </c>
      <c r="O40" s="1309">
        <v>10</v>
      </c>
      <c r="P40" s="1309">
        <v>10</v>
      </c>
      <c r="Q40" s="1309">
        <v>10</v>
      </c>
      <c r="R40" s="1309">
        <v>10</v>
      </c>
      <c r="S40" s="1309">
        <v>10</v>
      </c>
      <c r="T40" s="1309">
        <v>10</v>
      </c>
    </row>
    <row r="41" spans="2:20">
      <c r="B41" s="1309"/>
      <c r="C41" s="1309"/>
      <c r="D41" s="1309"/>
      <c r="E41" s="1309"/>
      <c r="F41" s="1309"/>
      <c r="G41" s="1309"/>
      <c r="H41" s="1309"/>
      <c r="I41" s="1309"/>
      <c r="J41" s="1309"/>
      <c r="K41" s="1309"/>
      <c r="L41" s="1309"/>
      <c r="M41" s="1309"/>
      <c r="N41" s="1309"/>
      <c r="O41" s="1309"/>
      <c r="P41" s="1309"/>
      <c r="Q41" s="1309"/>
      <c r="R41" s="1309"/>
      <c r="S41" s="1309"/>
      <c r="T41" s="1309"/>
    </row>
    <row r="42" spans="2:20">
      <c r="B42" s="1296" t="s">
        <v>702</v>
      </c>
      <c r="C42" s="1309"/>
      <c r="D42" s="1310"/>
      <c r="E42" s="1310"/>
      <c r="F42" s="1310"/>
      <c r="G42" s="1310"/>
      <c r="H42" s="1310"/>
      <c r="I42" s="1310"/>
      <c r="J42" s="1310"/>
      <c r="K42" s="1310"/>
      <c r="L42" s="1310">
        <f t="shared" ref="L42:T42" si="8">L40*L38</f>
        <v>100000</v>
      </c>
      <c r="M42" s="1310">
        <f t="shared" si="8"/>
        <v>102500</v>
      </c>
      <c r="N42" s="1310">
        <f t="shared" si="8"/>
        <v>105062.49999999999</v>
      </c>
      <c r="O42" s="1310">
        <f t="shared" si="8"/>
        <v>107689.06249999997</v>
      </c>
      <c r="P42" s="1310">
        <f t="shared" si="8"/>
        <v>110381.28906249994</v>
      </c>
      <c r="Q42" s="1310">
        <f t="shared" si="8"/>
        <v>113140.82128906244</v>
      </c>
      <c r="R42" s="1310">
        <f t="shared" si="8"/>
        <v>115969.341821289</v>
      </c>
      <c r="S42" s="1310">
        <f t="shared" si="8"/>
        <v>118868.5753668212</v>
      </c>
      <c r="T42" s="1310">
        <f t="shared" si="8"/>
        <v>121840.28975099172</v>
      </c>
    </row>
    <row r="43" spans="2:20">
      <c r="B43" s="1309"/>
      <c r="C43" s="1309"/>
      <c r="D43" s="1309"/>
      <c r="E43" s="1309"/>
      <c r="F43" s="1309"/>
      <c r="G43" s="1309"/>
      <c r="H43" s="1309"/>
      <c r="I43" s="1309"/>
      <c r="J43" s="1309"/>
      <c r="K43" s="1309"/>
      <c r="L43" s="1309"/>
      <c r="M43" s="1309"/>
      <c r="N43" s="1309"/>
      <c r="O43" s="1309"/>
      <c r="P43" s="1309"/>
      <c r="Q43" s="1309"/>
      <c r="R43" s="1309"/>
      <c r="S43" s="1309"/>
      <c r="T43" s="1309"/>
    </row>
    <row r="44" spans="2:20">
      <c r="B44" s="1296" t="s">
        <v>682</v>
      </c>
      <c r="C44" s="1309"/>
      <c r="D44" s="1313"/>
      <c r="E44" s="1313"/>
      <c r="F44" s="1313"/>
      <c r="G44" s="1313"/>
      <c r="H44" s="1313"/>
      <c r="I44" s="1313"/>
      <c r="J44" s="1313"/>
      <c r="K44" s="1313"/>
      <c r="L44" s="1313">
        <v>0.01</v>
      </c>
      <c r="M44" s="1313">
        <v>0.05</v>
      </c>
      <c r="N44" s="1313">
        <v>7.0000000000000007E-2</v>
      </c>
      <c r="O44" s="1313">
        <v>0.08</v>
      </c>
      <c r="P44" s="1313">
        <v>0.1</v>
      </c>
      <c r="Q44" s="1313">
        <v>0.11</v>
      </c>
      <c r="R44" s="1313">
        <v>0.12</v>
      </c>
      <c r="S44" s="1313">
        <v>0.13</v>
      </c>
      <c r="T44" s="1313">
        <v>0.14000000000000001</v>
      </c>
    </row>
    <row r="45" spans="2:20">
      <c r="B45" s="1309"/>
      <c r="C45" s="1309"/>
      <c r="D45" s="1309"/>
      <c r="E45" s="1309"/>
      <c r="F45" s="1309"/>
      <c r="G45" s="1309"/>
      <c r="H45" s="1309"/>
      <c r="I45" s="1309"/>
      <c r="J45" s="1309"/>
      <c r="K45" s="1309"/>
      <c r="L45" s="1309"/>
      <c r="M45" s="1309"/>
      <c r="N45" s="1309"/>
      <c r="O45" s="1309"/>
      <c r="P45" s="1309"/>
      <c r="Q45" s="1309"/>
      <c r="R45" s="1309"/>
      <c r="S45" s="1309"/>
      <c r="T45" s="1309"/>
    </row>
    <row r="46" spans="2:20" ht="13.5" thickBot="1">
      <c r="B46" s="1297" t="s">
        <v>708</v>
      </c>
      <c r="C46" s="1297"/>
      <c r="D46" s="1314">
        <f t="shared" ref="D46:T46" si="9">D44*D42*D36</f>
        <v>0</v>
      </c>
      <c r="E46" s="1314">
        <f t="shared" si="9"/>
        <v>0</v>
      </c>
      <c r="F46" s="1314">
        <f t="shared" si="9"/>
        <v>0</v>
      </c>
      <c r="G46" s="1314">
        <f t="shared" si="9"/>
        <v>0</v>
      </c>
      <c r="H46" s="1314">
        <f t="shared" si="9"/>
        <v>0</v>
      </c>
      <c r="I46" s="1314">
        <f t="shared" si="9"/>
        <v>0</v>
      </c>
      <c r="J46" s="1314">
        <f t="shared" si="9"/>
        <v>0</v>
      </c>
      <c r="K46" s="1314">
        <f t="shared" si="9"/>
        <v>0</v>
      </c>
      <c r="L46" s="1314">
        <f t="shared" si="9"/>
        <v>12966611.793057479</v>
      </c>
      <c r="M46" s="1314">
        <f t="shared" si="9"/>
        <v>67725676.634341121</v>
      </c>
      <c r="N46" s="1314">
        <f t="shared" si="9"/>
        <v>99042332.708819583</v>
      </c>
      <c r="O46" s="1314">
        <f t="shared" si="9"/>
        <v>118229988.39642316</v>
      </c>
      <c r="P46" s="1314">
        <f t="shared" si="9"/>
        <v>154363911.43170333</v>
      </c>
      <c r="Q46" s="1314">
        <f t="shared" si="9"/>
        <v>177344153.17370331</v>
      </c>
      <c r="R46" s="1314">
        <f t="shared" si="9"/>
        <v>202065733.71798691</v>
      </c>
      <c r="S46" s="1314">
        <f t="shared" si="9"/>
        <v>228639698.0311394</v>
      </c>
      <c r="T46" s="1314">
        <f t="shared" si="9"/>
        <v>257180910.70214063</v>
      </c>
    </row>
    <row r="47" spans="2:20" ht="13.5" thickTop="1">
      <c r="B47" s="1309"/>
      <c r="C47" s="1309"/>
      <c r="D47" s="1309"/>
      <c r="E47" s="1309"/>
      <c r="F47" s="1309"/>
      <c r="G47" s="1309"/>
      <c r="H47" s="1309"/>
      <c r="I47" s="1309"/>
      <c r="J47" s="1309"/>
      <c r="K47" s="1309"/>
      <c r="L47" s="1309"/>
      <c r="M47" s="1309"/>
      <c r="N47" s="1309"/>
      <c r="O47" s="1309"/>
      <c r="P47" s="1309"/>
      <c r="Q47" s="1309"/>
      <c r="R47" s="1309"/>
      <c r="S47" s="1309"/>
      <c r="T47" s="1309"/>
    </row>
    <row r="48" spans="2:20">
      <c r="B48" s="1295" t="s">
        <v>709</v>
      </c>
      <c r="C48" s="1308"/>
      <c r="D48" s="1308"/>
      <c r="E48" s="1308">
        <v>6601.2202908576983</v>
      </c>
      <c r="F48" s="1308">
        <v>6724.8364903463298</v>
      </c>
      <c r="G48" s="1308">
        <v>6850.7675595261271</v>
      </c>
      <c r="H48" s="1308">
        <v>6979.9318286800208</v>
      </c>
      <c r="I48" s="1308">
        <v>7111.9146497834672</v>
      </c>
      <c r="J48" s="1308">
        <v>7246.5292933761984</v>
      </c>
      <c r="K48" s="1308">
        <v>7384.2631473475658</v>
      </c>
      <c r="L48" s="1308">
        <v>7524.894708865997</v>
      </c>
      <c r="M48" s="1308">
        <v>7668.9057741357847</v>
      </c>
      <c r="N48" s="1308">
        <v>7815.3603740469916</v>
      </c>
      <c r="O48" s="1308">
        <v>7964.1601129581741</v>
      </c>
      <c r="P48" s="1308">
        <v>8115.6672427963013</v>
      </c>
      <c r="Q48" s="1308">
        <v>8269.4910507027398</v>
      </c>
      <c r="R48" s="1308">
        <v>8426.4015786927594</v>
      </c>
      <c r="S48" s="1308">
        <v>8586.4796821113832</v>
      </c>
      <c r="T48" s="1308">
        <v>8749.7106208173918</v>
      </c>
    </row>
    <row r="49" spans="2:20">
      <c r="B49" s="1309"/>
      <c r="C49" s="1309"/>
      <c r="D49" s="1309"/>
      <c r="E49" s="1309"/>
      <c r="F49" s="1309"/>
      <c r="G49" s="1309"/>
      <c r="H49" s="1309"/>
      <c r="I49" s="1309"/>
      <c r="J49" s="1309"/>
      <c r="K49" s="1309"/>
      <c r="L49" s="1309"/>
      <c r="M49" s="1309"/>
      <c r="N49" s="1309"/>
      <c r="O49" s="1309"/>
      <c r="P49" s="1309"/>
      <c r="Q49" s="1309"/>
      <c r="R49" s="1309"/>
      <c r="S49" s="1309"/>
      <c r="T49" s="1309"/>
    </row>
    <row r="50" spans="2:20">
      <c r="B50" s="1309"/>
      <c r="C50" s="1309"/>
      <c r="D50" s="1309"/>
      <c r="E50" s="1309"/>
      <c r="F50" s="1309"/>
      <c r="G50" s="1309"/>
      <c r="H50" s="1309"/>
      <c r="I50" s="1309"/>
      <c r="J50" s="1309"/>
      <c r="K50" s="1309"/>
      <c r="L50" s="1309"/>
      <c r="M50" s="1309"/>
      <c r="N50" s="1309"/>
      <c r="O50" s="1309"/>
      <c r="P50" s="1309"/>
      <c r="Q50" s="1309"/>
      <c r="R50" s="1309"/>
      <c r="S50" s="1309"/>
      <c r="T50" s="1309"/>
    </row>
    <row r="51" spans="2:20">
      <c r="B51" s="1296" t="s">
        <v>368</v>
      </c>
      <c r="C51" s="1309"/>
      <c r="D51" s="1309"/>
      <c r="E51" s="1309"/>
      <c r="F51" s="1309"/>
      <c r="G51" s="1309"/>
      <c r="H51" s="1309"/>
      <c r="I51" s="1309"/>
      <c r="J51" s="1309"/>
      <c r="K51" s="1309"/>
      <c r="L51" s="1309">
        <v>12</v>
      </c>
      <c r="M51" s="1309">
        <v>12</v>
      </c>
      <c r="N51" s="1309">
        <v>12</v>
      </c>
      <c r="O51" s="1309">
        <v>12</v>
      </c>
      <c r="P51" s="1309">
        <v>12</v>
      </c>
      <c r="Q51" s="1309">
        <v>12</v>
      </c>
      <c r="R51" s="1309">
        <v>12</v>
      </c>
      <c r="S51" s="1309">
        <v>12</v>
      </c>
      <c r="T51" s="1309">
        <v>12</v>
      </c>
    </row>
    <row r="52" spans="2:20">
      <c r="B52" s="1309"/>
      <c r="C52" s="1309"/>
      <c r="D52" s="1309"/>
      <c r="E52" s="1309"/>
      <c r="F52" s="1309"/>
      <c r="G52" s="1309"/>
      <c r="H52" s="1309"/>
      <c r="I52" s="1309"/>
      <c r="J52" s="1309"/>
      <c r="K52" s="1309"/>
      <c r="L52" s="1309"/>
      <c r="M52" s="1309"/>
      <c r="N52" s="1309"/>
      <c r="O52" s="1309"/>
      <c r="P52" s="1309"/>
      <c r="Q52" s="1309"/>
      <c r="R52" s="1309"/>
      <c r="S52" s="1309"/>
      <c r="T52" s="1309"/>
    </row>
    <row r="53" spans="2:20">
      <c r="B53" s="1296" t="s">
        <v>702</v>
      </c>
      <c r="C53" s="1309"/>
      <c r="D53" s="1310"/>
      <c r="E53" s="1310"/>
      <c r="F53" s="1310"/>
      <c r="G53" s="1310"/>
      <c r="H53" s="1310"/>
      <c r="I53" s="1310"/>
      <c r="J53" s="1310"/>
      <c r="K53" s="1310"/>
      <c r="L53" s="1310">
        <f t="shared" ref="L53:T53" si="10">L12</f>
        <v>10000</v>
      </c>
      <c r="M53" s="1310">
        <f t="shared" si="10"/>
        <v>10250</v>
      </c>
      <c r="N53" s="1310">
        <f t="shared" si="10"/>
        <v>10506.249999999998</v>
      </c>
      <c r="O53" s="1310">
        <f t="shared" si="10"/>
        <v>10768.906249999996</v>
      </c>
      <c r="P53" s="1310">
        <f t="shared" si="10"/>
        <v>11038.128906249995</v>
      </c>
      <c r="Q53" s="1310">
        <f t="shared" si="10"/>
        <v>11314.082128906244</v>
      </c>
      <c r="R53" s="1310">
        <f t="shared" si="10"/>
        <v>11596.9341821289</v>
      </c>
      <c r="S53" s="1310">
        <f t="shared" si="10"/>
        <v>11886.857536682121</v>
      </c>
      <c r="T53" s="1310">
        <f t="shared" si="10"/>
        <v>12184.028975099172</v>
      </c>
    </row>
    <row r="54" spans="2:20">
      <c r="B54" s="1309"/>
      <c r="C54" s="1309"/>
      <c r="D54" s="1309"/>
      <c r="E54" s="1309"/>
      <c r="F54" s="1309"/>
      <c r="G54" s="1309"/>
      <c r="H54" s="1309"/>
      <c r="I54" s="1309"/>
      <c r="J54" s="1309"/>
      <c r="K54" s="1309"/>
      <c r="L54" s="1309"/>
      <c r="M54" s="1309"/>
      <c r="N54" s="1309"/>
      <c r="O54" s="1309"/>
      <c r="P54" s="1309"/>
      <c r="Q54" s="1309"/>
      <c r="R54" s="1309"/>
      <c r="S54" s="1309"/>
      <c r="T54" s="1309"/>
    </row>
    <row r="55" spans="2:20">
      <c r="B55" s="1296" t="s">
        <v>682</v>
      </c>
      <c r="C55" s="1309"/>
      <c r="D55" s="1313"/>
      <c r="E55" s="1313"/>
      <c r="F55" s="1313"/>
      <c r="G55" s="1313"/>
      <c r="H55" s="1313"/>
      <c r="I55" s="1313"/>
      <c r="J55" s="1313"/>
      <c r="K55" s="1313"/>
      <c r="L55" s="1313">
        <v>0.01</v>
      </c>
      <c r="M55" s="1313">
        <v>0.05</v>
      </c>
      <c r="N55" s="1313">
        <v>7.0000000000000007E-2</v>
      </c>
      <c r="O55" s="1313">
        <v>0.08</v>
      </c>
      <c r="P55" s="1313">
        <v>0.1</v>
      </c>
      <c r="Q55" s="1313">
        <v>0.11</v>
      </c>
      <c r="R55" s="1313">
        <v>0.12</v>
      </c>
      <c r="S55" s="1313">
        <v>0.13</v>
      </c>
      <c r="T55" s="1313">
        <v>0.14000000000000001</v>
      </c>
    </row>
    <row r="56" spans="2:20">
      <c r="B56" s="1309"/>
      <c r="C56" s="1309"/>
      <c r="D56" s="1309"/>
      <c r="E56" s="1309"/>
      <c r="F56" s="1309"/>
      <c r="G56" s="1309"/>
      <c r="H56" s="1309"/>
      <c r="I56" s="1309"/>
      <c r="J56" s="1309"/>
      <c r="K56" s="1309"/>
      <c r="L56" s="1309"/>
      <c r="M56" s="1309"/>
      <c r="N56" s="1309"/>
      <c r="O56" s="1309"/>
      <c r="P56" s="1309"/>
      <c r="Q56" s="1309"/>
      <c r="R56" s="1309"/>
      <c r="S56" s="1309"/>
      <c r="T56" s="1309"/>
    </row>
    <row r="57" spans="2:20" ht="13.5" thickBot="1">
      <c r="B57" s="1297" t="s">
        <v>710</v>
      </c>
      <c r="C57" s="1297"/>
      <c r="D57" s="1314">
        <f t="shared" ref="D57:T57" si="11">D55*D53*D48</f>
        <v>0</v>
      </c>
      <c r="E57" s="1314">
        <f t="shared" si="11"/>
        <v>0</v>
      </c>
      <c r="F57" s="1314">
        <f t="shared" si="11"/>
        <v>0</v>
      </c>
      <c r="G57" s="1314">
        <f t="shared" si="11"/>
        <v>0</v>
      </c>
      <c r="H57" s="1314">
        <f t="shared" si="11"/>
        <v>0</v>
      </c>
      <c r="I57" s="1314">
        <f t="shared" si="11"/>
        <v>0</v>
      </c>
      <c r="J57" s="1314">
        <f t="shared" si="11"/>
        <v>0</v>
      </c>
      <c r="K57" s="1314">
        <f t="shared" si="11"/>
        <v>0</v>
      </c>
      <c r="L57" s="1314">
        <f t="shared" si="11"/>
        <v>752489.47088659974</v>
      </c>
      <c r="M57" s="1314">
        <f t="shared" si="11"/>
        <v>3930314.2092445898</v>
      </c>
      <c r="N57" s="1314">
        <f t="shared" si="11"/>
        <v>5747709.0950881839</v>
      </c>
      <c r="O57" s="1314">
        <f t="shared" si="11"/>
        <v>6861223.4893148765</v>
      </c>
      <c r="P57" s="1314">
        <f t="shared" si="11"/>
        <v>8958178.1186216045</v>
      </c>
      <c r="Q57" s="1314">
        <f t="shared" si="11"/>
        <v>10291787.100309659</v>
      </c>
      <c r="R57" s="1314">
        <f t="shared" si="11"/>
        <v>11726450.940034438</v>
      </c>
      <c r="S57" s="1314">
        <f t="shared" si="11"/>
        <v>13268613.893973568</v>
      </c>
      <c r="T57" s="1314">
        <f t="shared" si="11"/>
        <v>14924941.881888092</v>
      </c>
    </row>
    <row r="58" spans="2:20" ht="13.5" thickTop="1">
      <c r="B58" s="1309"/>
      <c r="C58" s="1309"/>
      <c r="D58" s="1309"/>
      <c r="E58" s="1309"/>
      <c r="F58" s="1309"/>
      <c r="G58" s="1309"/>
      <c r="H58" s="1309"/>
      <c r="I58" s="1309"/>
      <c r="J58" s="1309"/>
      <c r="K58" s="1309"/>
      <c r="L58" s="1309"/>
      <c r="M58" s="1309"/>
      <c r="N58" s="1309"/>
      <c r="O58" s="1309"/>
      <c r="P58" s="1309"/>
      <c r="Q58" s="1309"/>
      <c r="R58" s="1309"/>
      <c r="S58" s="1309"/>
      <c r="T58" s="1309"/>
    </row>
    <row r="59" spans="2:20">
      <c r="B59" s="1295" t="s">
        <v>711</v>
      </c>
      <c r="C59" s="1309"/>
      <c r="D59" s="1309"/>
      <c r="E59" s="1309"/>
      <c r="F59" s="1309"/>
      <c r="G59" s="1309"/>
      <c r="H59" s="1309"/>
      <c r="I59" s="1309"/>
      <c r="J59" s="1309"/>
      <c r="K59" s="1309"/>
      <c r="L59" s="1309"/>
      <c r="M59" s="1309"/>
      <c r="N59" s="1309"/>
      <c r="O59" s="1309"/>
      <c r="P59" s="1309"/>
      <c r="Q59" s="1309"/>
      <c r="R59" s="1309"/>
      <c r="S59" s="1309"/>
      <c r="T59" s="1309"/>
    </row>
    <row r="60" spans="2:20">
      <c r="B60" s="1296" t="s">
        <v>712</v>
      </c>
      <c r="C60" s="1308"/>
      <c r="D60" s="1308"/>
      <c r="E60" s="1308">
        <v>9050</v>
      </c>
      <c r="F60" s="1308">
        <f>E60*1.02</f>
        <v>9231</v>
      </c>
      <c r="G60" s="1308">
        <f t="shared" ref="G60:T60" si="12">F60*1.02</f>
        <v>9415.6200000000008</v>
      </c>
      <c r="H60" s="1308">
        <f t="shared" si="12"/>
        <v>9603.9324000000015</v>
      </c>
      <c r="I60" s="1308">
        <f t="shared" si="12"/>
        <v>9796.0110480000021</v>
      </c>
      <c r="J60" s="1308">
        <f t="shared" si="12"/>
        <v>9991.9312689600029</v>
      </c>
      <c r="K60" s="1308">
        <f t="shared" si="12"/>
        <v>10191.769894339202</v>
      </c>
      <c r="L60" s="1308">
        <f t="shared" si="12"/>
        <v>10395.605292225986</v>
      </c>
      <c r="M60" s="1308">
        <f t="shared" si="12"/>
        <v>10603.517398070506</v>
      </c>
      <c r="N60" s="1308">
        <f t="shared" si="12"/>
        <v>10815.587746031915</v>
      </c>
      <c r="O60" s="1308">
        <f t="shared" si="12"/>
        <v>11031.899500952553</v>
      </c>
      <c r="P60" s="1308">
        <f t="shared" si="12"/>
        <v>11252.537490971605</v>
      </c>
      <c r="Q60" s="1308">
        <f t="shared" si="12"/>
        <v>11477.588240791038</v>
      </c>
      <c r="R60" s="1308">
        <f t="shared" si="12"/>
        <v>11707.140005606858</v>
      </c>
      <c r="S60" s="1308">
        <f t="shared" si="12"/>
        <v>11941.282805718994</v>
      </c>
      <c r="T60" s="1308">
        <f t="shared" si="12"/>
        <v>12180.108461833375</v>
      </c>
    </row>
    <row r="61" spans="2:20">
      <c r="B61" s="1309"/>
      <c r="C61" s="1309"/>
      <c r="D61" s="1309"/>
      <c r="E61" s="1309"/>
      <c r="F61" s="1309"/>
      <c r="G61" s="1309"/>
      <c r="H61" s="1309"/>
      <c r="I61" s="1309"/>
      <c r="J61" s="1309"/>
      <c r="K61" s="1309"/>
      <c r="L61" s="1309"/>
      <c r="M61" s="1309"/>
      <c r="N61" s="1309"/>
      <c r="O61" s="1309"/>
      <c r="P61" s="1309"/>
      <c r="Q61" s="1309"/>
      <c r="R61" s="1309"/>
      <c r="S61" s="1309"/>
      <c r="T61" s="1309"/>
    </row>
    <row r="62" spans="2:20">
      <c r="B62" s="1309" t="s">
        <v>713</v>
      </c>
      <c r="C62" s="1308"/>
      <c r="D62" s="1308"/>
      <c r="E62" s="1308">
        <f>E60*0.35</f>
        <v>3167.5</v>
      </c>
      <c r="F62" s="1308">
        <f t="shared" ref="F62:T62" si="13">F60*0.35</f>
        <v>3230.85</v>
      </c>
      <c r="G62" s="1308">
        <f t="shared" si="13"/>
        <v>3295.4670000000001</v>
      </c>
      <c r="H62" s="1308">
        <f t="shared" si="13"/>
        <v>3361.3763400000003</v>
      </c>
      <c r="I62" s="1308">
        <f t="shared" si="13"/>
        <v>3428.6038668000006</v>
      </c>
      <c r="J62" s="1308">
        <f t="shared" si="13"/>
        <v>3497.1759441360009</v>
      </c>
      <c r="K62" s="1308">
        <f t="shared" si="13"/>
        <v>3567.1194630187206</v>
      </c>
      <c r="L62" s="1308">
        <f t="shared" si="13"/>
        <v>3638.4618522790947</v>
      </c>
      <c r="M62" s="1308">
        <f t="shared" si="13"/>
        <v>3711.2310893246768</v>
      </c>
      <c r="N62" s="1308">
        <f t="shared" si="13"/>
        <v>3785.4557111111699</v>
      </c>
      <c r="O62" s="1308">
        <f t="shared" si="13"/>
        <v>3861.1648253333933</v>
      </c>
      <c r="P62" s="1308">
        <f t="shared" si="13"/>
        <v>3938.3881218400616</v>
      </c>
      <c r="Q62" s="1308">
        <f t="shared" si="13"/>
        <v>4017.1558842768627</v>
      </c>
      <c r="R62" s="1308">
        <f t="shared" si="13"/>
        <v>4097.4990019624001</v>
      </c>
      <c r="S62" s="1308">
        <f t="shared" si="13"/>
        <v>4179.4489820016479</v>
      </c>
      <c r="T62" s="1308">
        <f t="shared" si="13"/>
        <v>4263.0379616416812</v>
      </c>
    </row>
    <row r="63" spans="2:20">
      <c r="B63" s="1309"/>
      <c r="C63" s="1309"/>
      <c r="D63" s="1309"/>
      <c r="E63" s="1309"/>
      <c r="F63" s="1309"/>
      <c r="G63" s="1309"/>
      <c r="H63" s="1309"/>
      <c r="I63" s="1309"/>
      <c r="J63" s="1309"/>
      <c r="K63" s="1309"/>
      <c r="L63" s="1309"/>
      <c r="M63" s="1309"/>
      <c r="N63" s="1309"/>
      <c r="O63" s="1309"/>
      <c r="P63" s="1309"/>
      <c r="Q63" s="1309"/>
      <c r="R63" s="1309"/>
      <c r="S63" s="1309"/>
      <c r="T63" s="1309"/>
    </row>
    <row r="64" spans="2:20">
      <c r="B64" s="1296" t="s">
        <v>368</v>
      </c>
      <c r="C64" s="1309"/>
      <c r="D64" s="1309"/>
      <c r="E64" s="1309"/>
      <c r="F64" s="1309"/>
      <c r="G64" s="1309"/>
      <c r="H64" s="1309"/>
      <c r="I64" s="1309"/>
      <c r="J64" s="1309"/>
      <c r="K64" s="1309"/>
      <c r="L64" s="1309">
        <v>10</v>
      </c>
      <c r="M64" s="1309">
        <v>10</v>
      </c>
      <c r="N64" s="1309">
        <v>10</v>
      </c>
      <c r="O64" s="1309">
        <v>10</v>
      </c>
      <c r="P64" s="1309">
        <v>10</v>
      </c>
      <c r="Q64" s="1309">
        <v>10</v>
      </c>
      <c r="R64" s="1309">
        <v>10</v>
      </c>
      <c r="S64" s="1309">
        <v>10</v>
      </c>
      <c r="T64" s="1309">
        <v>10</v>
      </c>
    </row>
    <row r="65" spans="2:20">
      <c r="B65" s="1309"/>
      <c r="C65" s="1309"/>
      <c r="D65" s="1309"/>
      <c r="E65" s="1309"/>
      <c r="F65" s="1309"/>
      <c r="G65" s="1309"/>
      <c r="H65" s="1309"/>
      <c r="I65" s="1309"/>
      <c r="J65" s="1309"/>
      <c r="K65" s="1309"/>
      <c r="L65" s="1309"/>
      <c r="M65" s="1309"/>
      <c r="N65" s="1309"/>
      <c r="O65" s="1309"/>
      <c r="P65" s="1309"/>
      <c r="Q65" s="1309"/>
      <c r="R65" s="1309"/>
      <c r="S65" s="1309"/>
      <c r="T65" s="1309"/>
    </row>
    <row r="66" spans="2:20">
      <c r="B66" s="1296" t="s">
        <v>702</v>
      </c>
      <c r="C66" s="1309"/>
      <c r="D66" s="1310"/>
      <c r="E66" s="1310"/>
      <c r="F66" s="1310"/>
      <c r="G66" s="1310"/>
      <c r="H66" s="1310"/>
      <c r="I66" s="1310"/>
      <c r="J66" s="1310"/>
      <c r="K66" s="1310"/>
      <c r="L66" s="1310">
        <f>L53</f>
        <v>10000</v>
      </c>
      <c r="M66" s="1310">
        <f t="shared" ref="M66:T66" si="14">M53</f>
        <v>10250</v>
      </c>
      <c r="N66" s="1310">
        <f t="shared" si="14"/>
        <v>10506.249999999998</v>
      </c>
      <c r="O66" s="1310">
        <f t="shared" si="14"/>
        <v>10768.906249999996</v>
      </c>
      <c r="P66" s="1310">
        <f t="shared" si="14"/>
        <v>11038.128906249995</v>
      </c>
      <c r="Q66" s="1310">
        <f t="shared" si="14"/>
        <v>11314.082128906244</v>
      </c>
      <c r="R66" s="1310">
        <f t="shared" si="14"/>
        <v>11596.9341821289</v>
      </c>
      <c r="S66" s="1310">
        <f t="shared" si="14"/>
        <v>11886.857536682121</v>
      </c>
      <c r="T66" s="1310">
        <f t="shared" si="14"/>
        <v>12184.028975099172</v>
      </c>
    </row>
    <row r="67" spans="2:20">
      <c r="B67" s="1309"/>
      <c r="C67" s="1309"/>
      <c r="D67" s="1309"/>
      <c r="E67" s="1309"/>
      <c r="F67" s="1309"/>
      <c r="G67" s="1309"/>
      <c r="H67" s="1309"/>
      <c r="I67" s="1309"/>
      <c r="J67" s="1309"/>
      <c r="K67" s="1309"/>
      <c r="L67" s="1309"/>
      <c r="M67" s="1309"/>
      <c r="N67" s="1309"/>
      <c r="O67" s="1309"/>
      <c r="P67" s="1309"/>
      <c r="Q67" s="1309"/>
      <c r="R67" s="1309"/>
      <c r="S67" s="1309"/>
      <c r="T67" s="1309"/>
    </row>
    <row r="68" spans="2:20">
      <c r="B68" s="1296" t="s">
        <v>682</v>
      </c>
      <c r="C68" s="1309"/>
      <c r="D68" s="1313"/>
      <c r="E68" s="1313"/>
      <c r="F68" s="1313"/>
      <c r="G68" s="1313"/>
      <c r="H68" s="1313"/>
      <c r="I68" s="1313"/>
      <c r="J68" s="1313"/>
      <c r="K68" s="1313"/>
      <c r="L68" s="1313">
        <v>0.01</v>
      </c>
      <c r="M68" s="1313">
        <v>0.05</v>
      </c>
      <c r="N68" s="1313">
        <v>7.0000000000000007E-2</v>
      </c>
      <c r="O68" s="1313">
        <v>0.08</v>
      </c>
      <c r="P68" s="1313">
        <v>0.1</v>
      </c>
      <c r="Q68" s="1313">
        <v>0.11</v>
      </c>
      <c r="R68" s="1313">
        <v>0.12</v>
      </c>
      <c r="S68" s="1313">
        <v>0.13</v>
      </c>
      <c r="T68" s="1313">
        <v>0.14000000000000001</v>
      </c>
    </row>
    <row r="69" spans="2:20">
      <c r="B69" s="1309"/>
      <c r="C69" s="1309"/>
      <c r="D69" s="1309"/>
      <c r="E69" s="1309"/>
      <c r="F69" s="1309"/>
      <c r="G69" s="1309"/>
      <c r="H69" s="1309"/>
      <c r="I69" s="1309"/>
      <c r="J69" s="1309"/>
      <c r="K69" s="1309"/>
      <c r="L69" s="1309"/>
      <c r="M69" s="1309"/>
      <c r="N69" s="1309"/>
      <c r="O69" s="1309"/>
      <c r="P69" s="1309"/>
      <c r="Q69" s="1309"/>
      <c r="R69" s="1309"/>
      <c r="S69" s="1309"/>
      <c r="T69" s="1309"/>
    </row>
    <row r="70" spans="2:20" ht="13.5" thickBot="1">
      <c r="B70" s="1297" t="s">
        <v>714</v>
      </c>
      <c r="C70" s="1297"/>
      <c r="D70" s="1314"/>
      <c r="E70" s="1314"/>
      <c r="F70" s="1314">
        <f t="shared" ref="F70:K70" si="15">F68*F66*F60</f>
        <v>0</v>
      </c>
      <c r="G70" s="1314">
        <f t="shared" si="15"/>
        <v>0</v>
      </c>
      <c r="H70" s="1314">
        <f t="shared" si="15"/>
        <v>0</v>
      </c>
      <c r="I70" s="1314">
        <f t="shared" si="15"/>
        <v>0</v>
      </c>
      <c r="J70" s="1314">
        <f t="shared" si="15"/>
        <v>0</v>
      </c>
      <c r="K70" s="1314">
        <f t="shared" si="15"/>
        <v>0</v>
      </c>
      <c r="L70" s="1315">
        <f>L68*L62*(L64*L66)</f>
        <v>3638461.852279095</v>
      </c>
      <c r="M70" s="1315">
        <f t="shared" ref="M70:T70" si="16">M68*M62*(M64*M66)</f>
        <v>19020059.33278897</v>
      </c>
      <c r="N70" s="1315">
        <f t="shared" si="16"/>
        <v>27839660.845403209</v>
      </c>
      <c r="O70" s="1315">
        <f t="shared" si="16"/>
        <v>33264417.615850341</v>
      </c>
      <c r="P70" s="1315">
        <f t="shared" si="16"/>
        <v>43472435.771714412</v>
      </c>
      <c r="Q70" s="1315">
        <f t="shared" si="16"/>
        <v>49995474.759260148</v>
      </c>
      <c r="R70" s="1315">
        <f t="shared" si="16"/>
        <v>57022111.484516174</v>
      </c>
      <c r="S70" s="1315">
        <f t="shared" si="16"/>
        <v>64584669.02015011</v>
      </c>
      <c r="T70" s="1315">
        <f t="shared" si="16"/>
        <v>72717369.265225947</v>
      </c>
    </row>
    <row r="71" spans="2:20" ht="13.5" thickTop="1">
      <c r="B71" s="1309"/>
      <c r="C71" s="1309"/>
      <c r="D71" s="1309"/>
      <c r="E71" s="1309"/>
      <c r="F71" s="1309"/>
      <c r="G71" s="1309"/>
      <c r="H71" s="1309"/>
      <c r="I71" s="1309"/>
      <c r="J71" s="1309"/>
      <c r="K71" s="1309"/>
      <c r="L71" s="1309"/>
      <c r="M71" s="1309"/>
      <c r="N71" s="1309"/>
      <c r="O71" s="1309"/>
      <c r="P71" s="1309"/>
      <c r="Q71" s="1309"/>
      <c r="R71" s="1309"/>
      <c r="S71" s="1309"/>
      <c r="T71" s="1309"/>
    </row>
    <row r="72" spans="2:20" ht="13.5" thickBot="1">
      <c r="B72" s="1309"/>
      <c r="C72" s="1309"/>
      <c r="D72" s="1309"/>
      <c r="E72" s="1309"/>
      <c r="F72" s="1309"/>
      <c r="G72" s="1309"/>
      <c r="H72" s="1309"/>
      <c r="I72" s="1309"/>
      <c r="J72" s="1309"/>
      <c r="K72" s="1309"/>
      <c r="L72" s="1309"/>
      <c r="M72" s="1309"/>
      <c r="N72" s="1309"/>
      <c r="O72" s="1309"/>
      <c r="P72" s="1309"/>
      <c r="Q72" s="1309"/>
      <c r="R72" s="1309"/>
      <c r="S72" s="1309"/>
      <c r="T72" s="1309"/>
    </row>
    <row r="73" spans="2:20" ht="13.5" thickBot="1">
      <c r="B73" s="1299" t="s">
        <v>715</v>
      </c>
      <c r="C73" s="1300"/>
      <c r="D73" s="1301">
        <f t="shared" ref="D73:K73" si="17">D57+D46+D33</f>
        <v>0</v>
      </c>
      <c r="E73" s="1301">
        <f t="shared" si="17"/>
        <v>0</v>
      </c>
      <c r="F73" s="1301">
        <f t="shared" si="17"/>
        <v>0</v>
      </c>
      <c r="G73" s="1301">
        <f t="shared" si="17"/>
        <v>0</v>
      </c>
      <c r="H73" s="1301">
        <f t="shared" si="17"/>
        <v>0</v>
      </c>
      <c r="I73" s="1301">
        <f t="shared" si="17"/>
        <v>0</v>
      </c>
      <c r="J73" s="1301">
        <f t="shared" si="17"/>
        <v>0</v>
      </c>
      <c r="K73" s="1301">
        <f t="shared" si="17"/>
        <v>0</v>
      </c>
      <c r="L73" s="1301">
        <f t="shared" ref="L73:T73" si="18">L57+L46+L33+L70</f>
        <v>25444332.945167474</v>
      </c>
      <c r="M73" s="1301">
        <f t="shared" si="18"/>
        <v>114392655.987</v>
      </c>
      <c r="N73" s="1301">
        <f t="shared" si="18"/>
        <v>175103020.99140239</v>
      </c>
      <c r="O73" s="1301">
        <f t="shared" si="18"/>
        <v>228601475.03518271</v>
      </c>
      <c r="P73" s="1301">
        <f t="shared" si="18"/>
        <v>299761673.47605896</v>
      </c>
      <c r="Q73" s="1301">
        <f t="shared" si="18"/>
        <v>353278400.26491451</v>
      </c>
      <c r="R73" s="1301">
        <f t="shared" si="18"/>
        <v>411108619.19045699</v>
      </c>
      <c r="S73" s="1301">
        <f t="shared" si="18"/>
        <v>473538706.68580067</v>
      </c>
      <c r="T73" s="1301">
        <f t="shared" si="18"/>
        <v>540869680.3158443</v>
      </c>
    </row>
    <row r="74" spans="2:20">
      <c r="B74" s="1309"/>
      <c r="C74" s="1309"/>
      <c r="D74" s="1309"/>
      <c r="E74" s="1309"/>
      <c r="F74" s="1309"/>
      <c r="G74" s="1309"/>
      <c r="H74" s="1309"/>
      <c r="I74" s="1309"/>
      <c r="J74" s="1309"/>
      <c r="K74" s="1309"/>
      <c r="L74" s="1309"/>
      <c r="M74" s="1309"/>
      <c r="N74" s="1309"/>
      <c r="O74" s="1309"/>
      <c r="P74" s="1309"/>
      <c r="Q74" s="1309"/>
      <c r="R74" s="1309"/>
      <c r="S74" s="1309"/>
      <c r="T74" s="1309"/>
    </row>
    <row r="75" spans="2:20">
      <c r="B75" s="1309"/>
      <c r="C75" s="1309"/>
      <c r="D75" s="1309"/>
      <c r="E75" s="1309"/>
      <c r="F75" s="1309"/>
      <c r="G75" s="1309"/>
      <c r="H75" s="1309"/>
      <c r="I75" s="1309"/>
      <c r="J75" s="1309"/>
      <c r="K75" s="1309"/>
      <c r="L75" s="1309"/>
      <c r="M75" s="1309"/>
      <c r="N75" s="1309"/>
      <c r="O75" s="1309"/>
      <c r="P75" s="1309"/>
      <c r="Q75" s="1309"/>
      <c r="R75" s="1309"/>
      <c r="S75" s="1309"/>
      <c r="T75" s="1309"/>
    </row>
    <row r="76" spans="2:20">
      <c r="B76" s="1295" t="s">
        <v>716</v>
      </c>
      <c r="C76" s="1309"/>
      <c r="D76" s="1309"/>
      <c r="E76" s="1309"/>
      <c r="F76" s="1309"/>
      <c r="G76" s="1309"/>
      <c r="H76" s="1309"/>
      <c r="I76" s="1309"/>
      <c r="J76" s="1309"/>
      <c r="K76" s="1309"/>
      <c r="L76" s="1309"/>
      <c r="M76" s="1309"/>
      <c r="N76" s="1309"/>
      <c r="O76" s="1309"/>
      <c r="P76" s="1309"/>
      <c r="Q76" s="1309"/>
      <c r="R76" s="1309"/>
      <c r="S76" s="1309"/>
      <c r="T76" s="1309"/>
    </row>
    <row r="77" spans="2:20" ht="13.5" thickBot="1">
      <c r="B77" s="1309"/>
      <c r="C77" s="1309"/>
      <c r="D77" s="1309"/>
      <c r="E77" s="1309"/>
      <c r="F77" s="1309"/>
      <c r="G77" s="1309"/>
      <c r="H77" s="1309"/>
      <c r="I77" s="1309"/>
      <c r="J77" s="1309"/>
      <c r="K77" s="1309"/>
      <c r="L77" s="1309"/>
      <c r="M77" s="1309"/>
      <c r="N77" s="1309"/>
      <c r="O77" s="1309"/>
      <c r="P77" s="1309"/>
      <c r="Q77" s="1309"/>
      <c r="R77" s="1309"/>
      <c r="S77" s="1309"/>
      <c r="T77" s="1309"/>
    </row>
    <row r="78" spans="2:20" ht="13.5" thickBot="1">
      <c r="B78" s="1299" t="s">
        <v>717</v>
      </c>
      <c r="C78" s="1300"/>
      <c r="D78" s="1301"/>
      <c r="E78" s="1301"/>
      <c r="F78" s="1301"/>
      <c r="G78" s="1301"/>
      <c r="H78" s="1301"/>
      <c r="I78" s="1301"/>
      <c r="J78" s="1301"/>
      <c r="K78" s="1301"/>
      <c r="L78" s="1301">
        <f>L73*0.7</f>
        <v>17811033.061617229</v>
      </c>
      <c r="M78" s="1301">
        <f t="shared" ref="M78:T78" si="19">M73*0.7</f>
        <v>80074859.190899998</v>
      </c>
      <c r="N78" s="1301">
        <f t="shared" si="19"/>
        <v>122572114.69398166</v>
      </c>
      <c r="O78" s="1301">
        <f t="shared" si="19"/>
        <v>160021032.52462789</v>
      </c>
      <c r="P78" s="1301">
        <f t="shared" si="19"/>
        <v>209833171.43324125</v>
      </c>
      <c r="Q78" s="1301">
        <f t="shared" si="19"/>
        <v>247294880.18544015</v>
      </c>
      <c r="R78" s="1301">
        <f t="shared" si="19"/>
        <v>287776033.43331987</v>
      </c>
      <c r="S78" s="1301">
        <f t="shared" si="19"/>
        <v>331477094.68006045</v>
      </c>
      <c r="T78" s="1301">
        <f t="shared" si="19"/>
        <v>378608776.22109097</v>
      </c>
    </row>
    <row r="79" spans="2:20" ht="13.5" thickBot="1">
      <c r="B79" s="1309"/>
      <c r="C79" s="1309"/>
      <c r="D79" s="1309"/>
      <c r="E79" s="1309"/>
      <c r="F79" s="1309"/>
      <c r="G79" s="1309"/>
      <c r="H79" s="1309"/>
      <c r="I79" s="1309"/>
      <c r="J79" s="1309"/>
      <c r="K79" s="1309"/>
      <c r="L79" s="1309"/>
      <c r="M79" s="1309"/>
      <c r="N79" s="1309"/>
      <c r="O79" s="1309"/>
      <c r="P79" s="1309"/>
      <c r="Q79" s="1309"/>
      <c r="R79" s="1309"/>
      <c r="S79" s="1309"/>
      <c r="T79" s="1309"/>
    </row>
    <row r="80" spans="2:20" ht="13.5" thickBot="1">
      <c r="B80" s="1299" t="s">
        <v>718</v>
      </c>
      <c r="C80" s="1300"/>
      <c r="D80" s="1301"/>
      <c r="E80" s="1301"/>
      <c r="F80" s="1301"/>
      <c r="G80" s="1301"/>
      <c r="H80" s="1301"/>
      <c r="I80" s="1301"/>
      <c r="J80" s="1301"/>
      <c r="K80" s="1301"/>
      <c r="L80" s="1301">
        <f t="shared" ref="L80:T80" si="20">L78+L73</f>
        <v>43255366.006784707</v>
      </c>
      <c r="M80" s="1301">
        <f t="shared" si="20"/>
        <v>194467515.17790002</v>
      </c>
      <c r="N80" s="1301">
        <f t="shared" si="20"/>
        <v>297675135.68538404</v>
      </c>
      <c r="O80" s="1301">
        <f t="shared" si="20"/>
        <v>388622507.55981064</v>
      </c>
      <c r="P80" s="1301">
        <f t="shared" si="20"/>
        <v>509594844.90930021</v>
      </c>
      <c r="Q80" s="1301">
        <f t="shared" si="20"/>
        <v>600573280.4503547</v>
      </c>
      <c r="R80" s="1301">
        <f t="shared" si="20"/>
        <v>698884652.62377691</v>
      </c>
      <c r="S80" s="1301">
        <f t="shared" si="20"/>
        <v>805015801.36586118</v>
      </c>
      <c r="T80" s="1302">
        <f t="shared" si="20"/>
        <v>919478456.53693533</v>
      </c>
    </row>
  </sheetData>
  <pageMargins left="0.7" right="0.7" top="0.75" bottom="0.75" header="0.3" footer="0.3"/>
  <pageSetup orientation="portrait" horizontalDpi="90" verticalDpi="9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1:AE8"/>
  <sheetViews>
    <sheetView showGridLines="0" workbookViewId="0"/>
  </sheetViews>
  <sheetFormatPr defaultRowHeight="12.75" outlineLevelCol="1"/>
  <cols>
    <col min="1" max="1" width="2.7109375" customWidth="1"/>
    <col min="2" max="2" width="26.42578125" bestFit="1" customWidth="1"/>
    <col min="3" max="6" width="9.140625" hidden="1" customWidth="1" outlineLevel="1"/>
    <col min="7" max="7" width="9.140625" collapsed="1"/>
    <col min="8" max="11" width="9.140625" hidden="1" customWidth="1" outlineLevel="1"/>
    <col min="12" max="12" width="9.140625" collapsed="1"/>
    <col min="13" max="16" width="9.140625" hidden="1" customWidth="1" outlineLevel="1"/>
    <col min="17" max="17" width="9.140625" collapsed="1"/>
  </cols>
  <sheetData>
    <row r="1" spans="2:31" ht="6.75" customHeight="1"/>
    <row r="2" spans="2:31" ht="14.25">
      <c r="B2" s="1503" t="s">
        <v>782</v>
      </c>
    </row>
    <row r="3" spans="2:31" ht="4.5" customHeight="1"/>
    <row r="4" spans="2:31" ht="15">
      <c r="C4" s="1520" t="s">
        <v>339</v>
      </c>
      <c r="D4" s="1521" t="s">
        <v>373</v>
      </c>
      <c r="E4" s="1521" t="s">
        <v>374</v>
      </c>
      <c r="F4" s="1521" t="s">
        <v>380</v>
      </c>
      <c r="G4" s="1513">
        <v>2014</v>
      </c>
      <c r="H4" s="1514" t="s">
        <v>379</v>
      </c>
      <c r="I4" s="1514" t="s">
        <v>378</v>
      </c>
      <c r="J4" s="1514" t="s">
        <v>411</v>
      </c>
      <c r="K4" s="1514" t="s">
        <v>417</v>
      </c>
      <c r="L4" s="1514">
        <v>2015</v>
      </c>
      <c r="M4" s="1514" t="s">
        <v>418</v>
      </c>
      <c r="N4" s="1514" t="s">
        <v>419</v>
      </c>
      <c r="O4" s="1514" t="s">
        <v>420</v>
      </c>
      <c r="P4" s="1514" t="s">
        <v>783</v>
      </c>
      <c r="Q4" s="1514">
        <v>2016</v>
      </c>
      <c r="R4" s="1514">
        <v>2017</v>
      </c>
      <c r="S4" s="1514">
        <v>2018</v>
      </c>
      <c r="T4" s="1514">
        <v>2019</v>
      </c>
      <c r="U4" s="1514">
        <v>2020</v>
      </c>
      <c r="V4" s="1514">
        <v>2021</v>
      </c>
      <c r="W4" s="1514">
        <v>2022</v>
      </c>
      <c r="X4" s="1514">
        <v>2023</v>
      </c>
      <c r="Y4" s="1514">
        <v>2024</v>
      </c>
      <c r="Z4" s="1514">
        <v>2025</v>
      </c>
      <c r="AA4" s="1514">
        <v>2026</v>
      </c>
      <c r="AB4" s="1514">
        <v>2027</v>
      </c>
      <c r="AC4" s="1514">
        <v>2028</v>
      </c>
      <c r="AD4" s="1514">
        <v>2029</v>
      </c>
      <c r="AE4" s="1515">
        <v>2030</v>
      </c>
    </row>
    <row r="5" spans="2:31">
      <c r="B5" s="2" t="s">
        <v>792</v>
      </c>
      <c r="C5" s="1510">
        <v>3.3</v>
      </c>
      <c r="D5" s="1505">
        <v>4</v>
      </c>
      <c r="E5" s="1505">
        <v>4</v>
      </c>
      <c r="F5" s="1505">
        <v>4.4000000000000004</v>
      </c>
      <c r="G5" s="1510">
        <f>SUM(C5:F5)</f>
        <v>15.700000000000001</v>
      </c>
      <c r="H5" s="1505">
        <v>5.2</v>
      </c>
      <c r="I5" s="1505">
        <v>6.2</v>
      </c>
      <c r="J5" s="1505">
        <v>7.2</v>
      </c>
      <c r="K5" s="1505">
        <v>8.1999999999999993</v>
      </c>
      <c r="L5" s="1505">
        <f>SUM(H5:K5)</f>
        <v>26.8</v>
      </c>
      <c r="M5" s="1505">
        <v>9</v>
      </c>
      <c r="N5" s="1505">
        <v>10</v>
      </c>
      <c r="O5" s="1505">
        <v>12.731</v>
      </c>
      <c r="P5" s="1505">
        <v>12.867000000000001</v>
      </c>
      <c r="Q5" s="1505">
        <f>SUM(M5:P5)</f>
        <v>44.597999999999999</v>
      </c>
      <c r="R5" s="1505">
        <v>67</v>
      </c>
      <c r="S5" s="1505">
        <v>84</v>
      </c>
      <c r="T5" s="1505">
        <f t="shared" ref="T5:AE5" si="0">S5*(1+T8)</f>
        <v>100.8</v>
      </c>
      <c r="U5" s="1505">
        <f t="shared" si="0"/>
        <v>115.91999999999999</v>
      </c>
      <c r="V5" s="1505">
        <f t="shared" si="0"/>
        <v>127.512</v>
      </c>
      <c r="W5" s="1505">
        <f t="shared" si="0"/>
        <v>136.43783999999999</v>
      </c>
      <c r="X5" s="1505">
        <f t="shared" si="0"/>
        <v>143.25973200000001</v>
      </c>
      <c r="Y5" s="1505">
        <f t="shared" si="0"/>
        <v>150.42271860000002</v>
      </c>
      <c r="Z5" s="1505">
        <f t="shared" si="0"/>
        <v>157.94385453000004</v>
      </c>
      <c r="AA5" s="1505">
        <f t="shared" si="0"/>
        <v>165.84104725650005</v>
      </c>
      <c r="AB5" s="1505">
        <f t="shared" si="0"/>
        <v>33.168209451300001</v>
      </c>
      <c r="AC5" s="1505">
        <f t="shared" si="0"/>
        <v>6.633641890259999</v>
      </c>
      <c r="AD5" s="1505">
        <f t="shared" si="0"/>
        <v>1.3267283780519994</v>
      </c>
      <c r="AE5" s="1506">
        <f t="shared" si="0"/>
        <v>0.26534567561039984</v>
      </c>
    </row>
    <row r="6" spans="2:31">
      <c r="B6" s="2" t="s">
        <v>793</v>
      </c>
      <c r="C6" s="1510"/>
      <c r="D6" s="1505"/>
      <c r="E6" s="1505"/>
      <c r="F6" s="1505"/>
      <c r="G6" s="1510"/>
      <c r="H6" s="1505"/>
      <c r="I6" s="1505"/>
      <c r="J6" s="1505"/>
      <c r="K6" s="1505"/>
      <c r="L6" s="1505"/>
      <c r="M6" s="1505"/>
      <c r="N6" s="1507">
        <f>N5*(1/3)</f>
        <v>3.333333333333333</v>
      </c>
      <c r="O6" s="1507">
        <f>O5</f>
        <v>12.731</v>
      </c>
      <c r="P6" s="1507">
        <f>P5</f>
        <v>12.867000000000001</v>
      </c>
      <c r="Q6" s="1505">
        <f>SUM(M6:P6)</f>
        <v>28.931333333333335</v>
      </c>
      <c r="R6" s="1505">
        <f>R5</f>
        <v>67</v>
      </c>
      <c r="S6" s="1505">
        <f t="shared" ref="S6:AE6" si="1">S5</f>
        <v>84</v>
      </c>
      <c r="T6" s="1505">
        <f t="shared" si="1"/>
        <v>100.8</v>
      </c>
      <c r="U6" s="1505">
        <f t="shared" si="1"/>
        <v>115.91999999999999</v>
      </c>
      <c r="V6" s="1505">
        <f t="shared" si="1"/>
        <v>127.512</v>
      </c>
      <c r="W6" s="1505">
        <f t="shared" si="1"/>
        <v>136.43783999999999</v>
      </c>
      <c r="X6" s="1505">
        <f t="shared" si="1"/>
        <v>143.25973200000001</v>
      </c>
      <c r="Y6" s="1505">
        <f t="shared" si="1"/>
        <v>150.42271860000002</v>
      </c>
      <c r="Z6" s="1505">
        <f t="shared" si="1"/>
        <v>157.94385453000004</v>
      </c>
      <c r="AA6" s="1505">
        <f t="shared" si="1"/>
        <v>165.84104725650005</v>
      </c>
      <c r="AB6" s="1505">
        <f t="shared" si="1"/>
        <v>33.168209451300001</v>
      </c>
      <c r="AC6" s="1505">
        <f t="shared" si="1"/>
        <v>6.633641890259999</v>
      </c>
      <c r="AD6" s="1505">
        <f t="shared" si="1"/>
        <v>1.3267283780519994</v>
      </c>
      <c r="AE6" s="1506">
        <f t="shared" si="1"/>
        <v>0.26534567561039984</v>
      </c>
    </row>
    <row r="7" spans="2:31" ht="4.5" customHeight="1">
      <c r="B7" s="2"/>
      <c r="C7" s="264"/>
      <c r="D7" s="241"/>
      <c r="E7" s="241"/>
      <c r="F7" s="241"/>
      <c r="G7" s="264"/>
      <c r="H7" s="241"/>
      <c r="I7" s="241"/>
      <c r="J7" s="241"/>
      <c r="K7" s="241"/>
      <c r="L7" s="241"/>
      <c r="M7" s="241"/>
      <c r="N7" s="241"/>
      <c r="O7" s="241"/>
      <c r="P7" s="241"/>
      <c r="Q7" s="241"/>
      <c r="R7" s="241"/>
      <c r="S7" s="241"/>
      <c r="T7" s="241"/>
      <c r="U7" s="241"/>
      <c r="V7" s="241"/>
      <c r="W7" s="241"/>
      <c r="X7" s="241"/>
      <c r="Y7" s="241"/>
      <c r="Z7" s="241"/>
      <c r="AA7" s="241"/>
      <c r="AB7" s="241"/>
      <c r="AC7" s="241"/>
      <c r="AD7" s="241"/>
      <c r="AE7" s="1508"/>
    </row>
    <row r="8" spans="2:31">
      <c r="B8" s="1512" t="s">
        <v>794</v>
      </c>
      <c r="C8" s="1511"/>
      <c r="D8" s="438"/>
      <c r="E8" s="438"/>
      <c r="F8" s="438"/>
      <c r="G8" s="1511"/>
      <c r="H8" s="1509">
        <f>H5/C5-1</f>
        <v>0.57575757575757591</v>
      </c>
      <c r="I8" s="1509">
        <f t="shared" ref="I8:K8" si="2">I5/D5-1</f>
        <v>0.55000000000000004</v>
      </c>
      <c r="J8" s="1509">
        <f t="shared" si="2"/>
        <v>0.8</v>
      </c>
      <c r="K8" s="1509">
        <f t="shared" si="2"/>
        <v>0.86363636363636331</v>
      </c>
      <c r="L8" s="1516">
        <f>L5/G5-1</f>
        <v>0.70700636942675144</v>
      </c>
      <c r="M8" s="1516">
        <f>M5/H5-1</f>
        <v>0.73076923076923062</v>
      </c>
      <c r="N8" s="1516">
        <f t="shared" ref="N8" si="3">N5/I5-1</f>
        <v>0.61290322580645151</v>
      </c>
      <c r="O8" s="1516">
        <f t="shared" ref="O8" si="4">O5/J5-1</f>
        <v>0.7681944444444444</v>
      </c>
      <c r="P8" s="1516">
        <f t="shared" ref="P8" si="5">P5/K5-1</f>
        <v>0.56914634146341481</v>
      </c>
      <c r="Q8" s="1516">
        <f>Q5/L5-1</f>
        <v>0.66410447761194025</v>
      </c>
      <c r="R8" s="1516">
        <f>R5/Q5-1</f>
        <v>0.50230952060630529</v>
      </c>
      <c r="S8" s="1516">
        <f>S5/R5-1</f>
        <v>0.25373134328358216</v>
      </c>
      <c r="T8" s="1517">
        <v>0.2</v>
      </c>
      <c r="U8" s="1517">
        <v>0.15</v>
      </c>
      <c r="V8" s="1517">
        <v>0.1</v>
      </c>
      <c r="W8" s="1517">
        <v>7.0000000000000007E-2</v>
      </c>
      <c r="X8" s="1517">
        <v>0.05</v>
      </c>
      <c r="Y8" s="1517">
        <v>0.05</v>
      </c>
      <c r="Z8" s="1517">
        <v>0.05</v>
      </c>
      <c r="AA8" s="1517">
        <v>0.05</v>
      </c>
      <c r="AB8" s="1517">
        <v>-0.8</v>
      </c>
      <c r="AC8" s="1517">
        <v>-0.8</v>
      </c>
      <c r="AD8" s="1517">
        <v>-0.8</v>
      </c>
      <c r="AE8" s="1518">
        <v>-0.8</v>
      </c>
    </row>
  </sheetData>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1583"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1177</v>
      </c>
      <c r="B1" s="1582">
        <v>6.1</v>
      </c>
    </row>
    <row r="2" spans="1:2">
      <c r="A2" s="1" t="s">
        <v>1178</v>
      </c>
      <c r="B2" s="1586">
        <v>43203.619895833333</v>
      </c>
    </row>
    <row r="3" spans="1:2">
      <c r="A3" s="1" t="s">
        <v>1179</v>
      </c>
      <c r="B3" s="1583" t="s">
        <v>885</v>
      </c>
    </row>
    <row r="4" spans="1:2">
      <c r="A4" s="1" t="s">
        <v>1180</v>
      </c>
      <c r="B4" s="1583" t="s">
        <v>1181</v>
      </c>
    </row>
    <row r="5" spans="1:2">
      <c r="A5" s="1" t="s">
        <v>1182</v>
      </c>
      <c r="B5" s="1583" t="s">
        <v>1183</v>
      </c>
    </row>
    <row r="6" spans="1:2">
      <c r="A6" s="1" t="s">
        <v>1184</v>
      </c>
    </row>
    <row r="7" spans="1:2">
      <c r="A7" s="1" t="s">
        <v>256</v>
      </c>
      <c r="B7" s="1583" t="s">
        <v>1228</v>
      </c>
    </row>
    <row r="8" spans="1:2">
      <c r="A8" s="1" t="s">
        <v>1185</v>
      </c>
      <c r="B8" s="1583" t="s">
        <v>1186</v>
      </c>
    </row>
    <row r="9" spans="1:2">
      <c r="A9" s="1" t="s">
        <v>1187</v>
      </c>
      <c r="B9" s="1583" t="s">
        <v>1224</v>
      </c>
    </row>
    <row r="10" spans="1:2">
      <c r="A10" s="1" t="s">
        <v>1188</v>
      </c>
    </row>
    <row r="11" spans="1:2">
      <c r="A11" s="1" t="s">
        <v>1189</v>
      </c>
    </row>
    <row r="12" spans="1:2">
      <c r="A12" s="1" t="s">
        <v>1190</v>
      </c>
    </row>
    <row r="13" spans="1:2">
      <c r="A13" s="1" t="s">
        <v>1191</v>
      </c>
    </row>
    <row r="14" spans="1:2">
      <c r="A14" s="1" t="s">
        <v>1192</v>
      </c>
    </row>
    <row r="15" spans="1:2">
      <c r="A15" s="1" t="s">
        <v>1193</v>
      </c>
    </row>
    <row r="16" spans="1:2">
      <c r="A16" s="1" t="s">
        <v>1194</v>
      </c>
    </row>
    <row r="17" spans="1:4">
      <c r="A17" s="1" t="s">
        <v>1195</v>
      </c>
      <c r="B17" s="1583" t="s">
        <v>1225</v>
      </c>
    </row>
    <row r="18" spans="1:4">
      <c r="A18" s="1" t="s">
        <v>1196</v>
      </c>
      <c r="B18" s="1583" t="s">
        <v>1229</v>
      </c>
    </row>
    <row r="19" spans="1:4">
      <c r="A19" s="1" t="s">
        <v>1197</v>
      </c>
      <c r="B19" s="1583" t="s">
        <v>113</v>
      </c>
    </row>
    <row r="20" spans="1:4">
      <c r="A20" s="1" t="s">
        <v>1198</v>
      </c>
      <c r="B20" s="1584" t="s">
        <v>1230</v>
      </c>
    </row>
    <row r="21" spans="1:4">
      <c r="A21" s="1" t="s">
        <v>1199</v>
      </c>
      <c r="B21" s="1583" t="s">
        <v>113</v>
      </c>
    </row>
    <row r="22" spans="1:4">
      <c r="A22" s="1" t="s">
        <v>1200</v>
      </c>
      <c r="B22" s="1584">
        <v>2471950</v>
      </c>
    </row>
    <row r="23" spans="1:4">
      <c r="A23" s="1" t="s">
        <v>341</v>
      </c>
      <c r="B23" s="1582">
        <v>69.83</v>
      </c>
    </row>
    <row r="24" spans="1:4">
      <c r="A24" s="1" t="s">
        <v>340</v>
      </c>
      <c r="B24" s="1583" t="s">
        <v>94</v>
      </c>
      <c r="D24" s="1" t="s">
        <v>4</v>
      </c>
    </row>
    <row r="25" spans="1:4">
      <c r="A25" s="1" t="s">
        <v>1201</v>
      </c>
      <c r="B25" s="1583" t="s">
        <v>1231</v>
      </c>
    </row>
    <row r="26" spans="1:4">
      <c r="A26" s="1" t="s">
        <v>1202</v>
      </c>
      <c r="B26" s="1583">
        <v>0</v>
      </c>
    </row>
    <row r="27" spans="1:4">
      <c r="A27" s="1" t="s">
        <v>1203</v>
      </c>
      <c r="B27" s="1583" t="s">
        <v>1204</v>
      </c>
    </row>
    <row r="28" spans="1:4">
      <c r="A28" s="1" t="s">
        <v>1205</v>
      </c>
      <c r="B28" s="1583" t="s">
        <v>1206</v>
      </c>
    </row>
    <row r="29" spans="1:4">
      <c r="A29" s="1" t="s">
        <v>1207</v>
      </c>
    </row>
    <row r="30" spans="1:4">
      <c r="A30" s="1" t="s">
        <v>1208</v>
      </c>
    </row>
    <row r="31" spans="1:4">
      <c r="A31" s="1" t="s">
        <v>1209</v>
      </c>
    </row>
    <row r="32" spans="1:4">
      <c r="A32" s="1" t="s">
        <v>1210</v>
      </c>
      <c r="B32" s="1582"/>
    </row>
    <row r="33" spans="1:2">
      <c r="A33" s="1" t="s">
        <v>1211</v>
      </c>
      <c r="B33" s="1582"/>
    </row>
    <row r="34" spans="1:2">
      <c r="A34" s="1" t="s">
        <v>1212</v>
      </c>
      <c r="B34" s="1582"/>
    </row>
    <row r="35" spans="1:2">
      <c r="A35" s="1" t="s">
        <v>1213</v>
      </c>
      <c r="B35" s="1583">
        <v>1000000</v>
      </c>
    </row>
    <row r="36" spans="1:2">
      <c r="A36" s="1" t="s">
        <v>1214</v>
      </c>
      <c r="B36" s="1583" t="s">
        <v>1226</v>
      </c>
    </row>
    <row r="37" spans="1:2">
      <c r="A37" s="1" t="s">
        <v>1215</v>
      </c>
      <c r="B37" s="1583" t="s">
        <v>1216</v>
      </c>
    </row>
    <row r="38" spans="1:2">
      <c r="A38" s="1" t="s">
        <v>1217</v>
      </c>
      <c r="B38" s="1583" t="s">
        <v>1218</v>
      </c>
    </row>
    <row r="39" spans="1:2">
      <c r="A39" s="1" t="s">
        <v>1219</v>
      </c>
      <c r="B39" s="1583" t="s">
        <v>1227</v>
      </c>
    </row>
    <row r="40" spans="1:2">
      <c r="A40" s="1" t="s">
        <v>1220</v>
      </c>
      <c r="B40" s="1583">
        <v>1500004768</v>
      </c>
    </row>
    <row r="41" spans="1:2">
      <c r="A41" s="1" t="s">
        <v>1221</v>
      </c>
      <c r="B41" s="1583">
        <v>1</v>
      </c>
    </row>
    <row r="42" spans="1:2">
      <c r="A42" s="1585" t="s">
        <v>1222</v>
      </c>
    </row>
    <row r="43" spans="1:2">
      <c r="A43" s="1" t="s">
        <v>1223</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587" t="s">
        <v>1232</v>
      </c>
    </row>
    <row r="2" spans="1:1">
      <c r="A2" s="1587" t="s">
        <v>1237</v>
      </c>
    </row>
    <row r="3" spans="1:1">
      <c r="A3" s="1587" t="s">
        <v>1238</v>
      </c>
    </row>
    <row r="4" spans="1:1">
      <c r="A4" s="1587" t="s">
        <v>1239</v>
      </c>
    </row>
    <row r="5" spans="1:1">
      <c r="A5" s="1587" t="s">
        <v>1240</v>
      </c>
    </row>
    <row r="6" spans="1:1">
      <c r="A6" s="1587" t="s">
        <v>1233</v>
      </c>
    </row>
    <row r="7" spans="1:1">
      <c r="A7" s="1587" t="s">
        <v>1241</v>
      </c>
    </row>
    <row r="8" spans="1:1">
      <c r="A8" s="1587" t="s">
        <v>1242</v>
      </c>
    </row>
    <row r="9" spans="1:1">
      <c r="A9" s="1587" t="s">
        <v>1243</v>
      </c>
    </row>
    <row r="10" spans="1:1">
      <c r="A10" s="1587" t="s">
        <v>1234</v>
      </c>
    </row>
    <row r="11" spans="1:1">
      <c r="A11" s="1587" t="s">
        <v>1244</v>
      </c>
    </row>
    <row r="12" spans="1:1">
      <c r="A12" s="1587" t="s">
        <v>1235</v>
      </c>
    </row>
    <row r="13" spans="1:1">
      <c r="A13" s="1587" t="s">
        <v>1236</v>
      </c>
    </row>
  </sheetData>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
  <sheetViews>
    <sheetView workbookViewId="0"/>
  </sheetViews>
  <sheetFormatPr defaultRowHeight="12.75"/>
  <sheetData>
    <row r="1" spans="1:20">
      <c r="A1" t="s">
        <v>298</v>
      </c>
    </row>
    <row r="2" spans="1:20">
      <c r="A2" s="80" t="s">
        <v>296</v>
      </c>
      <c r="B2" s="80" t="s">
        <v>181</v>
      </c>
      <c r="C2" s="80" t="s">
        <v>60</v>
      </c>
      <c r="D2" s="80" t="s">
        <v>94</v>
      </c>
      <c r="E2" s="80" t="s">
        <v>295</v>
      </c>
      <c r="F2" s="80" t="s">
        <v>181</v>
      </c>
      <c r="G2" s="80" t="s">
        <v>293</v>
      </c>
      <c r="H2" s="80" t="s">
        <v>294</v>
      </c>
      <c r="I2" s="80" t="s">
        <v>58</v>
      </c>
      <c r="J2" s="80" t="s">
        <v>873</v>
      </c>
      <c r="K2" s="80" t="s">
        <v>297</v>
      </c>
      <c r="L2" s="80" t="s">
        <v>181</v>
      </c>
      <c r="M2" s="80" t="s">
        <v>59</v>
      </c>
      <c r="N2" s="80" t="s">
        <v>884</v>
      </c>
      <c r="O2" s="80" t="s">
        <v>124</v>
      </c>
      <c r="P2" s="80" t="s">
        <v>94</v>
      </c>
      <c r="Q2" s="80" t="s">
        <v>122</v>
      </c>
      <c r="R2" s="80" t="s">
        <v>121</v>
      </c>
      <c r="S2" s="80" t="s">
        <v>123</v>
      </c>
      <c r="T2" s="80" t="s">
        <v>125</v>
      </c>
    </row>
  </sheetData>
  <phoneticPr fontId="13"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1"/>
  <sheetViews>
    <sheetView workbookViewId="0"/>
  </sheetViews>
  <sheetFormatPr defaultRowHeight="12.75"/>
  <sheetData>
    <row r="1" spans="1:2">
      <c r="B1" t="s">
        <v>120</v>
      </c>
    </row>
  </sheetData>
  <phoneticPr fontId="13"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8322E14F-B46B-4CC1-A6C4-678CB10990A1}">
  <ds:schemaRefs>
    <ds:schemaRef ds:uri="thomsonreuters.linking.metadatachange"/>
  </ds:schemaRefs>
</ds:datastoreItem>
</file>

<file path=customXml/itemProps2.xml><?xml version="1.0" encoding="utf-8"?>
<ds:datastoreItem xmlns:ds="http://schemas.openxmlformats.org/officeDocument/2006/customXml" ds:itemID="{EB117BFE-436E-4542-BFF3-08982FD37C71}">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86</vt:i4>
      </vt:variant>
    </vt:vector>
  </HeadingPairs>
  <TitlesOfParts>
    <vt:vector size="106" baseType="lpstr">
      <vt:lpstr>ImportantDisclosures</vt:lpstr>
      <vt:lpstr>Income Statement</vt:lpstr>
      <vt:lpstr>Balance Sheet </vt:lpstr>
      <vt:lpstr>Cashflow</vt:lpstr>
      <vt:lpstr>Valuation</vt:lpstr>
      <vt:lpstr>SOP</vt:lpstr>
      <vt:lpstr>Jakafi - Summary</vt:lpstr>
      <vt:lpstr>Jakafi - MF</vt:lpstr>
      <vt:lpstr>Jakafi - PV</vt:lpstr>
      <vt:lpstr>Epacadostat</vt:lpstr>
      <vt:lpstr>Bari Summary</vt:lpstr>
      <vt:lpstr>Bari Royalties</vt:lpstr>
      <vt:lpstr>RA - US</vt:lpstr>
      <vt:lpstr>RA - EU</vt:lpstr>
      <vt:lpstr>Bari - AD</vt:lpstr>
      <vt:lpstr>GVHD</vt:lpstr>
      <vt:lpstr>B-Cell</vt:lpstr>
      <vt:lpstr>Iclusig</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Linking_2</vt:lpstr>
      <vt:lpstr>Linking_3</vt:lpstr>
      <vt:lpstr>Linking_4</vt:lpstr>
      <vt:lpstr>Linking_5</vt:lpstr>
      <vt:lpstr>Linking_6</vt:lpstr>
      <vt:lpstr>Linking_7</vt:lpstr>
      <vt:lpstr>Linking_8</vt:lpstr>
      <vt:lpstr>Linking_9</vt:lpstr>
      <vt:lpstr>Linking_Range_24</vt:lpstr>
      <vt:lpstr>Linking_Range_25</vt:lpstr>
      <vt:lpstr>Linking_Range_26</vt:lpstr>
      <vt:lpstr>Linking_Range_31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'Balance Sheet '!Print_Area</vt:lpstr>
      <vt:lpstr>'Income Statement'!Print_Area</vt:lpstr>
      <vt:lpstr>'RA - US'!Print_Area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2004-11-16T01:38:44Z</dcterms:created>
  <dc:creator>Smith, Thomas J (Research)</dc:creator>
  <cp:lastModifiedBy>Smith, Thomas J (Research)</cp:lastModifiedBy>
  <cp:lastPrinted>2018-04-12T19:09:56Z</cp:lastPrinted>
  <dcterms:modified xsi:type="dcterms:W3CDTF">2018-04-13T18:52:41Z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linkTarget="Prop__Plant___Equip_Net" name="_Plant___Equip_Net" pid="3">
    <vt:r8>0</vt:r8>
  </property>
  <property fmtid="{D5CDD505-2E9C-101B-9397-08002B2CF9AE}" name="LinkingAutoNameNumberLinking_Text_" pid="4">
    <vt:lpwstr>1</vt:lpwstr>
  </property>
  <property fmtid="{D5CDD505-2E9C-101B-9397-08002B2CF9AE}" name="LinkingAutoNameNumberLinking_Range_" pid="5">
    <vt:lpwstr>31</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761619</vt:lpwstr>
  </property>
  <property fmtid="{D5CDD505-2E9C-101B-9397-08002B2CF9AE}" name="ERModPubCompanyName" pid="9">
    <vt:lpwstr>Incyte Corp</vt:lpwstr>
  </property>
  <property fmtid="{D5CDD505-2E9C-101B-9397-08002B2CF9AE}" name="MSDH34TAG" pid="10">
    <vt:lpwstr>.TEZUF76X5TAHATHESADREYAK-00-INB160+*94600-06=d98bc948/-3f4b/-11e8/-b3f7/-7a79cfe26848,MD=20180413151029/-0400,ZZ=000Z-5bc5.</vt:lpwstr>
  </property>
</Properties>
</file>